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DieseArbeitsmappe" defaultThemeVersion="124226"/>
  <mc:AlternateContent xmlns:mc="http://schemas.openxmlformats.org/markup-compatibility/2006">
    <mc:Choice Requires="x15">
      <x15ac:absPath xmlns:x15ac="http://schemas.microsoft.com/office/spreadsheetml/2010/11/ac" url="S:\Allgemeine.Daten\F &amp; E\001_Excel_Bemessungstools\005_Megant_Bemessungstool\BE-Ingenieure Bemessungstool MEGANT\250626_Endversion_MEGANT-Bemessungstool\"/>
    </mc:Choice>
  </mc:AlternateContent>
  <xr:revisionPtr revIDLastSave="0" documentId="13_ncr:13_{BD97E631-B60B-4F70-8966-8D936CE57130}" xr6:coauthVersionLast="47" xr6:coauthVersionMax="47" xr10:uidLastSave="{00000000-0000-0000-0000-000000000000}"/>
  <bookViews>
    <workbookView xWindow="-120" yWindow="-120" windowWidth="29040" windowHeight="15720" xr2:uid="{5454FFB4-357D-43AF-86B9-965359912CF5}"/>
  </bookViews>
  <sheets>
    <sheet name="Eingabe" sheetId="17" r:id="rId1"/>
    <sheet name="Ausgabe" sheetId="18" r:id="rId2"/>
    <sheet name="Sprachtexte" sheetId="20" state="hidden" r:id="rId3"/>
    <sheet name="Geometrie" sheetId="14" state="hidden" r:id="rId4"/>
    <sheet name="Berechnung_BZoben" sheetId="4" state="hidden" r:id="rId5"/>
    <sheet name="Berechnung_BZunten" sheetId="19" state="hidden" r:id="rId6"/>
    <sheet name="MKW" sheetId="11" state="hidden" r:id="rId7"/>
    <sheet name="Beispiel 1" sheetId="26" r:id="rId8"/>
    <sheet name="Beispiel 2" sheetId="27" r:id="rId9"/>
    <sheet name="Beispiel 3" sheetId="28" r:id="rId10"/>
    <sheet name="Beispiel 4" sheetId="29" r:id="rId11"/>
    <sheet name="Hinweise" sheetId="21" r:id="rId12"/>
  </sheets>
  <definedNames>
    <definedName name="_GoBack" localSheetId="11">Hinweise!$A$1</definedName>
    <definedName name="_oben">Eingabe!$BP$15</definedName>
    <definedName name="_unten">Eingabe!$BP$16</definedName>
    <definedName name="_xleta.AND" hidden="1" xlm="1">#NAME?</definedName>
    <definedName name="_xleta.COS" hidden="1" xlm="1">#NAME?</definedName>
    <definedName name="_xleta.IF" hidden="1" xlm="1">#NAME?</definedName>
    <definedName name="_xleta.MAX" hidden="1" xlm="1">#NAME?</definedName>
    <definedName name="_xleta.NA" hidden="1" xlm="1">#NAME?</definedName>
    <definedName name="_xleta.SIN" hidden="1" xlm="1">#NAME?</definedName>
    <definedName name="_xleta.T" hidden="1" xlm="1">#NAME?</definedName>
    <definedName name="_xleta.TEXT" hidden="1" xlm="1">#NAME?</definedName>
    <definedName name="amax" localSheetId="5">Berechnung_BZunten!$O$34</definedName>
    <definedName name="amax">Berechnung_BZoben!$O$34</definedName>
    <definedName name="_xlnm.Print_Area" localSheetId="1">Ausgabe!$A$1:$I$698</definedName>
    <definedName name="_xlnm.Print_Area" localSheetId="7">'Beispiel 1'!$A$1:$I$118</definedName>
    <definedName name="_xlnm.Print_Area" localSheetId="8">'Beispiel 2'!$A$1:$I$117</definedName>
    <definedName name="_xlnm.Print_Area" localSheetId="9">'Beispiel 3'!$A$1:$I$127</definedName>
    <definedName name="_xlnm.Print_Area" localSheetId="10">'Beispiel 4'!$A$1:$I$62</definedName>
    <definedName name="_xlnm.Print_Area" localSheetId="0">Eingabe!$A$1:$G$264</definedName>
    <definedName name="_xlnm.Print_Area" localSheetId="11">Hinweise!$A$1:$G$22</definedName>
    <definedName name="_xlnm.Print_Area" localSheetId="2">Sprachtexte!$A$1:$AI$283</definedName>
    <definedName name="Faxmax" localSheetId="5">Berechnung_BZunten!$O$36</definedName>
    <definedName name="Faxmax">Berechnung_BZoben!$O$36</definedName>
    <definedName name="HT45Schraube_Mat0_alpha">Eingabe!$BG$31</definedName>
    <definedName name="HT45Schraube_Mat1_alpha">Eingabe!$BG$32</definedName>
    <definedName name="HT45Schraube_Mat23_alpha">Eingabe!$BG$33</definedName>
    <definedName name="HT45Schraube_Mat23_alphaF3">Eingabe!$BG$34</definedName>
    <definedName name="HT45Schraube_Mat23_alphaF45">Eingabe!$BG$35</definedName>
    <definedName name="HT45Schraube_Mat23_beta">Eingabe!$BG$36</definedName>
    <definedName name="HT45Schraube_Mat23_epsilon">Eingabe!$BG$37</definedName>
    <definedName name="HT90Schraube_Mat0_alpha">Eingabe!$BF$31</definedName>
    <definedName name="HT90Schraube_Mat1_alpha">Eingabe!$BF$32</definedName>
    <definedName name="HT90Schraube_Mat23_alpha">Eingabe!$BF$33</definedName>
    <definedName name="HT90Schraube_Mat23_alphaF3">Eingabe!$BF$34</definedName>
    <definedName name="HT90Schraube_Mat23_alphaF45">Eingabe!$BF$35</definedName>
    <definedName name="HT90Schraube_Mat23_beta">Eingabe!$BF$36</definedName>
    <definedName name="HT90Schraube_Mat23_epsilon">Eingabe!$BF$37</definedName>
    <definedName name="kL" localSheetId="5">Berechnung_BZunten!$O$38</definedName>
    <definedName name="kL">Berechnung_BZoben!$O$38</definedName>
    <definedName name="n" localSheetId="5">Berechnung_BZunten!$O$33</definedName>
    <definedName name="n">Berechnung_BZoben!$O$33</definedName>
    <definedName name="NT0Schraube_Mat0_alpha">Eingabe!$BD$31</definedName>
    <definedName name="NT0Schraube_Mat1_alpha">Eingabe!$BD$32</definedName>
    <definedName name="NT0Schraube_Mat23_alpha">Eingabe!$BD$33</definedName>
    <definedName name="NT0Schraube_Mat23_alphaF3">Eingabe!$BD$34</definedName>
    <definedName name="NT0Schraube_Mat23_alphaF45">Eingabe!$BD$35</definedName>
    <definedName name="NT0Schraube_Mat23_beta">Eingabe!$BD$36</definedName>
    <definedName name="NT0Schraube_Mat23_epsilon">Eingabe!$BD$37</definedName>
    <definedName name="NT45Schraube_Mat0_alpha">Eingabe!$BE$31</definedName>
    <definedName name="NT45Schraube_Mat1_alpha">Eingabe!$BE$32</definedName>
    <definedName name="NT45Schraube_Mat23_alpha">Eingabe!$BE$33</definedName>
    <definedName name="NT45Schraube_Mat23_alphaF3">Eingabe!$BE$34</definedName>
    <definedName name="NT45Schraube_Mat23_alphaF45">Eingabe!$BE$35</definedName>
    <definedName name="NT45Schraube_Mat23_beta">Eingabe!$BE$36</definedName>
    <definedName name="NT45Schraube_Mat23_epsilon">Eingabe!$BE$37</definedName>
    <definedName name="Sai" localSheetId="5">Berechnung_BZunten!$O$37</definedName>
    <definedName name="Sai">Berechnung_BZoben!$O$37</definedName>
    <definedName name="sc" localSheetId="5">Berechnung_BZunten!$O$26</definedName>
    <definedName name="sc">Berechnung_BZoben!$O$26</definedName>
    <definedName name="waxmax" localSheetId="5">Berechnung_BZunten!$O$35</definedName>
    <definedName name="waxmax">Berechnung_BZoben!$O$35</definedName>
    <definedName name="wc" localSheetId="5">Berechnung_BZunten!$O$17</definedName>
    <definedName name="wc">Berechnung_BZoben!$O$17</definedName>
    <definedName name="x" localSheetId="5">Berechnung_BZunten!$O$39</definedName>
    <definedName name="x">Berechnung_BZoben!$O$39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27" i="11" l="1"/>
  <c r="O127" i="11"/>
  <c r="N127" i="11"/>
  <c r="M127" i="11"/>
  <c r="L127" i="11"/>
  <c r="K127" i="11"/>
  <c r="J127" i="11"/>
  <c r="I127" i="11"/>
  <c r="H127" i="11"/>
  <c r="C51" i="29" l="1"/>
  <c r="C58" i="29" s="1"/>
  <c r="C50" i="29"/>
  <c r="C48" i="29"/>
  <c r="C109" i="26"/>
  <c r="C102" i="26"/>
  <c r="A282" i="20" l="1"/>
  <c r="A692" i="18" s="1"/>
  <c r="A283" i="20" l="1"/>
  <c r="A693" i="18" s="1"/>
  <c r="B7" i="18" l="1"/>
  <c r="D131" i="17" l="1"/>
  <c r="AH6" i="17" a="1"/>
  <c r="AH6" i="17" s="1"/>
  <c r="N124" i="17"/>
  <c r="F25" i="18" l="1"/>
  <c r="S132" i="17" l="1"/>
  <c r="N138" i="17" l="1"/>
  <c r="A249" i="20"/>
  <c r="A240" i="20"/>
  <c r="A230" i="20" l="1"/>
  <c r="BL51" i="17" s="1"/>
  <c r="V4" i="17"/>
  <c r="V5" i="17"/>
  <c r="O7" i="17"/>
  <c r="W8" i="17"/>
  <c r="W7" i="17"/>
  <c r="W4" i="17"/>
  <c r="C331" i="19"/>
  <c r="C332" i="19" s="1"/>
  <c r="C333" i="19" s="1"/>
  <c r="C334" i="19" s="1"/>
  <c r="C335" i="19" s="1"/>
  <c r="C336" i="19" s="1"/>
  <c r="C337" i="19" s="1"/>
  <c r="C338" i="19" s="1"/>
  <c r="C339" i="19" s="1"/>
  <c r="C340" i="19" s="1"/>
  <c r="C341" i="19" s="1"/>
  <c r="C342" i="19" s="1"/>
  <c r="C343" i="19" s="1"/>
  <c r="C344" i="19" s="1"/>
  <c r="AM233" i="19"/>
  <c r="AM138" i="19"/>
  <c r="C103" i="19"/>
  <c r="C102" i="19"/>
  <c r="C98" i="19"/>
  <c r="C97" i="19"/>
  <c r="C96" i="19"/>
  <c r="C82" i="19" a="1"/>
  <c r="C82" i="19" s="1"/>
  <c r="D82" i="19" s="1"/>
  <c r="D81" i="19"/>
  <c r="D80" i="19"/>
  <c r="C79" i="19"/>
  <c r="D79" i="19" s="1"/>
  <c r="C78" i="19"/>
  <c r="D77" i="19"/>
  <c r="D76" i="19"/>
  <c r="D75" i="19"/>
  <c r="D74" i="19"/>
  <c r="D64" i="19"/>
  <c r="C64" i="19"/>
  <c r="D63" i="19"/>
  <c r="C63" i="19"/>
  <c r="D58" i="19"/>
  <c r="C58" i="19"/>
  <c r="C42" i="19"/>
  <c r="C41" i="19"/>
  <c r="C37" i="19"/>
  <c r="U25" i="19" s="1"/>
  <c r="C25" i="19"/>
  <c r="O24" i="19"/>
  <c r="C24" i="19"/>
  <c r="AF21" i="19"/>
  <c r="C20" i="19"/>
  <c r="C16" i="19"/>
  <c r="C15" i="19"/>
  <c r="C14" i="19"/>
  <c r="C13" i="19"/>
  <c r="A369" i="19" s="1"/>
  <c r="AS5" i="19"/>
  <c r="AR5" i="19"/>
  <c r="U5" i="19"/>
  <c r="T5" i="19"/>
  <c r="CA2" i="17"/>
  <c r="D69" i="19"/>
  <c r="C69" i="19"/>
  <c r="D67" i="19"/>
  <c r="C67" i="19"/>
  <c r="C70" i="19" l="1"/>
  <c r="U26" i="19"/>
  <c r="C86" i="19"/>
  <c r="D86" i="19" s="1"/>
  <c r="C104" i="19"/>
  <c r="AM132" i="19" s="1"/>
  <c r="A212" i="19"/>
  <c r="C212" i="19" s="1"/>
  <c r="A136" i="19"/>
  <c r="C136" i="19" s="1"/>
  <c r="A56" i="19"/>
  <c r="A213" i="19"/>
  <c r="C213" i="19" s="1"/>
  <c r="AM135" i="19"/>
  <c r="A74" i="19"/>
  <c r="AF40" i="19"/>
  <c r="A214" i="19"/>
  <c r="C214" i="19" s="1"/>
  <c r="A135" i="19"/>
  <c r="C135" i="19" s="1"/>
  <c r="A137" i="19"/>
  <c r="C137" i="19" s="1"/>
  <c r="C23" i="19"/>
  <c r="D56" i="19"/>
  <c r="A231" i="19" s="1"/>
  <c r="C231" i="19" s="1"/>
  <c r="A55" i="19"/>
  <c r="AI5" i="19"/>
  <c r="D78" i="19"/>
  <c r="AF38" i="19"/>
  <c r="AF39" i="19" s="1"/>
  <c r="E217" i="19"/>
  <c r="A216" i="19"/>
  <c r="B215" i="19"/>
  <c r="C217" i="19"/>
  <c r="B216" i="19"/>
  <c r="E134" i="19"/>
  <c r="A133" i="19"/>
  <c r="C132" i="19"/>
  <c r="AF29" i="19"/>
  <c r="A217" i="19"/>
  <c r="C216" i="19"/>
  <c r="E215" i="19"/>
  <c r="E216" i="19"/>
  <c r="A215" i="19"/>
  <c r="A134" i="19"/>
  <c r="E133" i="19"/>
  <c r="E132" i="19"/>
  <c r="AG5" i="19"/>
  <c r="C134" i="19"/>
  <c r="A132" i="19"/>
  <c r="AF5" i="19"/>
  <c r="B134" i="19"/>
  <c r="C133" i="19"/>
  <c r="AE5" i="19"/>
  <c r="C215" i="19"/>
  <c r="B133" i="19"/>
  <c r="AH5" i="19"/>
  <c r="B351" i="19"/>
  <c r="AE2" i="19"/>
  <c r="N2" i="19"/>
  <c r="C357" i="19"/>
  <c r="C21" i="19"/>
  <c r="O25" i="19"/>
  <c r="AF25" i="19"/>
  <c r="B132" i="19"/>
  <c r="B217" i="19"/>
  <c r="C358" i="19"/>
  <c r="AL25" i="19"/>
  <c r="AL26" i="19" s="1"/>
  <c r="C38" i="19"/>
  <c r="D70" i="19"/>
  <c r="C39" i="19"/>
  <c r="AY5" i="19" s="1"/>
  <c r="E351" i="19"/>
  <c r="A278" i="20"/>
  <c r="U129" i="17" s="1"/>
  <c r="A279" i="20"/>
  <c r="Y128" i="17" s="1"/>
  <c r="A280" i="20"/>
  <c r="AC129" i="17" s="1"/>
  <c r="A281" i="20"/>
  <c r="AC130" i="17" s="1"/>
  <c r="S128" i="17"/>
  <c r="T128" i="17" s="1"/>
  <c r="S129" i="17"/>
  <c r="T129" i="17" s="1"/>
  <c r="C87" i="19" l="1"/>
  <c r="D87" i="19" s="1"/>
  <c r="A307" i="19"/>
  <c r="C307" i="19" s="1"/>
  <c r="AE307" i="19" s="1"/>
  <c r="A308" i="19"/>
  <c r="C308" i="19" s="1"/>
  <c r="AE308" i="19" s="1"/>
  <c r="AE132" i="19"/>
  <c r="AE217" i="19"/>
  <c r="AE135" i="19"/>
  <c r="AG135" i="19"/>
  <c r="AG136" i="19"/>
  <c r="AE136" i="19"/>
  <c r="AE133" i="19"/>
  <c r="AE134" i="19"/>
  <c r="AE216" i="19"/>
  <c r="AE231" i="19"/>
  <c r="AG231" i="19"/>
  <c r="AL40" i="19"/>
  <c r="AM230" i="19"/>
  <c r="C40" i="19"/>
  <c r="AZ5" i="19" s="1"/>
  <c r="AL38" i="19"/>
  <c r="AL39" i="19" s="1"/>
  <c r="AE214" i="19"/>
  <c r="AG214" i="19"/>
  <c r="AE212" i="19"/>
  <c r="AE215" i="19"/>
  <c r="A230" i="19"/>
  <c r="C230" i="19" s="1"/>
  <c r="A309" i="19"/>
  <c r="C309" i="19" s="1"/>
  <c r="AG213" i="19"/>
  <c r="AE213" i="19"/>
  <c r="C83" i="19"/>
  <c r="O22" i="19"/>
  <c r="O21" i="19"/>
  <c r="AF22" i="19"/>
  <c r="A232" i="19"/>
  <c r="C232" i="19" s="1"/>
  <c r="AE137" i="19"/>
  <c r="U130" i="17"/>
  <c r="AC128" i="17"/>
  <c r="Y129" i="17"/>
  <c r="U128" i="17"/>
  <c r="Y130" i="17"/>
  <c r="A167" i="17"/>
  <c r="AG308" i="19" l="1"/>
  <c r="O23" i="19"/>
  <c r="O26" i="19" s="1"/>
  <c r="AE232" i="19"/>
  <c r="D83" i="19"/>
  <c r="C84" i="19"/>
  <c r="AE230" i="19"/>
  <c r="AG230" i="19"/>
  <c r="AL214" i="19"/>
  <c r="AF214" i="19"/>
  <c r="AI214" i="19" s="1"/>
  <c r="AH214" i="19"/>
  <c r="AK214" i="19"/>
  <c r="AH134" i="19"/>
  <c r="AF134" i="19"/>
  <c r="AI134" i="19"/>
  <c r="AH217" i="19"/>
  <c r="AI217" i="19"/>
  <c r="AF217" i="19"/>
  <c r="AK213" i="19"/>
  <c r="AF213" i="19"/>
  <c r="AI213" i="19" s="1"/>
  <c r="AL213" i="19"/>
  <c r="AH213" i="19"/>
  <c r="AL212" i="19"/>
  <c r="AH212" i="19"/>
  <c r="AD224" i="19"/>
  <c r="AF212" i="19"/>
  <c r="AK212" i="19"/>
  <c r="AH231" i="19"/>
  <c r="AK231" i="19"/>
  <c r="AF231" i="19"/>
  <c r="AI231" i="19" s="1"/>
  <c r="AL231" i="19"/>
  <c r="AK135" i="19"/>
  <c r="AF135" i="19"/>
  <c r="AI135" i="19" s="1"/>
  <c r="AL135" i="19"/>
  <c r="AH135" i="19"/>
  <c r="AK137" i="19"/>
  <c r="AF137" i="19"/>
  <c r="AH137" i="19"/>
  <c r="AL137" i="19"/>
  <c r="AF215" i="19"/>
  <c r="AI215" i="19"/>
  <c r="AE224" i="19"/>
  <c r="AH215" i="19"/>
  <c r="AG215" i="19" s="1"/>
  <c r="AL136" i="19"/>
  <c r="AK136" i="19"/>
  <c r="AH136" i="19"/>
  <c r="AF136" i="19"/>
  <c r="AI136" i="19" s="1"/>
  <c r="AI132" i="19"/>
  <c r="AH132" i="19"/>
  <c r="AG132" i="19" s="1"/>
  <c r="AF132" i="19"/>
  <c r="AG309" i="19"/>
  <c r="AE309" i="19"/>
  <c r="AL308" i="19"/>
  <c r="AF308" i="19"/>
  <c r="AI308" i="19" s="1"/>
  <c r="AH308" i="19"/>
  <c r="AK308" i="19"/>
  <c r="AI216" i="19"/>
  <c r="AF216" i="19"/>
  <c r="AH216" i="19"/>
  <c r="AI133" i="19"/>
  <c r="AF133" i="19"/>
  <c r="AH133" i="19"/>
  <c r="AG133" i="19" s="1"/>
  <c r="AK307" i="19"/>
  <c r="AF307" i="19"/>
  <c r="AL307" i="19"/>
  <c r="AH307" i="19"/>
  <c r="S130" i="17"/>
  <c r="T130" i="17" s="1"/>
  <c r="AM138" i="4"/>
  <c r="C64" i="4"/>
  <c r="AG134" i="19" l="1"/>
  <c r="D84" i="19"/>
  <c r="C85" i="19"/>
  <c r="AH309" i="19"/>
  <c r="AL309" i="19"/>
  <c r="AK309" i="19"/>
  <c r="AF309" i="19"/>
  <c r="AI309" i="19" s="1"/>
  <c r="AG217" i="19"/>
  <c r="AL232" i="19"/>
  <c r="AF232" i="19"/>
  <c r="AK232" i="19"/>
  <c r="AH232" i="19"/>
  <c r="AE316" i="19"/>
  <c r="AG216" i="19"/>
  <c r="AI224" i="19"/>
  <c r="AF20" i="19" s="1"/>
  <c r="AK230" i="19"/>
  <c r="AF230" i="19"/>
  <c r="AI230" i="19" s="1"/>
  <c r="AH230" i="19"/>
  <c r="AL230" i="19"/>
  <c r="D64" i="4"/>
  <c r="D63" i="4"/>
  <c r="C63" i="4"/>
  <c r="AF30" i="19" l="1"/>
  <c r="AF47" i="19" s="1"/>
  <c r="AF24" i="19"/>
  <c r="AF23" i="19"/>
  <c r="D85" i="19"/>
  <c r="C88" i="19"/>
  <c r="D88" i="19" s="1"/>
  <c r="A277" i="20"/>
  <c r="A291" i="18" s="1"/>
  <c r="A238" i="20"/>
  <c r="A123" i="17" s="1"/>
  <c r="C103" i="4"/>
  <c r="A271" i="20"/>
  <c r="AF26" i="19" l="1"/>
  <c r="AF46" i="19" s="1"/>
  <c r="AF48" i="19" s="1"/>
  <c r="A226" i="17"/>
  <c r="A269" i="20"/>
  <c r="A192" i="17" s="1"/>
  <c r="A270" i="20"/>
  <c r="A193" i="17" s="1"/>
  <c r="A268" i="20"/>
  <c r="A189" i="17" s="1"/>
  <c r="A263" i="20"/>
  <c r="A287" i="18" s="1"/>
  <c r="A267" i="20"/>
  <c r="A634" i="18" s="1"/>
  <c r="A265" i="20"/>
  <c r="A266" i="20"/>
  <c r="A273" i="20"/>
  <c r="A274" i="20"/>
  <c r="A264" i="20"/>
  <c r="A283" i="18" s="1"/>
  <c r="AI137" i="19" l="1"/>
  <c r="AG137" i="19" s="1"/>
  <c r="AI212" i="19"/>
  <c r="AG212" i="19" s="1"/>
  <c r="A270" i="18"/>
  <c r="N237" i="17"/>
  <c r="M237" i="17"/>
  <c r="L237" i="17"/>
  <c r="Q237" i="17" s="1"/>
  <c r="M238" i="17"/>
  <c r="F57" i="17"/>
  <c r="A261" i="20"/>
  <c r="A223" i="17" s="1"/>
  <c r="A262" i="20"/>
  <c r="A224" i="17" s="1"/>
  <c r="EX19" i="17"/>
  <c r="EV19" i="17"/>
  <c r="AH224" i="19" l="1"/>
  <c r="AF50" i="19" s="1"/>
  <c r="AI307" i="19"/>
  <c r="AG307" i="19" s="1"/>
  <c r="AI232" i="19"/>
  <c r="AG232" i="19" s="1"/>
  <c r="Q238" i="17"/>
  <c r="Q239" i="17"/>
  <c r="AH316" i="19" l="1"/>
  <c r="AL50" i="19" s="1"/>
  <c r="AB131" i="17"/>
  <c r="AA131" i="17"/>
  <c r="W132" i="17"/>
  <c r="X132" i="17"/>
  <c r="X131" i="17"/>
  <c r="W131" i="17"/>
  <c r="T131" i="17"/>
  <c r="S131" i="17"/>
  <c r="S125" i="17"/>
  <c r="S126" i="17"/>
  <c r="T126" i="17"/>
  <c r="S127" i="17"/>
  <c r="T127" i="17"/>
  <c r="A260" i="20"/>
  <c r="L125" i="17"/>
  <c r="AB127" i="17"/>
  <c r="AB126" i="17"/>
  <c r="AA127" i="17"/>
  <c r="AA126" i="17"/>
  <c r="X126" i="17"/>
  <c r="X127" i="17"/>
  <c r="W127" i="17"/>
  <c r="W128" i="17"/>
  <c r="W129" i="17"/>
  <c r="W130" i="17"/>
  <c r="W126" i="17"/>
  <c r="O125" i="17"/>
  <c r="N143" i="17"/>
  <c r="N142" i="17"/>
  <c r="N140" i="17"/>
  <c r="N141" i="17"/>
  <c r="N139" i="17"/>
  <c r="A259" i="20" l="1"/>
  <c r="E513" i="18" s="1"/>
  <c r="A257" i="20"/>
  <c r="A438" i="18" s="1"/>
  <c r="A258" i="20"/>
  <c r="E509" i="18" s="1"/>
  <c r="C520" i="18"/>
  <c r="L520" i="18"/>
  <c r="N520" i="18"/>
  <c r="A256" i="20"/>
  <c r="A255" i="20"/>
  <c r="E468" i="18" l="1"/>
  <c r="A253" i="20"/>
  <c r="E497" i="18" s="1"/>
  <c r="A254" i="20"/>
  <c r="P486" i="18"/>
  <c r="N486" i="18"/>
  <c r="L486" i="18"/>
  <c r="T446" i="18"/>
  <c r="R446" i="18"/>
  <c r="K446" i="18"/>
  <c r="K445" i="18"/>
  <c r="K444" i="18"/>
  <c r="E503" i="18" l="1"/>
  <c r="E462" i="18"/>
  <c r="N513" i="18"/>
  <c r="N509" i="18"/>
  <c r="N468" i="18" l="1"/>
  <c r="AO25" i="11" l="1"/>
  <c r="AP25" i="11"/>
  <c r="AQ25" i="11"/>
  <c r="AR25" i="11"/>
  <c r="AS25" i="11"/>
  <c r="AT25" i="11"/>
  <c r="AN25" i="11"/>
  <c r="AQ25" i="17" s="1"/>
  <c r="FF10" i="17" s="1"/>
  <c r="FF9" i="17" s="1"/>
  <c r="AH25" i="11"/>
  <c r="AI25" i="11"/>
  <c r="AJ25" i="11"/>
  <c r="AK25" i="11"/>
  <c r="AG25" i="11"/>
  <c r="A252" i="20"/>
  <c r="E660" i="18" s="1"/>
  <c r="A276" i="20"/>
  <c r="A275" i="20"/>
  <c r="C280" i="18"/>
  <c r="C660" i="18"/>
  <c r="C661" i="18"/>
  <c r="C659" i="18"/>
  <c r="FF24" i="17"/>
  <c r="C288" i="18" s="1"/>
  <c r="FF23" i="17"/>
  <c r="C287" i="18" s="1"/>
  <c r="FF7" i="17"/>
  <c r="AQ6" i="17"/>
  <c r="AQ7" i="17"/>
  <c r="AQ8" i="17"/>
  <c r="AQ9" i="17"/>
  <c r="AQ10" i="17"/>
  <c r="AQ11" i="17"/>
  <c r="AQ12" i="17"/>
  <c r="AQ13" i="17"/>
  <c r="AQ14" i="17"/>
  <c r="AQ15" i="17"/>
  <c r="AQ16" i="17"/>
  <c r="AQ17" i="17"/>
  <c r="AQ18" i="17"/>
  <c r="AQ19" i="17"/>
  <c r="AQ20" i="17"/>
  <c r="AQ21" i="17"/>
  <c r="AQ22" i="17"/>
  <c r="AQ23" i="17"/>
  <c r="AQ24" i="17"/>
  <c r="FF12" i="17" s="1"/>
  <c r="AP6" i="17"/>
  <c r="AP7" i="17"/>
  <c r="AP8" i="17"/>
  <c r="AP9" i="17"/>
  <c r="AP10" i="17"/>
  <c r="AP11" i="17"/>
  <c r="AP12" i="17"/>
  <c r="AP13" i="17"/>
  <c r="AP14" i="17"/>
  <c r="AP15" i="17"/>
  <c r="AP16" i="17"/>
  <c r="AP17" i="17"/>
  <c r="AP18" i="17"/>
  <c r="AP19" i="17"/>
  <c r="AP20" i="17"/>
  <c r="AP21" i="17"/>
  <c r="AP22" i="17"/>
  <c r="AP23" i="17"/>
  <c r="AP24" i="17"/>
  <c r="AP25" i="17"/>
  <c r="C274" i="18" l="1"/>
  <c r="C277" i="18"/>
  <c r="C276" i="18"/>
  <c r="S25" i="11"/>
  <c r="T25" i="11"/>
  <c r="U25" i="11"/>
  <c r="V25" i="11"/>
  <c r="W25" i="11"/>
  <c r="X25" i="11"/>
  <c r="Y25" i="11"/>
  <c r="Z25" i="11"/>
  <c r="AA25" i="11"/>
  <c r="AB25" i="11"/>
  <c r="AC25" i="11"/>
  <c r="AD25" i="11"/>
  <c r="R25" i="11"/>
  <c r="K25" i="11"/>
  <c r="L25" i="11"/>
  <c r="M25" i="11"/>
  <c r="N25" i="11"/>
  <c r="O25" i="11"/>
  <c r="P25" i="11"/>
  <c r="J25" i="11"/>
  <c r="C279" i="18"/>
  <c r="C102" i="4" l="1"/>
  <c r="C98" i="4"/>
  <c r="C97" i="4"/>
  <c r="C96" i="4"/>
  <c r="D69" i="4"/>
  <c r="C69" i="4"/>
  <c r="D67" i="4"/>
  <c r="C67" i="4"/>
  <c r="C131" i="17"/>
  <c r="A247" i="20"/>
  <c r="A248" i="20"/>
  <c r="A132" i="17" s="1"/>
  <c r="A250" i="20"/>
  <c r="A166" i="17" s="1"/>
  <c r="A251" i="20"/>
  <c r="A258" i="17" s="1"/>
  <c r="A272" i="20"/>
  <c r="D58" i="4"/>
  <c r="C58" i="4"/>
  <c r="C654" i="18"/>
  <c r="C655" i="18"/>
  <c r="C656" i="18"/>
  <c r="C657" i="18"/>
  <c r="C653" i="18"/>
  <c r="C643" i="18"/>
  <c r="D643" i="18"/>
  <c r="D644" i="18"/>
  <c r="D645" i="18"/>
  <c r="D646" i="18"/>
  <c r="D647" i="18"/>
  <c r="C644" i="18"/>
  <c r="C645" i="18"/>
  <c r="C646" i="18"/>
  <c r="C647" i="18"/>
  <c r="C639" i="18"/>
  <c r="A640" i="18"/>
  <c r="B640" i="18"/>
  <c r="D642" i="18"/>
  <c r="C649" i="18"/>
  <c r="D653" i="18"/>
  <c r="D654" i="18"/>
  <c r="D655" i="18"/>
  <c r="D656" i="18"/>
  <c r="D657" i="18"/>
  <c r="A239" i="20"/>
  <c r="A241" i="20"/>
  <c r="A160" i="17" s="1"/>
  <c r="A652" i="18" s="1"/>
  <c r="A242" i="20"/>
  <c r="A243" i="20"/>
  <c r="A165" i="17" s="1"/>
  <c r="A244" i="20"/>
  <c r="A222" i="17" s="1"/>
  <c r="A245" i="20"/>
  <c r="A246" i="20"/>
  <c r="A225" i="20"/>
  <c r="A121" i="17" s="1"/>
  <c r="A638" i="18" s="1"/>
  <c r="A226" i="20"/>
  <c r="A122" i="17" s="1"/>
  <c r="A639" i="18" s="1"/>
  <c r="A227" i="20"/>
  <c r="BL48" i="17" s="1"/>
  <c r="A228" i="20"/>
  <c r="BL49" i="17" s="1"/>
  <c r="A229" i="20"/>
  <c r="BL50" i="17" s="1"/>
  <c r="A231" i="20"/>
  <c r="BL52" i="17" s="1"/>
  <c r="A232" i="20"/>
  <c r="A162" i="17" s="1"/>
  <c r="A654" i="18" s="1"/>
  <c r="A233" i="20"/>
  <c r="A129" i="17" s="1"/>
  <c r="A234" i="20"/>
  <c r="A163" i="17" s="1"/>
  <c r="A655" i="18" s="1"/>
  <c r="A235" i="20"/>
  <c r="A130" i="17" s="1"/>
  <c r="A647" i="18" s="1"/>
  <c r="A236" i="20"/>
  <c r="A157" i="17" s="1"/>
  <c r="A649" i="18" s="1"/>
  <c r="A237" i="20"/>
  <c r="A158" i="17" s="1"/>
  <c r="A650" i="18" s="1"/>
  <c r="A224" i="20"/>
  <c r="AA128" i="17"/>
  <c r="AB128" i="17"/>
  <c r="X128" i="17"/>
  <c r="W125" i="17"/>
  <c r="C25" i="4"/>
  <c r="C24" i="4"/>
  <c r="AM233" i="4"/>
  <c r="D75" i="4"/>
  <c r="D76" i="4"/>
  <c r="D77" i="4"/>
  <c r="D80" i="4"/>
  <c r="D81" i="4"/>
  <c r="D74" i="4"/>
  <c r="B650" i="18" l="1"/>
  <c r="V124" i="17"/>
  <c r="R124" i="17"/>
  <c r="Z124" i="17"/>
  <c r="A659" i="18"/>
  <c r="A190" i="17"/>
  <c r="A663" i="18"/>
  <c r="A661" i="18"/>
  <c r="A657" i="18"/>
  <c r="A689" i="18"/>
  <c r="C70" i="4"/>
  <c r="A128" i="17"/>
  <c r="A645" i="18" s="1"/>
  <c r="A127" i="17"/>
  <c r="A644" i="18" s="1"/>
  <c r="A646" i="18"/>
  <c r="A164" i="17"/>
  <c r="A656" i="18" s="1"/>
  <c r="C132" i="17"/>
  <c r="C62" i="19" s="1"/>
  <c r="Q128" i="17" l="1"/>
  <c r="A133" i="17"/>
  <c r="A125" i="17"/>
  <c r="A642" i="18" s="1"/>
  <c r="Q129" i="17"/>
  <c r="O128" i="17"/>
  <c r="L128" i="17" s="1"/>
  <c r="Q130" i="17"/>
  <c r="P128" i="17"/>
  <c r="M128" i="17" s="1"/>
  <c r="P129" i="17"/>
  <c r="M129" i="17" s="1"/>
  <c r="O131" i="17"/>
  <c r="O127" i="17"/>
  <c r="P132" i="17"/>
  <c r="P127" i="17"/>
  <c r="O132" i="17"/>
  <c r="L132" i="17" s="1"/>
  <c r="O130" i="17"/>
  <c r="L130" i="17" s="1"/>
  <c r="O126" i="17"/>
  <c r="P130" i="17"/>
  <c r="M130" i="17" s="1"/>
  <c r="O129" i="17"/>
  <c r="L129" i="17" s="1"/>
  <c r="P126" i="17"/>
  <c r="P131" i="17"/>
  <c r="D132" i="17"/>
  <c r="D62" i="19" s="1"/>
  <c r="O139" i="17"/>
  <c r="M139" i="17" s="1"/>
  <c r="O138" i="17"/>
  <c r="M138" i="17" s="1"/>
  <c r="O143" i="17"/>
  <c r="M143" i="17" s="1"/>
  <c r="O142" i="17"/>
  <c r="M142" i="17" s="1"/>
  <c r="O140" i="17"/>
  <c r="M140" i="17" s="1"/>
  <c r="O141" i="17"/>
  <c r="M141" i="17" s="1"/>
  <c r="C82" i="4" a="1"/>
  <c r="C82" i="4" s="1"/>
  <c r="D82" i="4" s="1"/>
  <c r="F128" i="17" l="1"/>
  <c r="M144" i="17"/>
  <c r="F130" i="17"/>
  <c r="F129" i="17"/>
  <c r="M132" i="17"/>
  <c r="C62" i="4"/>
  <c r="D62" i="4"/>
  <c r="D94" i="18" l="1"/>
  <c r="F94" i="18"/>
  <c r="D96" i="18"/>
  <c r="BY2" i="17"/>
  <c r="BU64" i="17"/>
  <c r="BU63" i="17"/>
  <c r="BU61" i="17"/>
  <c r="BU60" i="17"/>
  <c r="BU59" i="17"/>
  <c r="BU58" i="17"/>
  <c r="BU55" i="17"/>
  <c r="BU54" i="17"/>
  <c r="BU53" i="17"/>
  <c r="BU50" i="17"/>
  <c r="BU49" i="17"/>
  <c r="BU47" i="17"/>
  <c r="BU46" i="17"/>
  <c r="BU45" i="17"/>
  <c r="BU44" i="17"/>
  <c r="BU41" i="17"/>
  <c r="BU40" i="17"/>
  <c r="BU39" i="17"/>
  <c r="C37" i="4" l="1"/>
  <c r="AL25" i="4" s="1"/>
  <c r="C42" i="4" l="1"/>
  <c r="C41" i="4"/>
  <c r="C20" i="4"/>
  <c r="C21" i="4" s="1"/>
  <c r="AF25" i="4" l="1"/>
  <c r="O25" i="4"/>
  <c r="C16" i="4" l="1"/>
  <c r="C15" i="4"/>
  <c r="C14" i="4"/>
  <c r="C13" i="4"/>
  <c r="FA7" i="17" l="1"/>
  <c r="C39" i="4"/>
  <c r="F25" i="17" s="1"/>
  <c r="C104" i="4"/>
  <c r="AM132" i="4" s="1"/>
  <c r="A369" i="4"/>
  <c r="C357" i="4"/>
  <c r="C331" i="4"/>
  <c r="C332" i="4" s="1"/>
  <c r="C333" i="4" s="1"/>
  <c r="C334" i="4" s="1"/>
  <c r="C335" i="4" s="1"/>
  <c r="C336" i="4" s="1"/>
  <c r="C337" i="4" s="1"/>
  <c r="C338" i="4" s="1"/>
  <c r="C339" i="4" s="1"/>
  <c r="C79" i="4"/>
  <c r="D79" i="4" s="1"/>
  <c r="C78" i="4"/>
  <c r="D78" i="4" s="1"/>
  <c r="O24" i="4"/>
  <c r="AF21" i="4"/>
  <c r="AE2" i="4"/>
  <c r="AS5" i="4"/>
  <c r="AR5" i="4"/>
  <c r="U5" i="4"/>
  <c r="T5" i="4"/>
  <c r="O21" i="4" l="1"/>
  <c r="C86" i="4"/>
  <c r="AY5" i="4"/>
  <c r="AF22" i="4"/>
  <c r="C358" i="4"/>
  <c r="U25" i="4"/>
  <c r="AL26" i="4"/>
  <c r="C38" i="4"/>
  <c r="O22" i="4"/>
  <c r="N2" i="4"/>
  <c r="E351" i="4"/>
  <c r="B351" i="4"/>
  <c r="C340" i="4"/>
  <c r="C341" i="4" s="1"/>
  <c r="C342" i="4" s="1"/>
  <c r="C343" i="4" s="1"/>
  <c r="C344" i="4" s="1"/>
  <c r="U26" i="4" l="1"/>
  <c r="O23" i="4"/>
  <c r="O26" i="4" s="1"/>
  <c r="D70" i="4"/>
  <c r="C83" i="4"/>
  <c r="D86" i="4"/>
  <c r="C87" i="4"/>
  <c r="D87" i="4" s="1"/>
  <c r="D83" i="4" l="1"/>
  <c r="C84" i="4"/>
  <c r="D84" i="4" l="1"/>
  <c r="C85" i="4"/>
  <c r="C88" i="4" l="1"/>
  <c r="D88" i="4" s="1"/>
  <c r="D85" i="4"/>
  <c r="A223" i="20" l="1"/>
  <c r="BP16" i="17" s="1"/>
  <c r="A222" i="20"/>
  <c r="BP15" i="17" s="1"/>
  <c r="CJ64" i="17" l="1"/>
  <c r="CJ63" i="17"/>
  <c r="CJ61" i="17"/>
  <c r="CJ60" i="17"/>
  <c r="CJ59" i="17"/>
  <c r="CC57" i="17"/>
  <c r="CC64" i="17"/>
  <c r="CC63" i="17"/>
  <c r="CJ62" i="17"/>
  <c r="CC61" i="17"/>
  <c r="CC60" i="17"/>
  <c r="CC59" i="17"/>
  <c r="CJ55" i="17"/>
  <c r="CJ54" i="17"/>
  <c r="CJ53" i="17"/>
  <c r="CJ51" i="17"/>
  <c r="CJ58" i="17"/>
  <c r="CC55" i="17"/>
  <c r="CC51" i="17"/>
  <c r="CJ56" i="17"/>
  <c r="CC53" i="17"/>
  <c r="CJ52" i="17"/>
  <c r="CC54" i="17"/>
  <c r="CC52" i="17"/>
  <c r="CC62" i="17"/>
  <c r="CC58" i="17"/>
  <c r="CJ57" i="17"/>
  <c r="CC56" i="17"/>
  <c r="CC50" i="17"/>
  <c r="CJ49" i="17"/>
  <c r="CJ47" i="17"/>
  <c r="CJ46" i="17"/>
  <c r="CC44" i="17"/>
  <c r="CJ43" i="17"/>
  <c r="CC42" i="17"/>
  <c r="CC49" i="17"/>
  <c r="CJ48" i="17"/>
  <c r="CC47" i="17"/>
  <c r="CC46" i="17"/>
  <c r="CJ45" i="17"/>
  <c r="CC43" i="17"/>
  <c r="CJ40" i="17"/>
  <c r="CC39" i="17"/>
  <c r="CC37" i="17"/>
  <c r="CC45" i="17"/>
  <c r="CJ50" i="17"/>
  <c r="CC48" i="17"/>
  <c r="CJ44" i="17"/>
  <c r="CJ41" i="17"/>
  <c r="CC40" i="17"/>
  <c r="CJ39" i="17"/>
  <c r="CJ37" i="17"/>
  <c r="CC41" i="17"/>
  <c r="CJ38" i="17"/>
  <c r="CJ42" i="17"/>
  <c r="CC38" i="17"/>
  <c r="CJ16" i="17"/>
  <c r="CJ8" i="17"/>
  <c r="CC12" i="17"/>
  <c r="CJ12" i="17"/>
  <c r="CJ15" i="17"/>
  <c r="CJ7" i="17"/>
  <c r="CC11" i="17"/>
  <c r="CC16" i="17"/>
  <c r="CC13" i="17"/>
  <c r="CJ14" i="17"/>
  <c r="CJ6" i="17"/>
  <c r="CC18" i="17"/>
  <c r="CC10" i="17"/>
  <c r="CC8" i="17"/>
  <c r="CJ13" i="17"/>
  <c r="CJ5" i="17"/>
  <c r="CC17" i="17"/>
  <c r="CC9" i="17"/>
  <c r="CJ11" i="17"/>
  <c r="CC15" i="17"/>
  <c r="CC7" i="17"/>
  <c r="CJ17" i="17"/>
  <c r="CJ9" i="17"/>
  <c r="CC5" i="17"/>
  <c r="CJ18" i="17"/>
  <c r="CJ10" i="17"/>
  <c r="CC14" i="17"/>
  <c r="CC6" i="17"/>
  <c r="CJ32" i="17"/>
  <c r="CJ24" i="17"/>
  <c r="CC28" i="17"/>
  <c r="CC20" i="17"/>
  <c r="CC21" i="17"/>
  <c r="CJ31" i="17"/>
  <c r="CJ23" i="17"/>
  <c r="CC27" i="17"/>
  <c r="CC19" i="17"/>
  <c r="CC24" i="17"/>
  <c r="CJ30" i="17"/>
  <c r="CJ22" i="17"/>
  <c r="CC26" i="17"/>
  <c r="CC32" i="17"/>
  <c r="CJ29" i="17"/>
  <c r="CJ21" i="17"/>
  <c r="CC25" i="17"/>
  <c r="CJ20" i="17"/>
  <c r="CJ28" i="17"/>
  <c r="CJ27" i="17"/>
  <c r="CJ19" i="17"/>
  <c r="CC31" i="17"/>
  <c r="CC23" i="17"/>
  <c r="CJ25" i="17"/>
  <c r="CC29" i="17"/>
  <c r="CJ26" i="17"/>
  <c r="CC30" i="17"/>
  <c r="CC22" i="17"/>
  <c r="FC6" i="17" l="1"/>
  <c r="FA6" i="17"/>
  <c r="FC5" i="17"/>
  <c r="FA5" i="17"/>
  <c r="EX6" i="17"/>
  <c r="EX5" i="17"/>
  <c r="EV6" i="17"/>
  <c r="EV5" i="17"/>
  <c r="FA12" i="17"/>
  <c r="EV12" i="17"/>
  <c r="A36" i="20"/>
  <c r="C670" i="18"/>
  <c r="A35" i="20"/>
  <c r="A30" i="17" l="1"/>
  <c r="A131" i="17"/>
  <c r="A669" i="18"/>
  <c r="A172" i="20"/>
  <c r="A672" i="18" s="1"/>
  <c r="A171" i="20"/>
  <c r="A671" i="18" s="1"/>
  <c r="BU32" i="17" l="1"/>
  <c r="BU31" i="17"/>
  <c r="BU30" i="17"/>
  <c r="BU29" i="17"/>
  <c r="BU28" i="17"/>
  <c r="BU27" i="17"/>
  <c r="BU26" i="17"/>
  <c r="BU25" i="17"/>
  <c r="BU24" i="17"/>
  <c r="BU23" i="17"/>
  <c r="BU22" i="17"/>
  <c r="BU21" i="17"/>
  <c r="BU20" i="17"/>
  <c r="BU19" i="17"/>
  <c r="BU18" i="17"/>
  <c r="BU17" i="17"/>
  <c r="BU16" i="17"/>
  <c r="BU15" i="17"/>
  <c r="BU14" i="17"/>
  <c r="BU13" i="17"/>
  <c r="BU12" i="17"/>
  <c r="BU11" i="17"/>
  <c r="BU10" i="17"/>
  <c r="BU9" i="17"/>
  <c r="BU8" i="17"/>
  <c r="BU7" i="17"/>
  <c r="BU6" i="17"/>
  <c r="BU5" i="17"/>
  <c r="BZ9" i="17" l="1"/>
  <c r="BZ41" i="17"/>
  <c r="BZ53" i="17"/>
  <c r="CU53" i="17" s="1"/>
  <c r="EK53" i="17" s="1"/>
  <c r="BZ21" i="17"/>
  <c r="BZ54" i="17"/>
  <c r="BZ22" i="17"/>
  <c r="BZ38" i="17"/>
  <c r="CU38" i="17" s="1"/>
  <c r="EK38" i="17" s="1"/>
  <c r="BZ6" i="17"/>
  <c r="BZ55" i="17"/>
  <c r="BZ23" i="17"/>
  <c r="BZ39" i="17"/>
  <c r="CU39" i="17" s="1"/>
  <c r="EK39" i="17" s="1"/>
  <c r="BZ7" i="17"/>
  <c r="BZ8" i="17"/>
  <c r="BZ40" i="17"/>
  <c r="CU40" i="17" s="1"/>
  <c r="EK40" i="17" s="1"/>
  <c r="BZ52" i="17"/>
  <c r="CU52" i="17" s="1"/>
  <c r="EK52" i="17" s="1"/>
  <c r="BZ20" i="17"/>
  <c r="BW5" i="17"/>
  <c r="BY37" i="17"/>
  <c r="CS37" i="17" s="1"/>
  <c r="EA37" i="17" s="1"/>
  <c r="BZ5" i="17"/>
  <c r="BZ37" i="17"/>
  <c r="CU37" i="17" s="1"/>
  <c r="EK37" i="17" s="1"/>
  <c r="BZ19" i="17"/>
  <c r="BZ51" i="17"/>
  <c r="CU51" i="17" s="1"/>
  <c r="EK51" i="17" s="1"/>
  <c r="BV7" i="17"/>
  <c r="BY39" i="17"/>
  <c r="CS39" i="17" s="1"/>
  <c r="EA39" i="17" s="1"/>
  <c r="BX39" i="17"/>
  <c r="BW39" i="17"/>
  <c r="BV39" i="17"/>
  <c r="CP39" i="17" s="1"/>
  <c r="DD39" i="17" s="1"/>
  <c r="BY21" i="17"/>
  <c r="BV53" i="17"/>
  <c r="CP53" i="17" s="1"/>
  <c r="DD53" i="17" s="1"/>
  <c r="BY53" i="17"/>
  <c r="CS53" i="17" s="1"/>
  <c r="EA53" i="17" s="1"/>
  <c r="BX53" i="17"/>
  <c r="BW53" i="17"/>
  <c r="BW41" i="17"/>
  <c r="CU41" i="17"/>
  <c r="EK41" i="17" s="1"/>
  <c r="BV41" i="17"/>
  <c r="CP41" i="17" s="1"/>
  <c r="DD41" i="17" s="1"/>
  <c r="BY41" i="17"/>
  <c r="CS41" i="17" s="1"/>
  <c r="EA41" i="17" s="1"/>
  <c r="BX41" i="17"/>
  <c r="BW54" i="17"/>
  <c r="BX54" i="17"/>
  <c r="CU54" i="17"/>
  <c r="EK54" i="17" s="1"/>
  <c r="BV54" i="17"/>
  <c r="CP54" i="17" s="1"/>
  <c r="DD54" i="17" s="1"/>
  <c r="BY54" i="17"/>
  <c r="CS54" i="17" s="1"/>
  <c r="EA54" i="17" s="1"/>
  <c r="BW23" i="17"/>
  <c r="BX55" i="17"/>
  <c r="BV55" i="17"/>
  <c r="CP55" i="17" s="1"/>
  <c r="DD55" i="17" s="1"/>
  <c r="BW55" i="17"/>
  <c r="CU55" i="17"/>
  <c r="EK55" i="17" s="1"/>
  <c r="BY55" i="17"/>
  <c r="CS55" i="17" s="1"/>
  <c r="EA55" i="17" s="1"/>
  <c r="BY8" i="17"/>
  <c r="BV40" i="17"/>
  <c r="CP40" i="17" s="1"/>
  <c r="DD40" i="17" s="1"/>
  <c r="BX40" i="17"/>
  <c r="BW40" i="17"/>
  <c r="BY40" i="17"/>
  <c r="CS40" i="17" s="1"/>
  <c r="EA40" i="17" s="1"/>
  <c r="BY51" i="17"/>
  <c r="CS51" i="17" s="1"/>
  <c r="EA51" i="17" s="1"/>
  <c r="BV51" i="17"/>
  <c r="CP51" i="17" s="1"/>
  <c r="DD51" i="17" s="1"/>
  <c r="BX51" i="17"/>
  <c r="BW51" i="17"/>
  <c r="BY5" i="17"/>
  <c r="BV37" i="17"/>
  <c r="CP37" i="17" s="1"/>
  <c r="DD37" i="17" s="1"/>
  <c r="BX37" i="17"/>
  <c r="BW37" i="17"/>
  <c r="BY38" i="17"/>
  <c r="CS38" i="17" s="1"/>
  <c r="EA38" i="17" s="1"/>
  <c r="BW38" i="17"/>
  <c r="BV38" i="17"/>
  <c r="CP38" i="17" s="1"/>
  <c r="DD38" i="17" s="1"/>
  <c r="BX38" i="17"/>
  <c r="BV20" i="17"/>
  <c r="BW52" i="17"/>
  <c r="BX52" i="17"/>
  <c r="BV52" i="17"/>
  <c r="CP52" i="17" s="1"/>
  <c r="DD52" i="17" s="1"/>
  <c r="BY52" i="17"/>
  <c r="CS52" i="17" s="1"/>
  <c r="EA52" i="17" s="1"/>
  <c r="BW20" i="17"/>
  <c r="BX20" i="17"/>
  <c r="BW7" i="17"/>
  <c r="BX7" i="17"/>
  <c r="BY7" i="17"/>
  <c r="BY19" i="17"/>
  <c r="BX8" i="17"/>
  <c r="BV9" i="17"/>
  <c r="BW9" i="17"/>
  <c r="BX23" i="17"/>
  <c r="BY23" i="17"/>
  <c r="BW6" i="17"/>
  <c r="BX9" i="17"/>
  <c r="BV19" i="17"/>
  <c r="BY20" i="17"/>
  <c r="BW22" i="17"/>
  <c r="BX6" i="17"/>
  <c r="BV8" i="17"/>
  <c r="BY9" i="17"/>
  <c r="BW19" i="17"/>
  <c r="BX22" i="17"/>
  <c r="BV6" i="17"/>
  <c r="BV22" i="17"/>
  <c r="BV5" i="17"/>
  <c r="BY6" i="17"/>
  <c r="BW8" i="17"/>
  <c r="BX19" i="17"/>
  <c r="BV21" i="17"/>
  <c r="BY22" i="17"/>
  <c r="BW21" i="17"/>
  <c r="BX5" i="17"/>
  <c r="BX21" i="17"/>
  <c r="BV23" i="17"/>
  <c r="A3" i="20" l="1"/>
  <c r="A4" i="20"/>
  <c r="A5" i="20"/>
  <c r="A6" i="20"/>
  <c r="A7" i="20"/>
  <c r="A8" i="20"/>
  <c r="A9" i="20"/>
  <c r="A10" i="20"/>
  <c r="A11" i="20"/>
  <c r="A12" i="20"/>
  <c r="A13" i="20"/>
  <c r="A14" i="20"/>
  <c r="A15" i="20"/>
  <c r="A16" i="20"/>
  <c r="A17" i="20"/>
  <c r="A18" i="20"/>
  <c r="A19" i="20"/>
  <c r="A20" i="20"/>
  <c r="A21" i="20"/>
  <c r="A22" i="20"/>
  <c r="A23" i="20"/>
  <c r="A24" i="20"/>
  <c r="A28" i="17" s="1"/>
  <c r="A25" i="20"/>
  <c r="A26" i="20"/>
  <c r="A27" i="20"/>
  <c r="A28" i="20"/>
  <c r="A29" i="20"/>
  <c r="A30" i="20"/>
  <c r="A31" i="20"/>
  <c r="A32" i="20"/>
  <c r="BL39" i="17" s="1"/>
  <c r="A33" i="20"/>
  <c r="A34" i="20"/>
  <c r="A37" i="20"/>
  <c r="A38" i="20"/>
  <c r="A39" i="20"/>
  <c r="A40" i="20"/>
  <c r="A41" i="20"/>
  <c r="A42" i="20"/>
  <c r="A43" i="20"/>
  <c r="A347" i="19" s="1"/>
  <c r="A44" i="20"/>
  <c r="A348" i="19" s="1"/>
  <c r="A45" i="20"/>
  <c r="A46" i="20"/>
  <c r="A47" i="20"/>
  <c r="A48" i="20"/>
  <c r="A49" i="20"/>
  <c r="A50" i="20"/>
  <c r="A51" i="20"/>
  <c r="A52" i="20"/>
  <c r="A53" i="20"/>
  <c r="A54" i="20"/>
  <c r="A55" i="20"/>
  <c r="A56" i="20"/>
  <c r="A57" i="20"/>
  <c r="A221" i="17" s="1"/>
  <c r="A58" i="20"/>
  <c r="A59" i="20"/>
  <c r="A60" i="20"/>
  <c r="A70" i="17" s="1"/>
  <c r="A61" i="20"/>
  <c r="A62" i="20"/>
  <c r="A63" i="20"/>
  <c r="A64" i="20"/>
  <c r="A65" i="20"/>
  <c r="A66" i="20"/>
  <c r="A67" i="20"/>
  <c r="A68" i="20"/>
  <c r="A69" i="20"/>
  <c r="A70" i="20"/>
  <c r="A71" i="20"/>
  <c r="A72" i="20"/>
  <c r="A73" i="20"/>
  <c r="A74" i="20"/>
  <c r="A75" i="20"/>
  <c r="A76" i="20"/>
  <c r="A77" i="20"/>
  <c r="A78" i="20"/>
  <c r="AT8" i="17" s="1"/>
  <c r="A79" i="20"/>
  <c r="AT9" i="17" s="1"/>
  <c r="A80" i="20"/>
  <c r="AT10" i="17" s="1"/>
  <c r="A81" i="20"/>
  <c r="AT11" i="17" s="1"/>
  <c r="A82" i="20"/>
  <c r="AT12" i="17" s="1"/>
  <c r="A83" i="20"/>
  <c r="AT13" i="17" s="1"/>
  <c r="A84" i="20"/>
  <c r="A85" i="20"/>
  <c r="A86" i="20"/>
  <c r="BL44" i="17" s="1"/>
  <c r="A87" i="20"/>
  <c r="A88" i="20"/>
  <c r="A89" i="20"/>
  <c r="A90" i="20"/>
  <c r="A91" i="20"/>
  <c r="A92" i="20"/>
  <c r="A93" i="20"/>
  <c r="A94" i="20"/>
  <c r="A95" i="20"/>
  <c r="A96" i="20"/>
  <c r="A97" i="20"/>
  <c r="A98" i="20"/>
  <c r="A99" i="20"/>
  <c r="A100" i="20"/>
  <c r="A101" i="20"/>
  <c r="A102" i="20"/>
  <c r="A103" i="20"/>
  <c r="A104" i="20"/>
  <c r="A105" i="20"/>
  <c r="A106" i="20"/>
  <c r="A107" i="20"/>
  <c r="A108" i="20"/>
  <c r="A109" i="20"/>
  <c r="A110" i="20"/>
  <c r="A111" i="20"/>
  <c r="A112" i="20"/>
  <c r="A113" i="20"/>
  <c r="A114" i="20"/>
  <c r="A115" i="20"/>
  <c r="A116" i="20"/>
  <c r="A117" i="20"/>
  <c r="A118" i="20"/>
  <c r="A119" i="20"/>
  <c r="A120" i="20"/>
  <c r="A121" i="20"/>
  <c r="A266" i="18" s="1"/>
  <c r="A122" i="20"/>
  <c r="A123" i="20"/>
  <c r="A124" i="20"/>
  <c r="A125" i="20"/>
  <c r="A126" i="20"/>
  <c r="A127" i="20"/>
  <c r="A128" i="20"/>
  <c r="A129" i="20"/>
  <c r="A130" i="20"/>
  <c r="A131" i="20"/>
  <c r="A132" i="20"/>
  <c r="A133" i="20"/>
  <c r="A134" i="20"/>
  <c r="A135" i="20"/>
  <c r="A136" i="20"/>
  <c r="A137" i="20"/>
  <c r="A138" i="20"/>
  <c r="A139" i="20"/>
  <c r="A140" i="20"/>
  <c r="A141" i="20"/>
  <c r="A142" i="20"/>
  <c r="A143" i="20"/>
  <c r="A144" i="20"/>
  <c r="A145" i="20"/>
  <c r="A146" i="20"/>
  <c r="A147" i="20"/>
  <c r="A148" i="20"/>
  <c r="A149" i="20"/>
  <c r="A150" i="20"/>
  <c r="A151" i="20"/>
  <c r="E511" i="18" s="1"/>
  <c r="A152" i="20"/>
  <c r="A153" i="20"/>
  <c r="A154" i="20"/>
  <c r="A155" i="20"/>
  <c r="A156" i="20"/>
  <c r="A157" i="20"/>
  <c r="A158" i="20"/>
  <c r="A159" i="20"/>
  <c r="A160" i="20"/>
  <c r="A161" i="20"/>
  <c r="A162" i="20"/>
  <c r="A163" i="20"/>
  <c r="A164" i="20"/>
  <c r="G287" i="18" s="1"/>
  <c r="A165" i="20"/>
  <c r="A166" i="20"/>
  <c r="A167" i="20"/>
  <c r="A168" i="20"/>
  <c r="A169" i="20"/>
  <c r="A170" i="20"/>
  <c r="A173" i="20"/>
  <c r="A174" i="20"/>
  <c r="A175" i="20"/>
  <c r="A176" i="20"/>
  <c r="A177" i="20"/>
  <c r="A178" i="20"/>
  <c r="A179" i="20"/>
  <c r="A180" i="20"/>
  <c r="A181" i="20"/>
  <c r="A182" i="20"/>
  <c r="A183" i="20"/>
  <c r="A184" i="20"/>
  <c r="A185" i="20"/>
  <c r="A186" i="20"/>
  <c r="A187" i="20"/>
  <c r="A188" i="20"/>
  <c r="A189" i="20"/>
  <c r="A190" i="20"/>
  <c r="A191" i="20"/>
  <c r="A192" i="20"/>
  <c r="A193" i="20"/>
  <c r="A194" i="20"/>
  <c r="A195" i="20"/>
  <c r="A196" i="20"/>
  <c r="A197" i="20"/>
  <c r="A194" i="17" s="1"/>
  <c r="A198" i="20"/>
  <c r="A199" i="20"/>
  <c r="A200" i="20"/>
  <c r="A201" i="20"/>
  <c r="A202" i="20"/>
  <c r="A203" i="20"/>
  <c r="A204" i="20"/>
  <c r="A205" i="20"/>
  <c r="A206" i="20"/>
  <c r="A207" i="20"/>
  <c r="A208" i="20"/>
  <c r="A209" i="20"/>
  <c r="A210" i="20"/>
  <c r="A211" i="20"/>
  <c r="A212" i="20"/>
  <c r="A213" i="20"/>
  <c r="A214" i="20"/>
  <c r="A215" i="20"/>
  <c r="A216" i="20"/>
  <c r="A217" i="20"/>
  <c r="A218" i="20"/>
  <c r="A219" i="20"/>
  <c r="A220" i="20"/>
  <c r="A221" i="20"/>
  <c r="A2" i="20"/>
  <c r="E29" i="17" l="1"/>
  <c r="BL40" i="17"/>
  <c r="V10" i="17" s="1"/>
  <c r="O18" i="17"/>
  <c r="G29" i="17"/>
  <c r="A69" i="17"/>
  <c r="A67" i="17"/>
  <c r="B352" i="19"/>
  <c r="E352" i="19"/>
  <c r="D160" i="17"/>
  <c r="D652" i="18" s="1"/>
  <c r="C191" i="17"/>
  <c r="G614" i="18"/>
  <c r="G284" i="18"/>
  <c r="A284" i="18"/>
  <c r="A267" i="18"/>
  <c r="L649" i="18"/>
  <c r="L639" i="18"/>
  <c r="L659" i="18"/>
  <c r="A431" i="18"/>
  <c r="A158" i="18"/>
  <c r="A159" i="18"/>
  <c r="A432" i="18"/>
  <c r="A161" i="17"/>
  <c r="C160" i="17"/>
  <c r="C652" i="18" s="1"/>
  <c r="C125" i="17"/>
  <c r="C642" i="18" s="1"/>
  <c r="A126" i="17"/>
  <c r="A643" i="18" s="1"/>
  <c r="BL45" i="17"/>
  <c r="BP33" i="17"/>
  <c r="A348" i="4"/>
  <c r="BP32" i="17"/>
  <c r="A347" i="4"/>
  <c r="A667" i="18"/>
  <c r="AE6" i="17" a="1"/>
  <c r="AE6" i="17" s="1"/>
  <c r="AD6" i="17" a="1"/>
  <c r="AD6" i="17" s="1"/>
  <c r="AB6" i="17" a="1"/>
  <c r="AB6" i="17" s="1"/>
  <c r="AB3" i="17"/>
  <c r="AD3" i="17"/>
  <c r="D38" i="17" l="1"/>
  <c r="D33" i="18" s="1"/>
  <c r="B352" i="4"/>
  <c r="V7" i="17"/>
  <c r="V16" i="17" s="1"/>
  <c r="A660" i="18"/>
  <c r="A653" i="18"/>
  <c r="E352" i="4"/>
  <c r="E353" i="19"/>
  <c r="E354" i="19"/>
  <c r="B353" i="19"/>
  <c r="B354" i="19"/>
  <c r="E354" i="4"/>
  <c r="E119" i="18" l="1"/>
  <c r="E120" i="18"/>
  <c r="E121" i="18"/>
  <c r="E122" i="18"/>
  <c r="E123" i="18"/>
  <c r="E124" i="18"/>
  <c r="E125" i="18"/>
  <c r="E126" i="18"/>
  <c r="E127" i="18"/>
  <c r="E128" i="18"/>
  <c r="E129" i="18"/>
  <c r="E130" i="18"/>
  <c r="E131" i="18"/>
  <c r="E118" i="18"/>
  <c r="C119" i="18"/>
  <c r="C120" i="18"/>
  <c r="C121" i="18"/>
  <c r="C122" i="18"/>
  <c r="C123" i="18"/>
  <c r="C124" i="18"/>
  <c r="C125" i="18"/>
  <c r="C126" i="18"/>
  <c r="C127" i="18"/>
  <c r="C128" i="18"/>
  <c r="C129" i="18"/>
  <c r="C130" i="18"/>
  <c r="C131" i="18"/>
  <c r="C118" i="18"/>
  <c r="B354" i="4"/>
  <c r="B353" i="4"/>
  <c r="E353" i="4"/>
  <c r="U2" i="18" l="1"/>
  <c r="S2" i="18"/>
  <c r="Q2" i="18"/>
  <c r="O2" i="18"/>
  <c r="T1" i="18"/>
  <c r="R1" i="18"/>
  <c r="P1" i="18"/>
  <c r="N1" i="18"/>
  <c r="M2" i="18"/>
  <c r="L1" i="18"/>
  <c r="A110" i="18" l="1"/>
  <c r="E517" i="18" l="1"/>
  <c r="E522" i="18"/>
  <c r="E521" i="18"/>
  <c r="E516" i="18"/>
  <c r="E473" i="18"/>
  <c r="A599" i="18"/>
  <c r="A230" i="17" s="1"/>
  <c r="W5" i="17"/>
  <c r="D76" i="17"/>
  <c r="B537" i="18" s="1"/>
  <c r="A532" i="18"/>
  <c r="F31" i="18"/>
  <c r="F30" i="18"/>
  <c r="F29" i="18"/>
  <c r="E199" i="18"/>
  <c r="G267" i="18"/>
  <c r="A530" i="18"/>
  <c r="A583" i="18"/>
  <c r="G596" i="18" l="1"/>
  <c r="E597" i="18"/>
  <c r="G527" i="18"/>
  <c r="E528" i="18"/>
  <c r="G373" i="18"/>
  <c r="E374" i="18"/>
  <c r="G426" i="18"/>
  <c r="E427" i="18"/>
  <c r="E268" i="18"/>
  <c r="G198" i="18"/>
  <c r="D34" i="17"/>
  <c r="G30" i="18" s="1"/>
  <c r="D33" i="17"/>
  <c r="G29" i="18" s="1"/>
  <c r="A33" i="17"/>
  <c r="B29" i="18" s="1"/>
  <c r="C264" i="18"/>
  <c r="T424" i="18"/>
  <c r="R424" i="18"/>
  <c r="P424" i="18"/>
  <c r="N424" i="18"/>
  <c r="L424" i="18"/>
  <c r="C247" i="18"/>
  <c r="C255" i="18"/>
  <c r="C195" i="18"/>
  <c r="C192" i="18"/>
  <c r="C593" i="18"/>
  <c r="T421" i="18"/>
  <c r="R421" i="18"/>
  <c r="P421" i="18"/>
  <c r="N421" i="18"/>
  <c r="L421" i="18"/>
  <c r="C370" i="18"/>
  <c r="T240" i="18"/>
  <c r="R240" i="18"/>
  <c r="P240" i="18"/>
  <c r="N240" i="18"/>
  <c r="L240" i="18"/>
  <c r="T222" i="18"/>
  <c r="R222" i="18"/>
  <c r="P222" i="18"/>
  <c r="N222" i="18"/>
  <c r="L222" i="18"/>
  <c r="T187" i="18"/>
  <c r="R187" i="18"/>
  <c r="P187" i="18"/>
  <c r="N187" i="18"/>
  <c r="L187" i="18"/>
  <c r="T174" i="18"/>
  <c r="R174" i="18"/>
  <c r="P174" i="18"/>
  <c r="N174" i="18"/>
  <c r="L174" i="18"/>
  <c r="E117" i="18"/>
  <c r="C117" i="18"/>
  <c r="A117" i="18"/>
  <c r="C116" i="18"/>
  <c r="A112" i="18"/>
  <c r="DB59" i="17" l="1"/>
  <c r="DB45" i="17"/>
  <c r="DB63" i="17"/>
  <c r="DB62" i="17"/>
  <c r="DB61" i="17"/>
  <c r="DB60" i="17"/>
  <c r="DB49" i="17"/>
  <c r="DB48" i="17"/>
  <c r="DB47" i="17"/>
  <c r="DB46" i="17"/>
  <c r="DB44" i="17"/>
  <c r="DB43" i="17"/>
  <c r="DB42" i="17"/>
  <c r="DB41" i="17"/>
  <c r="DB40" i="17"/>
  <c r="DB39" i="17"/>
  <c r="DB38" i="17"/>
  <c r="DB37" i="17"/>
  <c r="DB57" i="17"/>
  <c r="DB56" i="17"/>
  <c r="DB55" i="17"/>
  <c r="DB54" i="17"/>
  <c r="DB53" i="17"/>
  <c r="DB51" i="17"/>
  <c r="DB50" i="17"/>
  <c r="DB64" i="17"/>
  <c r="DB58" i="17"/>
  <c r="DB52" i="17"/>
  <c r="DM59" i="17"/>
  <c r="DM57" i="17"/>
  <c r="DM56" i="17"/>
  <c r="DM55" i="17"/>
  <c r="DM54" i="17"/>
  <c r="DM45" i="17"/>
  <c r="DM43" i="17"/>
  <c r="DM42" i="17"/>
  <c r="DM41" i="17"/>
  <c r="DM40" i="17"/>
  <c r="DM63" i="17"/>
  <c r="DM49" i="17"/>
  <c r="DM53" i="17"/>
  <c r="DM62" i="17"/>
  <c r="DM51" i="17"/>
  <c r="DM44" i="17"/>
  <c r="DM47" i="17"/>
  <c r="DM38" i="17"/>
  <c r="DM64" i="17"/>
  <c r="DM58" i="17"/>
  <c r="DM39" i="17"/>
  <c r="DM61" i="17"/>
  <c r="DM60" i="17"/>
  <c r="DM52" i="17"/>
  <c r="DM50" i="17"/>
  <c r="DM48" i="17"/>
  <c r="DM46" i="17"/>
  <c r="DM37" i="17"/>
  <c r="EI64" i="17"/>
  <c r="EI59" i="17"/>
  <c r="EI52" i="17"/>
  <c r="EI51" i="17"/>
  <c r="EI50" i="17"/>
  <c r="EI45" i="17"/>
  <c r="EI38" i="17"/>
  <c r="EI37" i="17"/>
  <c r="EI63" i="17"/>
  <c r="EI57" i="17"/>
  <c r="EI56" i="17"/>
  <c r="EI55" i="17"/>
  <c r="EI54" i="17"/>
  <c r="EI49" i="17"/>
  <c r="EI43" i="17"/>
  <c r="EI42" i="17"/>
  <c r="EI41" i="17"/>
  <c r="EI40" i="17"/>
  <c r="EI44" i="17"/>
  <c r="EI47" i="17"/>
  <c r="EI39" i="17"/>
  <c r="EI58" i="17"/>
  <c r="EI62" i="17"/>
  <c r="EI61" i="17"/>
  <c r="EI60" i="17"/>
  <c r="EI53" i="17"/>
  <c r="EI48" i="17"/>
  <c r="EI46" i="17"/>
  <c r="DI62" i="17"/>
  <c r="DI61" i="17"/>
  <c r="DI60" i="17"/>
  <c r="DI53" i="17"/>
  <c r="DI48" i="17"/>
  <c r="DI47" i="17"/>
  <c r="DI46" i="17"/>
  <c r="DI39" i="17"/>
  <c r="DI64" i="17"/>
  <c r="DI58" i="17"/>
  <c r="DI52" i="17"/>
  <c r="DI51" i="17"/>
  <c r="DI50" i="17"/>
  <c r="DI44" i="17"/>
  <c r="DI38" i="17"/>
  <c r="DI37" i="17"/>
  <c r="DI59" i="17"/>
  <c r="DI49" i="17"/>
  <c r="DI57" i="17"/>
  <c r="DI55" i="17"/>
  <c r="DI42" i="17"/>
  <c r="DI40" i="17"/>
  <c r="DI45" i="17"/>
  <c r="DI56" i="17"/>
  <c r="DI54" i="17"/>
  <c r="DI63" i="17"/>
  <c r="DI43" i="17"/>
  <c r="DI41" i="17"/>
  <c r="DR63" i="17"/>
  <c r="DR49" i="17"/>
  <c r="DR62" i="17"/>
  <c r="DR61" i="17"/>
  <c r="DR60" i="17"/>
  <c r="DR53" i="17"/>
  <c r="DR48" i="17"/>
  <c r="DR47" i="17"/>
  <c r="DR46" i="17"/>
  <c r="DR39" i="17"/>
  <c r="DR64" i="17"/>
  <c r="DR58" i="17"/>
  <c r="DR45" i="17"/>
  <c r="DR42" i="17"/>
  <c r="DR41" i="17"/>
  <c r="DR38" i="17"/>
  <c r="DR37" i="17"/>
  <c r="DR57" i="17"/>
  <c r="DR56" i="17"/>
  <c r="DR55" i="17"/>
  <c r="DR54" i="17"/>
  <c r="DR52" i="17"/>
  <c r="DR51" i="17"/>
  <c r="DR50" i="17"/>
  <c r="DR44" i="17"/>
  <c r="DR43" i="17"/>
  <c r="DR40" i="17"/>
  <c r="DR59" i="17"/>
  <c r="CZ58" i="17"/>
  <c r="CZ57" i="17"/>
  <c r="CZ56" i="17"/>
  <c r="CZ55" i="17"/>
  <c r="CZ54" i="17"/>
  <c r="CZ44" i="17"/>
  <c r="CZ43" i="17"/>
  <c r="CZ42" i="17"/>
  <c r="CZ41" i="17"/>
  <c r="CZ40" i="17"/>
  <c r="CZ59" i="17"/>
  <c r="CZ45" i="17"/>
  <c r="CZ63" i="17"/>
  <c r="CZ62" i="17"/>
  <c r="CZ61" i="17"/>
  <c r="CZ60" i="17"/>
  <c r="CZ53" i="17"/>
  <c r="CZ52" i="17"/>
  <c r="CZ51" i="17"/>
  <c r="CZ50" i="17"/>
  <c r="CZ64" i="17"/>
  <c r="CZ49" i="17"/>
  <c r="CZ48" i="17"/>
  <c r="CZ47" i="17"/>
  <c r="CZ46" i="17"/>
  <c r="CZ39" i="17"/>
  <c r="CZ38" i="17"/>
  <c r="CZ37" i="17"/>
  <c r="DK64" i="17"/>
  <c r="DK58" i="17"/>
  <c r="DK52" i="17"/>
  <c r="DK51" i="17"/>
  <c r="DK50" i="17"/>
  <c r="DK44" i="17"/>
  <c r="DK38" i="17"/>
  <c r="DK37" i="17"/>
  <c r="DK59" i="17"/>
  <c r="DK57" i="17"/>
  <c r="DK56" i="17"/>
  <c r="DK55" i="17"/>
  <c r="DK54" i="17"/>
  <c r="DK45" i="17"/>
  <c r="DK43" i="17"/>
  <c r="DK42" i="17"/>
  <c r="DK41" i="17"/>
  <c r="DK40" i="17"/>
  <c r="DK48" i="17"/>
  <c r="DK47" i="17"/>
  <c r="DK46" i="17"/>
  <c r="DK62" i="17"/>
  <c r="DK60" i="17"/>
  <c r="DK49" i="17"/>
  <c r="DK53" i="17"/>
  <c r="DK63" i="17"/>
  <c r="DK39" i="17"/>
  <c r="DK61" i="17"/>
  <c r="EI10" i="17"/>
  <c r="EI18" i="17"/>
  <c r="EI26" i="17"/>
  <c r="EI11" i="17"/>
  <c r="EI19" i="17"/>
  <c r="EI27" i="17"/>
  <c r="EI17" i="17"/>
  <c r="EI12" i="17"/>
  <c r="EI20" i="17"/>
  <c r="EI28" i="17"/>
  <c r="EI9" i="17"/>
  <c r="EI13" i="17"/>
  <c r="EI21" i="17"/>
  <c r="EI29" i="17"/>
  <c r="EI6" i="17"/>
  <c r="EI14" i="17"/>
  <c r="EI22" i="17"/>
  <c r="EI30" i="17"/>
  <c r="EI5" i="17"/>
  <c r="EI7" i="17"/>
  <c r="EI15" i="17"/>
  <c r="EI23" i="17"/>
  <c r="EI31" i="17"/>
  <c r="EI8" i="17"/>
  <c r="EI16" i="17"/>
  <c r="EI24" i="17"/>
  <c r="EI32" i="17"/>
  <c r="EI25" i="17"/>
  <c r="CZ25" i="17"/>
  <c r="DB23" i="17"/>
  <c r="DR11" i="17"/>
  <c r="DR19" i="17"/>
  <c r="DR27" i="17"/>
  <c r="DR12" i="17"/>
  <c r="DR20" i="17"/>
  <c r="DR28" i="17"/>
  <c r="DR13" i="17"/>
  <c r="DR21" i="17"/>
  <c r="DR29" i="17"/>
  <c r="DR6" i="17"/>
  <c r="DR14" i="17"/>
  <c r="DR22" i="17"/>
  <c r="DR30" i="17"/>
  <c r="DR7" i="17"/>
  <c r="DR15" i="17"/>
  <c r="DR23" i="17"/>
  <c r="DR31" i="17"/>
  <c r="DR8" i="17"/>
  <c r="DR16" i="17"/>
  <c r="DR24" i="17"/>
  <c r="DR32" i="17"/>
  <c r="DR9" i="17"/>
  <c r="DR17" i="17"/>
  <c r="DR25" i="17"/>
  <c r="DR5" i="17"/>
  <c r="DR10" i="17"/>
  <c r="DR18" i="17"/>
  <c r="DR26" i="17"/>
  <c r="DM9" i="17"/>
  <c r="DM17" i="17"/>
  <c r="DM25" i="17"/>
  <c r="DM12" i="17"/>
  <c r="DM20" i="17"/>
  <c r="DM28" i="17"/>
  <c r="DM7" i="17"/>
  <c r="DM15" i="17"/>
  <c r="DM23" i="17"/>
  <c r="DM31" i="17"/>
  <c r="DM10" i="17"/>
  <c r="DM18" i="17"/>
  <c r="DM26" i="17"/>
  <c r="DM13" i="17"/>
  <c r="DM21" i="17"/>
  <c r="DM29" i="17"/>
  <c r="DM6" i="17"/>
  <c r="DM8" i="17"/>
  <c r="DM16" i="17"/>
  <c r="DM24" i="17"/>
  <c r="DM32" i="17"/>
  <c r="DM11" i="17"/>
  <c r="DM19" i="17"/>
  <c r="DM27" i="17"/>
  <c r="DM5" i="17"/>
  <c r="DM14" i="17"/>
  <c r="DM22" i="17"/>
  <c r="DM30" i="17"/>
  <c r="DK5" i="17"/>
  <c r="DK12" i="17"/>
  <c r="DK20" i="17"/>
  <c r="DK28" i="17"/>
  <c r="DK7" i="17"/>
  <c r="DK15" i="17"/>
  <c r="DK23" i="17"/>
  <c r="DK31" i="17"/>
  <c r="DK10" i="17"/>
  <c r="DK18" i="17"/>
  <c r="DK26" i="17"/>
  <c r="DK13" i="17"/>
  <c r="DK21" i="17"/>
  <c r="DK29" i="17"/>
  <c r="DK25" i="17"/>
  <c r="DK8" i="17"/>
  <c r="DK16" i="17"/>
  <c r="DK24" i="17"/>
  <c r="DK32" i="17"/>
  <c r="DK11" i="17"/>
  <c r="DK19" i="17"/>
  <c r="DK27" i="17"/>
  <c r="DK6" i="17"/>
  <c r="DK14" i="17"/>
  <c r="DK22" i="17"/>
  <c r="DK30" i="17"/>
  <c r="DK9" i="17"/>
  <c r="DK17" i="17"/>
  <c r="DI5" i="17"/>
  <c r="DI7" i="17"/>
  <c r="DI15" i="17"/>
  <c r="DI23" i="17"/>
  <c r="DI31" i="17"/>
  <c r="DI10" i="17"/>
  <c r="DI18" i="17"/>
  <c r="DI26" i="17"/>
  <c r="DI13" i="17"/>
  <c r="DI21" i="17"/>
  <c r="DI29" i="17"/>
  <c r="DI8" i="17"/>
  <c r="DI16" i="17"/>
  <c r="DI24" i="17"/>
  <c r="DI32" i="17"/>
  <c r="DI11" i="17"/>
  <c r="DI19" i="17"/>
  <c r="DI27" i="17"/>
  <c r="DI6" i="17"/>
  <c r="DI14" i="17"/>
  <c r="DI22" i="17"/>
  <c r="DI30" i="17"/>
  <c r="DI12" i="17"/>
  <c r="DI9" i="17"/>
  <c r="DI17" i="17"/>
  <c r="DI25" i="17"/>
  <c r="DI20" i="17"/>
  <c r="DI28" i="17"/>
  <c r="DB15" i="17"/>
  <c r="DB24" i="17"/>
  <c r="DB16" i="17"/>
  <c r="DB7" i="17"/>
  <c r="DB20" i="17"/>
  <c r="DB13" i="17"/>
  <c r="DB9" i="17"/>
  <c r="DB32" i="17"/>
  <c r="DB5" i="17"/>
  <c r="DB28" i="17"/>
  <c r="CZ5" i="17"/>
  <c r="DB17" i="17"/>
  <c r="DB26" i="17"/>
  <c r="CZ17" i="17"/>
  <c r="CZ9" i="17"/>
  <c r="CZ28" i="17"/>
  <c r="CZ20" i="17"/>
  <c r="DB18" i="17"/>
  <c r="CZ12" i="17"/>
  <c r="DB10" i="17"/>
  <c r="CZ31" i="17"/>
  <c r="DB29" i="17"/>
  <c r="CZ23" i="17"/>
  <c r="DB21" i="17"/>
  <c r="CZ18" i="17"/>
  <c r="CZ10" i="17"/>
  <c r="DB8" i="17"/>
  <c r="CZ29" i="17"/>
  <c r="DB27" i="17"/>
  <c r="CZ21" i="17"/>
  <c r="DB19" i="17"/>
  <c r="CZ13" i="17"/>
  <c r="DB11" i="17"/>
  <c r="CZ32" i="17"/>
  <c r="DB30" i="17"/>
  <c r="CZ24" i="17"/>
  <c r="DB22" i="17"/>
  <c r="CZ15" i="17"/>
  <c r="CZ7" i="17"/>
  <c r="CZ26" i="17"/>
  <c r="CZ16" i="17"/>
  <c r="DB14" i="17"/>
  <c r="CZ8" i="17"/>
  <c r="DB6" i="17"/>
  <c r="CZ27" i="17"/>
  <c r="DB25" i="17"/>
  <c r="CZ19" i="17"/>
  <c r="CZ11" i="17"/>
  <c r="CZ30" i="17"/>
  <c r="CZ22" i="17"/>
  <c r="CZ14" i="17"/>
  <c r="DB12" i="17"/>
  <c r="CZ6" i="17"/>
  <c r="DB31" i="17"/>
  <c r="D35" i="17"/>
  <c r="G31" i="18" s="1"/>
  <c r="A98" i="18"/>
  <c r="I93" i="18"/>
  <c r="I94" i="18"/>
  <c r="G93" i="18"/>
  <c r="H93" i="18"/>
  <c r="G94" i="18"/>
  <c r="H94" i="18"/>
  <c r="F93" i="18"/>
  <c r="D93" i="18"/>
  <c r="B93" i="18"/>
  <c r="B94" i="18"/>
  <c r="I92" i="18"/>
  <c r="H92" i="18"/>
  <c r="G92" i="18"/>
  <c r="F92" i="18"/>
  <c r="D92" i="18"/>
  <c r="B92" i="18"/>
  <c r="I91" i="18"/>
  <c r="G91" i="18"/>
  <c r="F91" i="18"/>
  <c r="D91" i="18"/>
  <c r="B91" i="18"/>
  <c r="D61" i="17"/>
  <c r="E55" i="18" s="1"/>
  <c r="E609" i="18" s="1"/>
  <c r="C61" i="17"/>
  <c r="C55" i="18" s="1"/>
  <c r="C609" i="18" s="1"/>
  <c r="F74" i="18"/>
  <c r="F73" i="18"/>
  <c r="A73" i="18"/>
  <c r="A93" i="18" s="1"/>
  <c r="F72" i="18"/>
  <c r="A72" i="18"/>
  <c r="A92" i="18" s="1"/>
  <c r="I71" i="18"/>
  <c r="H71" i="18"/>
  <c r="G71" i="18"/>
  <c r="F71" i="18"/>
  <c r="B68" i="18"/>
  <c r="C78" i="18"/>
  <c r="CU23" i="17" l="1"/>
  <c r="EK23" i="17" s="1"/>
  <c r="CU22" i="17"/>
  <c r="EK22" i="17" s="1"/>
  <c r="CU21" i="17"/>
  <c r="EK21" i="17" s="1"/>
  <c r="CU20" i="17"/>
  <c r="EK20" i="17" s="1"/>
  <c r="CU19" i="17"/>
  <c r="EK19" i="17" s="1"/>
  <c r="CU9" i="17"/>
  <c r="EK9" i="17" s="1"/>
  <c r="CU8" i="17"/>
  <c r="EK8" i="17" s="1"/>
  <c r="CU7" i="17"/>
  <c r="EK7" i="17" s="1"/>
  <c r="CU6" i="17"/>
  <c r="EK6" i="17" s="1"/>
  <c r="CU5" i="17"/>
  <c r="EK5" i="17" s="1"/>
  <c r="CS23" i="17"/>
  <c r="EA23" i="17" s="1"/>
  <c r="CS22" i="17"/>
  <c r="EA22" i="17" s="1"/>
  <c r="CS21" i="17"/>
  <c r="EA21" i="17" s="1"/>
  <c r="CS20" i="17"/>
  <c r="EA20" i="17" s="1"/>
  <c r="CS19" i="17"/>
  <c r="EA19" i="17" s="1"/>
  <c r="CS9" i="17"/>
  <c r="EA9" i="17" s="1"/>
  <c r="CS8" i="17"/>
  <c r="EA8" i="17" s="1"/>
  <c r="CS7" i="17"/>
  <c r="EA7" i="17" s="1"/>
  <c r="CS6" i="17"/>
  <c r="EA6" i="17" s="1"/>
  <c r="CS5" i="17"/>
  <c r="EA5" i="17" s="1"/>
  <c r="CP23" i="17"/>
  <c r="DD23" i="17" s="1"/>
  <c r="CP22" i="17"/>
  <c r="DD22" i="17" s="1"/>
  <c r="CP21" i="17"/>
  <c r="DD21" i="17" s="1"/>
  <c r="CP20" i="17"/>
  <c r="DD20" i="17" s="1"/>
  <c r="CP19" i="17"/>
  <c r="DD19" i="17" s="1"/>
  <c r="CP9" i="17"/>
  <c r="DD9" i="17" s="1"/>
  <c r="CP8" i="17"/>
  <c r="DD8" i="17" s="1"/>
  <c r="CP7" i="17"/>
  <c r="DD7" i="17" s="1"/>
  <c r="CP6" i="17"/>
  <c r="DD6" i="17" s="1"/>
  <c r="CP5" i="17"/>
  <c r="DD5" i="17" s="1"/>
  <c r="G95" i="17"/>
  <c r="I87" i="18" s="1"/>
  <c r="E95" i="17"/>
  <c r="G87" i="18" s="1"/>
  <c r="D95" i="17"/>
  <c r="F87" i="18" s="1"/>
  <c r="C95" i="17"/>
  <c r="D87" i="18" s="1"/>
  <c r="B95" i="17"/>
  <c r="B87" i="18" s="1"/>
  <c r="E479" i="18"/>
  <c r="E478" i="18"/>
  <c r="A86" i="17"/>
  <c r="A78" i="18" s="1"/>
  <c r="E474" i="18" l="1"/>
  <c r="D37" i="17"/>
  <c r="D32" i="18" s="1"/>
  <c r="E68" i="18"/>
  <c r="BY1" i="17" l="1"/>
  <c r="CA1" i="17" s="1"/>
  <c r="A88" i="17" l="1"/>
  <c r="A80" i="18" s="1"/>
  <c r="K447" i="18" l="1"/>
  <c r="C79" i="18" l="1"/>
  <c r="A161" i="18" l="1"/>
  <c r="A188" i="18"/>
  <c r="A193" i="18"/>
  <c r="A242" i="18"/>
  <c r="A249" i="18"/>
  <c r="A257" i="18"/>
  <c r="B56" i="17"/>
  <c r="B50" i="18" s="1"/>
  <c r="B604" i="18" s="1"/>
  <c r="D56" i="17"/>
  <c r="E50" i="18" s="1"/>
  <c r="E604" i="18" s="1"/>
  <c r="A78" i="17"/>
  <c r="A70" i="18" s="1"/>
  <c r="A685" i="18" l="1"/>
  <c r="A255" i="17" s="1"/>
  <c r="A684" i="18"/>
  <c r="A254" i="17" s="1"/>
  <c r="A682" i="18"/>
  <c r="A681" i="18"/>
  <c r="A680" i="18"/>
  <c r="A678" i="18"/>
  <c r="A677" i="18"/>
  <c r="A675" i="18"/>
  <c r="A674" i="18"/>
  <c r="A668" i="18"/>
  <c r="A666" i="18"/>
  <c r="A252" i="17" s="1"/>
  <c r="A665" i="18"/>
  <c r="A251" i="17" s="1"/>
  <c r="C666" i="18"/>
  <c r="F666" i="18" s="1"/>
  <c r="C253" i="17" s="1"/>
  <c r="C681" i="18"/>
  <c r="C682" i="18" l="1"/>
  <c r="F685" i="18" s="1"/>
  <c r="F255" i="17" s="1"/>
  <c r="F684" i="18" l="1"/>
  <c r="F254" i="17" l="1"/>
  <c r="A135" i="18" l="1"/>
  <c r="A737" i="18"/>
  <c r="A569" i="18" s="1"/>
  <c r="A736" i="18"/>
  <c r="A735" i="18"/>
  <c r="A734" i="18"/>
  <c r="A733" i="18"/>
  <c r="A732" i="18"/>
  <c r="A731" i="18"/>
  <c r="A730" i="18"/>
  <c r="A729" i="18"/>
  <c r="A728" i="18"/>
  <c r="A727" i="18"/>
  <c r="A726" i="18"/>
  <c r="A725" i="18"/>
  <c r="A724" i="18"/>
  <c r="A723" i="18"/>
  <c r="A258" i="18" s="1"/>
  <c r="A722" i="18"/>
  <c r="A397" i="18" l="1"/>
  <c r="A417" i="18"/>
  <c r="A721" i="18"/>
  <c r="A720" i="18"/>
  <c r="A719" i="18"/>
  <c r="A718" i="18"/>
  <c r="A717" i="18"/>
  <c r="A716" i="18"/>
  <c r="A715" i="18"/>
  <c r="A714" i="18"/>
  <c r="A593" i="18" s="1"/>
  <c r="A713" i="18"/>
  <c r="A712" i="18"/>
  <c r="A173" i="18" s="1"/>
  <c r="A711" i="18"/>
  <c r="A710" i="18"/>
  <c r="A709" i="18"/>
  <c r="A708" i="18"/>
  <c r="A707" i="18"/>
  <c r="A167" i="18" s="1"/>
  <c r="A706" i="18"/>
  <c r="A450" i="18" s="1"/>
  <c r="A705" i="18"/>
  <c r="A704" i="18"/>
  <c r="A703" i="18"/>
  <c r="A702" i="18"/>
  <c r="A701" i="18"/>
  <c r="A700" i="18"/>
  <c r="E494" i="18"/>
  <c r="E493" i="18"/>
  <c r="E491" i="18"/>
  <c r="A477" i="18"/>
  <c r="B376" i="18"/>
  <c r="B292" i="18"/>
  <c r="A299" i="18"/>
  <c r="F260" i="18"/>
  <c r="A379" i="18"/>
  <c r="A378" i="18"/>
  <c r="B200" i="18"/>
  <c r="A596" i="18"/>
  <c r="B155" i="18"/>
  <c r="A148" i="18"/>
  <c r="A142" i="18"/>
  <c r="F136" i="18"/>
  <c r="A133" i="18"/>
  <c r="A61" i="17"/>
  <c r="A55" i="18" s="1"/>
  <c r="A609" i="18" s="1"/>
  <c r="A87" i="17"/>
  <c r="A79" i="18" s="1"/>
  <c r="A84" i="17"/>
  <c r="A76" i="18" s="1"/>
  <c r="E60" i="11"/>
  <c r="E58" i="11"/>
  <c r="E59" i="11"/>
  <c r="E54" i="11"/>
  <c r="B79" i="17"/>
  <c r="B71" i="18" s="1"/>
  <c r="A82" i="17"/>
  <c r="A59" i="11"/>
  <c r="A58" i="11"/>
  <c r="A57" i="11"/>
  <c r="A56" i="11"/>
  <c r="A55" i="11"/>
  <c r="A54" i="11"/>
  <c r="A53" i="11"/>
  <c r="A52" i="11"/>
  <c r="A51" i="11"/>
  <c r="A50" i="11"/>
  <c r="A79" i="17"/>
  <c r="A71" i="18" s="1"/>
  <c r="A91" i="18" s="1"/>
  <c r="A74" i="17"/>
  <c r="A66" i="18" s="1"/>
  <c r="A72" i="17"/>
  <c r="A64" i="18" s="1"/>
  <c r="A65" i="17"/>
  <c r="A60" i="17"/>
  <c r="A54" i="18" s="1"/>
  <c r="A608" i="18" s="1"/>
  <c r="A59" i="17"/>
  <c r="A53" i="18" s="1"/>
  <c r="A607" i="18" s="1"/>
  <c r="A56" i="17"/>
  <c r="A50" i="18" s="1"/>
  <c r="A604" i="18" s="1"/>
  <c r="A53" i="17"/>
  <c r="A47" i="18" s="1"/>
  <c r="A601" i="18" s="1"/>
  <c r="A51" i="17"/>
  <c r="A45" i="18" s="1"/>
  <c r="BL41" i="17"/>
  <c r="W10" i="17" s="1"/>
  <c r="A22" i="17"/>
  <c r="A21" i="18" s="1"/>
  <c r="E17" i="17"/>
  <c r="BP22" i="17"/>
  <c r="BP21" i="17"/>
  <c r="A199" i="17" s="1"/>
  <c r="K28" i="17"/>
  <c r="K27" i="17"/>
  <c r="BL36" i="17"/>
  <c r="BL35" i="17"/>
  <c r="BL34" i="17"/>
  <c r="BL33" i="17"/>
  <c r="BL32" i="17"/>
  <c r="A20" i="17"/>
  <c r="B19" i="18" s="1"/>
  <c r="A26" i="17"/>
  <c r="B25" i="18" s="1"/>
  <c r="A18" i="17"/>
  <c r="B17" i="18" s="1"/>
  <c r="B27" i="18"/>
  <c r="A24" i="17"/>
  <c r="B23" i="18" s="1"/>
  <c r="A16" i="17"/>
  <c r="B15" i="18" s="1"/>
  <c r="A13" i="17"/>
  <c r="A13" i="18" s="1"/>
  <c r="A10" i="17"/>
  <c r="A10" i="18" s="1"/>
  <c r="A9" i="17"/>
  <c r="A9" i="18" s="1"/>
  <c r="A8" i="17"/>
  <c r="A8" i="18" s="1"/>
  <c r="A7" i="17"/>
  <c r="A7" i="18" s="1"/>
  <c r="A6" i="17"/>
  <c r="A6" i="18" s="1"/>
  <c r="A3" i="17"/>
  <c r="A3" i="18" s="1"/>
  <c r="A2" i="17"/>
  <c r="A2" i="18" s="1"/>
  <c r="E47" i="18"/>
  <c r="E601" i="18" s="1"/>
  <c r="B28" i="18"/>
  <c r="G3" i="18"/>
  <c r="A1" i="17"/>
  <c r="A1" i="18" s="1"/>
  <c r="H1" i="18"/>
  <c r="BG2" i="17"/>
  <c r="V12" i="17" l="1"/>
  <c r="O9" i="17"/>
  <c r="A135" i="17"/>
  <c r="V14" i="17"/>
  <c r="O13" i="17"/>
  <c r="A38" i="17"/>
  <c r="A33" i="18" s="1"/>
  <c r="M133" i="17"/>
  <c r="C124" i="17" s="1"/>
  <c r="B434" i="18"/>
  <c r="C92" i="4"/>
  <c r="C56" i="4"/>
  <c r="C23" i="4" s="1"/>
  <c r="B435" i="18"/>
  <c r="A398" i="18"/>
  <c r="A418" i="18"/>
  <c r="A444" i="18"/>
  <c r="A484" i="18"/>
  <c r="A446" i="18"/>
  <c r="A486" i="18"/>
  <c r="A487" i="18"/>
  <c r="A447" i="18"/>
  <c r="A74" i="18"/>
  <c r="A94" i="18" s="1"/>
  <c r="A104" i="17"/>
  <c r="A96" i="18"/>
  <c r="A61" i="18"/>
  <c r="A59" i="18"/>
  <c r="A62" i="18"/>
  <c r="A207" i="18"/>
  <c r="A206" i="18"/>
  <c r="A54" i="17"/>
  <c r="A48" i="18" s="1"/>
  <c r="A602" i="18" s="1"/>
  <c r="A153" i="18"/>
  <c r="A140" i="18"/>
  <c r="A150" i="18"/>
  <c r="A137" i="18"/>
  <c r="A151" i="18"/>
  <c r="A138" i="18"/>
  <c r="A152" i="18"/>
  <c r="A139" i="18"/>
  <c r="E470" i="18"/>
  <c r="B78" i="17"/>
  <c r="A186" i="18"/>
  <c r="A180" i="18"/>
  <c r="A424" i="18"/>
  <c r="A622" i="18"/>
  <c r="A241" i="17" s="1"/>
  <c r="E451" i="18"/>
  <c r="E453" i="18"/>
  <c r="F233" i="17"/>
  <c r="A198" i="18"/>
  <c r="A373" i="18"/>
  <c r="A400" i="18"/>
  <c r="E454" i="18"/>
  <c r="E455" i="18"/>
  <c r="E495" i="18"/>
  <c r="A613" i="18"/>
  <c r="A232" i="17" s="1"/>
  <c r="B614" i="18"/>
  <c r="B233" i="17" s="1"/>
  <c r="E450" i="18"/>
  <c r="E490" i="18"/>
  <c r="E614" i="18"/>
  <c r="D233" i="17" s="1"/>
  <c r="A571" i="18"/>
  <c r="A76" i="17"/>
  <c r="A68" i="18" s="1"/>
  <c r="A317" i="18"/>
  <c r="A381" i="18"/>
  <c r="A526" i="18"/>
  <c r="A426" i="18"/>
  <c r="A449" i="18"/>
  <c r="A489" i="18"/>
  <c r="E149" i="18"/>
  <c r="A440" i="18"/>
  <c r="A197" i="18"/>
  <c r="A372" i="18"/>
  <c r="A204" i="18"/>
  <c r="A202" i="18"/>
  <c r="A294" i="18"/>
  <c r="A297" i="18"/>
  <c r="A295" i="18"/>
  <c r="A203" i="18"/>
  <c r="A296" i="18"/>
  <c r="A37" i="17"/>
  <c r="A32" i="18" s="1"/>
  <c r="A25" i="17"/>
  <c r="B24" i="18" s="1"/>
  <c r="E50" i="11"/>
  <c r="E51" i="11"/>
  <c r="E55" i="11"/>
  <c r="E24" i="17"/>
  <c r="E53" i="11"/>
  <c r="E56" i="11"/>
  <c r="A17" i="17"/>
  <c r="B16" i="18" s="1"/>
  <c r="A60" i="11"/>
  <c r="CA28" i="17" s="1"/>
  <c r="A23" i="17"/>
  <c r="B22" i="18" s="1"/>
  <c r="D20" i="17"/>
  <c r="E49" i="11"/>
  <c r="A19" i="17"/>
  <c r="B18" i="18" s="1"/>
  <c r="E52" i="11"/>
  <c r="E57" i="11"/>
  <c r="D54" i="17"/>
  <c r="CA49" i="17" l="1"/>
  <c r="F19" i="17"/>
  <c r="W12" i="17"/>
  <c r="W14" i="17"/>
  <c r="L441" i="18"/>
  <c r="L442" i="18"/>
  <c r="O16" i="17"/>
  <c r="AM135" i="4"/>
  <c r="AF40" i="4"/>
  <c r="L500" i="18" s="1"/>
  <c r="AF38" i="4"/>
  <c r="AF39" i="4" s="1"/>
  <c r="AI5" i="4"/>
  <c r="A55" i="4"/>
  <c r="AH5" i="4"/>
  <c r="CA52" i="17"/>
  <c r="CA62" i="17"/>
  <c r="CA48" i="17"/>
  <c r="A137" i="4"/>
  <c r="A135" i="4"/>
  <c r="C135" i="4" s="1"/>
  <c r="AE135" i="4" s="1"/>
  <c r="A630" i="18"/>
  <c r="A611" i="18"/>
  <c r="A632" i="18"/>
  <c r="N479" i="18"/>
  <c r="N459" i="18"/>
  <c r="N442" i="18"/>
  <c r="L478" i="18"/>
  <c r="N497" i="18"/>
  <c r="N478" i="18"/>
  <c r="N458" i="18"/>
  <c r="L462" i="18"/>
  <c r="L443" i="18"/>
  <c r="N503" i="18"/>
  <c r="N481" i="18"/>
  <c r="N477" i="18"/>
  <c r="N500" i="18"/>
  <c r="N480" i="18"/>
  <c r="N443" i="18"/>
  <c r="N499" i="18"/>
  <c r="N441" i="18"/>
  <c r="N457" i="18"/>
  <c r="L481" i="18"/>
  <c r="N462" i="18"/>
  <c r="L479" i="18"/>
  <c r="A524" i="18"/>
  <c r="D56" i="4"/>
  <c r="C40" i="4" s="1"/>
  <c r="F26" i="17" s="1"/>
  <c r="A56" i="4"/>
  <c r="A213" i="4"/>
  <c r="A212" i="4"/>
  <c r="C212" i="4" s="1"/>
  <c r="AE212" i="4" s="1"/>
  <c r="A214" i="4"/>
  <c r="C214" i="4" s="1"/>
  <c r="A136" i="4"/>
  <c r="C136" i="4" s="1"/>
  <c r="AE136" i="4" s="1"/>
  <c r="AH136" i="4" s="1"/>
  <c r="A74" i="4"/>
  <c r="AG5" i="4"/>
  <c r="AF5" i="4"/>
  <c r="AE5" i="4"/>
  <c r="C217" i="4"/>
  <c r="C216" i="4"/>
  <c r="AE216" i="4" s="1"/>
  <c r="C215" i="4"/>
  <c r="A134" i="4"/>
  <c r="A133" i="4"/>
  <c r="A132" i="4"/>
  <c r="B217" i="4"/>
  <c r="B215" i="4"/>
  <c r="E134" i="4"/>
  <c r="E133" i="4"/>
  <c r="E132" i="4"/>
  <c r="AF29" i="4"/>
  <c r="C132" i="4"/>
  <c r="B134" i="4"/>
  <c r="B216" i="4"/>
  <c r="A217" i="4"/>
  <c r="A216" i="4"/>
  <c r="A215" i="4"/>
  <c r="C134" i="4"/>
  <c r="C133" i="4"/>
  <c r="E217" i="4"/>
  <c r="E216" i="4"/>
  <c r="E215" i="4"/>
  <c r="B133" i="4"/>
  <c r="B132" i="4"/>
  <c r="A549" i="18"/>
  <c r="A567" i="18"/>
  <c r="A551" i="18"/>
  <c r="A566" i="18"/>
  <c r="A550" i="18"/>
  <c r="A565" i="18"/>
  <c r="A564" i="18"/>
  <c r="A548" i="18"/>
  <c r="A563" i="18"/>
  <c r="A547" i="18"/>
  <c r="A562" i="18"/>
  <c r="A546" i="18"/>
  <c r="A561" i="18"/>
  <c r="A545" i="18"/>
  <c r="A560" i="18"/>
  <c r="A544" i="18"/>
  <c r="A559" i="18"/>
  <c r="A543" i="18"/>
  <c r="A558" i="18"/>
  <c r="A542" i="18"/>
  <c r="A557" i="18"/>
  <c r="A541" i="18"/>
  <c r="A556" i="18"/>
  <c r="A555" i="18"/>
  <c r="B429" i="18"/>
  <c r="A554" i="18"/>
  <c r="A540" i="18"/>
  <c r="A553" i="18"/>
  <c r="A552" i="18"/>
  <c r="CA39" i="17"/>
  <c r="CA63" i="17"/>
  <c r="CA59" i="17"/>
  <c r="CA42" i="17"/>
  <c r="CA44" i="17"/>
  <c r="CA58" i="17"/>
  <c r="CA38" i="17"/>
  <c r="CA56" i="17"/>
  <c r="CA53" i="17"/>
  <c r="CA43" i="17"/>
  <c r="CA45" i="17"/>
  <c r="CA57" i="17"/>
  <c r="CA55" i="17"/>
  <c r="CA54" i="17"/>
  <c r="CA40" i="17"/>
  <c r="CA60" i="17"/>
  <c r="CA50" i="17"/>
  <c r="CA64" i="17"/>
  <c r="CA47" i="17"/>
  <c r="CA41" i="17"/>
  <c r="CA46" i="17"/>
  <c r="CA61" i="17"/>
  <c r="FA10" i="17"/>
  <c r="FA11" i="17" s="1"/>
  <c r="EV10" i="17"/>
  <c r="EV11" i="17" s="1"/>
  <c r="FC10" i="17"/>
  <c r="FC11" i="17" s="1"/>
  <c r="EX10" i="17"/>
  <c r="EX11" i="17" s="1"/>
  <c r="BD2" i="17"/>
  <c r="BD13" i="17"/>
  <c r="G80" i="17"/>
  <c r="I72" i="18" s="1"/>
  <c r="CA20" i="17"/>
  <c r="F80" i="17"/>
  <c r="H72" i="18" s="1"/>
  <c r="CA30" i="17"/>
  <c r="G81" i="17"/>
  <c r="I73" i="18" s="1"/>
  <c r="CA25" i="17"/>
  <c r="E80" i="17"/>
  <c r="CA24" i="17"/>
  <c r="F81" i="17"/>
  <c r="H73" i="18" s="1"/>
  <c r="CA21" i="17"/>
  <c r="E81" i="17"/>
  <c r="CA31" i="17"/>
  <c r="CA26" i="17"/>
  <c r="CA27" i="17"/>
  <c r="B70" i="18"/>
  <c r="F82" i="17"/>
  <c r="H74" i="18" s="1"/>
  <c r="G82" i="17"/>
  <c r="I74" i="18" s="1"/>
  <c r="E82" i="17"/>
  <c r="CA22" i="17"/>
  <c r="CA23" i="17"/>
  <c r="CA32" i="17"/>
  <c r="CA29" i="17"/>
  <c r="L497" i="18" l="1"/>
  <c r="BZ56" i="17"/>
  <c r="CU56" i="17" s="1"/>
  <c r="EK56" i="17" s="1"/>
  <c r="BZ47" i="17"/>
  <c r="CU47" i="17" s="1"/>
  <c r="EK47" i="17" s="1"/>
  <c r="BZ30" i="17"/>
  <c r="CU30" i="17" s="1"/>
  <c r="EK30" i="17" s="1"/>
  <c r="BZ42" i="17"/>
  <c r="CU42" i="17" s="1"/>
  <c r="EK42" i="17" s="1"/>
  <c r="BZ29" i="17"/>
  <c r="CU29" i="17" s="1"/>
  <c r="EK29" i="17" s="1"/>
  <c r="BZ16" i="17"/>
  <c r="CU16" i="17" s="1"/>
  <c r="EK16" i="17" s="1"/>
  <c r="BZ62" i="17"/>
  <c r="CU62" i="17" s="1"/>
  <c r="EK62" i="17" s="1"/>
  <c r="BZ24" i="17"/>
  <c r="CU24" i="17" s="1"/>
  <c r="EK24" i="17" s="1"/>
  <c r="BZ15" i="17"/>
  <c r="CU15" i="17" s="1"/>
  <c r="EK15" i="17" s="1"/>
  <c r="BZ61" i="17"/>
  <c r="CU61" i="17" s="1"/>
  <c r="EK61" i="17" s="1"/>
  <c r="BZ48" i="17"/>
  <c r="CU48" i="17" s="1"/>
  <c r="EK48" i="17" s="1"/>
  <c r="BZ10" i="17"/>
  <c r="CU10" i="17" s="1"/>
  <c r="EK10" i="17" s="1"/>
  <c r="BZ64" i="17"/>
  <c r="CU64" i="17" s="1"/>
  <c r="EK64" i="17" s="1"/>
  <c r="BZ60" i="17"/>
  <c r="CU60" i="17" s="1"/>
  <c r="EK60" i="17" s="1"/>
  <c r="BZ26" i="17"/>
  <c r="CU26" i="17" s="1"/>
  <c r="EK26" i="17" s="1"/>
  <c r="BZ17" i="17"/>
  <c r="CU17" i="17" s="1"/>
  <c r="EK17" i="17" s="1"/>
  <c r="BZ63" i="17"/>
  <c r="CU63" i="17" s="1"/>
  <c r="EK63" i="17" s="1"/>
  <c r="BZ50" i="17"/>
  <c r="CU50" i="17" s="1"/>
  <c r="EK50" i="17" s="1"/>
  <c r="BZ46" i="17"/>
  <c r="CU46" i="17" s="1"/>
  <c r="EK46" i="17" s="1"/>
  <c r="BZ12" i="17"/>
  <c r="CU12" i="17" s="1"/>
  <c r="EK12" i="17" s="1"/>
  <c r="BZ58" i="17"/>
  <c r="CU58" i="17" s="1"/>
  <c r="EK58" i="17" s="1"/>
  <c r="BZ49" i="17"/>
  <c r="CU49" i="17" s="1"/>
  <c r="EK49" i="17" s="1"/>
  <c r="BZ32" i="17"/>
  <c r="CU32" i="17" s="1"/>
  <c r="EK32" i="17" s="1"/>
  <c r="BZ28" i="17"/>
  <c r="CU28" i="17" s="1"/>
  <c r="EK28" i="17" s="1"/>
  <c r="BZ44" i="17"/>
  <c r="CU44" i="17" s="1"/>
  <c r="EK44" i="17" s="1"/>
  <c r="BZ31" i="17"/>
  <c r="CU31" i="17" s="1"/>
  <c r="EK31" i="17" s="1"/>
  <c r="BZ18" i="17"/>
  <c r="CU18" i="17" s="1"/>
  <c r="EK18" i="17" s="1"/>
  <c r="BZ14" i="17"/>
  <c r="CU14" i="17" s="1"/>
  <c r="EK14" i="17" s="1"/>
  <c r="BZ43" i="17"/>
  <c r="CU43" i="17" s="1"/>
  <c r="EK43" i="17" s="1"/>
  <c r="BZ13" i="17"/>
  <c r="CU13" i="17" s="1"/>
  <c r="EK13" i="17" s="1"/>
  <c r="BZ59" i="17"/>
  <c r="CU59" i="17" s="1"/>
  <c r="EK59" i="17" s="1"/>
  <c r="BZ25" i="17"/>
  <c r="CU25" i="17" s="1"/>
  <c r="EK25" i="17" s="1"/>
  <c r="BZ45" i="17"/>
  <c r="CU45" i="17" s="1"/>
  <c r="EK45" i="17" s="1"/>
  <c r="BZ11" i="17"/>
  <c r="CU11" i="17" s="1"/>
  <c r="EK11" i="17" s="1"/>
  <c r="BZ57" i="17"/>
  <c r="CU57" i="17" s="1"/>
  <c r="EK57" i="17" s="1"/>
  <c r="BZ27" i="17"/>
  <c r="CU27" i="17" s="1"/>
  <c r="EK27" i="17" s="1"/>
  <c r="AL40" i="4"/>
  <c r="L459" i="18" s="1"/>
  <c r="AM230" i="4"/>
  <c r="C137" i="4"/>
  <c r="AE137" i="4" s="1"/>
  <c r="AH137" i="4" s="1"/>
  <c r="C213" i="4"/>
  <c r="AE213" i="4" s="1"/>
  <c r="L499" i="18"/>
  <c r="AG133" i="4"/>
  <c r="AE133" i="4"/>
  <c r="AE134" i="4"/>
  <c r="AG134" i="4"/>
  <c r="AE214" i="4"/>
  <c r="AG214" i="4"/>
  <c r="AF136" i="4"/>
  <c r="AE215" i="4"/>
  <c r="AF216" i="4"/>
  <c r="AI216" i="4"/>
  <c r="AH216" i="4"/>
  <c r="AE132" i="4"/>
  <c r="AG132" i="4"/>
  <c r="AE217" i="4"/>
  <c r="AF212" i="4"/>
  <c r="AH212" i="4"/>
  <c r="AL212" i="4"/>
  <c r="AK212" i="4"/>
  <c r="AF135" i="4"/>
  <c r="AH135" i="4"/>
  <c r="A307" i="4"/>
  <c r="C307" i="4" s="1"/>
  <c r="A308" i="4"/>
  <c r="A230" i="4"/>
  <c r="C230" i="4" s="1"/>
  <c r="AE230" i="4" s="1"/>
  <c r="A232" i="4"/>
  <c r="C232" i="4" s="1"/>
  <c r="AE232" i="4" s="1"/>
  <c r="A231" i="4"/>
  <c r="C231" i="4" s="1"/>
  <c r="AE231" i="4" s="1"/>
  <c r="A309" i="4"/>
  <c r="AL38" i="4"/>
  <c r="L457" i="18" s="1"/>
  <c r="BY59" i="17"/>
  <c r="CS59" i="17" s="1"/>
  <c r="EA59" i="17" s="1"/>
  <c r="BV45" i="17"/>
  <c r="CP45" i="17" s="1"/>
  <c r="DD45" i="17" s="1"/>
  <c r="BX59" i="17"/>
  <c r="BY45" i="17"/>
  <c r="CS45" i="17" s="1"/>
  <c r="EA45" i="17" s="1"/>
  <c r="BV59" i="17"/>
  <c r="CP59" i="17" s="1"/>
  <c r="DD59" i="17" s="1"/>
  <c r="BW45" i="17"/>
  <c r="BW59" i="17"/>
  <c r="BX45" i="17"/>
  <c r="BV43" i="17"/>
  <c r="CP43" i="17" s="1"/>
  <c r="DD43" i="17" s="1"/>
  <c r="BY57" i="17"/>
  <c r="CS57" i="17" s="1"/>
  <c r="EA57" i="17" s="1"/>
  <c r="BW43" i="17"/>
  <c r="BY43" i="17"/>
  <c r="CS43" i="17" s="1"/>
  <c r="EA43" i="17" s="1"/>
  <c r="BW57" i="17"/>
  <c r="BX43" i="17"/>
  <c r="BX57" i="17"/>
  <c r="BV57" i="17"/>
  <c r="CP57" i="17" s="1"/>
  <c r="DD57" i="17" s="1"/>
  <c r="BY61" i="17"/>
  <c r="CS61" i="17" s="1"/>
  <c r="EA61" i="17" s="1"/>
  <c r="BW47" i="17"/>
  <c r="BW62" i="17"/>
  <c r="BV42" i="17"/>
  <c r="CP42" i="17" s="1"/>
  <c r="DD42" i="17" s="1"/>
  <c r="BY48" i="17"/>
  <c r="CS48" i="17" s="1"/>
  <c r="EA48" i="17" s="1"/>
  <c r="BV48" i="17"/>
  <c r="CP48" i="17" s="1"/>
  <c r="DD48" i="17" s="1"/>
  <c r="BV56" i="17"/>
  <c r="CP56" i="17" s="1"/>
  <c r="DD56" i="17" s="1"/>
  <c r="BX61" i="17"/>
  <c r="BV62" i="17"/>
  <c r="CP62" i="17" s="1"/>
  <c r="DD62" i="17" s="1"/>
  <c r="BW42" i="17"/>
  <c r="BX48" i="17"/>
  <c r="BX56" i="17"/>
  <c r="BW61" i="17"/>
  <c r="BY47" i="17"/>
  <c r="CS47" i="17" s="1"/>
  <c r="EA47" i="17" s="1"/>
  <c r="BV47" i="17"/>
  <c r="CP47" i="17" s="1"/>
  <c r="DD47" i="17" s="1"/>
  <c r="BX62" i="17"/>
  <c r="BY42" i="17"/>
  <c r="CS42" i="17" s="1"/>
  <c r="EA42" i="17" s="1"/>
  <c r="BW48" i="17"/>
  <c r="BW56" i="17"/>
  <c r="BV61" i="17"/>
  <c r="CP61" i="17" s="1"/>
  <c r="DD61" i="17" s="1"/>
  <c r="BX47" i="17"/>
  <c r="BY62" i="17"/>
  <c r="CS62" i="17" s="1"/>
  <c r="EA62" i="17" s="1"/>
  <c r="BX42" i="17"/>
  <c r="BY56" i="17"/>
  <c r="CS56" i="17" s="1"/>
  <c r="EA56" i="17" s="1"/>
  <c r="BY63" i="17"/>
  <c r="CS63" i="17" s="1"/>
  <c r="EA63" i="17" s="1"/>
  <c r="BW58" i="17"/>
  <c r="BY49" i="17"/>
  <c r="CS49" i="17" s="1"/>
  <c r="EA49" i="17" s="1"/>
  <c r="BX44" i="17"/>
  <c r="BX63" i="17"/>
  <c r="BV58" i="17"/>
  <c r="CP58" i="17" s="1"/>
  <c r="DD58" i="17" s="1"/>
  <c r="BX49" i="17"/>
  <c r="BW44" i="17"/>
  <c r="BV44" i="17"/>
  <c r="CP44" i="17" s="1"/>
  <c r="DD44" i="17" s="1"/>
  <c r="BW63" i="17"/>
  <c r="BY58" i="17"/>
  <c r="CS58" i="17" s="1"/>
  <c r="EA58" i="17" s="1"/>
  <c r="BW49" i="17"/>
  <c r="BY44" i="17"/>
  <c r="CS44" i="17" s="1"/>
  <c r="EA44" i="17" s="1"/>
  <c r="BV63" i="17"/>
  <c r="CP63" i="17" s="1"/>
  <c r="DD63" i="17" s="1"/>
  <c r="BX58" i="17"/>
  <c r="BV49" i="17"/>
  <c r="CP49" i="17" s="1"/>
  <c r="DD49" i="17" s="1"/>
  <c r="BV50" i="17"/>
  <c r="CP50" i="17" s="1"/>
  <c r="DD50" i="17" s="1"/>
  <c r="BY60" i="17"/>
  <c r="CS60" i="17" s="1"/>
  <c r="EA60" i="17" s="1"/>
  <c r="BX64" i="17"/>
  <c r="BW46" i="17"/>
  <c r="BV46" i="17"/>
  <c r="CP46" i="17" s="1"/>
  <c r="DD46" i="17" s="1"/>
  <c r="BW50" i="17"/>
  <c r="BX50" i="17"/>
  <c r="BV60" i="17"/>
  <c r="CP60" i="17" s="1"/>
  <c r="DD60" i="17" s="1"/>
  <c r="BY64" i="17"/>
  <c r="CS64" i="17" s="1"/>
  <c r="EA64" i="17" s="1"/>
  <c r="BY46" i="17"/>
  <c r="CS46" i="17" s="1"/>
  <c r="EA46" i="17" s="1"/>
  <c r="BY50" i="17"/>
  <c r="CS50" i="17" s="1"/>
  <c r="EA50" i="17" s="1"/>
  <c r="BX60" i="17"/>
  <c r="BW64" i="17"/>
  <c r="BX46" i="17"/>
  <c r="BW60" i="17"/>
  <c r="BV64" i="17"/>
  <c r="CP64" i="17" s="1"/>
  <c r="DD64" i="17" s="1"/>
  <c r="G72" i="18"/>
  <c r="BW12" i="17"/>
  <c r="BX12" i="17"/>
  <c r="BX28" i="17"/>
  <c r="BW17" i="17"/>
  <c r="BY14" i="17"/>
  <c r="CS14" i="17" s="1"/>
  <c r="EA14" i="17" s="1"/>
  <c r="BY32" i="17"/>
  <c r="CS32" i="17" s="1"/>
  <c r="EA32" i="17" s="1"/>
  <c r="BX14" i="17"/>
  <c r="BV14" i="17"/>
  <c r="CP14" i="17" s="1"/>
  <c r="DD14" i="17" s="1"/>
  <c r="BV12" i="17"/>
  <c r="CP12" i="17" s="1"/>
  <c r="DD12" i="17" s="1"/>
  <c r="BX31" i="17"/>
  <c r="BY12" i="17"/>
  <c r="CS12" i="17" s="1"/>
  <c r="EA12" i="17" s="1"/>
  <c r="BW32" i="17"/>
  <c r="BV26" i="17"/>
  <c r="CP26" i="17" s="1"/>
  <c r="DD26" i="17" s="1"/>
  <c r="BW18" i="17"/>
  <c r="BY28" i="17"/>
  <c r="CS28" i="17" s="1"/>
  <c r="EA28" i="17" s="1"/>
  <c r="BX18" i="17"/>
  <c r="BY31" i="17"/>
  <c r="CS31" i="17" s="1"/>
  <c r="EA31" i="17" s="1"/>
  <c r="BX32" i="17"/>
  <c r="BV31" i="17"/>
  <c r="CP31" i="17" s="1"/>
  <c r="DD31" i="17" s="1"/>
  <c r="BV28" i="17"/>
  <c r="CP28" i="17" s="1"/>
  <c r="DD28" i="17" s="1"/>
  <c r="BW14" i="17"/>
  <c r="BY26" i="17"/>
  <c r="CS26" i="17" s="1"/>
  <c r="EA26" i="17" s="1"/>
  <c r="BW28" i="17"/>
  <c r="BX17" i="17"/>
  <c r="BW31" i="17"/>
  <c r="BX26" i="17"/>
  <c r="BV17" i="17"/>
  <c r="CP17" i="17" s="1"/>
  <c r="DD17" i="17" s="1"/>
  <c r="BY17" i="17"/>
  <c r="CS17" i="17" s="1"/>
  <c r="EA17" i="17" s="1"/>
  <c r="BW26" i="17"/>
  <c r="BY18" i="17"/>
  <c r="CS18" i="17" s="1"/>
  <c r="EA18" i="17" s="1"/>
  <c r="BV32" i="17"/>
  <c r="CP32" i="17" s="1"/>
  <c r="DD32" i="17" s="1"/>
  <c r="BV18" i="17"/>
  <c r="CP18" i="17" s="1"/>
  <c r="DD18" i="17" s="1"/>
  <c r="G73" i="18"/>
  <c r="BV29" i="17"/>
  <c r="CP29" i="17" s="1"/>
  <c r="DD29" i="17" s="1"/>
  <c r="BW15" i="17"/>
  <c r="BY30" i="17"/>
  <c r="CS30" i="17" s="1"/>
  <c r="EA30" i="17" s="1"/>
  <c r="BX24" i="17"/>
  <c r="BY16" i="17"/>
  <c r="CS16" i="17" s="1"/>
  <c r="EA16" i="17" s="1"/>
  <c r="BX10" i="17"/>
  <c r="BV15" i="17"/>
  <c r="CP15" i="17" s="1"/>
  <c r="DD15" i="17" s="1"/>
  <c r="BV10" i="17"/>
  <c r="CP10" i="17" s="1"/>
  <c r="DD10" i="17" s="1"/>
  <c r="BV24" i="17"/>
  <c r="CP24" i="17" s="1"/>
  <c r="DD24" i="17" s="1"/>
  <c r="BW16" i="17"/>
  <c r="BX15" i="17"/>
  <c r="BW30" i="17"/>
  <c r="BX29" i="17"/>
  <c r="BX16" i="17"/>
  <c r="BY10" i="17"/>
  <c r="CS10" i="17" s="1"/>
  <c r="EA10" i="17" s="1"/>
  <c r="BV30" i="17"/>
  <c r="CP30" i="17" s="1"/>
  <c r="DD30" i="17" s="1"/>
  <c r="BW29" i="17"/>
  <c r="BY29" i="17"/>
  <c r="CS29" i="17" s="1"/>
  <c r="EA29" i="17" s="1"/>
  <c r="BV16" i="17"/>
  <c r="CP16" i="17" s="1"/>
  <c r="DD16" i="17" s="1"/>
  <c r="BY24" i="17"/>
  <c r="CS24" i="17" s="1"/>
  <c r="EA24" i="17" s="1"/>
  <c r="BX30" i="17"/>
  <c r="BW24" i="17"/>
  <c r="BY15" i="17"/>
  <c r="CS15" i="17" s="1"/>
  <c r="EA15" i="17" s="1"/>
  <c r="BW10" i="17"/>
  <c r="BV13" i="17"/>
  <c r="CP13" i="17" s="1"/>
  <c r="DD13" i="17" s="1"/>
  <c r="BY11" i="17"/>
  <c r="CS11" i="17" s="1"/>
  <c r="EA11" i="17" s="1"/>
  <c r="BY13" i="17"/>
  <c r="CS13" i="17" s="1"/>
  <c r="EA13" i="17" s="1"/>
  <c r="BW25" i="17"/>
  <c r="BV11" i="17"/>
  <c r="CP11" i="17" s="1"/>
  <c r="DD11" i="17" s="1"/>
  <c r="BX13" i="17"/>
  <c r="BX25" i="17"/>
  <c r="BW11" i="17"/>
  <c r="BW27" i="17"/>
  <c r="BV27" i="17"/>
  <c r="CP27" i="17" s="1"/>
  <c r="DD27" i="17" s="1"/>
  <c r="BY25" i="17"/>
  <c r="CS25" i="17" s="1"/>
  <c r="EA25" i="17" s="1"/>
  <c r="BY27" i="17"/>
  <c r="CS27" i="17" s="1"/>
  <c r="EA27" i="17" s="1"/>
  <c r="BV25" i="17"/>
  <c r="CP25" i="17" s="1"/>
  <c r="DD25" i="17" s="1"/>
  <c r="BW13" i="17"/>
  <c r="BX11" i="17"/>
  <c r="BX27" i="17"/>
  <c r="G74" i="18"/>
  <c r="CA17" i="17"/>
  <c r="CA16" i="17"/>
  <c r="CA18" i="17"/>
  <c r="CA15" i="17"/>
  <c r="CA14" i="17"/>
  <c r="CA13" i="17"/>
  <c r="CA12" i="17"/>
  <c r="CA11" i="17"/>
  <c r="CA10" i="17"/>
  <c r="CA9" i="17"/>
  <c r="CA8" i="17"/>
  <c r="CA7" i="17"/>
  <c r="CA6" i="17"/>
  <c r="V8" i="17" l="1"/>
  <c r="AH230" i="4"/>
  <c r="AL230" i="4"/>
  <c r="AH232" i="4"/>
  <c r="AL232" i="4"/>
  <c r="AK232" i="4" s="1"/>
  <c r="AH231" i="4"/>
  <c r="AL231" i="4"/>
  <c r="AK231" i="4" s="1"/>
  <c r="AE224" i="4"/>
  <c r="L513" i="18" s="1"/>
  <c r="AF137" i="4"/>
  <c r="AL136" i="4"/>
  <c r="AK136" i="4" s="1"/>
  <c r="AK213" i="4"/>
  <c r="AF213" i="4"/>
  <c r="AL213" i="4"/>
  <c r="AH213" i="4"/>
  <c r="C309" i="4"/>
  <c r="AE309" i="4" s="1"/>
  <c r="AH309" i="4" s="1"/>
  <c r="C308" i="4"/>
  <c r="AE308" i="4" s="1"/>
  <c r="AH308" i="4" s="1"/>
  <c r="AD224" i="4"/>
  <c r="L509" i="18" s="1"/>
  <c r="AL39" i="4"/>
  <c r="L458" i="18" s="1"/>
  <c r="AL135" i="4"/>
  <c r="AK135" i="4" s="1"/>
  <c r="AZ5" i="4"/>
  <c r="AF232" i="4"/>
  <c r="AF132" i="4"/>
  <c r="AI132" i="4"/>
  <c r="AH132" i="4"/>
  <c r="AF134" i="4"/>
  <c r="AH134" i="4"/>
  <c r="AI134" i="4"/>
  <c r="AF230" i="4"/>
  <c r="AK230" i="4"/>
  <c r="AF133" i="4"/>
  <c r="AI133" i="4"/>
  <c r="AH133" i="4"/>
  <c r="AF217" i="4"/>
  <c r="AI217" i="4"/>
  <c r="AH217" i="4"/>
  <c r="AH214" i="4"/>
  <c r="AL214" i="4"/>
  <c r="AF214" i="4"/>
  <c r="AI214" i="4" s="1"/>
  <c r="AK214" i="4"/>
  <c r="AF231" i="4"/>
  <c r="AG307" i="4"/>
  <c r="AE307" i="4"/>
  <c r="AH307" i="4" s="1"/>
  <c r="AL137" i="4"/>
  <c r="AK137" i="4" s="1"/>
  <c r="AG216" i="4"/>
  <c r="AF215" i="4"/>
  <c r="AH215" i="4"/>
  <c r="AI215" i="4"/>
  <c r="B80" i="17"/>
  <c r="B72" i="18" s="1"/>
  <c r="V17" i="17" l="1"/>
  <c r="V19" i="17"/>
  <c r="W19" i="17" s="1"/>
  <c r="AL308" i="4"/>
  <c r="AK309" i="4"/>
  <c r="AF309" i="4"/>
  <c r="AI309" i="4" s="1"/>
  <c r="AG309" i="4" s="1"/>
  <c r="AL309" i="4"/>
  <c r="AE316" i="4"/>
  <c r="L468" i="18" s="1"/>
  <c r="AF308" i="4"/>
  <c r="AK308" i="4"/>
  <c r="AI224" i="4"/>
  <c r="AF20" i="4" s="1"/>
  <c r="L477" i="18" s="1"/>
  <c r="AG217" i="4"/>
  <c r="AF307" i="4"/>
  <c r="AI307" i="4" s="1"/>
  <c r="AL307" i="4"/>
  <c r="AK307" i="4"/>
  <c r="AG215" i="4"/>
  <c r="CC2" i="17"/>
  <c r="C59" i="17"/>
  <c r="C57" i="17"/>
  <c r="AF24" i="4" l="1"/>
  <c r="L480" i="18" s="1"/>
  <c r="AF23" i="4"/>
  <c r="AF30" i="4"/>
  <c r="L503" i="18" s="1"/>
  <c r="A145" i="18"/>
  <c r="E53" i="18"/>
  <c r="F59" i="17"/>
  <c r="F58" i="17"/>
  <c r="C53" i="18"/>
  <c r="C607" i="18" s="1"/>
  <c r="F104" i="17"/>
  <c r="A592" i="18"/>
  <c r="A591" i="18"/>
  <c r="A588" i="18"/>
  <c r="A589" i="18"/>
  <c r="A586" i="18"/>
  <c r="A521" i="18"/>
  <c r="A519" i="18"/>
  <c r="A472" i="18"/>
  <c r="A473" i="18"/>
  <c r="A516" i="18"/>
  <c r="A490" i="18"/>
  <c r="A480" i="18"/>
  <c r="A515" i="18"/>
  <c r="A483" i="18"/>
  <c r="A481" i="18"/>
  <c r="A442" i="18"/>
  <c r="A443" i="18"/>
  <c r="A441" i="18"/>
  <c r="A423" i="18"/>
  <c r="A421" i="18"/>
  <c r="A420" i="18"/>
  <c r="A415" i="18"/>
  <c r="A414" i="18"/>
  <c r="A413" i="18"/>
  <c r="A411" i="18"/>
  <c r="A410" i="18"/>
  <c r="A409" i="18"/>
  <c r="A408" i="18"/>
  <c r="A405" i="18"/>
  <c r="A404" i="18"/>
  <c r="A403" i="18"/>
  <c r="A402" i="18"/>
  <c r="A401" i="18"/>
  <c r="A394" i="18"/>
  <c r="A393" i="18"/>
  <c r="A391" i="18"/>
  <c r="A390" i="18"/>
  <c r="A389" i="18"/>
  <c r="A388" i="18"/>
  <c r="A386" i="18"/>
  <c r="A385" i="18"/>
  <c r="A384" i="18"/>
  <c r="A383" i="18"/>
  <c r="A382" i="18"/>
  <c r="A370" i="18"/>
  <c r="A369" i="18"/>
  <c r="A367" i="18"/>
  <c r="A366" i="18"/>
  <c r="A365" i="18"/>
  <c r="A364" i="18"/>
  <c r="A362" i="18"/>
  <c r="A361" i="18"/>
  <c r="A360" i="18"/>
  <c r="A359" i="18"/>
  <c r="A357" i="18"/>
  <c r="A356" i="18"/>
  <c r="A355" i="18"/>
  <c r="A354" i="18"/>
  <c r="A353" i="18"/>
  <c r="A350" i="18"/>
  <c r="A348" i="18"/>
  <c r="A347" i="18"/>
  <c r="A346" i="18"/>
  <c r="A344" i="18"/>
  <c r="A343" i="18"/>
  <c r="A342" i="18"/>
  <c r="A341" i="18"/>
  <c r="A339" i="18"/>
  <c r="A338" i="18"/>
  <c r="A337" i="18"/>
  <c r="A336" i="18"/>
  <c r="A335" i="18"/>
  <c r="A332" i="18"/>
  <c r="A331" i="18"/>
  <c r="A315" i="18"/>
  <c r="A330" i="18"/>
  <c r="A329" i="18"/>
  <c r="A327" i="18"/>
  <c r="A326" i="18"/>
  <c r="A325" i="18"/>
  <c r="A324" i="18"/>
  <c r="A322" i="18"/>
  <c r="A321" i="18"/>
  <c r="A320" i="18"/>
  <c r="A319" i="18"/>
  <c r="A318" i="18"/>
  <c r="A313" i="18"/>
  <c r="A312" i="18"/>
  <c r="A311" i="18"/>
  <c r="A309" i="18"/>
  <c r="A308" i="18"/>
  <c r="A307" i="18"/>
  <c r="A306" i="18"/>
  <c r="A304" i="18"/>
  <c r="A303" i="18"/>
  <c r="A302" i="18"/>
  <c r="A301" i="18"/>
  <c r="A300" i="18"/>
  <c r="A264" i="18"/>
  <c r="A263" i="18"/>
  <c r="A262" i="18"/>
  <c r="A261" i="18"/>
  <c r="A260" i="18"/>
  <c r="A259" i="18"/>
  <c r="A255" i="18"/>
  <c r="A254" i="18"/>
  <c r="A253" i="18"/>
  <c r="A252" i="18"/>
  <c r="A251" i="18"/>
  <c r="A250" i="18"/>
  <c r="A247" i="18"/>
  <c r="A246" i="18"/>
  <c r="A240" i="18"/>
  <c r="A239" i="18"/>
  <c r="A238" i="18"/>
  <c r="A237" i="18"/>
  <c r="A236" i="18"/>
  <c r="A231" i="18"/>
  <c r="A233" i="18"/>
  <c r="A234" i="18"/>
  <c r="A230" i="18"/>
  <c r="A229" i="18"/>
  <c r="A226" i="18"/>
  <c r="A227" i="18"/>
  <c r="A228" i="18"/>
  <c r="A225" i="18"/>
  <c r="A222" i="18"/>
  <c r="A221" i="18"/>
  <c r="A220" i="18"/>
  <c r="A219" i="18"/>
  <c r="A218" i="18"/>
  <c r="A216" i="18"/>
  <c r="A215" i="18"/>
  <c r="A214" i="18"/>
  <c r="A213" i="18"/>
  <c r="A212" i="18"/>
  <c r="A211" i="18"/>
  <c r="A210" i="18"/>
  <c r="A209" i="18"/>
  <c r="A208" i="18"/>
  <c r="A195" i="18"/>
  <c r="A194" i="18"/>
  <c r="A192" i="18"/>
  <c r="A191" i="18"/>
  <c r="A190" i="18"/>
  <c r="A189" i="18"/>
  <c r="A187" i="18"/>
  <c r="A185" i="18"/>
  <c r="A183" i="18"/>
  <c r="A182" i="18"/>
  <c r="A181" i="18"/>
  <c r="A179" i="18"/>
  <c r="A178" i="18"/>
  <c r="A177" i="18"/>
  <c r="A176" i="18"/>
  <c r="A175" i="18"/>
  <c r="A174" i="18"/>
  <c r="A172" i="18"/>
  <c r="A170" i="18"/>
  <c r="A169" i="18"/>
  <c r="A168" i="18"/>
  <c r="A166" i="18"/>
  <c r="A165" i="18"/>
  <c r="A164" i="18"/>
  <c r="A163" i="18"/>
  <c r="A162" i="18"/>
  <c r="E607" i="18" l="1"/>
  <c r="AF47" i="4"/>
  <c r="AF26" i="4"/>
  <c r="FC9" i="17"/>
  <c r="FA9" i="17"/>
  <c r="FC7" i="17"/>
  <c r="FC12" i="17" s="1"/>
  <c r="FC17" i="17" s="1"/>
  <c r="FC8" i="17"/>
  <c r="FA8" i="17"/>
  <c r="FA14" i="17" s="1"/>
  <c r="FA17" i="17" s="1"/>
  <c r="EX7" i="17"/>
  <c r="EX12" i="17" s="1"/>
  <c r="EV7" i="17"/>
  <c r="EX8" i="17"/>
  <c r="EV8" i="17"/>
  <c r="EX9" i="17"/>
  <c r="EV9" i="17"/>
  <c r="C675" i="18"/>
  <c r="C678" i="18" s="1"/>
  <c r="C674" i="18"/>
  <c r="C677" i="18" s="1"/>
  <c r="E144" i="18"/>
  <c r="G52" i="18"/>
  <c r="G606" i="18" s="1"/>
  <c r="E145" i="18"/>
  <c r="G53" i="18"/>
  <c r="G607" i="18" s="1"/>
  <c r="L219" i="18"/>
  <c r="B203" i="18"/>
  <c r="B295" i="18"/>
  <c r="B379" i="18"/>
  <c r="T390" i="18"/>
  <c r="L390" i="18"/>
  <c r="P383" i="18"/>
  <c r="F295" i="18"/>
  <c r="R390" i="18"/>
  <c r="N383" i="18"/>
  <c r="C295" i="18"/>
  <c r="P390" i="18"/>
  <c r="T383" i="18"/>
  <c r="L383" i="18"/>
  <c r="F379" i="18"/>
  <c r="N390" i="18"/>
  <c r="R383" i="18"/>
  <c r="C379" i="18"/>
  <c r="T319" i="18"/>
  <c r="L319" i="18"/>
  <c r="N219" i="18"/>
  <c r="N319" i="18"/>
  <c r="P219" i="18"/>
  <c r="F203" i="18"/>
  <c r="R319" i="18"/>
  <c r="T219" i="18"/>
  <c r="C203" i="18"/>
  <c r="P319" i="18"/>
  <c r="R219" i="18"/>
  <c r="AF46" i="4" l="1"/>
  <c r="AF48" i="4" s="1"/>
  <c r="L483" i="18"/>
  <c r="O12" i="17"/>
  <c r="T385" i="18"/>
  <c r="L385" i="18"/>
  <c r="R385" i="18"/>
  <c r="P385" i="18"/>
  <c r="N385" i="18"/>
  <c r="AW9" i="17"/>
  <c r="AW10" i="17"/>
  <c r="AW11" i="17"/>
  <c r="AW12" i="17"/>
  <c r="AW13" i="17"/>
  <c r="AW8" i="17"/>
  <c r="F27" i="18"/>
  <c r="A102" i="17"/>
  <c r="A101" i="17"/>
  <c r="A100" i="17"/>
  <c r="A99" i="17"/>
  <c r="C48" i="18"/>
  <c r="C602" i="18" s="1"/>
  <c r="AS662" i="14" l="1"/>
  <c r="AR662" i="14"/>
  <c r="AQ662" i="14"/>
  <c r="AP662" i="14"/>
  <c r="AS661" i="14"/>
  <c r="AR661" i="14"/>
  <c r="AQ661" i="14"/>
  <c r="AP661" i="14"/>
  <c r="AS660" i="14"/>
  <c r="AR660" i="14"/>
  <c r="AQ660" i="14"/>
  <c r="AP660" i="14"/>
  <c r="A660" i="14"/>
  <c r="AS659" i="14"/>
  <c r="AR659" i="14"/>
  <c r="AQ659" i="14"/>
  <c r="AP659" i="14"/>
  <c r="A659" i="14"/>
  <c r="AS658" i="14"/>
  <c r="AR658" i="14"/>
  <c r="AQ658" i="14"/>
  <c r="AP658" i="14"/>
  <c r="A658" i="14"/>
  <c r="AS657" i="14"/>
  <c r="AR657" i="14"/>
  <c r="AQ657" i="14"/>
  <c r="AP657" i="14"/>
  <c r="A657" i="14"/>
  <c r="AS656" i="14"/>
  <c r="AR656" i="14"/>
  <c r="AQ656" i="14"/>
  <c r="AP656" i="14"/>
  <c r="A656" i="14"/>
  <c r="AS655" i="14"/>
  <c r="AR655" i="14"/>
  <c r="AQ655" i="14"/>
  <c r="AP655" i="14"/>
  <c r="A655" i="14"/>
  <c r="A654" i="14"/>
  <c r="A653" i="14"/>
  <c r="A652" i="14"/>
  <c r="A651" i="14"/>
  <c r="A650" i="14"/>
  <c r="A649" i="14"/>
  <c r="A648" i="14"/>
  <c r="A647" i="14"/>
  <c r="A646" i="14"/>
  <c r="A645" i="14"/>
  <c r="A644" i="14"/>
  <c r="A643" i="14"/>
  <c r="A642" i="14"/>
  <c r="A641" i="14"/>
  <c r="A640" i="14"/>
  <c r="A639" i="14"/>
  <c r="A638" i="14"/>
  <c r="A637" i="14"/>
  <c r="A636" i="14"/>
  <c r="A635" i="14"/>
  <c r="A634" i="14"/>
  <c r="A633" i="14"/>
  <c r="A632" i="14"/>
  <c r="A631" i="14"/>
  <c r="A630" i="14"/>
  <c r="A629" i="14"/>
  <c r="A628" i="14"/>
  <c r="A627" i="14"/>
  <c r="A626" i="14"/>
  <c r="A625" i="14"/>
  <c r="A624" i="14"/>
  <c r="A623" i="14"/>
  <c r="A622" i="14"/>
  <c r="A621" i="14"/>
  <c r="A620" i="14"/>
  <c r="A619" i="14"/>
  <c r="A618" i="14"/>
  <c r="A617" i="14"/>
  <c r="A616" i="14"/>
  <c r="A615" i="14"/>
  <c r="A614" i="14"/>
  <c r="A613" i="14"/>
  <c r="A612" i="14"/>
  <c r="A611" i="14"/>
  <c r="A610" i="14"/>
  <c r="A609" i="14"/>
  <c r="A608" i="14"/>
  <c r="A607" i="14"/>
  <c r="A606" i="14"/>
  <c r="A605" i="14"/>
  <c r="A604" i="14"/>
  <c r="A603" i="14"/>
  <c r="A602" i="14"/>
  <c r="A601" i="14"/>
  <c r="A600" i="14"/>
  <c r="A599" i="14"/>
  <c r="A598" i="14"/>
  <c r="A597" i="14"/>
  <c r="A596" i="14"/>
  <c r="A595" i="14"/>
  <c r="A594" i="14"/>
  <c r="A593" i="14"/>
  <c r="A592" i="14"/>
  <c r="A591" i="14"/>
  <c r="A590" i="14"/>
  <c r="A589" i="14"/>
  <c r="AS585" i="14"/>
  <c r="AR585" i="14"/>
  <c r="AQ585" i="14"/>
  <c r="AP585" i="14"/>
  <c r="A585" i="14"/>
  <c r="AS584" i="14"/>
  <c r="AR584" i="14"/>
  <c r="AQ584" i="14"/>
  <c r="AP584" i="14"/>
  <c r="A584" i="14"/>
  <c r="AS583" i="14"/>
  <c r="AR583" i="14"/>
  <c r="AQ583" i="14"/>
  <c r="AP583" i="14"/>
  <c r="AS582" i="14"/>
  <c r="AR582" i="14"/>
  <c r="AQ582" i="14"/>
  <c r="AP582" i="14"/>
  <c r="AS581" i="14"/>
  <c r="AR581" i="14"/>
  <c r="AQ581" i="14"/>
  <c r="AP581" i="14"/>
  <c r="A581" i="14"/>
  <c r="AS580" i="14"/>
  <c r="AR580" i="14"/>
  <c r="AQ580" i="14"/>
  <c r="AP580" i="14"/>
  <c r="A580" i="14"/>
  <c r="AS579" i="14"/>
  <c r="AR579" i="14"/>
  <c r="AQ579" i="14"/>
  <c r="AP579" i="14"/>
  <c r="A579" i="14"/>
  <c r="AS578" i="14"/>
  <c r="AR578" i="14"/>
  <c r="AQ578" i="14"/>
  <c r="AP578" i="14"/>
  <c r="A578" i="14"/>
  <c r="AS577" i="14"/>
  <c r="AR577" i="14"/>
  <c r="AQ577" i="14"/>
  <c r="AP577" i="14"/>
  <c r="A577" i="14"/>
  <c r="AS576" i="14"/>
  <c r="AR576" i="14"/>
  <c r="AQ576" i="14"/>
  <c r="AP576" i="14"/>
  <c r="A576" i="14"/>
  <c r="AS575" i="14"/>
  <c r="AR575" i="14"/>
  <c r="AQ575" i="14"/>
  <c r="AP575" i="14"/>
  <c r="A575" i="14"/>
  <c r="AR574" i="14"/>
  <c r="AQ574" i="14"/>
  <c r="AP574" i="14"/>
  <c r="A574" i="14"/>
  <c r="AR573" i="14"/>
  <c r="AQ573" i="14"/>
  <c r="AP573" i="14"/>
  <c r="A573" i="14"/>
  <c r="AR572" i="14"/>
  <c r="AQ572" i="14"/>
  <c r="AP572" i="14"/>
  <c r="A572" i="14"/>
  <c r="AR571" i="14"/>
  <c r="AQ571" i="14"/>
  <c r="AP571" i="14"/>
  <c r="A571" i="14"/>
  <c r="AR570" i="14"/>
  <c r="AQ570" i="14"/>
  <c r="AP570" i="14"/>
  <c r="A570" i="14"/>
  <c r="AR569" i="14"/>
  <c r="AQ569" i="14"/>
  <c r="AP569" i="14"/>
  <c r="A569" i="14"/>
  <c r="AR568" i="14"/>
  <c r="AQ568" i="14"/>
  <c r="AP568" i="14"/>
  <c r="A568" i="14"/>
  <c r="AR567" i="14"/>
  <c r="AQ567" i="14"/>
  <c r="AP567" i="14"/>
  <c r="A567" i="14"/>
  <c r="A566" i="14"/>
  <c r="A565" i="14"/>
  <c r="A564" i="14"/>
  <c r="A563" i="14"/>
  <c r="A562" i="14"/>
  <c r="A561" i="14"/>
  <c r="A560" i="14"/>
  <c r="A559" i="14"/>
  <c r="A558" i="14"/>
  <c r="A557" i="14"/>
  <c r="A556" i="14"/>
  <c r="A555" i="14"/>
  <c r="A554" i="14"/>
  <c r="A553" i="14"/>
  <c r="A552" i="14"/>
  <c r="A551" i="14"/>
  <c r="A550" i="14"/>
  <c r="A549" i="14"/>
  <c r="A548" i="14"/>
  <c r="A547" i="14"/>
  <c r="A546" i="14"/>
  <c r="A545" i="14"/>
  <c r="A544" i="14"/>
  <c r="A543" i="14"/>
  <c r="A542" i="14"/>
  <c r="A541" i="14"/>
  <c r="A540" i="14"/>
  <c r="A539" i="14"/>
  <c r="A538" i="14"/>
  <c r="A537" i="14"/>
  <c r="A536" i="14"/>
  <c r="A535" i="14"/>
  <c r="A534" i="14"/>
  <c r="A533" i="14"/>
  <c r="A532" i="14"/>
  <c r="A531" i="14"/>
  <c r="A530" i="14"/>
  <c r="A529" i="14"/>
  <c r="A528" i="14"/>
  <c r="A527" i="14"/>
  <c r="A526" i="14"/>
  <c r="A525" i="14"/>
  <c r="A524" i="14"/>
  <c r="A523" i="14"/>
  <c r="A522" i="14"/>
  <c r="A521" i="14"/>
  <c r="A520" i="14"/>
  <c r="A519" i="14"/>
  <c r="A518" i="14"/>
  <c r="A517" i="14"/>
  <c r="A516" i="14"/>
  <c r="A515" i="14"/>
  <c r="A514" i="14"/>
  <c r="A513" i="14"/>
  <c r="A512" i="14"/>
  <c r="A354" i="14"/>
  <c r="A353" i="14"/>
  <c r="A352" i="14"/>
  <c r="A351" i="14"/>
  <c r="A350" i="14"/>
  <c r="A349" i="14"/>
  <c r="A348" i="14"/>
  <c r="A347" i="14"/>
  <c r="AS346" i="14"/>
  <c r="AR346" i="14"/>
  <c r="AQ346" i="14"/>
  <c r="AP346" i="14"/>
  <c r="A346" i="14"/>
  <c r="AS345" i="14"/>
  <c r="AR345" i="14"/>
  <c r="AQ345" i="14"/>
  <c r="AP345" i="14"/>
  <c r="A345" i="14"/>
  <c r="AS344" i="14"/>
  <c r="AR344" i="14"/>
  <c r="AQ344" i="14"/>
  <c r="AP344" i="14"/>
  <c r="A344" i="14"/>
  <c r="AS343" i="14"/>
  <c r="AR343" i="14"/>
  <c r="AQ343" i="14"/>
  <c r="AP343" i="14"/>
  <c r="A343" i="14"/>
  <c r="AS342" i="14"/>
  <c r="AR342" i="14"/>
  <c r="AQ342" i="14"/>
  <c r="AP342" i="14"/>
  <c r="A342" i="14"/>
  <c r="AS341" i="14"/>
  <c r="AR341" i="14"/>
  <c r="AQ341" i="14"/>
  <c r="AP341" i="14"/>
  <c r="A341" i="14"/>
  <c r="AS340" i="14"/>
  <c r="AR340" i="14"/>
  <c r="AQ340" i="14"/>
  <c r="AP340" i="14"/>
  <c r="A340" i="14"/>
  <c r="AS339" i="14"/>
  <c r="AR339" i="14"/>
  <c r="AQ339" i="14"/>
  <c r="AP339" i="14"/>
  <c r="A339" i="14"/>
  <c r="AS338" i="14"/>
  <c r="AR338" i="14"/>
  <c r="AQ338" i="14"/>
  <c r="AP338" i="14"/>
  <c r="A338" i="14"/>
  <c r="AS337" i="14"/>
  <c r="AR337" i="14"/>
  <c r="AQ337" i="14"/>
  <c r="AP337" i="14"/>
  <c r="A337" i="14"/>
  <c r="AS336" i="14"/>
  <c r="AR336" i="14"/>
  <c r="AQ336" i="14"/>
  <c r="AP336" i="14"/>
  <c r="A336" i="14"/>
  <c r="A335" i="14"/>
  <c r="A334" i="14"/>
  <c r="A333" i="14"/>
  <c r="A332" i="14"/>
  <c r="A331" i="14"/>
  <c r="A330" i="14"/>
  <c r="A329" i="14"/>
  <c r="A328" i="14"/>
  <c r="A327" i="14"/>
  <c r="A326" i="14"/>
  <c r="A325" i="14"/>
  <c r="A324" i="14"/>
  <c r="A323" i="14"/>
  <c r="A322" i="14"/>
  <c r="A321" i="14"/>
  <c r="A320" i="14"/>
  <c r="A319" i="14"/>
  <c r="A318" i="14"/>
  <c r="A317" i="14"/>
  <c r="A316" i="14"/>
  <c r="A315" i="14"/>
  <c r="A314" i="14"/>
  <c r="A313" i="14"/>
  <c r="A312" i="14"/>
  <c r="A311" i="14"/>
  <c r="A310" i="14"/>
  <c r="A309" i="14"/>
  <c r="A308" i="14"/>
  <c r="A307" i="14"/>
  <c r="A306" i="14"/>
  <c r="A305" i="14"/>
  <c r="A304" i="14"/>
  <c r="A303" i="14"/>
  <c r="A302" i="14"/>
  <c r="A301" i="14"/>
  <c r="A300" i="14"/>
  <c r="A299" i="14"/>
  <c r="A298" i="14"/>
  <c r="A297" i="14"/>
  <c r="A296" i="14"/>
  <c r="A295" i="14"/>
  <c r="A294" i="14"/>
  <c r="A293" i="14"/>
  <c r="A292" i="14"/>
  <c r="A291" i="14"/>
  <c r="A290" i="14"/>
  <c r="A289" i="14"/>
  <c r="A288" i="14"/>
  <c r="A287" i="14"/>
  <c r="A286" i="14"/>
  <c r="A285" i="14"/>
  <c r="A284" i="14"/>
  <c r="A283" i="14"/>
  <c r="A282" i="14"/>
  <c r="A281" i="14"/>
  <c r="AQ277" i="14"/>
  <c r="AP277" i="14"/>
  <c r="AQ276" i="14"/>
  <c r="AP276" i="14"/>
  <c r="AQ275" i="14"/>
  <c r="AP275" i="14"/>
  <c r="AQ274" i="14"/>
  <c r="AP274" i="14"/>
  <c r="AQ273" i="14"/>
  <c r="AP273" i="14"/>
  <c r="AQ272" i="14"/>
  <c r="AP272" i="14"/>
  <c r="AQ271" i="14"/>
  <c r="AP271" i="14"/>
  <c r="AQ270" i="14"/>
  <c r="AP270" i="14"/>
  <c r="AR269" i="14"/>
  <c r="AQ269" i="14"/>
  <c r="AP269" i="14"/>
  <c r="AR268" i="14"/>
  <c r="AQ268" i="14"/>
  <c r="AP268" i="14"/>
  <c r="AR267" i="14"/>
  <c r="AQ267" i="14"/>
  <c r="AP267" i="14"/>
  <c r="AS266" i="14"/>
  <c r="AR266" i="14"/>
  <c r="AQ266" i="14"/>
  <c r="AP266" i="14"/>
  <c r="AS265" i="14"/>
  <c r="AR265" i="14"/>
  <c r="AQ265" i="14"/>
  <c r="AP265" i="14"/>
  <c r="A265" i="14"/>
  <c r="AS264" i="14"/>
  <c r="AR264" i="14"/>
  <c r="AQ264" i="14"/>
  <c r="AP264" i="14"/>
  <c r="A264" i="14"/>
  <c r="AS263" i="14"/>
  <c r="AR263" i="14"/>
  <c r="AQ263" i="14"/>
  <c r="AP263" i="14"/>
  <c r="A263" i="14"/>
  <c r="AS262" i="14"/>
  <c r="AR262" i="14"/>
  <c r="AQ262" i="14"/>
  <c r="AP262" i="14"/>
  <c r="A262" i="14"/>
  <c r="AS261" i="14"/>
  <c r="AR261" i="14"/>
  <c r="AQ261" i="14"/>
  <c r="AP261" i="14"/>
  <c r="A261" i="14"/>
  <c r="AS260" i="14"/>
  <c r="AR260" i="14"/>
  <c r="AQ260" i="14"/>
  <c r="AP260" i="14"/>
  <c r="A260" i="14"/>
  <c r="AS259" i="14"/>
  <c r="AR259" i="14"/>
  <c r="AQ259" i="14"/>
  <c r="AP259" i="14"/>
  <c r="A259" i="14"/>
  <c r="A258" i="14"/>
  <c r="A257" i="14"/>
  <c r="A256" i="14"/>
  <c r="A255" i="14"/>
  <c r="A254" i="14"/>
  <c r="A253" i="14"/>
  <c r="A252" i="14"/>
  <c r="A251" i="14"/>
  <c r="A250" i="14"/>
  <c r="A249" i="14"/>
  <c r="A248" i="14"/>
  <c r="A247" i="14"/>
  <c r="A246" i="14"/>
  <c r="A245" i="14"/>
  <c r="A244" i="14"/>
  <c r="A243" i="14"/>
  <c r="A242" i="14"/>
  <c r="A241" i="14"/>
  <c r="A240" i="14"/>
  <c r="A239" i="14"/>
  <c r="A238" i="14"/>
  <c r="A237" i="14"/>
  <c r="A236" i="14"/>
  <c r="A235" i="14"/>
  <c r="A234" i="14"/>
  <c r="A233" i="14"/>
  <c r="A232" i="14"/>
  <c r="A231" i="14"/>
  <c r="A230" i="14"/>
  <c r="A229" i="14"/>
  <c r="A228" i="14"/>
  <c r="A227" i="14"/>
  <c r="A226" i="14"/>
  <c r="A225" i="14"/>
  <c r="A224" i="14"/>
  <c r="A223" i="14"/>
  <c r="A222" i="14"/>
  <c r="A221" i="14"/>
  <c r="A220" i="14"/>
  <c r="A219" i="14"/>
  <c r="A218" i="14"/>
  <c r="A217" i="14"/>
  <c r="A216" i="14"/>
  <c r="A215" i="14"/>
  <c r="A214" i="14"/>
  <c r="A213" i="14"/>
  <c r="A212" i="14"/>
  <c r="A211" i="14"/>
  <c r="A210" i="14"/>
  <c r="A209" i="14"/>
  <c r="A208" i="14"/>
  <c r="A207" i="14"/>
  <c r="A206" i="14"/>
  <c r="A205" i="14"/>
  <c r="A204" i="14"/>
  <c r="AQ200" i="14"/>
  <c r="AQ354" i="14" s="1"/>
  <c r="AP200" i="14"/>
  <c r="AP354" i="14" s="1"/>
  <c r="AQ199" i="14"/>
  <c r="AQ353" i="14" s="1"/>
  <c r="AP199" i="14"/>
  <c r="AP353" i="14" s="1"/>
  <c r="AQ198" i="14"/>
  <c r="AQ352" i="14" s="1"/>
  <c r="AP198" i="14"/>
  <c r="AP352" i="14" s="1"/>
  <c r="AQ197" i="14"/>
  <c r="AQ351" i="14" s="1"/>
  <c r="AP197" i="14"/>
  <c r="AP351" i="14" s="1"/>
  <c r="AQ196" i="14"/>
  <c r="AQ350" i="14" s="1"/>
  <c r="AP196" i="14"/>
  <c r="AP350" i="14" s="1"/>
  <c r="AQ195" i="14"/>
  <c r="AQ349" i="14" s="1"/>
  <c r="AP195" i="14"/>
  <c r="AP349" i="14" s="1"/>
  <c r="AQ194" i="14"/>
  <c r="AQ348" i="14" s="1"/>
  <c r="AP194" i="14"/>
  <c r="AP348" i="14" s="1"/>
  <c r="AQ193" i="14"/>
  <c r="AQ347" i="14" s="1"/>
  <c r="AP193" i="14"/>
  <c r="AP347" i="14" s="1"/>
  <c r="AR192" i="14"/>
  <c r="AR654" i="14" s="1"/>
  <c r="AQ192" i="14"/>
  <c r="AQ654" i="14" s="1"/>
  <c r="AP192" i="14"/>
  <c r="AP654" i="14" s="1"/>
  <c r="AR191" i="14"/>
  <c r="AR653" i="14" s="1"/>
  <c r="AQ191" i="14"/>
  <c r="AQ653" i="14" s="1"/>
  <c r="AP191" i="14"/>
  <c r="AP653" i="14" s="1"/>
  <c r="AR190" i="14"/>
  <c r="AR652" i="14" s="1"/>
  <c r="AQ190" i="14"/>
  <c r="AQ652" i="14" s="1"/>
  <c r="AP190" i="14"/>
  <c r="AP652" i="14" s="1"/>
  <c r="AR189" i="14"/>
  <c r="AR651" i="14" s="1"/>
  <c r="AQ189" i="14"/>
  <c r="AQ651" i="14" s="1"/>
  <c r="AP189" i="14"/>
  <c r="AP651" i="14" s="1"/>
  <c r="AR188" i="14"/>
  <c r="AR650" i="14" s="1"/>
  <c r="AQ188" i="14"/>
  <c r="AQ650" i="14" s="1"/>
  <c r="AP188" i="14"/>
  <c r="AP650" i="14" s="1"/>
  <c r="AR187" i="14"/>
  <c r="AR649" i="14" s="1"/>
  <c r="AQ187" i="14"/>
  <c r="AQ649" i="14" s="1"/>
  <c r="AP187" i="14"/>
  <c r="AP649" i="14" s="1"/>
  <c r="AR186" i="14"/>
  <c r="AR648" i="14" s="1"/>
  <c r="AQ186" i="14"/>
  <c r="AQ648" i="14" s="1"/>
  <c r="AP186" i="14"/>
  <c r="AP648" i="14" s="1"/>
  <c r="AR185" i="14"/>
  <c r="AR647" i="14" s="1"/>
  <c r="AQ185" i="14"/>
  <c r="AQ647" i="14" s="1"/>
  <c r="AP185" i="14"/>
  <c r="AP647" i="14" s="1"/>
  <c r="AR184" i="14"/>
  <c r="AR646" i="14" s="1"/>
  <c r="AQ184" i="14"/>
  <c r="AQ646" i="14" s="1"/>
  <c r="AP184" i="14"/>
  <c r="AP646" i="14" s="1"/>
  <c r="AR183" i="14"/>
  <c r="AR645" i="14" s="1"/>
  <c r="AQ183" i="14"/>
  <c r="AQ645" i="14" s="1"/>
  <c r="AP183" i="14"/>
  <c r="AP645" i="14" s="1"/>
  <c r="AR182" i="14"/>
  <c r="AR644" i="14" s="1"/>
  <c r="AQ182" i="14"/>
  <c r="AQ644" i="14" s="1"/>
  <c r="AP182" i="14"/>
  <c r="AP644" i="14" s="1"/>
  <c r="BT119" i="14"/>
  <c r="BO119" i="14"/>
  <c r="BO277" i="14" s="1"/>
  <c r="BJ119" i="14"/>
  <c r="BK119" i="14" s="1"/>
  <c r="BE119" i="14"/>
  <c r="AZ119" i="14"/>
  <c r="AU119" i="14"/>
  <c r="AR119" i="14"/>
  <c r="AK119" i="14"/>
  <c r="AF119" i="14"/>
  <c r="AF200" i="14" s="1"/>
  <c r="AA119" i="14"/>
  <c r="AC119" i="14" s="1"/>
  <c r="V119" i="14"/>
  <c r="V277" i="14" s="1"/>
  <c r="Q119" i="14"/>
  <c r="Q200" i="14" s="1"/>
  <c r="L119" i="14"/>
  <c r="L200" i="14" s="1"/>
  <c r="G119" i="14"/>
  <c r="B119" i="14"/>
  <c r="B585" i="14" s="1"/>
  <c r="BT118" i="14"/>
  <c r="BO118" i="14"/>
  <c r="BO199" i="14" s="1"/>
  <c r="BJ118" i="14"/>
  <c r="BE118" i="14"/>
  <c r="BE276" i="14" s="1"/>
  <c r="AZ118" i="14"/>
  <c r="AZ199" i="14" s="1"/>
  <c r="AU118" i="14"/>
  <c r="AU199" i="14" s="1"/>
  <c r="AR118" i="14"/>
  <c r="AK118" i="14"/>
  <c r="AF118" i="14"/>
  <c r="AH118" i="14" s="1"/>
  <c r="AA118" i="14"/>
  <c r="AA199" i="14" s="1"/>
  <c r="V118" i="14"/>
  <c r="W118" i="14" s="1"/>
  <c r="Q118" i="14"/>
  <c r="L118" i="14"/>
  <c r="L584" i="14" s="1"/>
  <c r="G118" i="14"/>
  <c r="G199" i="14" s="1"/>
  <c r="B118" i="14"/>
  <c r="C118" i="14" s="1"/>
  <c r="BT117" i="14"/>
  <c r="BO117" i="14"/>
  <c r="BQ117" i="14" s="1"/>
  <c r="BJ117" i="14"/>
  <c r="BJ198" i="14" s="1"/>
  <c r="BE117" i="14"/>
  <c r="BF117" i="14" s="1"/>
  <c r="AZ117" i="14"/>
  <c r="AU117" i="14"/>
  <c r="AU583" i="14" s="1"/>
  <c r="AR117" i="14"/>
  <c r="AK117" i="14"/>
  <c r="AM117" i="14" s="1"/>
  <c r="AF117" i="14"/>
  <c r="AA117" i="14"/>
  <c r="AB117" i="14" s="1"/>
  <c r="V117" i="14"/>
  <c r="X117" i="14" s="1"/>
  <c r="Q117" i="14"/>
  <c r="S117" i="14" s="1"/>
  <c r="L117" i="14"/>
  <c r="G117" i="14"/>
  <c r="B117" i="14"/>
  <c r="C117" i="14" s="1"/>
  <c r="BT116" i="14"/>
  <c r="BV116" i="14" s="1"/>
  <c r="BO116" i="14"/>
  <c r="BJ116" i="14"/>
  <c r="BE116" i="14"/>
  <c r="AZ116" i="14"/>
  <c r="BA116" i="14" s="1"/>
  <c r="BC116" i="14" s="1" a="1"/>
  <c r="BC116" i="14" s="1"/>
  <c r="AU116" i="14"/>
  <c r="AU197" i="14" s="1"/>
  <c r="AR116" i="14"/>
  <c r="AK116" i="14"/>
  <c r="AF116" i="14"/>
  <c r="AF274" i="14" s="1"/>
  <c r="AA116" i="14"/>
  <c r="AB116" i="14" s="1"/>
  <c r="V116" i="14"/>
  <c r="Q116" i="14"/>
  <c r="L116" i="14"/>
  <c r="L197" i="14" s="1"/>
  <c r="G116" i="14"/>
  <c r="I116" i="14" s="1"/>
  <c r="B116" i="14"/>
  <c r="B197" i="14" s="1"/>
  <c r="BT115" i="14"/>
  <c r="BO115" i="14"/>
  <c r="BO273" i="14" s="1"/>
  <c r="BJ115" i="14"/>
  <c r="BK115" i="14" s="1"/>
  <c r="BE115" i="14"/>
  <c r="BE196" i="14" s="1"/>
  <c r="AZ115" i="14"/>
  <c r="AU115" i="14"/>
  <c r="AV115" i="14" s="1"/>
  <c r="AR115" i="14"/>
  <c r="AK115" i="14"/>
  <c r="AF115" i="14"/>
  <c r="AF196" i="14" s="1"/>
  <c r="AA115" i="14"/>
  <c r="AC115" i="14" s="1"/>
  <c r="V115" i="14"/>
  <c r="V273" i="14" s="1"/>
  <c r="Q115" i="14"/>
  <c r="Q196" i="14" s="1"/>
  <c r="L115" i="14"/>
  <c r="L196" i="14" s="1"/>
  <c r="G115" i="14"/>
  <c r="B115" i="14"/>
  <c r="BT114" i="14"/>
  <c r="BT195" i="14" s="1"/>
  <c r="BO114" i="14"/>
  <c r="BO195" i="14" s="1"/>
  <c r="BJ114" i="14"/>
  <c r="BL114" i="14" s="1"/>
  <c r="BE114" i="14"/>
  <c r="AZ114" i="14"/>
  <c r="AZ195" i="14" s="1"/>
  <c r="AU114" i="14"/>
  <c r="AU195" i="14" s="1"/>
  <c r="AR114" i="14"/>
  <c r="AR195" i="14" s="1"/>
  <c r="AR349" i="14" s="1"/>
  <c r="AK114" i="14"/>
  <c r="AL114" i="14" s="1"/>
  <c r="AF114" i="14"/>
  <c r="AF580" i="14" s="1"/>
  <c r="AA114" i="14"/>
  <c r="V114" i="14"/>
  <c r="W114" i="14" s="1"/>
  <c r="Q114" i="14"/>
  <c r="Q580" i="14" s="1"/>
  <c r="L114" i="14"/>
  <c r="L580" i="14" s="1"/>
  <c r="G114" i="14"/>
  <c r="B114" i="14"/>
  <c r="C114" i="14" s="1"/>
  <c r="BT113" i="14"/>
  <c r="BV113" i="14" s="1"/>
  <c r="BO113" i="14"/>
  <c r="BP113" i="14" s="1"/>
  <c r="BR113" i="14" s="1" a="1"/>
  <c r="BR113" i="14" s="1"/>
  <c r="BJ113" i="14"/>
  <c r="BE113" i="14"/>
  <c r="BF113" i="14" s="1"/>
  <c r="AZ113" i="14"/>
  <c r="AU113" i="14"/>
  <c r="AU579" i="14" s="1"/>
  <c r="AR113" i="14"/>
  <c r="AK113" i="14"/>
  <c r="AM113" i="14" s="1"/>
  <c r="AF113" i="14"/>
  <c r="AA113" i="14"/>
  <c r="AB113" i="14" s="1"/>
  <c r="V113" i="14"/>
  <c r="X113" i="14" s="1"/>
  <c r="Q113" i="14"/>
  <c r="R113" i="14" s="1"/>
  <c r="T113" i="14" s="1" a="1"/>
  <c r="T113" i="14" s="1"/>
  <c r="T194" i="14" s="1"/>
  <c r="L113" i="14"/>
  <c r="G113" i="14"/>
  <c r="B113" i="14"/>
  <c r="D113" i="14" s="1"/>
  <c r="BT112" i="14"/>
  <c r="BU112" i="14" s="1"/>
  <c r="BW112" i="14" s="1" a="1"/>
  <c r="BW112" i="14" s="1"/>
  <c r="BO112" i="14"/>
  <c r="BJ112" i="14"/>
  <c r="BK112" i="14" s="1"/>
  <c r="BE112" i="14"/>
  <c r="BF112" i="14" s="1"/>
  <c r="AZ112" i="14"/>
  <c r="BB112" i="14" s="1"/>
  <c r="AU112" i="14"/>
  <c r="AR112" i="14"/>
  <c r="AK112" i="14"/>
  <c r="AF112" i="14"/>
  <c r="AF270" i="14" s="1"/>
  <c r="AA112" i="14"/>
  <c r="AC112" i="14" s="1"/>
  <c r="V112" i="14"/>
  <c r="Q112" i="14"/>
  <c r="L112" i="14"/>
  <c r="G112" i="14"/>
  <c r="I112" i="14" s="1"/>
  <c r="B112" i="14"/>
  <c r="B193" i="14" s="1"/>
  <c r="B655" i="14" s="1"/>
  <c r="BT111" i="14"/>
  <c r="BT269" i="14" s="1"/>
  <c r="BO111" i="14"/>
  <c r="BO269" i="14" s="1"/>
  <c r="BJ111" i="14"/>
  <c r="BK111" i="14" s="1"/>
  <c r="BE111" i="14"/>
  <c r="BE192" i="14" s="1"/>
  <c r="AZ111" i="14"/>
  <c r="AU111" i="14"/>
  <c r="AV111" i="14" s="1"/>
  <c r="AK111" i="14"/>
  <c r="AF111" i="14"/>
  <c r="AA111" i="14"/>
  <c r="AA192" i="14" s="1"/>
  <c r="V111" i="14"/>
  <c r="X111" i="14" s="1"/>
  <c r="Q111" i="14"/>
  <c r="L111" i="14"/>
  <c r="M111" i="14" s="1"/>
  <c r="G111" i="14"/>
  <c r="B111" i="14"/>
  <c r="C111" i="14" s="1"/>
  <c r="E111" i="14" s="1" a="1"/>
  <c r="E111" i="14" s="1"/>
  <c r="BT110" i="14"/>
  <c r="BO110" i="14"/>
  <c r="BP110" i="14" s="1"/>
  <c r="BJ110" i="14"/>
  <c r="BL110" i="14" s="1"/>
  <c r="BE110" i="14"/>
  <c r="BF110" i="14" s="1"/>
  <c r="BH110" i="14" s="1" a="1"/>
  <c r="BH110" i="14" s="1"/>
  <c r="AZ110" i="14"/>
  <c r="AU110" i="14"/>
  <c r="AK110" i="14"/>
  <c r="AK191" i="14" s="1"/>
  <c r="AF110" i="14"/>
  <c r="AA110" i="14"/>
  <c r="AA191" i="14" s="1"/>
  <c r="V110" i="14"/>
  <c r="W110" i="14" s="1"/>
  <c r="Y110" i="14" s="1" a="1"/>
  <c r="Y110" i="14" s="1"/>
  <c r="Y576" i="14" s="1"/>
  <c r="Q110" i="14"/>
  <c r="L110" i="14"/>
  <c r="M110" i="14" s="1"/>
  <c r="G110" i="14"/>
  <c r="G191" i="14" s="1"/>
  <c r="B110" i="14"/>
  <c r="D110" i="14" s="1"/>
  <c r="BT109" i="14"/>
  <c r="BT267" i="14" s="1"/>
  <c r="BO109" i="14"/>
  <c r="BO190" i="14" s="1"/>
  <c r="BJ109" i="14"/>
  <c r="BJ190" i="14" s="1"/>
  <c r="BE109" i="14"/>
  <c r="BG109" i="14" s="1"/>
  <c r="BG575" i="14" s="1"/>
  <c r="AZ109" i="14"/>
  <c r="AU109" i="14"/>
  <c r="AU190" i="14" s="1"/>
  <c r="AK109" i="14"/>
  <c r="AF109" i="14"/>
  <c r="AG109" i="14" s="1"/>
  <c r="AA109" i="14"/>
  <c r="AC109" i="14" s="1"/>
  <c r="AC575" i="14" s="1"/>
  <c r="V109" i="14"/>
  <c r="X109" i="14" s="1"/>
  <c r="Q109" i="14"/>
  <c r="L109" i="14"/>
  <c r="G109" i="14"/>
  <c r="H109" i="14" s="1"/>
  <c r="B109" i="14"/>
  <c r="D109" i="14" s="1"/>
  <c r="BT108" i="14"/>
  <c r="BO108" i="14"/>
  <c r="BP108" i="14" s="1"/>
  <c r="BJ108" i="14"/>
  <c r="BL108" i="14" s="1"/>
  <c r="BE108" i="14"/>
  <c r="AZ108" i="14"/>
  <c r="AU108" i="14"/>
  <c r="AV108" i="14" s="1"/>
  <c r="AK108" i="14"/>
  <c r="AF108" i="14"/>
  <c r="AH108" i="14" s="1"/>
  <c r="AA108" i="14"/>
  <c r="V108" i="14"/>
  <c r="X108" i="14" s="1"/>
  <c r="Q108" i="14"/>
  <c r="Q266" i="14" s="1"/>
  <c r="L108" i="14"/>
  <c r="L189" i="14" s="1"/>
  <c r="G108" i="14"/>
  <c r="G189" i="14" s="1"/>
  <c r="B108" i="14"/>
  <c r="BT107" i="14"/>
  <c r="BT188" i="14" s="1"/>
  <c r="BO107" i="14"/>
  <c r="BP107" i="14" s="1"/>
  <c r="BJ107" i="14"/>
  <c r="BJ188" i="14" s="1"/>
  <c r="BE107" i="14"/>
  <c r="BG107" i="14" s="1"/>
  <c r="BG188" i="14" s="1"/>
  <c r="AZ107" i="14"/>
  <c r="AZ265" i="14" s="1"/>
  <c r="AU107" i="14"/>
  <c r="AU188" i="14" s="1"/>
  <c r="AK107" i="14"/>
  <c r="AF107" i="14"/>
  <c r="AA107" i="14"/>
  <c r="V107" i="14"/>
  <c r="Q107" i="14"/>
  <c r="L107" i="14"/>
  <c r="M107" i="14" s="1"/>
  <c r="G107" i="14"/>
  <c r="B107" i="14"/>
  <c r="BT106" i="14"/>
  <c r="BT264" i="14" s="1"/>
  <c r="BO106" i="14"/>
  <c r="BJ106" i="14"/>
  <c r="BJ187" i="14" s="1"/>
  <c r="BE106" i="14"/>
  <c r="BG106" i="14" s="1"/>
  <c r="AZ106" i="14"/>
  <c r="AU106" i="14"/>
  <c r="AV106" i="14" s="1"/>
  <c r="AK106" i="14"/>
  <c r="AF106" i="14"/>
  <c r="AA106" i="14"/>
  <c r="AC106" i="14" s="1"/>
  <c r="V106" i="14"/>
  <c r="X106" i="14" s="1"/>
  <c r="Q106" i="14"/>
  <c r="Q187" i="14" s="1"/>
  <c r="L106" i="14"/>
  <c r="G106" i="14"/>
  <c r="G572" i="14" s="1"/>
  <c r="B106" i="14"/>
  <c r="BT105" i="14"/>
  <c r="BT571" i="14" s="1"/>
  <c r="BO105" i="14"/>
  <c r="BJ105" i="14"/>
  <c r="BL105" i="14" s="1"/>
  <c r="BE105" i="14"/>
  <c r="BE571" i="14" s="1"/>
  <c r="AZ105" i="14"/>
  <c r="AZ186" i="14" s="1"/>
  <c r="AU105" i="14"/>
  <c r="AU186" i="14" s="1"/>
  <c r="AK105" i="14"/>
  <c r="AF105" i="14"/>
  <c r="AF263" i="14" s="1"/>
  <c r="AA105" i="14"/>
  <c r="AA186" i="14" s="1"/>
  <c r="V105" i="14"/>
  <c r="V186" i="14" s="1"/>
  <c r="Q105" i="14"/>
  <c r="Q263" i="14" s="1"/>
  <c r="L105" i="14"/>
  <c r="G105" i="14"/>
  <c r="G186" i="14" s="1"/>
  <c r="B105" i="14"/>
  <c r="B186" i="14" s="1"/>
  <c r="BT104" i="14"/>
  <c r="BO104" i="14"/>
  <c r="BJ104" i="14"/>
  <c r="BE104" i="14"/>
  <c r="BE185" i="14" s="1"/>
  <c r="AZ104" i="14"/>
  <c r="AU104" i="14"/>
  <c r="AV104" i="14" s="1"/>
  <c r="AV262" i="14" s="1"/>
  <c r="AK104" i="14"/>
  <c r="AF104" i="14"/>
  <c r="AG104" i="14" s="1"/>
  <c r="AA104" i="14"/>
  <c r="AA185" i="14" s="1"/>
  <c r="V104" i="14"/>
  <c r="X104" i="14" s="1"/>
  <c r="X570" i="14" s="1"/>
  <c r="Q104" i="14"/>
  <c r="Q185" i="14" s="1"/>
  <c r="L104" i="14"/>
  <c r="G104" i="14"/>
  <c r="G262" i="14" s="1"/>
  <c r="B104" i="14"/>
  <c r="BT103" i="14"/>
  <c r="BT184" i="14" s="1"/>
  <c r="BO103" i="14"/>
  <c r="BO261" i="14" s="1"/>
  <c r="BJ103" i="14"/>
  <c r="BJ184" i="14" s="1"/>
  <c r="BE103" i="14"/>
  <c r="BG103" i="14" s="1"/>
  <c r="BG184" i="14" s="1"/>
  <c r="AZ103" i="14"/>
  <c r="AZ184" i="14" s="1"/>
  <c r="AU103" i="14"/>
  <c r="AV103" i="14" s="1"/>
  <c r="AK103" i="14"/>
  <c r="AF103" i="14"/>
  <c r="AA103" i="14"/>
  <c r="AB103" i="14" s="1"/>
  <c r="V103" i="14"/>
  <c r="Q103" i="14"/>
  <c r="L103" i="14"/>
  <c r="G103" i="14"/>
  <c r="B103" i="14"/>
  <c r="BT102" i="14"/>
  <c r="BT260" i="14" s="1"/>
  <c r="BO102" i="14"/>
  <c r="BJ102" i="14"/>
  <c r="BK102" i="14" s="1"/>
  <c r="BE102" i="14"/>
  <c r="AZ102" i="14"/>
  <c r="AU102" i="14"/>
  <c r="AV102" i="14" s="1"/>
  <c r="AK102" i="14"/>
  <c r="AK183" i="14" s="1"/>
  <c r="AF102" i="14"/>
  <c r="AA102" i="14"/>
  <c r="AC102" i="14" s="1"/>
  <c r="V102" i="14"/>
  <c r="X102" i="14" s="1"/>
  <c r="X183" i="14" s="1"/>
  <c r="Q102" i="14"/>
  <c r="L102" i="14"/>
  <c r="G102" i="14"/>
  <c r="G568" i="14" s="1"/>
  <c r="B102" i="14"/>
  <c r="BT101" i="14"/>
  <c r="BT182" i="14" s="1"/>
  <c r="BO101" i="14"/>
  <c r="BO182" i="14" s="1"/>
  <c r="BJ101" i="14"/>
  <c r="BL101" i="14" s="1"/>
  <c r="BE101" i="14"/>
  <c r="BE567" i="14" s="1"/>
  <c r="AZ101" i="14"/>
  <c r="AU101" i="14"/>
  <c r="AU182" i="14" s="1"/>
  <c r="AK101" i="14"/>
  <c r="AF101" i="14"/>
  <c r="AA101" i="14"/>
  <c r="V101" i="14"/>
  <c r="V182" i="14" s="1"/>
  <c r="Q101" i="14"/>
  <c r="L101" i="14"/>
  <c r="G101" i="14"/>
  <c r="G182" i="14" s="1"/>
  <c r="G644" i="14" s="1"/>
  <c r="B101" i="14"/>
  <c r="B182" i="14" s="1"/>
  <c r="BT100" i="14"/>
  <c r="BO100" i="14"/>
  <c r="BJ100" i="14"/>
  <c r="BJ181" i="14" s="1"/>
  <c r="BE100" i="14"/>
  <c r="BE181" i="14" s="1"/>
  <c r="AZ100" i="14"/>
  <c r="AU100" i="14"/>
  <c r="AV100" i="14" s="1"/>
  <c r="AP100" i="14"/>
  <c r="AP181" i="14" s="1"/>
  <c r="AK100" i="14"/>
  <c r="AK181" i="14" s="1"/>
  <c r="AF100" i="14"/>
  <c r="AA100" i="14"/>
  <c r="AB100" i="14" s="1"/>
  <c r="V100" i="14"/>
  <c r="V181" i="14" s="1"/>
  <c r="Q100" i="14"/>
  <c r="Q181" i="14" s="1"/>
  <c r="L100" i="14"/>
  <c r="G100" i="14"/>
  <c r="B100" i="14"/>
  <c r="B181" i="14" s="1"/>
  <c r="BT99" i="14"/>
  <c r="BO99" i="14"/>
  <c r="BJ99" i="14"/>
  <c r="BK99" i="14" s="1"/>
  <c r="BE99" i="14"/>
  <c r="BG99" i="14" s="1"/>
  <c r="BG180" i="14" s="1"/>
  <c r="AZ99" i="14"/>
  <c r="AU99" i="14"/>
  <c r="AP99" i="14"/>
  <c r="AK99" i="14"/>
  <c r="AL99" i="14" s="1"/>
  <c r="AF99" i="14"/>
  <c r="AH99" i="14" s="1"/>
  <c r="AA99" i="14"/>
  <c r="V99" i="14"/>
  <c r="W99" i="14" s="1"/>
  <c r="Q99" i="14"/>
  <c r="L99" i="14"/>
  <c r="G99" i="14"/>
  <c r="B99" i="14"/>
  <c r="BT98" i="14"/>
  <c r="BT179" i="14" s="1"/>
  <c r="BO98" i="14"/>
  <c r="BQ98" i="14" s="1"/>
  <c r="BJ98" i="14"/>
  <c r="BE98" i="14"/>
  <c r="AZ98" i="14"/>
  <c r="AZ179" i="14" s="1"/>
  <c r="AU98" i="14"/>
  <c r="AP98" i="14"/>
  <c r="AK98" i="14"/>
  <c r="AF98" i="14"/>
  <c r="AF179" i="14" s="1"/>
  <c r="AA98" i="14"/>
  <c r="V98" i="14"/>
  <c r="Q98" i="14"/>
  <c r="L98" i="14"/>
  <c r="L179" i="14" s="1"/>
  <c r="G98" i="14"/>
  <c r="B98" i="14"/>
  <c r="BT97" i="14"/>
  <c r="BO97" i="14"/>
  <c r="BO178" i="14" s="1"/>
  <c r="BJ97" i="14"/>
  <c r="BJ178" i="14" s="1"/>
  <c r="BE97" i="14"/>
  <c r="AZ97" i="14"/>
  <c r="BA97" i="14" s="1"/>
  <c r="AU97" i="14"/>
  <c r="AU178" i="14" s="1"/>
  <c r="AU640" i="14" s="1"/>
  <c r="AP97" i="14"/>
  <c r="AP178" i="14" s="1"/>
  <c r="AK97" i="14"/>
  <c r="AK255" i="14" s="1"/>
  <c r="AF97" i="14"/>
  <c r="AA97" i="14"/>
  <c r="AA178" i="14" s="1"/>
  <c r="V97" i="14"/>
  <c r="Q97" i="14"/>
  <c r="L97" i="14"/>
  <c r="L255" i="14" s="1"/>
  <c r="G97" i="14"/>
  <c r="G178" i="14" s="1"/>
  <c r="G640" i="14" s="1"/>
  <c r="B97" i="14"/>
  <c r="B178" i="14" s="1"/>
  <c r="BT96" i="14"/>
  <c r="BO96" i="14"/>
  <c r="BO562" i="14" s="1"/>
  <c r="BJ96" i="14"/>
  <c r="BJ177" i="14" s="1"/>
  <c r="BE96" i="14"/>
  <c r="BE177" i="14" s="1"/>
  <c r="AZ96" i="14"/>
  <c r="AU96" i="14"/>
  <c r="AV96" i="14" s="1"/>
  <c r="AP96" i="14"/>
  <c r="AP177" i="14" s="1"/>
  <c r="AK96" i="14"/>
  <c r="AK177" i="14" s="1"/>
  <c r="AF96" i="14"/>
  <c r="AA96" i="14"/>
  <c r="V96" i="14"/>
  <c r="V177" i="14" s="1"/>
  <c r="Q96" i="14"/>
  <c r="Q177" i="14" s="1"/>
  <c r="L96" i="14"/>
  <c r="G96" i="14"/>
  <c r="B96" i="14"/>
  <c r="BT95" i="14"/>
  <c r="BV95" i="14" s="1"/>
  <c r="BO95" i="14"/>
  <c r="BJ95" i="14"/>
  <c r="BE95" i="14"/>
  <c r="AZ95" i="14"/>
  <c r="BB95" i="14" s="1"/>
  <c r="AU95" i="14"/>
  <c r="AP95" i="14"/>
  <c r="AK95" i="14"/>
  <c r="AL95" i="14" s="1"/>
  <c r="AF95" i="14"/>
  <c r="AA95" i="14"/>
  <c r="V95" i="14"/>
  <c r="W95" i="14" s="1"/>
  <c r="Q95" i="14"/>
  <c r="L95" i="14"/>
  <c r="G95" i="14"/>
  <c r="B95" i="14"/>
  <c r="BT94" i="14"/>
  <c r="BT175" i="14" s="1"/>
  <c r="BO94" i="14"/>
  <c r="BQ94" i="14" s="1"/>
  <c r="BJ94" i="14"/>
  <c r="BJ252" i="14" s="1"/>
  <c r="BE94" i="14"/>
  <c r="BF94" i="14" s="1"/>
  <c r="AZ94" i="14"/>
  <c r="AU94" i="14"/>
  <c r="AW94" i="14" s="1"/>
  <c r="AP94" i="14"/>
  <c r="AK94" i="14"/>
  <c r="AF94" i="14"/>
  <c r="AF175" i="14" s="1"/>
  <c r="AA94" i="14"/>
  <c r="V94" i="14"/>
  <c r="Q94" i="14"/>
  <c r="L94" i="14"/>
  <c r="L175" i="14" s="1"/>
  <c r="G94" i="14"/>
  <c r="B94" i="14"/>
  <c r="BT93" i="14"/>
  <c r="BT251" i="14" s="1"/>
  <c r="BO93" i="14"/>
  <c r="BO174" i="14" s="1"/>
  <c r="BJ93" i="14"/>
  <c r="BJ174" i="14" s="1"/>
  <c r="BE93" i="14"/>
  <c r="AZ93" i="14"/>
  <c r="BA93" i="14" s="1"/>
  <c r="AU93" i="14"/>
  <c r="AU174" i="14" s="1"/>
  <c r="AU636" i="14" s="1"/>
  <c r="AP93" i="14"/>
  <c r="AP174" i="14" s="1"/>
  <c r="AK93" i="14"/>
  <c r="AF93" i="14"/>
  <c r="AF251" i="14" s="1"/>
  <c r="AA93" i="14"/>
  <c r="V93" i="14"/>
  <c r="V174" i="14" s="1"/>
  <c r="Q93" i="14"/>
  <c r="Q559" i="14" s="1"/>
  <c r="L93" i="14"/>
  <c r="G93" i="14"/>
  <c r="G174" i="14" s="1"/>
  <c r="G636" i="14" s="1"/>
  <c r="B93" i="14"/>
  <c r="B174" i="14" s="1"/>
  <c r="BT92" i="14"/>
  <c r="BO92" i="14"/>
  <c r="BP92" i="14" s="1"/>
  <c r="BJ92" i="14"/>
  <c r="BE92" i="14"/>
  <c r="BE173" i="14" s="1"/>
  <c r="AZ92" i="14"/>
  <c r="AU92" i="14"/>
  <c r="AP92" i="14"/>
  <c r="AK92" i="14"/>
  <c r="AF92" i="14"/>
  <c r="AA92" i="14"/>
  <c r="AB92" i="14" s="1"/>
  <c r="V92" i="14"/>
  <c r="Q92" i="14"/>
  <c r="Q173" i="14" s="1"/>
  <c r="L92" i="14"/>
  <c r="G92" i="14"/>
  <c r="B92" i="14"/>
  <c r="BT91" i="14"/>
  <c r="BV91" i="14" s="1"/>
  <c r="BO91" i="14"/>
  <c r="BJ91" i="14"/>
  <c r="BK91" i="14" s="1"/>
  <c r="BK557" i="14" s="1"/>
  <c r="BE91" i="14"/>
  <c r="BG91" i="14" s="1"/>
  <c r="AZ91" i="14"/>
  <c r="BA91" i="14" s="1"/>
  <c r="BC91" i="14" s="1" a="1"/>
  <c r="BC91" i="14" s="1"/>
  <c r="AU91" i="14"/>
  <c r="AP91" i="14"/>
  <c r="AK91" i="14"/>
  <c r="AM91" i="14" s="1"/>
  <c r="AM557" i="14" s="1"/>
  <c r="AF91" i="14"/>
  <c r="AH91" i="14" s="1"/>
  <c r="AA91" i="14"/>
  <c r="V91" i="14"/>
  <c r="Q91" i="14"/>
  <c r="L91" i="14"/>
  <c r="G91" i="14"/>
  <c r="B91" i="14"/>
  <c r="BT90" i="14"/>
  <c r="BO90" i="14"/>
  <c r="BQ90" i="14" s="1"/>
  <c r="BQ556" i="14" s="1"/>
  <c r="BJ90" i="14"/>
  <c r="BE90" i="14"/>
  <c r="BF90" i="14" s="1"/>
  <c r="AZ90" i="14"/>
  <c r="AZ171" i="14" s="1"/>
  <c r="AU90" i="14"/>
  <c r="AV90" i="14" s="1"/>
  <c r="AX90" i="14" s="1" a="1"/>
  <c r="AX90" i="14" s="1"/>
  <c r="AP90" i="14"/>
  <c r="AP248" i="14" s="1"/>
  <c r="AK90" i="14"/>
  <c r="AL90" i="14" s="1"/>
  <c r="AF90" i="14"/>
  <c r="AF171" i="14" s="1"/>
  <c r="AA90" i="14"/>
  <c r="V90" i="14"/>
  <c r="Q90" i="14"/>
  <c r="L90" i="14"/>
  <c r="L171" i="14" s="1"/>
  <c r="G90" i="14"/>
  <c r="B90" i="14"/>
  <c r="B248" i="14" s="1"/>
  <c r="BT89" i="14"/>
  <c r="BU89" i="14" s="1"/>
  <c r="BO89" i="14"/>
  <c r="BO170" i="14" s="1"/>
  <c r="BJ89" i="14"/>
  <c r="BJ170" i="14" s="1"/>
  <c r="BE89" i="14"/>
  <c r="AZ89" i="14"/>
  <c r="AZ247" i="14" s="1"/>
  <c r="AU89" i="14"/>
  <c r="AU170" i="14" s="1"/>
  <c r="AU632" i="14" s="1"/>
  <c r="AP89" i="14"/>
  <c r="AP170" i="14" s="1"/>
  <c r="AK89" i="14"/>
  <c r="AF89" i="14"/>
  <c r="AG89" i="14" s="1"/>
  <c r="AA89" i="14"/>
  <c r="V89" i="14"/>
  <c r="V170" i="14" s="1"/>
  <c r="Q89" i="14"/>
  <c r="L89" i="14"/>
  <c r="G89" i="14"/>
  <c r="G170" i="14" s="1"/>
  <c r="G632" i="14" s="1"/>
  <c r="B89" i="14"/>
  <c r="B170" i="14" s="1"/>
  <c r="BT88" i="14"/>
  <c r="BO88" i="14"/>
  <c r="BP88" i="14" s="1"/>
  <c r="BJ88" i="14"/>
  <c r="BK88" i="14" s="1"/>
  <c r="BK554" i="14" s="1"/>
  <c r="BE88" i="14"/>
  <c r="BE169" i="14" s="1"/>
  <c r="AZ88" i="14"/>
  <c r="AU88" i="14"/>
  <c r="AV88" i="14" s="1"/>
  <c r="AP88" i="14"/>
  <c r="AK88" i="14"/>
  <c r="AK169" i="14" s="1"/>
  <c r="AF88" i="14"/>
  <c r="AA88" i="14"/>
  <c r="V88" i="14"/>
  <c r="Q88" i="14"/>
  <c r="Q169" i="14" s="1"/>
  <c r="L88" i="14"/>
  <c r="G88" i="14"/>
  <c r="B88" i="14"/>
  <c r="BT87" i="14"/>
  <c r="BU87" i="14" s="1"/>
  <c r="BW87" i="14" s="1" a="1"/>
  <c r="BW87" i="14" s="1"/>
  <c r="BO87" i="14"/>
  <c r="BJ87" i="14"/>
  <c r="BE87" i="14"/>
  <c r="BF87" i="14" s="1"/>
  <c r="AZ87" i="14"/>
  <c r="BB87" i="14" s="1"/>
  <c r="AU87" i="14"/>
  <c r="AP87" i="14"/>
  <c r="AK87" i="14"/>
  <c r="AL87" i="14" s="1"/>
  <c r="AG87" i="14"/>
  <c r="AI87" i="14" s="1" a="1"/>
  <c r="AI87" i="14" s="1"/>
  <c r="AF87" i="14"/>
  <c r="AH87" i="14" s="1"/>
  <c r="AA87" i="14"/>
  <c r="V87" i="14"/>
  <c r="Q87" i="14"/>
  <c r="L87" i="14"/>
  <c r="G87" i="14"/>
  <c r="B87" i="14"/>
  <c r="BT86" i="14"/>
  <c r="BT167" i="14" s="1"/>
  <c r="BO86" i="14"/>
  <c r="BJ86" i="14"/>
  <c r="BE86" i="14"/>
  <c r="BF86" i="14" s="1"/>
  <c r="AZ86" i="14"/>
  <c r="AZ167" i="14" s="1"/>
  <c r="AU86" i="14"/>
  <c r="AV86" i="14" s="1"/>
  <c r="AV244" i="14" s="1"/>
  <c r="AP86" i="14"/>
  <c r="AK86" i="14"/>
  <c r="AF86" i="14"/>
  <c r="AF167" i="14" s="1"/>
  <c r="AA86" i="14"/>
  <c r="V86" i="14"/>
  <c r="V244" i="14" s="1"/>
  <c r="Q86" i="14"/>
  <c r="L86" i="14"/>
  <c r="G86" i="14"/>
  <c r="B86" i="14"/>
  <c r="B244" i="14" s="1"/>
  <c r="BT85" i="14"/>
  <c r="BU85" i="14" s="1"/>
  <c r="BO85" i="14"/>
  <c r="BP85" i="14" s="1"/>
  <c r="BJ85" i="14"/>
  <c r="BE85" i="14"/>
  <c r="AZ85" i="14"/>
  <c r="AU85" i="14"/>
  <c r="AW85" i="14" s="1"/>
  <c r="AW166" i="14" s="1"/>
  <c r="AP85" i="14"/>
  <c r="AK85" i="14"/>
  <c r="AK243" i="14" s="1"/>
  <c r="AF85" i="14"/>
  <c r="AA85" i="14"/>
  <c r="V85" i="14"/>
  <c r="Q85" i="14"/>
  <c r="Q243" i="14" s="1"/>
  <c r="L85" i="14"/>
  <c r="G85" i="14"/>
  <c r="B85" i="14"/>
  <c r="BT84" i="14"/>
  <c r="BO84" i="14"/>
  <c r="BJ84" i="14"/>
  <c r="BE84" i="14"/>
  <c r="BE165" i="14" s="1"/>
  <c r="AZ84" i="14"/>
  <c r="AU84" i="14"/>
  <c r="AV84" i="14" s="1"/>
  <c r="AP84" i="14"/>
  <c r="AK84" i="14"/>
  <c r="AK165" i="14" s="1"/>
  <c r="AF84" i="14"/>
  <c r="AA84" i="14"/>
  <c r="V84" i="14"/>
  <c r="Q84" i="14"/>
  <c r="Q165" i="14" s="1"/>
  <c r="L84" i="14"/>
  <c r="G84" i="14"/>
  <c r="B84" i="14"/>
  <c r="BT83" i="14"/>
  <c r="BT164" i="14" s="1"/>
  <c r="BO83" i="14"/>
  <c r="BJ83" i="14"/>
  <c r="BE83" i="14"/>
  <c r="BE164" i="14" s="1"/>
  <c r="AZ83" i="14"/>
  <c r="AU83" i="14"/>
  <c r="AP83" i="14"/>
  <c r="AK83" i="14"/>
  <c r="AK164" i="14" s="1"/>
  <c r="AF83" i="14"/>
  <c r="AF164" i="14" s="1"/>
  <c r="AA83" i="14"/>
  <c r="V83" i="14"/>
  <c r="Q83" i="14"/>
  <c r="Q164" i="14" s="1"/>
  <c r="L83" i="14"/>
  <c r="L164" i="14" s="1"/>
  <c r="G83" i="14"/>
  <c r="B83" i="14"/>
  <c r="BT82" i="14"/>
  <c r="BV82" i="14" s="1"/>
  <c r="BV163" i="14" s="1"/>
  <c r="BO82" i="14"/>
  <c r="BQ82" i="14" s="1"/>
  <c r="BJ82" i="14"/>
  <c r="BJ240" i="14" s="1"/>
  <c r="BE82" i="14"/>
  <c r="BF82" i="14" s="1"/>
  <c r="AZ82" i="14"/>
  <c r="BB82" i="14" s="1"/>
  <c r="AU82" i="14"/>
  <c r="AP82" i="14"/>
  <c r="AK82" i="14"/>
  <c r="AF82" i="14"/>
  <c r="AA82" i="14"/>
  <c r="V82" i="14"/>
  <c r="V240" i="14" s="1"/>
  <c r="Q82" i="14"/>
  <c r="L82" i="14"/>
  <c r="G82" i="14"/>
  <c r="B82" i="14"/>
  <c r="BT81" i="14"/>
  <c r="BO81" i="14"/>
  <c r="BQ81" i="14" s="1"/>
  <c r="BQ162" i="14" s="1"/>
  <c r="BJ81" i="14"/>
  <c r="BL81" i="14" s="1"/>
  <c r="BE81" i="14"/>
  <c r="BE239" i="14" s="1"/>
  <c r="AZ81" i="14"/>
  <c r="BA81" i="14" s="1"/>
  <c r="AU81" i="14"/>
  <c r="AP81" i="14"/>
  <c r="AK81" i="14"/>
  <c r="AF81" i="14"/>
  <c r="AA81" i="14"/>
  <c r="V81" i="14"/>
  <c r="Q81" i="14"/>
  <c r="Q239" i="14" s="1"/>
  <c r="L81" i="14"/>
  <c r="G81" i="14"/>
  <c r="B81" i="14"/>
  <c r="BT80" i="14"/>
  <c r="BO80" i="14"/>
  <c r="BJ80" i="14"/>
  <c r="BJ238" i="14" s="1"/>
  <c r="BE80" i="14"/>
  <c r="AZ80" i="14"/>
  <c r="AU80" i="14"/>
  <c r="AP80" i="14"/>
  <c r="AK80" i="14"/>
  <c r="AK161" i="14" s="1"/>
  <c r="AF80" i="14"/>
  <c r="AA80" i="14"/>
  <c r="V80" i="14"/>
  <c r="Q80" i="14"/>
  <c r="Q161" i="14" s="1"/>
  <c r="L80" i="14"/>
  <c r="G80" i="14"/>
  <c r="B80" i="14"/>
  <c r="BT79" i="14"/>
  <c r="BT160" i="14" s="1"/>
  <c r="BO79" i="14"/>
  <c r="BJ79" i="14"/>
  <c r="BK79" i="14" s="1"/>
  <c r="BE79" i="14"/>
  <c r="BE160" i="14" s="1"/>
  <c r="AZ79" i="14"/>
  <c r="AZ160" i="14" s="1"/>
  <c r="AU79" i="14"/>
  <c r="AP79" i="14"/>
  <c r="AK79" i="14"/>
  <c r="AF79" i="14"/>
  <c r="AF160" i="14" s="1"/>
  <c r="AA79" i="14"/>
  <c r="V79" i="14"/>
  <c r="Q79" i="14"/>
  <c r="Q160" i="14" s="1"/>
  <c r="L79" i="14"/>
  <c r="L160" i="14" s="1"/>
  <c r="G79" i="14"/>
  <c r="B79" i="14"/>
  <c r="BT78" i="14"/>
  <c r="BV78" i="14" s="1"/>
  <c r="BV159" i="14" s="1"/>
  <c r="BO78" i="14"/>
  <c r="BQ78" i="14" s="1"/>
  <c r="BJ78" i="14"/>
  <c r="BJ236" i="14" s="1"/>
  <c r="BE78" i="14"/>
  <c r="BF78" i="14" s="1"/>
  <c r="AZ78" i="14"/>
  <c r="BB78" i="14" s="1"/>
  <c r="BB159" i="14" s="1"/>
  <c r="AU78" i="14"/>
  <c r="AP78" i="14"/>
  <c r="AP236" i="14" s="1"/>
  <c r="AK78" i="14"/>
  <c r="AL78" i="14" s="1"/>
  <c r="AF78" i="14"/>
  <c r="AA78" i="14"/>
  <c r="V78" i="14"/>
  <c r="V236" i="14" s="1"/>
  <c r="Q78" i="14"/>
  <c r="L78" i="14"/>
  <c r="G78" i="14"/>
  <c r="B78" i="14"/>
  <c r="B236" i="14" s="1"/>
  <c r="BT77" i="14"/>
  <c r="BU77" i="14" s="1"/>
  <c r="BO77" i="14"/>
  <c r="BQ77" i="14" s="1"/>
  <c r="BJ77" i="14"/>
  <c r="BE77" i="14"/>
  <c r="BE235" i="14" s="1"/>
  <c r="AZ77" i="14"/>
  <c r="BA77" i="14" s="1"/>
  <c r="AU77" i="14"/>
  <c r="AP77" i="14"/>
  <c r="AK77" i="14"/>
  <c r="AK235" i="14" s="1"/>
  <c r="AF77" i="14"/>
  <c r="AA77" i="14"/>
  <c r="V77" i="14"/>
  <c r="Q77" i="14"/>
  <c r="Q235" i="14" s="1"/>
  <c r="L77" i="14"/>
  <c r="G77" i="14"/>
  <c r="B77" i="14"/>
  <c r="BT76" i="14"/>
  <c r="BO76" i="14"/>
  <c r="BP76" i="14" s="1"/>
  <c r="BJ76" i="14"/>
  <c r="BL76" i="14" s="1"/>
  <c r="BL542" i="14" s="1"/>
  <c r="BE76" i="14"/>
  <c r="BE157" i="14" s="1"/>
  <c r="AZ76" i="14"/>
  <c r="AU76" i="14"/>
  <c r="AP76" i="14"/>
  <c r="AK76" i="14"/>
  <c r="AK157" i="14" s="1"/>
  <c r="AK311" i="14" s="1"/>
  <c r="AF76" i="14"/>
  <c r="AA76" i="14"/>
  <c r="V76" i="14"/>
  <c r="Q76" i="14"/>
  <c r="Q157" i="14" s="1"/>
  <c r="L76" i="14"/>
  <c r="G76" i="14"/>
  <c r="B76" i="14"/>
  <c r="BT75" i="14"/>
  <c r="BT156" i="14" s="1"/>
  <c r="BO75" i="14"/>
  <c r="BJ75" i="14"/>
  <c r="BE75" i="14"/>
  <c r="BE156" i="14" s="1"/>
  <c r="AZ75" i="14"/>
  <c r="AZ156" i="14" s="1"/>
  <c r="AU75" i="14"/>
  <c r="AP75" i="14"/>
  <c r="AK75" i="14"/>
  <c r="AK156" i="14" s="1"/>
  <c r="AF75" i="14"/>
  <c r="AF156" i="14" s="1"/>
  <c r="AA75" i="14"/>
  <c r="V75" i="14"/>
  <c r="Q75" i="14"/>
  <c r="Q156" i="14" s="1"/>
  <c r="L75" i="14"/>
  <c r="L156" i="14" s="1"/>
  <c r="G75" i="14"/>
  <c r="B75" i="14"/>
  <c r="BT74" i="14"/>
  <c r="BV74" i="14" s="1"/>
  <c r="BV155" i="14" s="1"/>
  <c r="BO74" i="14"/>
  <c r="BQ74" i="14" s="1"/>
  <c r="BQ540" i="14" s="1"/>
  <c r="BJ74" i="14"/>
  <c r="BJ232" i="14" s="1"/>
  <c r="BE74" i="14"/>
  <c r="BF74" i="14" s="1"/>
  <c r="AZ74" i="14"/>
  <c r="AU74" i="14"/>
  <c r="AP74" i="14"/>
  <c r="AK74" i="14"/>
  <c r="AL74" i="14" s="1"/>
  <c r="AF74" i="14"/>
  <c r="AF232" i="14" s="1"/>
  <c r="AA74" i="14"/>
  <c r="AA540" i="14" s="1"/>
  <c r="V74" i="14"/>
  <c r="V232" i="14" s="1"/>
  <c r="Q74" i="14"/>
  <c r="L74" i="14"/>
  <c r="G74" i="14"/>
  <c r="B74" i="14"/>
  <c r="BT73" i="14"/>
  <c r="BU73" i="14" s="1"/>
  <c r="BO73" i="14"/>
  <c r="BP73" i="14" s="1"/>
  <c r="BJ73" i="14"/>
  <c r="BE73" i="14"/>
  <c r="BE231" i="14" s="1"/>
  <c r="AZ73" i="14"/>
  <c r="AU73" i="14"/>
  <c r="AP73" i="14"/>
  <c r="AK73" i="14"/>
  <c r="AK231" i="14" s="1"/>
  <c r="AF73" i="14"/>
  <c r="AA73" i="14"/>
  <c r="V73" i="14"/>
  <c r="Q73" i="14"/>
  <c r="Q231" i="14" s="1"/>
  <c r="L73" i="14"/>
  <c r="G73" i="14"/>
  <c r="B73" i="14"/>
  <c r="BT72" i="14"/>
  <c r="BO72" i="14"/>
  <c r="BP72" i="14" s="1"/>
  <c r="BJ72" i="14"/>
  <c r="BE72" i="14"/>
  <c r="BE153" i="14" s="1"/>
  <c r="AZ72" i="14"/>
  <c r="AU72" i="14"/>
  <c r="AP72" i="14"/>
  <c r="AK72" i="14"/>
  <c r="AK153" i="14" s="1"/>
  <c r="AF72" i="14"/>
  <c r="AA72" i="14"/>
  <c r="V72" i="14"/>
  <c r="V230" i="14" s="1"/>
  <c r="Q72" i="14"/>
  <c r="Q153" i="14" s="1"/>
  <c r="L72" i="14"/>
  <c r="G72" i="14"/>
  <c r="B72" i="14"/>
  <c r="BT71" i="14"/>
  <c r="BT152" i="14" s="1"/>
  <c r="BO71" i="14"/>
  <c r="BJ71" i="14"/>
  <c r="BE71" i="14"/>
  <c r="BE152" i="14" s="1"/>
  <c r="AZ71" i="14"/>
  <c r="AZ152" i="14" s="1"/>
  <c r="AU71" i="14"/>
  <c r="AP71" i="14"/>
  <c r="AK71" i="14"/>
  <c r="AK152" i="14" s="1"/>
  <c r="AF71" i="14"/>
  <c r="AF152" i="14" s="1"/>
  <c r="AA71" i="14"/>
  <c r="V71" i="14"/>
  <c r="Q71" i="14"/>
  <c r="Q152" i="14" s="1"/>
  <c r="L71" i="14"/>
  <c r="L152" i="14" s="1"/>
  <c r="G71" i="14"/>
  <c r="B71" i="14"/>
  <c r="BT70" i="14"/>
  <c r="BU70" i="14" s="1"/>
  <c r="BO70" i="14"/>
  <c r="BJ70" i="14"/>
  <c r="BJ228" i="14" s="1"/>
  <c r="BE70" i="14"/>
  <c r="AZ70" i="14"/>
  <c r="AU70" i="14"/>
  <c r="AP70" i="14"/>
  <c r="AP228" i="14" s="1"/>
  <c r="AK70" i="14"/>
  <c r="AF70" i="14"/>
  <c r="AA70" i="14"/>
  <c r="AA536" i="14" s="1"/>
  <c r="V70" i="14"/>
  <c r="V228" i="14" s="1"/>
  <c r="Q70" i="14"/>
  <c r="L70" i="14"/>
  <c r="G70" i="14"/>
  <c r="B70" i="14"/>
  <c r="B228" i="14" s="1"/>
  <c r="BT69" i="14"/>
  <c r="BO69" i="14"/>
  <c r="BJ69" i="14"/>
  <c r="BE69" i="14"/>
  <c r="BE535" i="14" s="1"/>
  <c r="AZ69" i="14"/>
  <c r="AU69" i="14"/>
  <c r="AP69" i="14"/>
  <c r="AK69" i="14"/>
  <c r="AK227" i="14" s="1"/>
  <c r="AF69" i="14"/>
  <c r="AA69" i="14"/>
  <c r="V69" i="14"/>
  <c r="V535" i="14" s="1"/>
  <c r="Q69" i="14"/>
  <c r="Q227" i="14" s="1"/>
  <c r="L69" i="14"/>
  <c r="G69" i="14"/>
  <c r="B69" i="14"/>
  <c r="BT68" i="14"/>
  <c r="BO68" i="14"/>
  <c r="BJ68" i="14"/>
  <c r="BE68" i="14"/>
  <c r="BE149" i="14" s="1"/>
  <c r="AZ68" i="14"/>
  <c r="AU68" i="14"/>
  <c r="AP68" i="14"/>
  <c r="AK68" i="14"/>
  <c r="AK149" i="14" s="1"/>
  <c r="AF68" i="14"/>
  <c r="AA68" i="14"/>
  <c r="V68" i="14"/>
  <c r="Q68" i="14"/>
  <c r="Q149" i="14" s="1"/>
  <c r="L68" i="14"/>
  <c r="G68" i="14"/>
  <c r="B68" i="14"/>
  <c r="BT67" i="14"/>
  <c r="BT148" i="14" s="1"/>
  <c r="BO67" i="14"/>
  <c r="BJ67" i="14"/>
  <c r="BE67" i="14"/>
  <c r="BE148" i="14" s="1"/>
  <c r="AZ67" i="14"/>
  <c r="AZ148" i="14" s="1"/>
  <c r="AU67" i="14"/>
  <c r="AP67" i="14"/>
  <c r="AK67" i="14"/>
  <c r="AK148" i="14" s="1"/>
  <c r="AF67" i="14"/>
  <c r="AF148" i="14" s="1"/>
  <c r="AA67" i="14"/>
  <c r="V67" i="14"/>
  <c r="Q67" i="14"/>
  <c r="Q148" i="14" s="1"/>
  <c r="L67" i="14"/>
  <c r="L148" i="14" s="1"/>
  <c r="G67" i="14"/>
  <c r="B67" i="14"/>
  <c r="BT66" i="14"/>
  <c r="BO66" i="14"/>
  <c r="BJ66" i="14"/>
  <c r="BJ224" i="14" s="1"/>
  <c r="BE66" i="14"/>
  <c r="AZ66" i="14"/>
  <c r="AU66" i="14"/>
  <c r="AP66" i="14"/>
  <c r="AP224" i="14" s="1"/>
  <c r="AK66" i="14"/>
  <c r="AF66" i="14"/>
  <c r="AA66" i="14"/>
  <c r="V66" i="14"/>
  <c r="V224" i="14" s="1"/>
  <c r="Q66" i="14"/>
  <c r="L66" i="14"/>
  <c r="G66" i="14"/>
  <c r="G532" i="14" s="1"/>
  <c r="B66" i="14"/>
  <c r="B224" i="14" s="1"/>
  <c r="BT65" i="14"/>
  <c r="BO65" i="14"/>
  <c r="BJ65" i="14"/>
  <c r="BE65" i="14"/>
  <c r="BE223" i="14" s="1"/>
  <c r="AZ65" i="14"/>
  <c r="AU65" i="14"/>
  <c r="AP65" i="14"/>
  <c r="AK65" i="14"/>
  <c r="AF65" i="14"/>
  <c r="AA65" i="14"/>
  <c r="V65" i="14"/>
  <c r="Q65" i="14"/>
  <c r="Q223" i="14" s="1"/>
  <c r="L65" i="14"/>
  <c r="G65" i="14"/>
  <c r="B65" i="14"/>
  <c r="B531" i="14" s="1"/>
  <c r="BT64" i="14"/>
  <c r="BO64" i="14"/>
  <c r="BJ64" i="14"/>
  <c r="BE64" i="14"/>
  <c r="BE145" i="14" s="1"/>
  <c r="AZ64" i="14"/>
  <c r="AU64" i="14"/>
  <c r="AP64" i="14"/>
  <c r="AK64" i="14"/>
  <c r="AK145" i="14" s="1"/>
  <c r="AF64" i="14"/>
  <c r="AA64" i="14"/>
  <c r="V64" i="14"/>
  <c r="Q64" i="14"/>
  <c r="Q145" i="14" s="1"/>
  <c r="L64" i="14"/>
  <c r="G64" i="14"/>
  <c r="B64" i="14"/>
  <c r="BT63" i="14"/>
  <c r="BT144" i="14" s="1"/>
  <c r="BO63" i="14"/>
  <c r="BJ63" i="14"/>
  <c r="BE63" i="14"/>
  <c r="BE144" i="14" s="1"/>
  <c r="AZ63" i="14"/>
  <c r="AZ144" i="14" s="1"/>
  <c r="AU63" i="14"/>
  <c r="AP63" i="14"/>
  <c r="AK63" i="14"/>
  <c r="AK144" i="14" s="1"/>
  <c r="AF63" i="14"/>
  <c r="AF144" i="14" s="1"/>
  <c r="AA63" i="14"/>
  <c r="V63" i="14"/>
  <c r="Q63" i="14"/>
  <c r="Q144" i="14" s="1"/>
  <c r="L63" i="14"/>
  <c r="L144" i="14" s="1"/>
  <c r="G63" i="14"/>
  <c r="B63" i="14"/>
  <c r="BT62" i="14"/>
  <c r="BO62" i="14"/>
  <c r="BO528" i="14" s="1"/>
  <c r="BJ62" i="14"/>
  <c r="BE62" i="14"/>
  <c r="AZ62" i="14"/>
  <c r="AU62" i="14"/>
  <c r="AP62" i="14"/>
  <c r="AK62" i="14"/>
  <c r="AF62" i="14"/>
  <c r="AA62" i="14"/>
  <c r="V62" i="14"/>
  <c r="Q62" i="14"/>
  <c r="L62" i="14"/>
  <c r="G62" i="14"/>
  <c r="B62" i="14"/>
  <c r="BT61" i="14"/>
  <c r="BU61" i="14" s="1"/>
  <c r="BO61" i="14"/>
  <c r="BJ61" i="14"/>
  <c r="BJ527" i="14" s="1"/>
  <c r="BE61" i="14"/>
  <c r="BE219" i="14" s="1"/>
  <c r="AZ61" i="14"/>
  <c r="BA61" i="14" s="1"/>
  <c r="AU61" i="14"/>
  <c r="AV61" i="14" s="1"/>
  <c r="AP61" i="14"/>
  <c r="AQ61" i="14" s="1"/>
  <c r="AK61" i="14"/>
  <c r="AF61" i="14"/>
  <c r="AG61" i="14" s="1"/>
  <c r="AA61" i="14"/>
  <c r="AB61" i="14" s="1"/>
  <c r="AC61" i="14" s="1"/>
  <c r="V61" i="14"/>
  <c r="W61" i="14" s="1"/>
  <c r="Q61" i="14"/>
  <c r="L61" i="14"/>
  <c r="G61" i="14"/>
  <c r="H61" i="14" s="1"/>
  <c r="I61" i="14" s="1"/>
  <c r="B61" i="14"/>
  <c r="C61" i="14" s="1"/>
  <c r="BT60" i="14"/>
  <c r="BO60" i="14"/>
  <c r="BP60" i="14" s="1"/>
  <c r="BJ60" i="14"/>
  <c r="BK60" i="14" s="1"/>
  <c r="BE60" i="14"/>
  <c r="BE141" i="14" s="1"/>
  <c r="AZ60" i="14"/>
  <c r="AU60" i="14"/>
  <c r="AV60" i="14" s="1"/>
  <c r="AP60" i="14"/>
  <c r="AK60" i="14"/>
  <c r="AK141" i="14" s="1"/>
  <c r="AK603" i="14" s="1"/>
  <c r="AF60" i="14"/>
  <c r="AA60" i="14"/>
  <c r="V60" i="14"/>
  <c r="Q60" i="14"/>
  <c r="Q141" i="14" s="1"/>
  <c r="L60" i="14"/>
  <c r="G60" i="14"/>
  <c r="B60" i="14"/>
  <c r="BT59" i="14"/>
  <c r="BT140" i="14" s="1"/>
  <c r="BO59" i="14"/>
  <c r="BJ59" i="14"/>
  <c r="BK59" i="14" s="1"/>
  <c r="BK525" i="14" s="1"/>
  <c r="BE59" i="14"/>
  <c r="BE140" i="14" s="1"/>
  <c r="AZ59" i="14"/>
  <c r="AU59" i="14"/>
  <c r="AP59" i="14"/>
  <c r="AK59" i="14"/>
  <c r="AK140" i="14" s="1"/>
  <c r="AF59" i="14"/>
  <c r="AF140" i="14" s="1"/>
  <c r="AA59" i="14"/>
  <c r="V59" i="14"/>
  <c r="Q59" i="14"/>
  <c r="Q140" i="14" s="1"/>
  <c r="L59" i="14"/>
  <c r="L140" i="14" s="1"/>
  <c r="G59" i="14"/>
  <c r="B59" i="14"/>
  <c r="BT58" i="14"/>
  <c r="BT216" i="14" s="1"/>
  <c r="BO58" i="14"/>
  <c r="BO524" i="14" s="1"/>
  <c r="BJ58" i="14"/>
  <c r="BJ216" i="14" s="1"/>
  <c r="BE58" i="14"/>
  <c r="BF58" i="14" s="1"/>
  <c r="AZ58" i="14"/>
  <c r="AU58" i="14"/>
  <c r="AV58" i="14" s="1"/>
  <c r="AX58" i="14" s="1" a="1"/>
  <c r="AX58" i="14" s="1"/>
  <c r="AX216" i="14" s="1"/>
  <c r="AP58" i="14"/>
  <c r="AP524" i="14" s="1"/>
  <c r="AK58" i="14"/>
  <c r="AK139" i="14" s="1"/>
  <c r="AF58" i="14"/>
  <c r="AA58" i="14"/>
  <c r="V58" i="14"/>
  <c r="V524" i="14" s="1"/>
  <c r="Q58" i="14"/>
  <c r="Q139" i="14" s="1"/>
  <c r="Q601" i="14" s="1"/>
  <c r="L58" i="14"/>
  <c r="G58" i="14"/>
  <c r="G524" i="14" s="1"/>
  <c r="B58" i="14"/>
  <c r="B524" i="14" s="1"/>
  <c r="BT57" i="14"/>
  <c r="BT138" i="14" s="1"/>
  <c r="BO57" i="14"/>
  <c r="BQ57" i="14" s="1"/>
  <c r="BJ57" i="14"/>
  <c r="BL57" i="14" s="1"/>
  <c r="BE57" i="14"/>
  <c r="BE138" i="14" s="1"/>
  <c r="AZ57" i="14"/>
  <c r="AZ138" i="14" s="1"/>
  <c r="AU57" i="14"/>
  <c r="AP57" i="14"/>
  <c r="AK57" i="14"/>
  <c r="AK523" i="14" s="1"/>
  <c r="AF57" i="14"/>
  <c r="AF138" i="14" s="1"/>
  <c r="AA57" i="14"/>
  <c r="AA138" i="14" s="1"/>
  <c r="V57" i="14"/>
  <c r="Q57" i="14"/>
  <c r="Q523" i="14" s="1"/>
  <c r="L57" i="14"/>
  <c r="L138" i="14" s="1"/>
  <c r="G57" i="14"/>
  <c r="B57" i="14"/>
  <c r="BT56" i="14"/>
  <c r="BO56" i="14"/>
  <c r="BJ56" i="14"/>
  <c r="BE56" i="14"/>
  <c r="BE137" i="14" s="1"/>
  <c r="BE599" i="14" s="1"/>
  <c r="AZ56" i="14"/>
  <c r="AZ137" i="14" s="1"/>
  <c r="AU56" i="14"/>
  <c r="AP56" i="14"/>
  <c r="AP137" i="14" s="1"/>
  <c r="AK56" i="14"/>
  <c r="AK137" i="14" s="1"/>
  <c r="AF56" i="14"/>
  <c r="AF137" i="14" s="1"/>
  <c r="AA56" i="14"/>
  <c r="AA137" i="14" s="1"/>
  <c r="V56" i="14"/>
  <c r="Q56" i="14"/>
  <c r="Q137" i="14" s="1"/>
  <c r="Q599" i="14" s="1"/>
  <c r="L56" i="14"/>
  <c r="L137" i="14" s="1"/>
  <c r="G56" i="14"/>
  <c r="B56" i="14"/>
  <c r="BT55" i="14"/>
  <c r="BT136" i="14" s="1"/>
  <c r="BO55" i="14"/>
  <c r="BJ55" i="14"/>
  <c r="BJ136" i="14" s="1"/>
  <c r="BE55" i="14"/>
  <c r="AZ55" i="14"/>
  <c r="BA55" i="14" s="1"/>
  <c r="BA136" i="14" s="1"/>
  <c r="AU55" i="14"/>
  <c r="AU136" i="14" s="1"/>
  <c r="AP55" i="14"/>
  <c r="AP136" i="14" s="1"/>
  <c r="AK55" i="14"/>
  <c r="AK136" i="14" s="1"/>
  <c r="AF55" i="14"/>
  <c r="AF136" i="14" s="1"/>
  <c r="AA55" i="14"/>
  <c r="AA136" i="14" s="1"/>
  <c r="V55" i="14"/>
  <c r="V136" i="14" s="1"/>
  <c r="Q55" i="14"/>
  <c r="Q136" i="14" s="1"/>
  <c r="L55" i="14"/>
  <c r="L136" i="14" s="1"/>
  <c r="G55" i="14"/>
  <c r="B55" i="14"/>
  <c r="B136" i="14" s="1"/>
  <c r="BT54" i="14"/>
  <c r="BO54" i="14"/>
  <c r="BO520" i="14" s="1"/>
  <c r="BJ54" i="14"/>
  <c r="BJ212" i="14" s="1"/>
  <c r="BE54" i="14"/>
  <c r="BE135" i="14" s="1"/>
  <c r="AZ54" i="14"/>
  <c r="AZ520" i="14" s="1"/>
  <c r="AU54" i="14"/>
  <c r="AP54" i="14"/>
  <c r="AK54" i="14"/>
  <c r="AK135" i="14" s="1"/>
  <c r="AK597" i="14" s="1"/>
  <c r="AF54" i="14"/>
  <c r="AF520" i="14" s="1"/>
  <c r="AA54" i="14"/>
  <c r="V54" i="14"/>
  <c r="Q54" i="14"/>
  <c r="Q135" i="14" s="1"/>
  <c r="L54" i="14"/>
  <c r="L520" i="14" s="1"/>
  <c r="G54" i="14"/>
  <c r="B54" i="14"/>
  <c r="BT53" i="14"/>
  <c r="BO53" i="14"/>
  <c r="BO519" i="14" s="1"/>
  <c r="BJ53" i="14"/>
  <c r="BJ519" i="14" s="1"/>
  <c r="BE53" i="14"/>
  <c r="BG53" i="14" s="1"/>
  <c r="AZ53" i="14"/>
  <c r="AZ134" i="14" s="1"/>
  <c r="AU53" i="14"/>
  <c r="AU519" i="14" s="1"/>
  <c r="AP53" i="14"/>
  <c r="AK53" i="14"/>
  <c r="AF53" i="14"/>
  <c r="AF134" i="14" s="1"/>
  <c r="AA53" i="14"/>
  <c r="AA519" i="14" s="1"/>
  <c r="V53" i="14"/>
  <c r="Q53" i="14"/>
  <c r="L53" i="14"/>
  <c r="L134" i="14" s="1"/>
  <c r="G53" i="14"/>
  <c r="G519" i="14" s="1"/>
  <c r="B53" i="14"/>
  <c r="BT52" i="14"/>
  <c r="BO52" i="14"/>
  <c r="BO133" i="14" s="1"/>
  <c r="BJ52" i="14"/>
  <c r="BK52" i="14" s="1"/>
  <c r="BE52" i="14"/>
  <c r="BE133" i="14" s="1"/>
  <c r="AZ52" i="14"/>
  <c r="BB52" i="14" s="1"/>
  <c r="BB210" i="14" s="1"/>
  <c r="AU52" i="14"/>
  <c r="AU133" i="14" s="1"/>
  <c r="AP52" i="14"/>
  <c r="AK52" i="14"/>
  <c r="AK133" i="14" s="1"/>
  <c r="AK595" i="14" s="1"/>
  <c r="AF52" i="14"/>
  <c r="AA52" i="14"/>
  <c r="AA133" i="14" s="1"/>
  <c r="V52" i="14"/>
  <c r="V210" i="14" s="1"/>
  <c r="Q52" i="14"/>
  <c r="Q133" i="14" s="1"/>
  <c r="L52" i="14"/>
  <c r="G52" i="14"/>
  <c r="G133" i="14" s="1"/>
  <c r="B52" i="14"/>
  <c r="BT51" i="14"/>
  <c r="BT132" i="14" s="1"/>
  <c r="BO51" i="14"/>
  <c r="BQ51" i="14" s="1"/>
  <c r="BJ51" i="14"/>
  <c r="BJ132" i="14" s="1"/>
  <c r="BE51" i="14"/>
  <c r="BG51" i="14" s="1"/>
  <c r="AZ51" i="14"/>
  <c r="AZ132" i="14" s="1"/>
  <c r="AU51" i="14"/>
  <c r="AW51" i="14" s="1"/>
  <c r="AP51" i="14"/>
  <c r="AP132" i="14" s="1"/>
  <c r="AK51" i="14"/>
  <c r="AF51" i="14"/>
  <c r="AF132" i="14" s="1"/>
  <c r="AA51" i="14"/>
  <c r="V51" i="14"/>
  <c r="V132" i="14" s="1"/>
  <c r="Q51" i="14"/>
  <c r="L51" i="14"/>
  <c r="L132" i="14" s="1"/>
  <c r="G51" i="14"/>
  <c r="B51" i="14"/>
  <c r="B132" i="14" s="1"/>
  <c r="BT50" i="14"/>
  <c r="BO50" i="14"/>
  <c r="BQ50" i="14" s="1"/>
  <c r="BQ516" i="14" s="1"/>
  <c r="BJ50" i="14"/>
  <c r="BJ208" i="14" s="1"/>
  <c r="BE50" i="14"/>
  <c r="BE131" i="14" s="1"/>
  <c r="BE593" i="14" s="1"/>
  <c r="AZ50" i="14"/>
  <c r="AZ516" i="14" s="1"/>
  <c r="AU50" i="14"/>
  <c r="AU516" i="14" s="1"/>
  <c r="AR50" i="14"/>
  <c r="AQ50" i="14"/>
  <c r="AP50" i="14"/>
  <c r="AP516" i="14" s="1"/>
  <c r="AM50" i="14"/>
  <c r="AL50" i="14"/>
  <c r="AK50" i="14"/>
  <c r="AH50" i="14"/>
  <c r="AG50" i="14"/>
  <c r="AF50" i="14"/>
  <c r="AF516" i="14" s="1"/>
  <c r="AC50" i="14"/>
  <c r="AC516" i="14" s="1"/>
  <c r="AB50" i="14"/>
  <c r="AA50" i="14"/>
  <c r="X50" i="14"/>
  <c r="W50" i="14"/>
  <c r="V50" i="14"/>
  <c r="S50" i="14"/>
  <c r="R50" i="14"/>
  <c r="Q50" i="14"/>
  <c r="Q131" i="14" s="1"/>
  <c r="Q593" i="14" s="1"/>
  <c r="N50" i="14"/>
  <c r="M50" i="14"/>
  <c r="L50" i="14"/>
  <c r="L516" i="14" s="1"/>
  <c r="I50" i="14"/>
  <c r="H50" i="14"/>
  <c r="G50" i="14"/>
  <c r="D50" i="14"/>
  <c r="C50" i="14"/>
  <c r="B50" i="14"/>
  <c r="B516" i="14" s="1"/>
  <c r="BT49" i="14"/>
  <c r="BT130" i="14" s="1"/>
  <c r="BT284" i="14" s="1"/>
  <c r="BO49" i="14"/>
  <c r="BQ49" i="14" s="1"/>
  <c r="BJ49" i="14"/>
  <c r="BL49" i="14" s="1"/>
  <c r="BE49" i="14"/>
  <c r="AZ49" i="14"/>
  <c r="AU49" i="14"/>
  <c r="AW49" i="14" s="1"/>
  <c r="AQ49" i="14"/>
  <c r="AP49" i="14"/>
  <c r="AL49" i="14"/>
  <c r="AK49" i="14"/>
  <c r="AG49" i="14"/>
  <c r="AF49" i="14"/>
  <c r="AF207" i="14" s="1"/>
  <c r="AB49" i="14"/>
  <c r="AA49" i="14"/>
  <c r="AA207" i="14" s="1"/>
  <c r="W49" i="14"/>
  <c r="V49" i="14"/>
  <c r="R49" i="14"/>
  <c r="Q49" i="14"/>
  <c r="M49" i="14"/>
  <c r="L49" i="14"/>
  <c r="H49" i="14"/>
  <c r="G49" i="14"/>
  <c r="G207" i="14" s="1"/>
  <c r="C49" i="14"/>
  <c r="B49" i="14"/>
  <c r="BT48" i="14"/>
  <c r="BT129" i="14" s="1"/>
  <c r="BT283" i="14" s="1"/>
  <c r="BO48" i="14"/>
  <c r="BO129" i="14" s="1"/>
  <c r="BO283" i="14" s="1"/>
  <c r="BJ48" i="14"/>
  <c r="BE48" i="14"/>
  <c r="BF48" i="14" s="1"/>
  <c r="BF129" i="14" s="1"/>
  <c r="BF283" i="14" s="1"/>
  <c r="AZ48" i="14"/>
  <c r="AZ129" i="14" s="1"/>
  <c r="AZ283" i="14" s="1"/>
  <c r="AU48" i="14"/>
  <c r="AU129" i="14" s="1"/>
  <c r="AU283" i="14" s="1"/>
  <c r="AQ48" i="14"/>
  <c r="AP48" i="14"/>
  <c r="AP206" i="14" s="1"/>
  <c r="AL48" i="14"/>
  <c r="AL129" i="14" s="1"/>
  <c r="AL283" i="14" s="1"/>
  <c r="AK48" i="14"/>
  <c r="AG48" i="14"/>
  <c r="AG206" i="14" s="1"/>
  <c r="AF48" i="14"/>
  <c r="AF206" i="14" s="1"/>
  <c r="AB48" i="14"/>
  <c r="AB129" i="14" s="1"/>
  <c r="AB283" i="14" s="1"/>
  <c r="AA48" i="14"/>
  <c r="W48" i="14"/>
  <c r="V48" i="14"/>
  <c r="V206" i="14" s="1"/>
  <c r="R48" i="14"/>
  <c r="Q48" i="14"/>
  <c r="M48" i="14"/>
  <c r="M206" i="14" s="1"/>
  <c r="L48" i="14"/>
  <c r="L206" i="14" s="1"/>
  <c r="H48" i="14"/>
  <c r="H129" i="14" s="1"/>
  <c r="H283" i="14" s="1"/>
  <c r="G48" i="14"/>
  <c r="C48" i="14"/>
  <c r="B48" i="14"/>
  <c r="B206" i="14" s="1"/>
  <c r="BT47" i="14"/>
  <c r="BO47" i="14"/>
  <c r="BJ47" i="14"/>
  <c r="BJ128" i="14" s="1"/>
  <c r="BJ282" i="14" s="1"/>
  <c r="BE47" i="14"/>
  <c r="BE205" i="14" s="1"/>
  <c r="AZ47" i="14"/>
  <c r="BB47" i="14" s="1"/>
  <c r="BB128" i="14" s="1"/>
  <c r="BB282" i="14" s="1"/>
  <c r="AU47" i="14"/>
  <c r="AR47" i="14"/>
  <c r="AQ47" i="14"/>
  <c r="AP47" i="14"/>
  <c r="AP205" i="14" s="1"/>
  <c r="AM47" i="14"/>
  <c r="AL47" i="14"/>
  <c r="AK47" i="14"/>
  <c r="AK205" i="14" s="1"/>
  <c r="AH47" i="14"/>
  <c r="AH128" i="14" s="1"/>
  <c r="AH282" i="14" s="1"/>
  <c r="AG47" i="14"/>
  <c r="AF47" i="14"/>
  <c r="AC47" i="14"/>
  <c r="AB47" i="14"/>
  <c r="AB205" i="14" s="1"/>
  <c r="AA47" i="14"/>
  <c r="AA205" i="14" s="1"/>
  <c r="X47" i="14"/>
  <c r="W47" i="14"/>
  <c r="V47" i="14"/>
  <c r="S47" i="14"/>
  <c r="R47" i="14"/>
  <c r="Q47" i="14"/>
  <c r="Q205" i="14" s="1"/>
  <c r="N47" i="14"/>
  <c r="N128" i="14" s="1"/>
  <c r="N282" i="14" s="1"/>
  <c r="M47" i="14"/>
  <c r="L47" i="14"/>
  <c r="I47" i="14"/>
  <c r="H47" i="14"/>
  <c r="H205" i="14" s="1"/>
  <c r="G47" i="14"/>
  <c r="G205" i="14" s="1"/>
  <c r="D47" i="14"/>
  <c r="C47" i="14"/>
  <c r="B47" i="14"/>
  <c r="B205" i="14" s="1"/>
  <c r="BT46" i="14"/>
  <c r="BT204" i="14" s="1"/>
  <c r="BO46" i="14"/>
  <c r="BQ46" i="14" s="1"/>
  <c r="BJ46" i="14"/>
  <c r="BK46" i="14" s="1"/>
  <c r="BE46" i="14"/>
  <c r="BF46" i="14" s="1"/>
  <c r="AZ46" i="14"/>
  <c r="AZ204" i="14" s="1"/>
  <c r="AU46" i="14"/>
  <c r="AR46" i="14"/>
  <c r="AQ46" i="14"/>
  <c r="AQ204" i="14" s="1"/>
  <c r="AP46" i="14"/>
  <c r="AM46" i="14"/>
  <c r="AM204" i="14" s="1"/>
  <c r="AL46" i="14"/>
  <c r="AK46" i="14"/>
  <c r="AH46" i="14"/>
  <c r="AG46" i="14"/>
  <c r="AF46" i="14"/>
  <c r="AF204" i="14" s="1"/>
  <c r="AC46" i="14"/>
  <c r="AB46" i="14"/>
  <c r="AA46" i="14"/>
  <c r="X46" i="14"/>
  <c r="W46" i="14"/>
  <c r="W204" i="14" s="1"/>
  <c r="V46" i="14"/>
  <c r="V127" i="14" s="1"/>
  <c r="V281" i="14" s="1"/>
  <c r="S46" i="14"/>
  <c r="S204" i="14" s="1"/>
  <c r="R46" i="14"/>
  <c r="Q46" i="14"/>
  <c r="Q204" i="14" s="1"/>
  <c r="N46" i="14"/>
  <c r="M46" i="14"/>
  <c r="L46" i="14"/>
  <c r="L204" i="14" s="1"/>
  <c r="I46" i="14"/>
  <c r="H46" i="14"/>
  <c r="G46" i="14"/>
  <c r="D46" i="14"/>
  <c r="C46" i="14"/>
  <c r="C204" i="14" s="1"/>
  <c r="B46" i="14"/>
  <c r="BT45" i="14"/>
  <c r="BT126" i="14" s="1"/>
  <c r="BT592" i="14" s="1"/>
  <c r="BO45" i="14"/>
  <c r="BJ45" i="14"/>
  <c r="BL45" i="14" s="1"/>
  <c r="BE45" i="14"/>
  <c r="BE126" i="14" s="1"/>
  <c r="BE592" i="14" s="1"/>
  <c r="AZ45" i="14"/>
  <c r="AZ126" i="14" s="1"/>
  <c r="AZ592" i="14" s="1"/>
  <c r="AU45" i="14"/>
  <c r="AQ45" i="14"/>
  <c r="AP45" i="14"/>
  <c r="AL45" i="14"/>
  <c r="AL515" i="14" s="1"/>
  <c r="AK45" i="14"/>
  <c r="AG45" i="14"/>
  <c r="AF45" i="14"/>
  <c r="AB45" i="14"/>
  <c r="AA45" i="14"/>
  <c r="AA515" i="14" s="1"/>
  <c r="W45" i="14"/>
  <c r="V45" i="14"/>
  <c r="R45" i="14"/>
  <c r="R515" i="14" s="1"/>
  <c r="Q45" i="14"/>
  <c r="Q515" i="14" s="1"/>
  <c r="M45" i="14"/>
  <c r="L45" i="14"/>
  <c r="H45" i="14"/>
  <c r="G45" i="14"/>
  <c r="G515" i="14" s="1"/>
  <c r="C45" i="14"/>
  <c r="B45" i="14"/>
  <c r="BT44" i="14"/>
  <c r="BO44" i="14"/>
  <c r="BO125" i="14" s="1"/>
  <c r="BO591" i="14" s="1"/>
  <c r="BJ44" i="14"/>
  <c r="BJ514" i="14" s="1"/>
  <c r="BE44" i="14"/>
  <c r="BG44" i="14" s="1"/>
  <c r="AZ44" i="14"/>
  <c r="AU44" i="14"/>
  <c r="AU125" i="14" s="1"/>
  <c r="AU591" i="14" s="1"/>
  <c r="AQ44" i="14"/>
  <c r="AP44" i="14"/>
  <c r="AP125" i="14" s="1"/>
  <c r="AP591" i="14" s="1"/>
  <c r="AL44" i="14"/>
  <c r="AK44" i="14"/>
  <c r="AG44" i="14"/>
  <c r="AG514" i="14" s="1"/>
  <c r="AF44" i="14"/>
  <c r="AF514" i="14" s="1"/>
  <c r="AB44" i="14"/>
  <c r="AA44" i="14"/>
  <c r="AA514" i="14" s="1"/>
  <c r="W44" i="14"/>
  <c r="W514" i="14" s="1"/>
  <c r="V44" i="14"/>
  <c r="V514" i="14" s="1"/>
  <c r="R44" i="14"/>
  <c r="Q44" i="14"/>
  <c r="M44" i="14"/>
  <c r="M514" i="14" s="1"/>
  <c r="L44" i="14"/>
  <c r="L514" i="14" s="1"/>
  <c r="H44" i="14"/>
  <c r="G44" i="14"/>
  <c r="C44" i="14"/>
  <c r="B44" i="14"/>
  <c r="B514" i="14" s="1"/>
  <c r="BT43" i="14"/>
  <c r="BO43" i="14"/>
  <c r="BO124" i="14" s="1"/>
  <c r="BO590" i="14" s="1"/>
  <c r="BJ43" i="14"/>
  <c r="BE43" i="14"/>
  <c r="BE513" i="14" s="1"/>
  <c r="AZ43" i="14"/>
  <c r="BB43" i="14" s="1"/>
  <c r="AU43" i="14"/>
  <c r="AR43" i="14"/>
  <c r="AR513" i="14" s="1"/>
  <c r="AQ43" i="14"/>
  <c r="AP43" i="14"/>
  <c r="AM43" i="14"/>
  <c r="AL43" i="14"/>
  <c r="AK43" i="14"/>
  <c r="AK513" i="14" s="1"/>
  <c r="AH43" i="14"/>
  <c r="AG43" i="14"/>
  <c r="AF43" i="14"/>
  <c r="AC43" i="14"/>
  <c r="AB43" i="14"/>
  <c r="AB513" i="14" s="1"/>
  <c r="AA43" i="14"/>
  <c r="AA513" i="14" s="1"/>
  <c r="X43" i="14"/>
  <c r="X513" i="14" s="1"/>
  <c r="W43" i="14"/>
  <c r="V43" i="14"/>
  <c r="V513" i="14" s="1"/>
  <c r="S43" i="14"/>
  <c r="R43" i="14"/>
  <c r="Q43" i="14"/>
  <c r="Q513" i="14" s="1"/>
  <c r="N43" i="14"/>
  <c r="M43" i="14"/>
  <c r="L43" i="14"/>
  <c r="I43" i="14"/>
  <c r="I124" i="14" s="1"/>
  <c r="I590" i="14" s="1"/>
  <c r="H43" i="14"/>
  <c r="H513" i="14" s="1"/>
  <c r="G43" i="14"/>
  <c r="G513" i="14" s="1"/>
  <c r="D43" i="14"/>
  <c r="D513" i="14" s="1"/>
  <c r="C43" i="14"/>
  <c r="C124" i="14" s="1"/>
  <c r="C590" i="14" s="1"/>
  <c r="B43" i="14"/>
  <c r="BT42" i="14"/>
  <c r="BT512" i="14" s="1"/>
  <c r="BO42" i="14"/>
  <c r="BQ42" i="14" s="1"/>
  <c r="BJ42" i="14"/>
  <c r="BE42" i="14"/>
  <c r="BE123" i="14" s="1"/>
  <c r="AZ42" i="14"/>
  <c r="AU42" i="14"/>
  <c r="AW42" i="14" s="1"/>
  <c r="AW123" i="14" s="1"/>
  <c r="AW589" i="14" s="1"/>
  <c r="AR42" i="14"/>
  <c r="AQ42" i="14"/>
  <c r="AQ512" i="14" s="1"/>
  <c r="AP42" i="14"/>
  <c r="AP123" i="14" s="1"/>
  <c r="AM42" i="14"/>
  <c r="AM512" i="14" s="1"/>
  <c r="AL42" i="14"/>
  <c r="AK42" i="14"/>
  <c r="AK512" i="14" s="1"/>
  <c r="AH42" i="14"/>
  <c r="AG42" i="14"/>
  <c r="AF42" i="14"/>
  <c r="AF512" i="14" s="1"/>
  <c r="AC42" i="14"/>
  <c r="AB42" i="14"/>
  <c r="AA42" i="14"/>
  <c r="X42" i="14"/>
  <c r="W42" i="14"/>
  <c r="W512" i="14" s="1"/>
  <c r="V42" i="14"/>
  <c r="V123" i="14" s="1"/>
  <c r="S42" i="14"/>
  <c r="S512" i="14" s="1"/>
  <c r="R42" i="14"/>
  <c r="Q42" i="14"/>
  <c r="N42" i="14"/>
  <c r="M42" i="14"/>
  <c r="L42" i="14"/>
  <c r="L512" i="14" s="1"/>
  <c r="I42" i="14"/>
  <c r="I123" i="14" s="1"/>
  <c r="I589" i="14" s="1"/>
  <c r="H42" i="14"/>
  <c r="G42" i="14"/>
  <c r="D42" i="14"/>
  <c r="C42" i="14"/>
  <c r="C512" i="14" s="1"/>
  <c r="B42" i="14"/>
  <c r="B123" i="14" s="1"/>
  <c r="BU34" i="14"/>
  <c r="BU35" i="14" s="1"/>
  <c r="BP34" i="14"/>
  <c r="BP35" i="14" s="1"/>
  <c r="BK34" i="14"/>
  <c r="BF34" i="14"/>
  <c r="BF35" i="14" s="1"/>
  <c r="BA34" i="14"/>
  <c r="BA35" i="14" s="1"/>
  <c r="AV34" i="14"/>
  <c r="AV35" i="14" s="1"/>
  <c r="AS34" i="14"/>
  <c r="AQ34" i="14"/>
  <c r="AQ35" i="14" s="1"/>
  <c r="AQ36" i="14" s="1"/>
  <c r="AL34" i="14"/>
  <c r="AL35" i="14" s="1"/>
  <c r="AL36" i="14" s="1"/>
  <c r="AG34" i="14"/>
  <c r="AG35" i="14" s="1"/>
  <c r="AG36" i="14" s="1"/>
  <c r="AB34" i="14"/>
  <c r="AB35" i="14" s="1"/>
  <c r="AB36" i="14" s="1"/>
  <c r="W34" i="14"/>
  <c r="W35" i="14" s="1"/>
  <c r="W36" i="14" s="1"/>
  <c r="R34" i="14"/>
  <c r="R35" i="14" s="1"/>
  <c r="R36" i="14" s="1"/>
  <c r="M34" i="14"/>
  <c r="M35" i="14" s="1"/>
  <c r="M36" i="14" s="1"/>
  <c r="H34" i="14"/>
  <c r="H35" i="14" s="1"/>
  <c r="H36" i="14" s="1"/>
  <c r="C34" i="14"/>
  <c r="C35" i="14" s="1"/>
  <c r="C36" i="14" s="1"/>
  <c r="AS33" i="14"/>
  <c r="BW30" i="14"/>
  <c r="BR30" i="14"/>
  <c r="BM30" i="14"/>
  <c r="BH30" i="14"/>
  <c r="BC30" i="14"/>
  <c r="AX30" i="14"/>
  <c r="AS30" i="14"/>
  <c r="AR60" i="14" s="1"/>
  <c r="AQ30" i="14"/>
  <c r="AQ60" i="14" s="1"/>
  <c r="AN30" i="14"/>
  <c r="AM60" i="14" s="1"/>
  <c r="AL30" i="14"/>
  <c r="AL60" i="14" s="1"/>
  <c r="AI30" i="14"/>
  <c r="AH60" i="14" s="1"/>
  <c r="AG30" i="14"/>
  <c r="AG60" i="14" s="1"/>
  <c r="AD30" i="14"/>
  <c r="AC60" i="14" s="1"/>
  <c r="AB30" i="14"/>
  <c r="AB60" i="14" s="1"/>
  <c r="Y30" i="14"/>
  <c r="X60" i="14" s="1"/>
  <c r="X526" i="14" s="1"/>
  <c r="W30" i="14"/>
  <c r="W60" i="14" s="1"/>
  <c r="T30" i="14"/>
  <c r="S60" i="14" s="1"/>
  <c r="R30" i="14"/>
  <c r="R60" i="14" s="1"/>
  <c r="R218" i="14" s="1"/>
  <c r="O30" i="14"/>
  <c r="N60" i="14" s="1"/>
  <c r="M30" i="14"/>
  <c r="M60" i="14" s="1"/>
  <c r="BW29" i="14"/>
  <c r="BR29" i="14"/>
  <c r="BM29" i="14"/>
  <c r="BH29" i="14"/>
  <c r="BC29" i="14"/>
  <c r="AX29" i="14"/>
  <c r="AS29" i="14"/>
  <c r="AR59" i="14" s="1"/>
  <c r="AR525" i="14" s="1"/>
  <c r="AQ29" i="14"/>
  <c r="AQ59" i="14" s="1"/>
  <c r="AN29" i="14"/>
  <c r="AM59" i="14" s="1"/>
  <c r="AL29" i="14"/>
  <c r="AL59" i="14" s="1"/>
  <c r="AI29" i="14"/>
  <c r="AH59" i="14" s="1"/>
  <c r="AG29" i="14"/>
  <c r="AG59" i="14" s="1"/>
  <c r="AD29" i="14"/>
  <c r="AC59" i="14" s="1"/>
  <c r="AB29" i="14"/>
  <c r="AB59" i="14" s="1"/>
  <c r="AD59" i="14" s="1" a="1"/>
  <c r="AD59" i="14" s="1"/>
  <c r="Y29" i="14"/>
  <c r="X59" i="14" s="1"/>
  <c r="X525" i="14" s="1"/>
  <c r="W29" i="14"/>
  <c r="W59" i="14" s="1"/>
  <c r="T29" i="14"/>
  <c r="S59" i="14" s="1"/>
  <c r="R29" i="14"/>
  <c r="R59" i="14" s="1"/>
  <c r="O29" i="14"/>
  <c r="N59" i="14" s="1"/>
  <c r="M29" i="14"/>
  <c r="M59" i="14" s="1"/>
  <c r="BW28" i="14"/>
  <c r="BR28" i="14"/>
  <c r="BM28" i="14"/>
  <c r="BH28" i="14"/>
  <c r="BC28" i="14"/>
  <c r="AX28" i="14"/>
  <c r="AS28" i="14"/>
  <c r="AR58" i="14" s="1"/>
  <c r="AQ28" i="14"/>
  <c r="AQ58" i="14" s="1"/>
  <c r="AS58" i="14" s="1" a="1"/>
  <c r="AS58" i="14" s="1"/>
  <c r="AN28" i="14"/>
  <c r="AM58" i="14" s="1"/>
  <c r="AL28" i="14"/>
  <c r="AL58" i="14" s="1"/>
  <c r="AI28" i="14"/>
  <c r="AH58" i="14" s="1"/>
  <c r="AG28" i="14"/>
  <c r="AG58" i="14" s="1"/>
  <c r="AD28" i="14"/>
  <c r="AC58" i="14" s="1"/>
  <c r="AB28" i="14"/>
  <c r="AB58" i="14" s="1"/>
  <c r="AD58" i="14" s="1" a="1"/>
  <c r="AD58" i="14" s="1"/>
  <c r="Y28" i="14"/>
  <c r="X58" i="14" s="1"/>
  <c r="W28" i="14"/>
  <c r="W58" i="14" s="1"/>
  <c r="T28" i="14"/>
  <c r="S58" i="14" s="1"/>
  <c r="R28" i="14"/>
  <c r="R58" i="14" s="1"/>
  <c r="O28" i="14"/>
  <c r="N58" i="14" s="1"/>
  <c r="M28" i="14"/>
  <c r="M58" i="14" s="1"/>
  <c r="BH26" i="14"/>
  <c r="BC26" i="14"/>
  <c r="AX26" i="14"/>
  <c r="BW25" i="14"/>
  <c r="BV52" i="14" s="1"/>
  <c r="BR25" i="14"/>
  <c r="BM25" i="14"/>
  <c r="BH25" i="14"/>
  <c r="BC25" i="14"/>
  <c r="AX25" i="14"/>
  <c r="AS24" i="14"/>
  <c r="AR54" i="14" s="1"/>
  <c r="AN24" i="14"/>
  <c r="AM54" i="14" s="1"/>
  <c r="AI24" i="14"/>
  <c r="AH54" i="14" s="1"/>
  <c r="AD24" i="14"/>
  <c r="AC54" i="14" s="1"/>
  <c r="Y24" i="14"/>
  <c r="X54" i="14" s="1"/>
  <c r="T24" i="14"/>
  <c r="S54" i="14" s="1"/>
  <c r="O24" i="14"/>
  <c r="N54" i="14" s="1"/>
  <c r="J24" i="14"/>
  <c r="I54" i="14" s="1"/>
  <c r="E24" i="14"/>
  <c r="D54" i="14" s="1"/>
  <c r="AS22" i="14"/>
  <c r="AN22" i="14"/>
  <c r="AI22" i="14"/>
  <c r="AH52" i="14" s="1"/>
  <c r="AD22" i="14"/>
  <c r="AC52" i="14" s="1"/>
  <c r="Y22" i="14"/>
  <c r="X52" i="14" s="1"/>
  <c r="T22" i="14"/>
  <c r="O22" i="14"/>
  <c r="N52" i="14" s="1"/>
  <c r="J22" i="14"/>
  <c r="I52" i="14" s="1"/>
  <c r="E22" i="14"/>
  <c r="D52" i="14" s="1"/>
  <c r="D210" i="14" s="1"/>
  <c r="AS21" i="14"/>
  <c r="AQ21" i="14"/>
  <c r="AQ22" i="14" s="1"/>
  <c r="AN21" i="14"/>
  <c r="AL21" i="14"/>
  <c r="AL22" i="14" s="1"/>
  <c r="AL52" i="14" s="1"/>
  <c r="AI21" i="14"/>
  <c r="AI23" i="14" s="1"/>
  <c r="AG21" i="14"/>
  <c r="AG25" i="14" s="1"/>
  <c r="AG55" i="14" s="1"/>
  <c r="AD21" i="14"/>
  <c r="AC51" i="14" s="1"/>
  <c r="AB21" i="14"/>
  <c r="Y21" i="14"/>
  <c r="X51" i="14" s="1"/>
  <c r="X209" i="14" s="1"/>
  <c r="W21" i="14"/>
  <c r="W25" i="14" s="1"/>
  <c r="W55" i="14" s="1"/>
  <c r="T21" i="14"/>
  <c r="R21" i="14"/>
  <c r="R22" i="14" s="1"/>
  <c r="R52" i="14" s="1"/>
  <c r="O21" i="14"/>
  <c r="N51" i="14" s="1"/>
  <c r="M21" i="14"/>
  <c r="M25" i="14" s="1"/>
  <c r="M55" i="14" s="1"/>
  <c r="J21" i="14"/>
  <c r="I51" i="14" s="1"/>
  <c r="H21" i="14"/>
  <c r="E21" i="14"/>
  <c r="D51" i="14" s="1"/>
  <c r="D209" i="14" s="1"/>
  <c r="C21" i="14"/>
  <c r="C22" i="14" s="1"/>
  <c r="AS16" i="14"/>
  <c r="AR49" i="14" s="1"/>
  <c r="AN16" i="14"/>
  <c r="AM49" i="14" s="1"/>
  <c r="AI16" i="14"/>
  <c r="AD16" i="14"/>
  <c r="AC49" i="14" s="1"/>
  <c r="Y16" i="14"/>
  <c r="X49" i="14" s="1"/>
  <c r="T16" i="14"/>
  <c r="S45" i="14" s="1"/>
  <c r="O16" i="14"/>
  <c r="J16" i="14"/>
  <c r="E16" i="14"/>
  <c r="D45" i="14" s="1"/>
  <c r="AS15" i="14"/>
  <c r="AR44" i="14" s="1"/>
  <c r="AN15" i="14"/>
  <c r="AI15" i="14"/>
  <c r="AH48" i="14" s="1"/>
  <c r="AH129" i="14" s="1"/>
  <c r="AH283" i="14" s="1"/>
  <c r="AD15" i="14"/>
  <c r="Y15" i="14"/>
  <c r="X48" i="14" s="1"/>
  <c r="T15" i="14"/>
  <c r="S48" i="14" s="1"/>
  <c r="O15" i="14"/>
  <c r="J15" i="14"/>
  <c r="E15" i="14"/>
  <c r="D48" i="14" s="1"/>
  <c r="BP10" i="14"/>
  <c r="BU10" i="14" s="1"/>
  <c r="BA10" i="14"/>
  <c r="BF10" i="14" s="1"/>
  <c r="I10" i="14"/>
  <c r="N10" i="14" s="1"/>
  <c r="S10" i="14" s="1"/>
  <c r="X10" i="14" s="1"/>
  <c r="AC10" i="14" s="1"/>
  <c r="AH10" i="14" s="1"/>
  <c r="AM10" i="14" s="1"/>
  <c r="AR10" i="14" s="1"/>
  <c r="AW10" i="14" s="1"/>
  <c r="BB10" i="14" s="1"/>
  <c r="BG10" i="14" s="1"/>
  <c r="BL10" i="14" s="1"/>
  <c r="BQ10" i="14" s="1"/>
  <c r="BV10" i="14" s="1"/>
  <c r="H10" i="14"/>
  <c r="M10" i="14" s="1"/>
  <c r="R10" i="14" s="1"/>
  <c r="W10" i="14" s="1"/>
  <c r="AB10" i="14" s="1"/>
  <c r="AG10" i="14" s="1"/>
  <c r="BP9" i="14"/>
  <c r="BU9" i="14" s="1"/>
  <c r="BA9" i="14"/>
  <c r="BF9" i="14" s="1"/>
  <c r="I9" i="14"/>
  <c r="N9" i="14" s="1"/>
  <c r="S9" i="14" s="1"/>
  <c r="X9" i="14" s="1"/>
  <c r="AC9" i="14" s="1"/>
  <c r="AH9" i="14" s="1"/>
  <c r="AM9" i="14" s="1"/>
  <c r="AR9" i="14" s="1"/>
  <c r="AW9" i="14" s="1"/>
  <c r="BB9" i="14" s="1"/>
  <c r="BG9" i="14" s="1"/>
  <c r="BL9" i="14" s="1"/>
  <c r="BQ9" i="14" s="1"/>
  <c r="BV9" i="14" s="1"/>
  <c r="H9" i="14"/>
  <c r="M9" i="14" s="1"/>
  <c r="R9" i="14" s="1"/>
  <c r="W9" i="14" s="1"/>
  <c r="AB9" i="14" s="1"/>
  <c r="AG9" i="14" s="1"/>
  <c r="BP8" i="14"/>
  <c r="BU8" i="14" s="1"/>
  <c r="BA8" i="14"/>
  <c r="BF8" i="14" s="1"/>
  <c r="I8" i="14"/>
  <c r="N8" i="14" s="1"/>
  <c r="S8" i="14" s="1"/>
  <c r="X8" i="14" s="1"/>
  <c r="AC8" i="14" s="1"/>
  <c r="AH8" i="14" s="1"/>
  <c r="AM8" i="14" s="1"/>
  <c r="AR8" i="14" s="1"/>
  <c r="AW8" i="14" s="1"/>
  <c r="BB8" i="14" s="1"/>
  <c r="BG8" i="14" s="1"/>
  <c r="BL8" i="14" s="1"/>
  <c r="BQ8" i="14" s="1"/>
  <c r="BV8" i="14" s="1"/>
  <c r="H8" i="14"/>
  <c r="M8" i="14" s="1"/>
  <c r="R8" i="14" s="1"/>
  <c r="W8" i="14" s="1"/>
  <c r="AB8" i="14" s="1"/>
  <c r="AG8" i="14" s="1"/>
  <c r="BP7" i="14"/>
  <c r="BU7" i="14" s="1"/>
  <c r="BA7" i="14"/>
  <c r="BF7" i="14" s="1"/>
  <c r="I7" i="14"/>
  <c r="N7" i="14" s="1"/>
  <c r="S7" i="14" s="1"/>
  <c r="X7" i="14" s="1"/>
  <c r="AC7" i="14" s="1"/>
  <c r="AH7" i="14" s="1"/>
  <c r="AM7" i="14" s="1"/>
  <c r="AR7" i="14" s="1"/>
  <c r="AW7" i="14" s="1"/>
  <c r="BB7" i="14" s="1"/>
  <c r="BG7" i="14" s="1"/>
  <c r="H7" i="14"/>
  <c r="M7" i="14" s="1"/>
  <c r="R7" i="14" s="1"/>
  <c r="BA87" i="14" l="1"/>
  <c r="BC87" i="14" s="1" a="1"/>
  <c r="BC87" i="14" s="1"/>
  <c r="BG56" i="14"/>
  <c r="BK108" i="14"/>
  <c r="AL10" i="14"/>
  <c r="AQ10" i="14" s="1"/>
  <c r="C140" i="18" a="1"/>
  <c r="C140" i="18" s="1"/>
  <c r="BA53" i="14"/>
  <c r="AW90" i="14"/>
  <c r="BK57" i="14"/>
  <c r="BK523" i="14" s="1"/>
  <c r="BG101" i="14"/>
  <c r="BG182" i="14" s="1"/>
  <c r="BB90" i="14"/>
  <c r="S113" i="14"/>
  <c r="AL9" i="14"/>
  <c r="AQ9" i="14" s="1"/>
  <c r="C139" i="18" a="1"/>
  <c r="C139" i="18" s="1"/>
  <c r="BK45" i="14"/>
  <c r="BL88" i="14"/>
  <c r="BL169" i="14" s="1"/>
  <c r="BL631" i="14" s="1"/>
  <c r="BK96" i="14"/>
  <c r="BK562" i="14" s="1"/>
  <c r="AL8" i="14"/>
  <c r="AQ8" i="14" s="1"/>
  <c r="C138" i="18" a="1"/>
  <c r="C138" i="18" s="1"/>
  <c r="BF44" i="14"/>
  <c r="BH44" i="14" s="1" a="1"/>
  <c r="BH44" i="14" s="1"/>
  <c r="BH514" i="14" s="1"/>
  <c r="BU78" i="14"/>
  <c r="BU544" i="14" s="1"/>
  <c r="BU79" i="14"/>
  <c r="BW79" i="14" s="1" a="1"/>
  <c r="BW79" i="14" s="1"/>
  <c r="BW237" i="14" s="1"/>
  <c r="AV93" i="14"/>
  <c r="AV559" i="14" s="1"/>
  <c r="BF96" i="14"/>
  <c r="BH96" i="14" s="1" a="1"/>
  <c r="BH96" i="14" s="1"/>
  <c r="BH562" i="14" s="1"/>
  <c r="W100" i="14"/>
  <c r="W566" i="14" s="1"/>
  <c r="BG45" i="14"/>
  <c r="BG515" i="14" s="1"/>
  <c r="BL50" i="14"/>
  <c r="BL208" i="14" s="1"/>
  <c r="BP57" i="14"/>
  <c r="BP215" i="14" s="1"/>
  <c r="BF76" i="14"/>
  <c r="BF234" i="14" s="1"/>
  <c r="BA90" i="14"/>
  <c r="BA248" i="14" s="1"/>
  <c r="BG96" i="14"/>
  <c r="BG562" i="14" s="1"/>
  <c r="X105" i="14"/>
  <c r="M116" i="14"/>
  <c r="AV48" i="14"/>
  <c r="AV129" i="14" s="1"/>
  <c r="AV283" i="14" s="1"/>
  <c r="BU74" i="14"/>
  <c r="BU75" i="14"/>
  <c r="BW75" i="14" s="1" a="1"/>
  <c r="BW75" i="14" s="1"/>
  <c r="BW541" i="14" s="1"/>
  <c r="AW53" i="14"/>
  <c r="BP78" i="14"/>
  <c r="BR78" i="14" s="1" a="1"/>
  <c r="BR78" i="14" s="1"/>
  <c r="BR544" i="14" s="1"/>
  <c r="AC116" i="14"/>
  <c r="BL52" i="14"/>
  <c r="BL210" i="14" s="1"/>
  <c r="BL60" i="14"/>
  <c r="BL526" i="14" s="1"/>
  <c r="AG94" i="14"/>
  <c r="AG252" i="14" s="1"/>
  <c r="BP94" i="14"/>
  <c r="BR94" i="14" s="1" a="1"/>
  <c r="BR94" i="14" s="1"/>
  <c r="BR175" i="14" s="1"/>
  <c r="AV107" i="14"/>
  <c r="AV188" i="14" s="1"/>
  <c r="I109" i="14"/>
  <c r="I575" i="14" s="1"/>
  <c r="N119" i="14"/>
  <c r="N585" i="14" s="1"/>
  <c r="BF43" i="14"/>
  <c r="BF124" i="14" s="1"/>
  <c r="BF590" i="14" s="1"/>
  <c r="AV52" i="14"/>
  <c r="AV210" i="14" s="1"/>
  <c r="BP61" i="14"/>
  <c r="BQ61" i="14" s="1"/>
  <c r="BP81" i="14"/>
  <c r="BP239" i="14" s="1"/>
  <c r="BV83" i="14"/>
  <c r="BV549" i="14" s="1"/>
  <c r="BF51" i="14"/>
  <c r="BF517" i="14" s="1"/>
  <c r="AV53" i="14"/>
  <c r="AV519" i="14" s="1"/>
  <c r="AW86" i="14"/>
  <c r="AW244" i="14" s="1"/>
  <c r="BP96" i="14"/>
  <c r="BP254" i="14" s="1"/>
  <c r="AG98" i="14"/>
  <c r="AG256" i="14" s="1"/>
  <c r="BK100" i="14"/>
  <c r="BK181" i="14" s="1"/>
  <c r="BK101" i="14"/>
  <c r="BK567" i="14" s="1"/>
  <c r="BF107" i="14"/>
  <c r="BH107" i="14" s="1" a="1"/>
  <c r="BH107" i="14" s="1"/>
  <c r="BH573" i="14" s="1"/>
  <c r="AV113" i="14"/>
  <c r="AX113" i="14" s="1" a="1"/>
  <c r="AX113" i="14" s="1"/>
  <c r="AX194" i="14" s="1"/>
  <c r="AW114" i="14"/>
  <c r="AW580" i="14" s="1"/>
  <c r="H116" i="14"/>
  <c r="BK51" i="14"/>
  <c r="BK517" i="14" s="1"/>
  <c r="BF60" i="14"/>
  <c r="BG76" i="14"/>
  <c r="BK93" i="14"/>
  <c r="BK251" i="14" s="1"/>
  <c r="AM100" i="14"/>
  <c r="BG105" i="14"/>
  <c r="AG116" i="14"/>
  <c r="AG582" i="14" s="1"/>
  <c r="BL93" i="14"/>
  <c r="BF115" i="14"/>
  <c r="BH115" i="14" s="1" a="1"/>
  <c r="BH115" i="14" s="1"/>
  <c r="BH273" i="14" s="1"/>
  <c r="BA43" i="14"/>
  <c r="BA513" i="14" s="1"/>
  <c r="BP48" i="14"/>
  <c r="BP129" i="14" s="1"/>
  <c r="BP283" i="14" s="1"/>
  <c r="BF50" i="14"/>
  <c r="BF516" i="14" s="1"/>
  <c r="BA51" i="14"/>
  <c r="BA209" i="14" s="1"/>
  <c r="BP74" i="14"/>
  <c r="BR74" i="14" s="1" a="1"/>
  <c r="BR74" i="14" s="1"/>
  <c r="BR232" i="14" s="1"/>
  <c r="AM84" i="14"/>
  <c r="AM550" i="14" s="1"/>
  <c r="BP89" i="14"/>
  <c r="BP555" i="14" s="1"/>
  <c r="AB112" i="14"/>
  <c r="AB578" i="14" s="1"/>
  <c r="AH114" i="14"/>
  <c r="AH580" i="14" s="1"/>
  <c r="BK114" i="14"/>
  <c r="BM114" i="14" s="1" a="1"/>
  <c r="BM114" i="14" s="1"/>
  <c r="BM580" i="14" s="1"/>
  <c r="R115" i="14"/>
  <c r="T115" i="14" s="1" a="1"/>
  <c r="T115" i="14" s="1"/>
  <c r="AG22" i="14"/>
  <c r="AG52" i="14" s="1"/>
  <c r="BL53" i="14"/>
  <c r="BL134" i="14" s="1"/>
  <c r="BA79" i="14"/>
  <c r="BC79" i="14" s="1" a="1"/>
  <c r="BC79" i="14" s="1"/>
  <c r="BC237" i="14" s="1"/>
  <c r="AL80" i="14"/>
  <c r="AL546" i="14" s="1"/>
  <c r="BP82" i="14"/>
  <c r="BR82" i="14" s="1" a="1"/>
  <c r="BR82" i="14" s="1"/>
  <c r="BR240" i="14" s="1"/>
  <c r="AV85" i="14"/>
  <c r="BG87" i="14"/>
  <c r="BG553" i="14" s="1"/>
  <c r="BB91" i="14"/>
  <c r="AB102" i="14"/>
  <c r="AB104" i="14"/>
  <c r="W106" i="14"/>
  <c r="Y106" i="14" s="1" a="1"/>
  <c r="Y106" i="14" s="1"/>
  <c r="Y572" i="14" s="1"/>
  <c r="BF106" i="14"/>
  <c r="BV112" i="14"/>
  <c r="W113" i="14"/>
  <c r="AB115" i="14"/>
  <c r="AD115" i="14" s="1" a="1"/>
  <c r="AD115" i="14" s="1"/>
  <c r="AD273" i="14" s="1"/>
  <c r="AH44" i="14"/>
  <c r="BB79" i="14"/>
  <c r="AV42" i="14"/>
  <c r="AV512" i="14" s="1"/>
  <c r="AC45" i="14"/>
  <c r="AC515" i="14" s="1"/>
  <c r="BG48" i="14"/>
  <c r="BG129" i="14" s="1"/>
  <c r="BG283" i="14" s="1"/>
  <c r="BG52" i="14"/>
  <c r="BG518" i="14" s="1"/>
  <c r="BP53" i="14"/>
  <c r="BP519" i="14" s="1"/>
  <c r="BU58" i="14"/>
  <c r="BU524" i="14" s="1"/>
  <c r="BV59" i="14"/>
  <c r="BV217" i="14" s="1"/>
  <c r="BF62" i="14"/>
  <c r="BG62" i="14" s="1"/>
  <c r="BG71" i="14"/>
  <c r="BG152" i="14" s="1"/>
  <c r="BG306" i="14" s="1"/>
  <c r="AM87" i="14"/>
  <c r="AM168" i="14" s="1"/>
  <c r="AM630" i="14" s="1"/>
  <c r="BF88" i="14"/>
  <c r="BH88" i="14" s="1" a="1"/>
  <c r="BH88" i="14" s="1"/>
  <c r="BH554" i="14" s="1"/>
  <c r="AG91" i="14"/>
  <c r="AI91" i="14" s="1" a="1"/>
  <c r="AI91" i="14" s="1"/>
  <c r="AI557" i="14" s="1"/>
  <c r="BK106" i="14"/>
  <c r="BM106" i="14" s="1" a="1"/>
  <c r="BM106" i="14" s="1"/>
  <c r="BQ118" i="14"/>
  <c r="BQ584" i="14" s="1"/>
  <c r="M22" i="14"/>
  <c r="M52" i="14" s="1"/>
  <c r="AI26" i="14"/>
  <c r="AH56" i="14" s="1"/>
  <c r="AH214" i="14" s="1"/>
  <c r="BQ73" i="14"/>
  <c r="BQ154" i="14" s="1"/>
  <c r="BG79" i="14"/>
  <c r="BG545" i="14" s="1"/>
  <c r="BU82" i="14"/>
  <c r="BU83" i="14"/>
  <c r="BW83" i="14" s="1" a="1"/>
  <c r="BW83" i="14" s="1"/>
  <c r="BW241" i="14" s="1"/>
  <c r="BF92" i="14"/>
  <c r="BH92" i="14" s="1" a="1"/>
  <c r="BH92" i="14" s="1"/>
  <c r="BH558" i="14" s="1"/>
  <c r="AL96" i="14"/>
  <c r="AN96" i="14" s="1" a="1"/>
  <c r="AN96" i="14" s="1"/>
  <c r="AN177" i="14" s="1"/>
  <c r="BB98" i="14"/>
  <c r="BB256" i="14" s="1"/>
  <c r="AV105" i="14"/>
  <c r="AB109" i="14"/>
  <c r="BL109" i="14"/>
  <c r="BL575" i="14" s="1"/>
  <c r="BG111" i="14"/>
  <c r="M115" i="14"/>
  <c r="AC111" i="14"/>
  <c r="AC577" i="14" s="1"/>
  <c r="AL113" i="14"/>
  <c r="AN113" i="14" s="1" a="1"/>
  <c r="AN113" i="14" s="1"/>
  <c r="AN271" i="14" s="1"/>
  <c r="C116" i="14"/>
  <c r="E116" i="14" s="1" a="1"/>
  <c r="E116" i="14" s="1"/>
  <c r="E582" i="14" s="1"/>
  <c r="BB116" i="14"/>
  <c r="BB582" i="14" s="1"/>
  <c r="AW117" i="14"/>
  <c r="AW583" i="14" s="1"/>
  <c r="Y23" i="14"/>
  <c r="Y27" i="14" s="1"/>
  <c r="X57" i="14" s="1"/>
  <c r="X523" i="14" s="1"/>
  <c r="BA45" i="14"/>
  <c r="BA126" i="14" s="1"/>
  <c r="BA592" i="14" s="1"/>
  <c r="BU45" i="14"/>
  <c r="BU126" i="14" s="1"/>
  <c r="BU592" i="14" s="1"/>
  <c r="BK53" i="14"/>
  <c r="BM53" i="14" s="1" a="1"/>
  <c r="BM53" i="14" s="1"/>
  <c r="BM211" i="14" s="1"/>
  <c r="BV55" i="14"/>
  <c r="BV521" i="14" s="1"/>
  <c r="BM57" i="14" a="1"/>
  <c r="BM57" i="14" s="1"/>
  <c r="BM215" i="14" s="1"/>
  <c r="BU59" i="14"/>
  <c r="BW59" i="14" s="1" a="1"/>
  <c r="BW59" i="14" s="1"/>
  <c r="BW217" i="14" s="1"/>
  <c r="BF71" i="14"/>
  <c r="BF537" i="14" s="1"/>
  <c r="BK97" i="14"/>
  <c r="BK255" i="14" s="1"/>
  <c r="BA98" i="14"/>
  <c r="BA256" i="14" s="1"/>
  <c r="X100" i="14"/>
  <c r="X181" i="14" s="1"/>
  <c r="X643" i="14" s="1"/>
  <c r="BL106" i="14"/>
  <c r="BL187" i="14" s="1"/>
  <c r="W108" i="14"/>
  <c r="Y108" i="14" s="1" a="1"/>
  <c r="Y108" i="14" s="1"/>
  <c r="Y574" i="14" s="1"/>
  <c r="BK109" i="14"/>
  <c r="C112" i="14"/>
  <c r="E112" i="14" s="1" a="1"/>
  <c r="E112" i="14" s="1"/>
  <c r="E578" i="14" s="1"/>
  <c r="BU114" i="14"/>
  <c r="BL115" i="14"/>
  <c r="BL273" i="14" s="1"/>
  <c r="N118" i="14"/>
  <c r="AZ136" i="14"/>
  <c r="BG43" i="14"/>
  <c r="BB48" i="14"/>
  <c r="BB129" i="14" s="1"/>
  <c r="BB283" i="14" s="1"/>
  <c r="BV48" i="14"/>
  <c r="BV129" i="14" s="1"/>
  <c r="BV283" i="14" s="1"/>
  <c r="BK49" i="14"/>
  <c r="BM49" i="14" s="1" a="1"/>
  <c r="BM49" i="14" s="1"/>
  <c r="BM207" i="14" s="1"/>
  <c r="AV50" i="14"/>
  <c r="AV516" i="14" s="1"/>
  <c r="BP50" i="14"/>
  <c r="BP208" i="14" s="1"/>
  <c r="BU51" i="14"/>
  <c r="BU209" i="14" s="1"/>
  <c r="BF54" i="14"/>
  <c r="BH54" i="14" s="1" a="1"/>
  <c r="BH54" i="14" s="1"/>
  <c r="BH135" i="14" s="1"/>
  <c r="H64" i="14"/>
  <c r="H530" i="14" s="1"/>
  <c r="BF72" i="14"/>
  <c r="BF153" i="14" s="1"/>
  <c r="AL76" i="14"/>
  <c r="AL234" i="14" s="1"/>
  <c r="BV79" i="14"/>
  <c r="BV237" i="14" s="1"/>
  <c r="BK81" i="14"/>
  <c r="BM81" i="14" s="1" a="1"/>
  <c r="BM81" i="14" s="1"/>
  <c r="BM547" i="14" s="1"/>
  <c r="AG86" i="14"/>
  <c r="AG244" i="14" s="1"/>
  <c r="BA86" i="14"/>
  <c r="BA552" i="14" s="1"/>
  <c r="AL88" i="14"/>
  <c r="AN88" i="14" s="1" a="1"/>
  <c r="AN88" i="14" s="1"/>
  <c r="AN246" i="14" s="1"/>
  <c r="BG88" i="14"/>
  <c r="BG554" i="14" s="1"/>
  <c r="AV89" i="14"/>
  <c r="AV170" i="14" s="1"/>
  <c r="AL91" i="14"/>
  <c r="AL172" i="14" s="1"/>
  <c r="BF91" i="14"/>
  <c r="BU94" i="14"/>
  <c r="AM96" i="14"/>
  <c r="AV97" i="14"/>
  <c r="AH98" i="14"/>
  <c r="BL100" i="14"/>
  <c r="BL181" i="14" s="1"/>
  <c r="X101" i="14"/>
  <c r="W109" i="14"/>
  <c r="Y109" i="14" s="1" a="1"/>
  <c r="Y109" i="14" s="1"/>
  <c r="Y575" i="14" s="1"/>
  <c r="X110" i="14"/>
  <c r="X191" i="14" s="1"/>
  <c r="BG110" i="14"/>
  <c r="BL111" i="14"/>
  <c r="BQ113" i="14"/>
  <c r="M114" i="14"/>
  <c r="O114" i="14" s="1" a="1"/>
  <c r="O114" i="14" s="1"/>
  <c r="O580" i="14" s="1"/>
  <c r="AM114" i="14"/>
  <c r="AM195" i="14" s="1"/>
  <c r="BO143" i="14"/>
  <c r="BO297" i="14" s="1"/>
  <c r="BB60" i="14"/>
  <c r="BB218" i="14" s="1"/>
  <c r="BV51" i="14"/>
  <c r="BV209" i="14" s="1"/>
  <c r="BG72" i="14"/>
  <c r="BG230" i="14" s="1"/>
  <c r="AM76" i="14"/>
  <c r="AH86" i="14"/>
  <c r="AH244" i="14" s="1"/>
  <c r="BB86" i="14"/>
  <c r="BB167" i="14" s="1"/>
  <c r="BB629" i="14" s="1"/>
  <c r="AM88" i="14"/>
  <c r="AM554" i="14" s="1"/>
  <c r="AW89" i="14"/>
  <c r="AW555" i="14" s="1"/>
  <c r="BV94" i="14"/>
  <c r="BV252" i="14" s="1"/>
  <c r="AW97" i="14"/>
  <c r="AW563" i="14" s="1"/>
  <c r="BB55" i="14"/>
  <c r="BB521" i="14" s="1"/>
  <c r="BB50" i="14"/>
  <c r="BB516" i="14" s="1"/>
  <c r="BQ53" i="14"/>
  <c r="BL54" i="14"/>
  <c r="BK55" i="14"/>
  <c r="BF56" i="14"/>
  <c r="BP58" i="14"/>
  <c r="BR58" i="14" s="1" a="1"/>
  <c r="BR58" i="14" s="1"/>
  <c r="BR524" i="14" s="1"/>
  <c r="BU71" i="14"/>
  <c r="BW71" i="14" s="1" a="1"/>
  <c r="BW71" i="14" s="1"/>
  <c r="BW229" i="14" s="1"/>
  <c r="BF75" i="14"/>
  <c r="BK76" i="14"/>
  <c r="BF79" i="14"/>
  <c r="AM80" i="14"/>
  <c r="AG83" i="14"/>
  <c r="AI83" i="14" s="1" a="1"/>
  <c r="AI83" i="14" s="1"/>
  <c r="AI241" i="14" s="1"/>
  <c r="BP93" i="14"/>
  <c r="BU95" i="14"/>
  <c r="BW95" i="14" s="1" a="1"/>
  <c r="BW95" i="14" s="1"/>
  <c r="BW176" i="14" s="1"/>
  <c r="W96" i="14"/>
  <c r="W254" i="14" s="1"/>
  <c r="BL96" i="14"/>
  <c r="BL177" i="14" s="1"/>
  <c r="BL639" i="14" s="1"/>
  <c r="BF99" i="14"/>
  <c r="BH99" i="14" s="1" a="1"/>
  <c r="BH99" i="14" s="1"/>
  <c r="BF103" i="14"/>
  <c r="BH103" i="14" s="1" a="1"/>
  <c r="BH103" i="14" s="1"/>
  <c r="BH569" i="14" s="1"/>
  <c r="BF104" i="14"/>
  <c r="BH104" i="14" s="1" a="1"/>
  <c r="BH104" i="14" s="1"/>
  <c r="BH185" i="14" s="1"/>
  <c r="AB106" i="14"/>
  <c r="AB572" i="14" s="1"/>
  <c r="BF109" i="14"/>
  <c r="BH109" i="14" s="1" a="1"/>
  <c r="BH109" i="14" s="1"/>
  <c r="BH575" i="14" s="1"/>
  <c r="C110" i="14"/>
  <c r="E110" i="14" s="1" a="1"/>
  <c r="E110" i="14" s="1"/>
  <c r="E191" i="14" s="1"/>
  <c r="E653" i="14" s="1"/>
  <c r="AC110" i="14"/>
  <c r="AC191" i="14" s="1"/>
  <c r="BP111" i="14"/>
  <c r="BP577" i="14" s="1"/>
  <c r="AW113" i="14"/>
  <c r="AW579" i="14" s="1"/>
  <c r="BP114" i="14"/>
  <c r="BP580" i="14" s="1"/>
  <c r="N115" i="14"/>
  <c r="N273" i="14" s="1"/>
  <c r="AG115" i="14"/>
  <c r="AG581" i="14" s="1"/>
  <c r="BG115" i="14"/>
  <c r="BG196" i="14" s="1"/>
  <c r="BG658" i="14" s="1"/>
  <c r="D116" i="14"/>
  <c r="W117" i="14"/>
  <c r="W583" i="14" s="1"/>
  <c r="E25" i="14"/>
  <c r="BV71" i="14"/>
  <c r="BG75" i="14"/>
  <c r="BQ93" i="14"/>
  <c r="X96" i="14"/>
  <c r="BG104" i="14"/>
  <c r="BQ114" i="14"/>
  <c r="AH115" i="14"/>
  <c r="AH273" i="14" s="1"/>
  <c r="BP118" i="14"/>
  <c r="S44" i="14"/>
  <c r="BK63" i="14"/>
  <c r="C67" i="14"/>
  <c r="H68" i="14"/>
  <c r="H226" i="14" s="1"/>
  <c r="BA69" i="14"/>
  <c r="BB69" i="14" s="1"/>
  <c r="O25" i="14"/>
  <c r="N55" i="14" s="1"/>
  <c r="N213" i="14" s="1"/>
  <c r="AR51" i="14"/>
  <c r="AR209" i="14" s="1"/>
  <c r="AS23" i="14"/>
  <c r="J23" i="14"/>
  <c r="J27" i="14" s="1"/>
  <c r="J30" i="14" s="1"/>
  <c r="I60" i="14" s="1"/>
  <c r="AS25" i="14"/>
  <c r="AR55" i="14" s="1"/>
  <c r="AR213" i="14" s="1"/>
  <c r="Y26" i="14"/>
  <c r="X56" i="14" s="1"/>
  <c r="X214" i="14" s="1"/>
  <c r="AZ512" i="14"/>
  <c r="BB42" i="14"/>
  <c r="BB512" i="14" s="1"/>
  <c r="AA204" i="14"/>
  <c r="AA127" i="14"/>
  <c r="AA281" i="14" s="1"/>
  <c r="BO204" i="14"/>
  <c r="BP46" i="14"/>
  <c r="BP204" i="14" s="1"/>
  <c r="AU523" i="14"/>
  <c r="AU215" i="14"/>
  <c r="AU138" i="14"/>
  <c r="AU600" i="14" s="1"/>
  <c r="AW57" i="14"/>
  <c r="AV57" i="14"/>
  <c r="AZ140" i="14"/>
  <c r="AZ294" i="14" s="1"/>
  <c r="BA59" i="14"/>
  <c r="BC59" i="14" s="1" a="1"/>
  <c r="BC59" i="14" s="1"/>
  <c r="BC217" i="14" s="1"/>
  <c r="AZ164" i="14"/>
  <c r="BB83" i="14"/>
  <c r="BA83" i="14"/>
  <c r="BC83" i="14" s="1" a="1"/>
  <c r="BC83" i="14" s="1"/>
  <c r="BC241" i="14" s="1"/>
  <c r="AA552" i="14"/>
  <c r="AA167" i="14"/>
  <c r="B250" i="14"/>
  <c r="B173" i="14"/>
  <c r="B635" i="14" s="1"/>
  <c r="AK173" i="14"/>
  <c r="AK327" i="14" s="1"/>
  <c r="AM92" i="14"/>
  <c r="AM250" i="14" s="1"/>
  <c r="AL92" i="14"/>
  <c r="AN92" i="14" s="1" a="1"/>
  <c r="AN92" i="14" s="1"/>
  <c r="AN250" i="14" s="1"/>
  <c r="BE561" i="14"/>
  <c r="BE176" i="14"/>
  <c r="BE638" i="14" s="1"/>
  <c r="BG95" i="14"/>
  <c r="BF95" i="14"/>
  <c r="BF561" i="14" s="1"/>
  <c r="O23" i="14"/>
  <c r="AF513" i="14"/>
  <c r="AF124" i="14"/>
  <c r="AF590" i="14" s="1"/>
  <c r="BJ124" i="14"/>
  <c r="BJ590" i="14" s="1"/>
  <c r="BK43" i="14"/>
  <c r="BK513" i="14" s="1"/>
  <c r="L205" i="14"/>
  <c r="L128" i="14"/>
  <c r="L282" i="14" s="1"/>
  <c r="X128" i="14"/>
  <c r="X282" i="14" s="1"/>
  <c r="X205" i="14"/>
  <c r="AA206" i="14"/>
  <c r="AA129" i="14"/>
  <c r="AA283" i="14" s="1"/>
  <c r="BJ206" i="14"/>
  <c r="BK48" i="14"/>
  <c r="BK206" i="14" s="1"/>
  <c r="BL48" i="14"/>
  <c r="BL129" i="14" s="1"/>
  <c r="BL283" i="14" s="1"/>
  <c r="AH51" i="14"/>
  <c r="BE136" i="14"/>
  <c r="BG55" i="14"/>
  <c r="BG136" i="14" s="1"/>
  <c r="BF55" i="14"/>
  <c r="BE161" i="14"/>
  <c r="BG80" i="14"/>
  <c r="BF80" i="14"/>
  <c r="AP242" i="14"/>
  <c r="AP165" i="14"/>
  <c r="AP319" i="14" s="1"/>
  <c r="BO127" i="14"/>
  <c r="BO281" i="14" s="1"/>
  <c r="BA49" i="14"/>
  <c r="BC49" i="14" s="1" a="1"/>
  <c r="BC49" i="14" s="1"/>
  <c r="AZ130" i="14"/>
  <c r="AZ284" i="14" s="1"/>
  <c r="AZ175" i="14"/>
  <c r="BB94" i="14"/>
  <c r="BB252" i="14" s="1"/>
  <c r="BA94" i="14"/>
  <c r="BA175" i="14" s="1"/>
  <c r="Q512" i="14"/>
  <c r="Q123" i="14"/>
  <c r="BO512" i="14"/>
  <c r="BO123" i="14"/>
  <c r="BO589" i="14" s="1"/>
  <c r="BP42" i="14"/>
  <c r="BP123" i="14" s="1"/>
  <c r="BP589" i="14" s="1"/>
  <c r="AZ513" i="14"/>
  <c r="AZ124" i="14"/>
  <c r="AZ590" i="14" s="1"/>
  <c r="BQ43" i="14"/>
  <c r="BQ124" i="14" s="1"/>
  <c r="BQ590" i="14" s="1"/>
  <c r="X45" i="14"/>
  <c r="AP515" i="14"/>
  <c r="AP126" i="14"/>
  <c r="AP592" i="14" s="1"/>
  <c r="G564" i="14"/>
  <c r="G179" i="14"/>
  <c r="AA182" i="14"/>
  <c r="AC101" i="14"/>
  <c r="AC567" i="14" s="1"/>
  <c r="AB101" i="14"/>
  <c r="L207" i="14"/>
  <c r="L130" i="14"/>
  <c r="L284" i="14" s="1"/>
  <c r="AM44" i="14"/>
  <c r="AM48" i="14"/>
  <c r="AM129" i="14" s="1"/>
  <c r="AM283" i="14" s="1"/>
  <c r="AN26" i="14"/>
  <c r="AM56" i="14" s="1"/>
  <c r="AM522" i="14" s="1"/>
  <c r="AM52" i="14"/>
  <c r="AM518" i="14" s="1"/>
  <c r="BT513" i="14"/>
  <c r="BT124" i="14"/>
  <c r="BT590" i="14" s="1"/>
  <c r="BV43" i="14"/>
  <c r="BV513" i="14" s="1"/>
  <c r="BU43" i="14"/>
  <c r="BU124" i="14" s="1"/>
  <c r="BU590" i="14" s="1"/>
  <c r="G204" i="14"/>
  <c r="G127" i="14"/>
  <c r="G281" i="14" s="1"/>
  <c r="AU204" i="14"/>
  <c r="AU127" i="14"/>
  <c r="AU281" i="14" s="1"/>
  <c r="AW46" i="14"/>
  <c r="AW204" i="14" s="1"/>
  <c r="AV46" i="14"/>
  <c r="AV127" i="14" s="1"/>
  <c r="AV281" i="14" s="1"/>
  <c r="BT205" i="14"/>
  <c r="BT128" i="14"/>
  <c r="BT282" i="14" s="1"/>
  <c r="BU47" i="14"/>
  <c r="Q206" i="14"/>
  <c r="Q129" i="14"/>
  <c r="Q283" i="14" s="1"/>
  <c r="BT134" i="14"/>
  <c r="BT288" i="14" s="1"/>
  <c r="BU53" i="14"/>
  <c r="BW53" i="14" s="1" a="1"/>
  <c r="BW53" i="14" s="1"/>
  <c r="BW519" i="14" s="1"/>
  <c r="BJ214" i="14"/>
  <c r="BJ137" i="14"/>
  <c r="BL56" i="14"/>
  <c r="BL214" i="14" s="1"/>
  <c r="BK56" i="14"/>
  <c r="BK522" i="14" s="1"/>
  <c r="BF218" i="14"/>
  <c r="BH60" i="14" a="1"/>
  <c r="BH60" i="14" s="1"/>
  <c r="BH141" i="14" s="1"/>
  <c r="G540" i="14"/>
  <c r="G155" i="14"/>
  <c r="AK160" i="14"/>
  <c r="AM79" i="14"/>
  <c r="AM160" i="14" s="1"/>
  <c r="AL79" i="14"/>
  <c r="AL545" i="14" s="1"/>
  <c r="AK547" i="14"/>
  <c r="AK239" i="14"/>
  <c r="V178" i="14"/>
  <c r="V640" i="14" s="1"/>
  <c r="X97" i="14"/>
  <c r="X255" i="14" s="1"/>
  <c r="W97" i="14"/>
  <c r="W563" i="14" s="1"/>
  <c r="AZ583" i="14"/>
  <c r="AZ198" i="14"/>
  <c r="AZ352" i="14" s="1"/>
  <c r="BB117" i="14"/>
  <c r="BB275" i="14" s="1"/>
  <c r="BA117" i="14"/>
  <c r="BA275" i="14" s="1"/>
  <c r="AR526" i="14"/>
  <c r="AR141" i="14"/>
  <c r="AR603" i="14" s="1"/>
  <c r="L513" i="14"/>
  <c r="L124" i="14"/>
  <c r="L590" i="14" s="1"/>
  <c r="AK514" i="14"/>
  <c r="AK125" i="14"/>
  <c r="AK591" i="14" s="1"/>
  <c r="L515" i="14"/>
  <c r="L126" i="14"/>
  <c r="L592" i="14" s="1"/>
  <c r="AU515" i="14"/>
  <c r="AV45" i="14"/>
  <c r="D128" i="14"/>
  <c r="D282" i="14" s="1"/>
  <c r="D205" i="14"/>
  <c r="AF205" i="14"/>
  <c r="AF128" i="14"/>
  <c r="AF282" i="14" s="1"/>
  <c r="AR128" i="14"/>
  <c r="AR282" i="14" s="1"/>
  <c r="AR205" i="14"/>
  <c r="BV47" i="14"/>
  <c r="BV128" i="14" s="1"/>
  <c r="BV282" i="14" s="1"/>
  <c r="AP519" i="14"/>
  <c r="AP134" i="14"/>
  <c r="AP596" i="14" s="1"/>
  <c r="BT520" i="14"/>
  <c r="BV54" i="14"/>
  <c r="BV520" i="14" s="1"/>
  <c r="BU54" i="14"/>
  <c r="BU520" i="14" s="1"/>
  <c r="L524" i="14"/>
  <c r="L216" i="14"/>
  <c r="L139" i="14"/>
  <c r="L601" i="14" s="1"/>
  <c r="AA543" i="14"/>
  <c r="AA158" i="14"/>
  <c r="AA235" i="14"/>
  <c r="BJ543" i="14"/>
  <c r="BJ158" i="14"/>
  <c r="BJ312" i="14" s="1"/>
  <c r="BL77" i="14"/>
  <c r="BL543" i="14" s="1"/>
  <c r="BK77" i="14"/>
  <c r="BM77" i="14" s="1" a="1"/>
  <c r="BM77" i="14" s="1"/>
  <c r="BM235" i="14" s="1"/>
  <c r="AA170" i="14"/>
  <c r="AC89" i="14"/>
  <c r="AC170" i="14" s="1"/>
  <c r="AB89" i="14"/>
  <c r="AD89" i="14" s="1" a="1"/>
  <c r="AD89" i="14" s="1"/>
  <c r="AU124" i="14"/>
  <c r="AU590" i="14" s="1"/>
  <c r="AW43" i="14"/>
  <c r="AW124" i="14" s="1"/>
  <c r="AW590" i="14" s="1"/>
  <c r="AU548" i="14"/>
  <c r="AU163" i="14"/>
  <c r="AW82" i="14"/>
  <c r="AV82" i="14"/>
  <c r="AX82" i="14" s="1" a="1"/>
  <c r="AX82" i="14" s="1"/>
  <c r="AX548" i="14" s="1"/>
  <c r="T23" i="14"/>
  <c r="S51" i="14"/>
  <c r="S517" i="14" s="1"/>
  <c r="T26" i="14"/>
  <c r="S56" i="14" s="1"/>
  <c r="S52" i="14"/>
  <c r="AI25" i="14"/>
  <c r="AH55" i="14" s="1"/>
  <c r="AH136" i="14" s="1"/>
  <c r="BV42" i="14"/>
  <c r="BV512" i="14" s="1"/>
  <c r="AW45" i="14"/>
  <c r="AW515" i="14" s="1"/>
  <c r="BO515" i="14"/>
  <c r="BQ45" i="14"/>
  <c r="BQ515" i="14" s="1"/>
  <c r="BP45" i="14"/>
  <c r="BP126" i="14" s="1"/>
  <c r="BP592" i="14" s="1"/>
  <c r="AK206" i="14"/>
  <c r="AK129" i="14"/>
  <c r="AK283" i="14" s="1"/>
  <c r="V207" i="14"/>
  <c r="V130" i="14"/>
  <c r="V284" i="14" s="1"/>
  <c r="AL130" i="14"/>
  <c r="AL284" i="14" s="1"/>
  <c r="AL207" i="14"/>
  <c r="W51" i="14"/>
  <c r="W517" i="14" s="1"/>
  <c r="AU520" i="14"/>
  <c r="AU135" i="14"/>
  <c r="AW54" i="14"/>
  <c r="AW520" i="14" s="1"/>
  <c r="AV54" i="14"/>
  <c r="AX54" i="14" s="1" a="1"/>
  <c r="AX54" i="14" s="1"/>
  <c r="AX520" i="14" s="1"/>
  <c r="AW59" i="14"/>
  <c r="AW525" i="14" s="1"/>
  <c r="BJ242" i="14"/>
  <c r="BJ165" i="14"/>
  <c r="BJ319" i="14" s="1"/>
  <c r="BJ550" i="14"/>
  <c r="BL84" i="14"/>
  <c r="BL550" i="14" s="1"/>
  <c r="BK84" i="14"/>
  <c r="BT171" i="14"/>
  <c r="BV90" i="14"/>
  <c r="BV171" i="14" s="1"/>
  <c r="BU90" i="14"/>
  <c r="AA174" i="14"/>
  <c r="AC93" i="14"/>
  <c r="AC559" i="14" s="1"/>
  <c r="AB93" i="14"/>
  <c r="AB559" i="14" s="1"/>
  <c r="BE266" i="14"/>
  <c r="BE574" i="14"/>
  <c r="BE189" i="14"/>
  <c r="BE651" i="14" s="1"/>
  <c r="BG108" i="14"/>
  <c r="BG574" i="14" s="1"/>
  <c r="BF108" i="14"/>
  <c r="AN23" i="14"/>
  <c r="AN27" i="14" s="1"/>
  <c r="AM57" i="14" s="1"/>
  <c r="AM51" i="14"/>
  <c r="AM517" i="14" s="1"/>
  <c r="AS26" i="14"/>
  <c r="AR56" i="14" s="1"/>
  <c r="AR522" i="14" s="1"/>
  <c r="AR52" i="14"/>
  <c r="AR210" i="14" s="1"/>
  <c r="N48" i="14"/>
  <c r="N44" i="14"/>
  <c r="N514" i="14" s="1"/>
  <c r="I45" i="14"/>
  <c r="I515" i="14" s="1"/>
  <c r="I49" i="14"/>
  <c r="I207" i="14" s="1"/>
  <c r="C25" i="14"/>
  <c r="C55" i="14" s="1"/>
  <c r="C51" i="14"/>
  <c r="C517" i="14" s="1"/>
  <c r="AQ25" i="14"/>
  <c r="AQ55" i="14" s="1"/>
  <c r="AQ51" i="14"/>
  <c r="AQ209" i="14" s="1"/>
  <c r="W22" i="14"/>
  <c r="E23" i="14"/>
  <c r="AN25" i="14"/>
  <c r="AM55" i="14" s="1"/>
  <c r="E26" i="14"/>
  <c r="E29" i="14" s="1"/>
  <c r="D59" i="14" s="1"/>
  <c r="D525" i="14" s="1"/>
  <c r="C28" i="14"/>
  <c r="C58" i="14" s="1"/>
  <c r="AF515" i="14"/>
  <c r="AF126" i="14"/>
  <c r="AF592" i="14" s="1"/>
  <c r="V205" i="14"/>
  <c r="V128" i="14"/>
  <c r="V282" i="14" s="1"/>
  <c r="AZ205" i="14"/>
  <c r="AZ128" i="14"/>
  <c r="AZ282" i="14" s="1"/>
  <c r="BA47" i="14"/>
  <c r="BA128" i="14" s="1"/>
  <c r="BA282" i="14" s="1"/>
  <c r="BT516" i="14"/>
  <c r="BV50" i="14"/>
  <c r="BV516" i="14" s="1"/>
  <c r="BU50" i="14"/>
  <c r="BU516" i="14" s="1"/>
  <c r="BO552" i="14"/>
  <c r="BO167" i="14"/>
  <c r="BO629" i="14" s="1"/>
  <c r="BQ86" i="14"/>
  <c r="BQ244" i="14" s="1"/>
  <c r="BP86" i="14"/>
  <c r="BR86" i="14" s="1" a="1"/>
  <c r="BR86" i="14" s="1"/>
  <c r="BR244" i="14" s="1"/>
  <c r="AA556" i="14"/>
  <c r="AA248" i="14"/>
  <c r="AA171" i="14"/>
  <c r="AA633" i="14" s="1"/>
  <c r="AC90" i="14"/>
  <c r="AC248" i="14" s="1"/>
  <c r="AB90" i="14"/>
  <c r="AF183" i="14"/>
  <c r="AG102" i="14"/>
  <c r="AA573" i="14"/>
  <c r="AA188" i="14"/>
  <c r="AA342" i="14" s="1"/>
  <c r="AC107" i="14"/>
  <c r="AB107" i="14"/>
  <c r="AB188" i="14" s="1"/>
  <c r="BB54" i="14"/>
  <c r="BQ54" i="14"/>
  <c r="V214" i="14"/>
  <c r="V137" i="14"/>
  <c r="BF522" i="14"/>
  <c r="BF214" i="14"/>
  <c r="AP523" i="14"/>
  <c r="AP138" i="14"/>
  <c r="AP600" i="14" s="1"/>
  <c r="AF524" i="14"/>
  <c r="AF216" i="14"/>
  <c r="AF139" i="14"/>
  <c r="AZ524" i="14"/>
  <c r="AZ216" i="14"/>
  <c r="AZ139" i="14"/>
  <c r="AZ293" i="14" s="1"/>
  <c r="BG59" i="14"/>
  <c r="BG140" i="14" s="1"/>
  <c r="BG294" i="14" s="1"/>
  <c r="B218" i="14"/>
  <c r="B141" i="14"/>
  <c r="B295" i="14" s="1"/>
  <c r="AL71" i="14"/>
  <c r="AL537" i="14" s="1"/>
  <c r="AK219" i="14"/>
  <c r="G528" i="14"/>
  <c r="G143" i="14"/>
  <c r="G297" i="14" s="1"/>
  <c r="AU528" i="14"/>
  <c r="AU143" i="14"/>
  <c r="V531" i="14"/>
  <c r="V146" i="14"/>
  <c r="BJ531" i="14"/>
  <c r="BJ146" i="14"/>
  <c r="AA532" i="14"/>
  <c r="AA147" i="14"/>
  <c r="BO532" i="14"/>
  <c r="BO147" i="14"/>
  <c r="B535" i="14"/>
  <c r="B150" i="14"/>
  <c r="AP535" i="14"/>
  <c r="AP150" i="14"/>
  <c r="G536" i="14"/>
  <c r="G151" i="14"/>
  <c r="G305" i="14" s="1"/>
  <c r="AU536" i="14"/>
  <c r="AU151" i="14"/>
  <c r="AU613" i="14" s="1"/>
  <c r="C71" i="14"/>
  <c r="C229" i="14" s="1"/>
  <c r="G539" i="14"/>
  <c r="G231" i="14"/>
  <c r="G154" i="14"/>
  <c r="G616" i="14" s="1"/>
  <c r="AU539" i="14"/>
  <c r="AU231" i="14"/>
  <c r="AU154" i="14"/>
  <c r="AU616" i="14" s="1"/>
  <c r="BO540" i="14"/>
  <c r="BO155" i="14"/>
  <c r="BO617" i="14" s="1"/>
  <c r="AM75" i="14"/>
  <c r="AM156" i="14" s="1"/>
  <c r="AM618" i="14" s="1"/>
  <c r="AP234" i="14"/>
  <c r="AP157" i="14"/>
  <c r="AA544" i="14"/>
  <c r="AA159" i="14"/>
  <c r="BT544" i="14"/>
  <c r="BT159" i="14"/>
  <c r="BT236" i="14"/>
  <c r="V238" i="14"/>
  <c r="V161" i="14"/>
  <c r="BL80" i="14"/>
  <c r="AA547" i="14"/>
  <c r="AA162" i="14"/>
  <c r="AA239" i="14"/>
  <c r="G548" i="14"/>
  <c r="G163" i="14"/>
  <c r="G625" i="14" s="1"/>
  <c r="BT548" i="14"/>
  <c r="BT163" i="14"/>
  <c r="BT317" i="14" s="1"/>
  <c r="BT240" i="14"/>
  <c r="BG83" i="14"/>
  <c r="BG164" i="14" s="1"/>
  <c r="BG626" i="14" s="1"/>
  <c r="BG84" i="14"/>
  <c r="BG550" i="14" s="1"/>
  <c r="G551" i="14"/>
  <c r="G166" i="14"/>
  <c r="G628" i="14" s="1"/>
  <c r="G243" i="14"/>
  <c r="AU551" i="14"/>
  <c r="AU243" i="14"/>
  <c r="AU166" i="14"/>
  <c r="AU628" i="14" s="1"/>
  <c r="AU552" i="14"/>
  <c r="AU244" i="14"/>
  <c r="AU167" i="14"/>
  <c r="AU629" i="14" s="1"/>
  <c r="BV86" i="14"/>
  <c r="AZ553" i="14"/>
  <c r="AZ168" i="14"/>
  <c r="AP246" i="14"/>
  <c r="AP169" i="14"/>
  <c r="AP554" i="14"/>
  <c r="BJ246" i="14"/>
  <c r="BJ169" i="14"/>
  <c r="BJ631" i="14" s="1"/>
  <c r="R90" i="14"/>
  <c r="R556" i="14" s="1"/>
  <c r="AH90" i="14"/>
  <c r="AH171" i="14" s="1"/>
  <c r="AH325" i="14" s="1"/>
  <c r="Q557" i="14"/>
  <c r="Q249" i="14"/>
  <c r="Q172" i="14"/>
  <c r="BE557" i="14"/>
  <c r="BE249" i="14"/>
  <c r="BE172" i="14"/>
  <c r="BE326" i="14" s="1"/>
  <c r="X93" i="14"/>
  <c r="X559" i="14" s="1"/>
  <c r="L561" i="14"/>
  <c r="L176" i="14"/>
  <c r="L330" i="14" s="1"/>
  <c r="AC97" i="14"/>
  <c r="AC178" i="14" s="1"/>
  <c r="AC640" i="14" s="1"/>
  <c r="BV98" i="14"/>
  <c r="BV179" i="14" s="1"/>
  <c r="BE565" i="14"/>
  <c r="BE180" i="14"/>
  <c r="BE334" i="14" s="1"/>
  <c r="BE257" i="14"/>
  <c r="BT644" i="14"/>
  <c r="BT336" i="14"/>
  <c r="BJ183" i="14"/>
  <c r="BJ645" i="14" s="1"/>
  <c r="BL102" i="14"/>
  <c r="BL183" i="14" s="1"/>
  <c r="V569" i="14"/>
  <c r="V261" i="14"/>
  <c r="V184" i="14"/>
  <c r="X103" i="14"/>
  <c r="X569" i="14" s="1"/>
  <c r="AC105" i="14"/>
  <c r="AC571" i="14" s="1"/>
  <c r="BT583" i="14"/>
  <c r="BT275" i="14"/>
  <c r="BT198" i="14"/>
  <c r="BV117" i="14"/>
  <c r="BU117" i="14"/>
  <c r="BJ134" i="14"/>
  <c r="BJ596" i="14" s="1"/>
  <c r="V150" i="14"/>
  <c r="V304" i="14" s="1"/>
  <c r="R129" i="14"/>
  <c r="R283" i="14" s="1"/>
  <c r="R206" i="14"/>
  <c r="AA516" i="14"/>
  <c r="AA131" i="14"/>
  <c r="AA593" i="14" s="1"/>
  <c r="BA50" i="14"/>
  <c r="BA516" i="14" s="1"/>
  <c r="M51" i="14"/>
  <c r="M209" i="14" s="1"/>
  <c r="AG51" i="14"/>
  <c r="AG209" i="14" s="1"/>
  <c r="BF52" i="14"/>
  <c r="BF210" i="14" s="1"/>
  <c r="B519" i="14"/>
  <c r="B134" i="14"/>
  <c r="B596" i="14" s="1"/>
  <c r="AK519" i="14"/>
  <c r="AK211" i="14"/>
  <c r="BE211" i="14"/>
  <c r="BE519" i="14"/>
  <c r="AP520" i="14"/>
  <c r="AP212" i="14"/>
  <c r="BU55" i="14"/>
  <c r="G523" i="14"/>
  <c r="G215" i="14"/>
  <c r="G138" i="14"/>
  <c r="BA58" i="14"/>
  <c r="BT524" i="14"/>
  <c r="BT139" i="14"/>
  <c r="BT601" i="14" s="1"/>
  <c r="B527" i="14"/>
  <c r="B142" i="14"/>
  <c r="V527" i="14"/>
  <c r="V142" i="14"/>
  <c r="AP527" i="14"/>
  <c r="AP142" i="14"/>
  <c r="BK61" i="14"/>
  <c r="BL61" i="14" s="1"/>
  <c r="L528" i="14"/>
  <c r="L220" i="14"/>
  <c r="L143" i="14"/>
  <c r="L605" i="14" s="1"/>
  <c r="AZ528" i="14"/>
  <c r="AZ220" i="14"/>
  <c r="AZ143" i="14"/>
  <c r="V222" i="14"/>
  <c r="V145" i="14"/>
  <c r="V607" i="14" s="1"/>
  <c r="BJ222" i="14"/>
  <c r="BJ145" i="14"/>
  <c r="BJ299" i="14" s="1"/>
  <c r="AA531" i="14"/>
  <c r="AA223" i="14"/>
  <c r="AA146" i="14"/>
  <c r="BO531" i="14"/>
  <c r="BO223" i="14"/>
  <c r="BO146" i="14"/>
  <c r="AF532" i="14"/>
  <c r="AF224" i="14"/>
  <c r="AF147" i="14"/>
  <c r="BT532" i="14"/>
  <c r="BT224" i="14"/>
  <c r="BT147" i="14"/>
  <c r="B226" i="14"/>
  <c r="B149" i="14"/>
  <c r="AP226" i="14"/>
  <c r="AP149" i="14"/>
  <c r="AP611" i="14" s="1"/>
  <c r="G535" i="14"/>
  <c r="G227" i="14"/>
  <c r="G150" i="14"/>
  <c r="G612" i="14" s="1"/>
  <c r="AU535" i="14"/>
  <c r="AU227" i="14"/>
  <c r="AU150" i="14"/>
  <c r="AU612" i="14" s="1"/>
  <c r="L536" i="14"/>
  <c r="L228" i="14"/>
  <c r="L151" i="14"/>
  <c r="L613" i="14" s="1"/>
  <c r="AZ536" i="14"/>
  <c r="AZ151" i="14"/>
  <c r="AZ613" i="14" s="1"/>
  <c r="AZ228" i="14"/>
  <c r="AB72" i="14"/>
  <c r="AB538" i="14" s="1"/>
  <c r="V234" i="14"/>
  <c r="V157" i="14"/>
  <c r="V311" i="14" s="1"/>
  <c r="V542" i="14"/>
  <c r="V543" i="14"/>
  <c r="V158" i="14"/>
  <c r="V620" i="14" s="1"/>
  <c r="AF544" i="14"/>
  <c r="AF159" i="14"/>
  <c r="AF236" i="14"/>
  <c r="L548" i="14"/>
  <c r="L240" i="14"/>
  <c r="L163" i="14"/>
  <c r="L625" i="14" s="1"/>
  <c r="BO551" i="14"/>
  <c r="BO243" i="14"/>
  <c r="BO166" i="14"/>
  <c r="BT553" i="14"/>
  <c r="BT245" i="14"/>
  <c r="BT168" i="14"/>
  <c r="V246" i="14"/>
  <c r="V169" i="14"/>
  <c r="V631" i="14" s="1"/>
  <c r="BO632" i="14"/>
  <c r="BO324" i="14"/>
  <c r="W91" i="14"/>
  <c r="X91" i="14" s="1"/>
  <c r="G560" i="14"/>
  <c r="G175" i="14"/>
  <c r="G329" i="14" s="1"/>
  <c r="G252" i="14"/>
  <c r="Q561" i="14"/>
  <c r="Q176" i="14"/>
  <c r="Q638" i="14" s="1"/>
  <c r="AK561" i="14"/>
  <c r="AK176" i="14"/>
  <c r="AK330" i="14" s="1"/>
  <c r="AK253" i="14"/>
  <c r="C99" i="14"/>
  <c r="C565" i="14" s="1"/>
  <c r="AK565" i="14"/>
  <c r="AK180" i="14"/>
  <c r="AA569" i="14"/>
  <c r="AA184" i="14"/>
  <c r="AA646" i="14" s="1"/>
  <c r="V573" i="14"/>
  <c r="V188" i="14"/>
  <c r="V650" i="14" s="1"/>
  <c r="V265" i="14"/>
  <c r="X107" i="14"/>
  <c r="W107" i="14"/>
  <c r="Y107" i="14" s="1" a="1"/>
  <c r="Y107" i="14" s="1"/>
  <c r="Y573" i="14" s="1"/>
  <c r="AF191" i="14"/>
  <c r="AG110" i="14"/>
  <c r="V193" i="14"/>
  <c r="V655" i="14" s="1"/>
  <c r="X112" i="14"/>
  <c r="X270" i="14" s="1"/>
  <c r="W112" i="14"/>
  <c r="Y112" i="14" s="1" a="1"/>
  <c r="Y112" i="14" s="1"/>
  <c r="Y578" i="14" s="1"/>
  <c r="V197" i="14"/>
  <c r="X116" i="14"/>
  <c r="X274" i="14" s="1"/>
  <c r="W116" i="14"/>
  <c r="Y116" i="14" s="1" a="1"/>
  <c r="Y116" i="14" s="1"/>
  <c r="Y582" i="14" s="1"/>
  <c r="BO135" i="14"/>
  <c r="BO597" i="14" s="1"/>
  <c r="BJ142" i="14"/>
  <c r="BJ604" i="14" s="1"/>
  <c r="AA151" i="14"/>
  <c r="AA613" i="14" s="1"/>
  <c r="AR61" i="14"/>
  <c r="AR219" i="14" s="1"/>
  <c r="AA512" i="14"/>
  <c r="AA123" i="14"/>
  <c r="AA589" i="14" s="1"/>
  <c r="B513" i="14"/>
  <c r="B124" i="14"/>
  <c r="B590" i="14" s="1"/>
  <c r="AP513" i="14"/>
  <c r="AP124" i="14"/>
  <c r="AP590" i="14" s="1"/>
  <c r="B515" i="14"/>
  <c r="B126" i="14"/>
  <c r="B592" i="14" s="1"/>
  <c r="G206" i="14"/>
  <c r="G129" i="14"/>
  <c r="G283" i="14" s="1"/>
  <c r="BE206" i="14"/>
  <c r="BE129" i="14"/>
  <c r="BE283" i="14" s="1"/>
  <c r="BF49" i="14"/>
  <c r="BF130" i="14" s="1"/>
  <c r="BF284" i="14" s="1"/>
  <c r="BE207" i="14"/>
  <c r="BB51" i="14"/>
  <c r="BB209" i="14" s="1"/>
  <c r="BJ210" i="14"/>
  <c r="BJ518" i="14"/>
  <c r="V520" i="14"/>
  <c r="V212" i="14"/>
  <c r="BO523" i="14"/>
  <c r="BO215" i="14"/>
  <c r="BO138" i="14"/>
  <c r="BO292" i="14" s="1"/>
  <c r="BV58" i="14"/>
  <c r="BV139" i="14" s="1"/>
  <c r="BV601" i="14" s="1"/>
  <c r="AP218" i="14"/>
  <c r="AP141" i="14"/>
  <c r="AP603" i="14" s="1"/>
  <c r="D61" i="14"/>
  <c r="D219" i="14" s="1"/>
  <c r="X61" i="14"/>
  <c r="AU527" i="14"/>
  <c r="AU219" i="14"/>
  <c r="AU142" i="14"/>
  <c r="AU604" i="14" s="1"/>
  <c r="BO527" i="14"/>
  <c r="BO219" i="14"/>
  <c r="BO142" i="14"/>
  <c r="W76" i="14"/>
  <c r="W157" i="14" s="1"/>
  <c r="V220" i="14"/>
  <c r="BK68" i="14"/>
  <c r="BJ220" i="14"/>
  <c r="BP69" i="14"/>
  <c r="AK223" i="14"/>
  <c r="AK531" i="14"/>
  <c r="BJ230" i="14"/>
  <c r="BJ153" i="14"/>
  <c r="V539" i="14"/>
  <c r="V154" i="14"/>
  <c r="BJ539" i="14"/>
  <c r="BJ154" i="14"/>
  <c r="BJ308" i="14" s="1"/>
  <c r="L540" i="14"/>
  <c r="L232" i="14"/>
  <c r="L155" i="14"/>
  <c r="L617" i="14" s="1"/>
  <c r="AU540" i="14"/>
  <c r="AU155" i="14"/>
  <c r="AU617" i="14" s="1"/>
  <c r="BV75" i="14"/>
  <c r="BV541" i="14" s="1"/>
  <c r="B547" i="14"/>
  <c r="B162" i="14"/>
  <c r="B624" i="14" s="1"/>
  <c r="AP547" i="14"/>
  <c r="AP162" i="14"/>
  <c r="AP624" i="14" s="1"/>
  <c r="BO547" i="14"/>
  <c r="BO239" i="14"/>
  <c r="BO162" i="14"/>
  <c r="AH83" i="14"/>
  <c r="AH241" i="14" s="1"/>
  <c r="V242" i="14"/>
  <c r="V165" i="14"/>
  <c r="V627" i="14" s="1"/>
  <c r="V550" i="14"/>
  <c r="V551" i="14"/>
  <c r="V166" i="14"/>
  <c r="V628" i="14" s="1"/>
  <c r="BQ85" i="14"/>
  <c r="AX86" i="14" a="1"/>
  <c r="AX86" i="14" s="1"/>
  <c r="AX552" i="14" s="1"/>
  <c r="L553" i="14"/>
  <c r="L168" i="14"/>
  <c r="AK553" i="14"/>
  <c r="AK245" i="14"/>
  <c r="AK168" i="14"/>
  <c r="BV87" i="14"/>
  <c r="BV245" i="14" s="1"/>
  <c r="BQ89" i="14"/>
  <c r="BQ247" i="14" s="1"/>
  <c r="AF557" i="14"/>
  <c r="AF172" i="14"/>
  <c r="BG92" i="14"/>
  <c r="AW93" i="14"/>
  <c r="AW174" i="14" s="1"/>
  <c r="AW636" i="14" s="1"/>
  <c r="BO636" i="14"/>
  <c r="BO328" i="14"/>
  <c r="AH94" i="14"/>
  <c r="AH175" i="14" s="1"/>
  <c r="AH637" i="14" s="1"/>
  <c r="AM95" i="14"/>
  <c r="AM561" i="14" s="1"/>
  <c r="B254" i="14"/>
  <c r="B177" i="14"/>
  <c r="B639" i="14" s="1"/>
  <c r="B562" i="14"/>
  <c r="BL97" i="14"/>
  <c r="BL255" i="14" s="1"/>
  <c r="L565" i="14"/>
  <c r="L257" i="14"/>
  <c r="L180" i="14"/>
  <c r="L642" i="14" s="1"/>
  <c r="AM99" i="14"/>
  <c r="AM565" i="14" s="1"/>
  <c r="AC103" i="14"/>
  <c r="AC569" i="14" s="1"/>
  <c r="AC104" i="14"/>
  <c r="BL574" i="14"/>
  <c r="BL266" i="14"/>
  <c r="BE200" i="14"/>
  <c r="BG119" i="14"/>
  <c r="BF119" i="14"/>
  <c r="BH119" i="14" s="1" a="1"/>
  <c r="BH119" i="14" s="1"/>
  <c r="BH277" i="14" s="1"/>
  <c r="V153" i="14"/>
  <c r="AQ124" i="14"/>
  <c r="AQ590" i="14" s="1"/>
  <c r="AQ513" i="14"/>
  <c r="Q514" i="14"/>
  <c r="Q125" i="14"/>
  <c r="Q591" i="14" s="1"/>
  <c r="BE514" i="14"/>
  <c r="BE125" i="14"/>
  <c r="BE591" i="14" s="1"/>
  <c r="V515" i="14"/>
  <c r="V126" i="14"/>
  <c r="V592" i="14" s="1"/>
  <c r="AK126" i="14"/>
  <c r="AK592" i="14" s="1"/>
  <c r="AK515" i="14"/>
  <c r="AK204" i="14"/>
  <c r="AK127" i="14"/>
  <c r="AK281" i="14" s="1"/>
  <c r="Q130" i="14"/>
  <c r="Q284" i="14" s="1"/>
  <c r="Q207" i="14"/>
  <c r="BJ207" i="14"/>
  <c r="BJ130" i="14"/>
  <c r="BJ284" i="14" s="1"/>
  <c r="AA520" i="14"/>
  <c r="AA135" i="14"/>
  <c r="AA289" i="14" s="1"/>
  <c r="B214" i="14"/>
  <c r="B522" i="14"/>
  <c r="B137" i="14"/>
  <c r="B599" i="14" s="1"/>
  <c r="AP214" i="14"/>
  <c r="AP522" i="14"/>
  <c r="V523" i="14"/>
  <c r="V138" i="14"/>
  <c r="BB59" i="14"/>
  <c r="V218" i="14"/>
  <c r="V526" i="14"/>
  <c r="V141" i="14"/>
  <c r="V295" i="14" s="1"/>
  <c r="BJ218" i="14"/>
  <c r="BJ526" i="14"/>
  <c r="BJ141" i="14"/>
  <c r="G527" i="14"/>
  <c r="G219" i="14"/>
  <c r="G142" i="14"/>
  <c r="G604" i="14" s="1"/>
  <c r="AA527" i="14"/>
  <c r="AA219" i="14"/>
  <c r="AA142" i="14"/>
  <c r="AA528" i="14"/>
  <c r="AA143" i="14"/>
  <c r="AA605" i="14" s="1"/>
  <c r="AP531" i="14"/>
  <c r="AP146" i="14"/>
  <c r="AP608" i="14" s="1"/>
  <c r="AU532" i="14"/>
  <c r="AU147" i="14"/>
  <c r="AU301" i="14" s="1"/>
  <c r="BJ535" i="14"/>
  <c r="BJ150" i="14"/>
  <c r="BJ612" i="14" s="1"/>
  <c r="BO536" i="14"/>
  <c r="BO151" i="14"/>
  <c r="BO613" i="14" s="1"/>
  <c r="B230" i="14"/>
  <c r="B538" i="14"/>
  <c r="B153" i="14"/>
  <c r="AP230" i="14"/>
  <c r="AP538" i="14"/>
  <c r="AP153" i="14"/>
  <c r="AA539" i="14"/>
  <c r="AA231" i="14"/>
  <c r="BO539" i="14"/>
  <c r="BO231" i="14"/>
  <c r="BO154" i="14"/>
  <c r="AZ540" i="14"/>
  <c r="AZ232" i="14"/>
  <c r="AZ155" i="14"/>
  <c r="BT540" i="14"/>
  <c r="BT232" i="14"/>
  <c r="BT155" i="14"/>
  <c r="BT617" i="14" s="1"/>
  <c r="G544" i="14"/>
  <c r="G159" i="14"/>
  <c r="G621" i="14" s="1"/>
  <c r="BO544" i="14"/>
  <c r="BO159" i="14"/>
  <c r="BO313" i="14" s="1"/>
  <c r="B238" i="14"/>
  <c r="B161" i="14"/>
  <c r="B315" i="14" s="1"/>
  <c r="B546" i="14"/>
  <c r="G547" i="14"/>
  <c r="G239" i="14"/>
  <c r="G162" i="14"/>
  <c r="G624" i="14" s="1"/>
  <c r="AU547" i="14"/>
  <c r="AU239" i="14"/>
  <c r="AU162" i="14"/>
  <c r="AU624" i="14" s="1"/>
  <c r="AA548" i="14"/>
  <c r="AA163" i="14"/>
  <c r="BO548" i="14"/>
  <c r="BO163" i="14"/>
  <c r="AA551" i="14"/>
  <c r="AA166" i="14"/>
  <c r="BE243" i="14"/>
  <c r="BE551" i="14"/>
  <c r="Q553" i="14"/>
  <c r="Q168" i="14"/>
  <c r="BE553" i="14"/>
  <c r="BE168" i="14"/>
  <c r="AU556" i="14"/>
  <c r="AU171" i="14"/>
  <c r="AU633" i="14" s="1"/>
  <c r="AZ557" i="14"/>
  <c r="AZ249" i="14"/>
  <c r="AZ172" i="14"/>
  <c r="AZ634" i="14" s="1"/>
  <c r="H96" i="14"/>
  <c r="I96" i="14" s="1"/>
  <c r="R98" i="14"/>
  <c r="R564" i="14" s="1"/>
  <c r="BO564" i="14"/>
  <c r="BO179" i="14"/>
  <c r="BO641" i="14" s="1"/>
  <c r="BO256" i="14"/>
  <c r="Q565" i="14"/>
  <c r="Q180" i="14"/>
  <c r="Q642" i="14" s="1"/>
  <c r="Q257" i="14"/>
  <c r="B569" i="14"/>
  <c r="B184" i="14"/>
  <c r="B646" i="14" s="1"/>
  <c r="BJ262" i="14"/>
  <c r="BJ185" i="14"/>
  <c r="BL104" i="14"/>
  <c r="BL185" i="14" s="1"/>
  <c r="BK104" i="14"/>
  <c r="BK570" i="14" s="1"/>
  <c r="AZ579" i="14"/>
  <c r="AZ194" i="14"/>
  <c r="AZ348" i="14" s="1"/>
  <c r="BB113" i="14"/>
  <c r="BB271" i="14" s="1"/>
  <c r="BA113" i="14"/>
  <c r="AK584" i="14"/>
  <c r="AK199" i="14"/>
  <c r="AK276" i="14"/>
  <c r="AM118" i="14"/>
  <c r="AM584" i="14" s="1"/>
  <c r="AL118" i="14"/>
  <c r="B146" i="14"/>
  <c r="B300" i="14" s="1"/>
  <c r="AA154" i="14"/>
  <c r="BE227" i="14"/>
  <c r="B207" i="14"/>
  <c r="B130" i="14"/>
  <c r="B284" i="14" s="1"/>
  <c r="R130" i="14"/>
  <c r="R284" i="14" s="1"/>
  <c r="R207" i="14"/>
  <c r="G516" i="14"/>
  <c r="G131" i="14"/>
  <c r="G285" i="14" s="1"/>
  <c r="Q519" i="14"/>
  <c r="Q211" i="14"/>
  <c r="B520" i="14"/>
  <c r="B212" i="14"/>
  <c r="BP56" i="14"/>
  <c r="BR56" i="14" s="1" a="1"/>
  <c r="BR56" i="14" s="1"/>
  <c r="BO137" i="14"/>
  <c r="BO599" i="14" s="1"/>
  <c r="AA523" i="14"/>
  <c r="AA215" i="14"/>
  <c r="AU524" i="14"/>
  <c r="AU139" i="14"/>
  <c r="BA70" i="14"/>
  <c r="AF528" i="14"/>
  <c r="AF143" i="14"/>
  <c r="AF220" i="14"/>
  <c r="BT528" i="14"/>
  <c r="BT220" i="14"/>
  <c r="BT143" i="14"/>
  <c r="B222" i="14"/>
  <c r="B530" i="14"/>
  <c r="B145" i="14"/>
  <c r="AP222" i="14"/>
  <c r="AP530" i="14"/>
  <c r="AP145" i="14"/>
  <c r="AP607" i="14" s="1"/>
  <c r="G531" i="14"/>
  <c r="G223" i="14"/>
  <c r="G146" i="14"/>
  <c r="G608" i="14" s="1"/>
  <c r="AU531" i="14"/>
  <c r="AU223" i="14"/>
  <c r="AU146" i="14"/>
  <c r="AU608" i="14" s="1"/>
  <c r="L532" i="14"/>
  <c r="L224" i="14"/>
  <c r="L147" i="14"/>
  <c r="L609" i="14" s="1"/>
  <c r="AZ532" i="14"/>
  <c r="AZ224" i="14"/>
  <c r="AZ147" i="14"/>
  <c r="V226" i="14"/>
  <c r="V534" i="14"/>
  <c r="V149" i="14"/>
  <c r="V611" i="14" s="1"/>
  <c r="BJ226" i="14"/>
  <c r="BJ534" i="14"/>
  <c r="BJ149" i="14"/>
  <c r="AA535" i="14"/>
  <c r="AA227" i="14"/>
  <c r="AA150" i="14"/>
  <c r="BO535" i="14"/>
  <c r="BO227" i="14"/>
  <c r="BO150" i="14"/>
  <c r="AF536" i="14"/>
  <c r="AF228" i="14"/>
  <c r="AF151" i="14"/>
  <c r="AF613" i="14" s="1"/>
  <c r="BT536" i="14"/>
  <c r="BT228" i="14"/>
  <c r="BT151" i="14"/>
  <c r="BT613" i="14" s="1"/>
  <c r="B234" i="14"/>
  <c r="B157" i="14"/>
  <c r="B619" i="14" s="1"/>
  <c r="B543" i="14"/>
  <c r="B158" i="14"/>
  <c r="B620" i="14" s="1"/>
  <c r="AP543" i="14"/>
  <c r="AP158" i="14"/>
  <c r="AP312" i="14" s="1"/>
  <c r="L544" i="14"/>
  <c r="L159" i="14"/>
  <c r="L621" i="14" s="1"/>
  <c r="L236" i="14"/>
  <c r="AU544" i="14"/>
  <c r="AU159" i="14"/>
  <c r="AU621" i="14" s="1"/>
  <c r="AF548" i="14"/>
  <c r="AF163" i="14"/>
  <c r="AF240" i="14"/>
  <c r="BJ551" i="14"/>
  <c r="BJ166" i="14"/>
  <c r="B246" i="14"/>
  <c r="B554" i="14"/>
  <c r="B169" i="14"/>
  <c r="B323" i="14" s="1"/>
  <c r="BJ250" i="14"/>
  <c r="BJ173" i="14"/>
  <c r="BJ558" i="14"/>
  <c r="BQ559" i="14"/>
  <c r="BQ251" i="14"/>
  <c r="AA560" i="14"/>
  <c r="AA175" i="14"/>
  <c r="AA637" i="14" s="1"/>
  <c r="AF561" i="14"/>
  <c r="AF253" i="14"/>
  <c r="AF176" i="14"/>
  <c r="AF330" i="14" s="1"/>
  <c r="BO640" i="14"/>
  <c r="BO332" i="14"/>
  <c r="AU564" i="14"/>
  <c r="AU179" i="14"/>
  <c r="AU333" i="14" s="1"/>
  <c r="BT565" i="14"/>
  <c r="BT180" i="14"/>
  <c r="BT334" i="14" s="1"/>
  <c r="G569" i="14"/>
  <c r="G261" i="14"/>
  <c r="G184" i="14"/>
  <c r="B573" i="14"/>
  <c r="B188" i="14"/>
  <c r="AA189" i="14"/>
  <c r="AA651" i="14" s="1"/>
  <c r="AC108" i="14"/>
  <c r="AB108" i="14"/>
  <c r="AB266" i="14" s="1"/>
  <c r="AU131" i="14"/>
  <c r="G139" i="14"/>
  <c r="G147" i="14"/>
  <c r="AA155" i="14"/>
  <c r="V516" i="14"/>
  <c r="V208" i="14"/>
  <c r="V519" i="14"/>
  <c r="V134" i="14"/>
  <c r="V288" i="14" s="1"/>
  <c r="G520" i="14"/>
  <c r="G135" i="14"/>
  <c r="G597" i="14" s="1"/>
  <c r="AQ80" i="14"/>
  <c r="AQ161" i="14" s="1"/>
  <c r="BK71" i="14"/>
  <c r="BL71" i="14" s="1"/>
  <c r="G543" i="14"/>
  <c r="G158" i="14"/>
  <c r="G620" i="14" s="1"/>
  <c r="G235" i="14"/>
  <c r="AU543" i="14"/>
  <c r="AU235" i="14"/>
  <c r="AU158" i="14"/>
  <c r="AU620" i="14" s="1"/>
  <c r="BO543" i="14"/>
  <c r="BO158" i="14"/>
  <c r="BO235" i="14"/>
  <c r="AZ544" i="14"/>
  <c r="AZ236" i="14"/>
  <c r="AZ159" i="14"/>
  <c r="AZ621" i="14" s="1"/>
  <c r="AG82" i="14"/>
  <c r="AZ548" i="14"/>
  <c r="AZ240" i="14"/>
  <c r="AZ163" i="14"/>
  <c r="AL83" i="14"/>
  <c r="BK85" i="14"/>
  <c r="BM85" i="14" s="1" a="1"/>
  <c r="BM85" i="14" s="1"/>
  <c r="BM243" i="14" s="1"/>
  <c r="G552" i="14"/>
  <c r="G167" i="14"/>
  <c r="G629" i="14" s="1"/>
  <c r="BK89" i="14"/>
  <c r="G556" i="14"/>
  <c r="G171" i="14"/>
  <c r="BO556" i="14"/>
  <c r="BO171" i="14"/>
  <c r="BO633" i="14" s="1"/>
  <c r="BO248" i="14"/>
  <c r="BT557" i="14"/>
  <c r="BT172" i="14"/>
  <c r="BT634" i="14" s="1"/>
  <c r="V250" i="14"/>
  <c r="V173" i="14"/>
  <c r="V558" i="14"/>
  <c r="AP250" i="14"/>
  <c r="AP173" i="14"/>
  <c r="AP635" i="14" s="1"/>
  <c r="BK92" i="14"/>
  <c r="BK173" i="14" s="1"/>
  <c r="AG93" i="14"/>
  <c r="AG559" i="14" s="1"/>
  <c r="AB94" i="14"/>
  <c r="AD94" i="14" s="1" a="1"/>
  <c r="AD94" i="14" s="1"/>
  <c r="AD252" i="14" s="1"/>
  <c r="AU560" i="14"/>
  <c r="AU252" i="14"/>
  <c r="AU175" i="14"/>
  <c r="AG95" i="14"/>
  <c r="AI95" i="14" s="1" a="1"/>
  <c r="AI95" i="14" s="1"/>
  <c r="AI253" i="14" s="1"/>
  <c r="AZ561" i="14"/>
  <c r="AZ176" i="14"/>
  <c r="AZ638" i="14" s="1"/>
  <c r="AA640" i="14"/>
  <c r="AA332" i="14"/>
  <c r="BP97" i="14"/>
  <c r="AA564" i="14"/>
  <c r="AA256" i="14"/>
  <c r="AA179" i="14"/>
  <c r="AW98" i="14"/>
  <c r="AZ565" i="14"/>
  <c r="AZ180" i="14"/>
  <c r="AZ257" i="14"/>
  <c r="BV99" i="14"/>
  <c r="BV257" i="14" s="1"/>
  <c r="BG100" i="14"/>
  <c r="BG566" i="14" s="1"/>
  <c r="BE568" i="14"/>
  <c r="BE183" i="14"/>
  <c r="BE645" i="14" s="1"/>
  <c r="BE260" i="14"/>
  <c r="BK103" i="14"/>
  <c r="BK261" i="14" s="1"/>
  <c r="BF264" i="14"/>
  <c r="BH106" i="14" a="1"/>
  <c r="BH106" i="14" s="1"/>
  <c r="BH264" i="14" s="1"/>
  <c r="G573" i="14"/>
  <c r="G265" i="14"/>
  <c r="G188" i="14"/>
  <c r="G650" i="14" s="1"/>
  <c r="BE582" i="14"/>
  <c r="BE197" i="14"/>
  <c r="BE351" i="14" s="1"/>
  <c r="BE274" i="14"/>
  <c r="BG116" i="14"/>
  <c r="BF116" i="14"/>
  <c r="BF582" i="14" s="1"/>
  <c r="Q584" i="14"/>
  <c r="Q199" i="14"/>
  <c r="S118" i="14"/>
  <c r="R118" i="14"/>
  <c r="BO139" i="14"/>
  <c r="BJ161" i="14"/>
  <c r="BJ623" i="14" s="1"/>
  <c r="AA243" i="14"/>
  <c r="BG60" i="14"/>
  <c r="BG218" i="14" s="1"/>
  <c r="G512" i="14"/>
  <c r="G123" i="14"/>
  <c r="AU512" i="14"/>
  <c r="AU123" i="14"/>
  <c r="AU589" i="14" s="1"/>
  <c r="G514" i="14"/>
  <c r="G125" i="14"/>
  <c r="G591" i="14" s="1"/>
  <c r="BJ515" i="14"/>
  <c r="BJ126" i="14"/>
  <c r="BJ592" i="14" s="1"/>
  <c r="B127" i="14"/>
  <c r="B281" i="14" s="1"/>
  <c r="B204" i="14"/>
  <c r="AP127" i="14"/>
  <c r="AP281" i="14" s="1"/>
  <c r="AP204" i="14"/>
  <c r="AP207" i="14"/>
  <c r="AP130" i="14"/>
  <c r="AP284" i="14" s="1"/>
  <c r="AW50" i="14"/>
  <c r="AW208" i="14" s="1"/>
  <c r="BO516" i="14"/>
  <c r="BO131" i="14"/>
  <c r="BO593" i="14" s="1"/>
  <c r="BP52" i="14"/>
  <c r="BP518" i="14" s="1"/>
  <c r="BA54" i="14"/>
  <c r="BP54" i="14"/>
  <c r="BR54" i="14" s="1" a="1"/>
  <c r="BR54" i="14" s="1"/>
  <c r="BR520" i="14" s="1"/>
  <c r="B523" i="14"/>
  <c r="B138" i="14"/>
  <c r="B600" i="14" s="1"/>
  <c r="BJ523" i="14"/>
  <c r="BJ138" i="14"/>
  <c r="BJ292" i="14" s="1"/>
  <c r="BU57" i="14"/>
  <c r="AA524" i="14"/>
  <c r="AA139" i="14"/>
  <c r="BQ58" i="14"/>
  <c r="BQ524" i="14" s="1"/>
  <c r="BF59" i="14"/>
  <c r="BF525" i="14" s="1"/>
  <c r="C76" i="14"/>
  <c r="C157" i="14" s="1"/>
  <c r="B220" i="14"/>
  <c r="AQ92" i="14"/>
  <c r="AQ173" i="14" s="1"/>
  <c r="AP220" i="14"/>
  <c r="H108" i="14"/>
  <c r="H574" i="14" s="1"/>
  <c r="BV70" i="14"/>
  <c r="BV151" i="14" s="1"/>
  <c r="BV613" i="14" s="1"/>
  <c r="B539" i="14"/>
  <c r="B154" i="14"/>
  <c r="B308" i="14" s="1"/>
  <c r="AP539" i="14"/>
  <c r="AP154" i="14"/>
  <c r="AP308" i="14" s="1"/>
  <c r="AF540" i="14"/>
  <c r="AF155" i="14"/>
  <c r="AF617" i="14" s="1"/>
  <c r="AL75" i="14"/>
  <c r="AL233" i="14" s="1"/>
  <c r="AN76" i="14" a="1"/>
  <c r="AN76" i="14" s="1"/>
  <c r="AN542" i="14" s="1"/>
  <c r="BJ234" i="14"/>
  <c r="BJ542" i="14"/>
  <c r="BJ157" i="14"/>
  <c r="BJ311" i="14" s="1"/>
  <c r="BP77" i="14"/>
  <c r="BA78" i="14"/>
  <c r="BA544" i="14" s="1"/>
  <c r="AP238" i="14"/>
  <c r="AP161" i="14"/>
  <c r="AP546" i="14"/>
  <c r="BK80" i="14"/>
  <c r="V547" i="14"/>
  <c r="V162" i="14"/>
  <c r="V624" i="14" s="1"/>
  <c r="BJ547" i="14"/>
  <c r="BJ162" i="14"/>
  <c r="BJ316" i="14" s="1"/>
  <c r="AH82" i="14"/>
  <c r="AH163" i="14" s="1"/>
  <c r="AH625" i="14" s="1"/>
  <c r="BA82" i="14"/>
  <c r="AM83" i="14"/>
  <c r="AM164" i="14" s="1"/>
  <c r="AM626" i="14" s="1"/>
  <c r="BF83" i="14"/>
  <c r="B242" i="14"/>
  <c r="B165" i="14"/>
  <c r="B627" i="14" s="1"/>
  <c r="AL84" i="14"/>
  <c r="AL550" i="14" s="1"/>
  <c r="BF84" i="14"/>
  <c r="B551" i="14"/>
  <c r="B166" i="14"/>
  <c r="AP551" i="14"/>
  <c r="AP166" i="14"/>
  <c r="AP628" i="14" s="1"/>
  <c r="BL85" i="14"/>
  <c r="BL551" i="14" s="1"/>
  <c r="L552" i="14"/>
  <c r="L167" i="14"/>
  <c r="L629" i="14" s="1"/>
  <c r="L244" i="14"/>
  <c r="BU86" i="14"/>
  <c r="BU244" i="14" s="1"/>
  <c r="AF553" i="14"/>
  <c r="AF245" i="14"/>
  <c r="AF168" i="14"/>
  <c r="BL89" i="14"/>
  <c r="AG90" i="14"/>
  <c r="AG248" i="14" s="1"/>
  <c r="BP90" i="14"/>
  <c r="L557" i="14"/>
  <c r="L249" i="14"/>
  <c r="L172" i="14"/>
  <c r="AK557" i="14"/>
  <c r="AK172" i="14"/>
  <c r="BU91" i="14"/>
  <c r="BW91" i="14" s="1" a="1"/>
  <c r="BW91" i="14" s="1"/>
  <c r="BW172" i="14" s="1"/>
  <c r="BL92" i="14"/>
  <c r="BL173" i="14" s="1"/>
  <c r="BL635" i="14" s="1"/>
  <c r="W93" i="14"/>
  <c r="BU93" i="14"/>
  <c r="BU559" i="14" s="1"/>
  <c r="AC94" i="14"/>
  <c r="AC560" i="14" s="1"/>
  <c r="AV94" i="14"/>
  <c r="AV560" i="14" s="1"/>
  <c r="BO560" i="14"/>
  <c r="BO175" i="14"/>
  <c r="BO637" i="14" s="1"/>
  <c r="AH95" i="14"/>
  <c r="AH561" i="14" s="1"/>
  <c r="BA95" i="14"/>
  <c r="BC95" i="14" s="1" a="1"/>
  <c r="BC95" i="14" s="1"/>
  <c r="BC561" i="14" s="1"/>
  <c r="BT561" i="14"/>
  <c r="BT176" i="14"/>
  <c r="BT638" i="14" s="1"/>
  <c r="BT253" i="14"/>
  <c r="AB97" i="14"/>
  <c r="AB563" i="14" s="1"/>
  <c r="BQ97" i="14"/>
  <c r="BQ563" i="14" s="1"/>
  <c r="AC98" i="14"/>
  <c r="AC564" i="14" s="1"/>
  <c r="BU98" i="14"/>
  <c r="BU256" i="14" s="1"/>
  <c r="AF565" i="14"/>
  <c r="AF180" i="14"/>
  <c r="BB99" i="14"/>
  <c r="BB565" i="14" s="1"/>
  <c r="AV101" i="14"/>
  <c r="BP101" i="14"/>
  <c r="AA568" i="14"/>
  <c r="AA260" i="14"/>
  <c r="BG102" i="14"/>
  <c r="BL103" i="14"/>
  <c r="BL261" i="14" s="1"/>
  <c r="W104" i="14"/>
  <c r="Y104" i="14" s="1" a="1"/>
  <c r="Y104" i="14" s="1"/>
  <c r="Y262" i="14" s="1"/>
  <c r="AB105" i="14"/>
  <c r="AD105" i="14" s="1" a="1"/>
  <c r="AD105" i="14" s="1"/>
  <c r="BF105" i="14"/>
  <c r="BH105" i="14" s="1" a="1"/>
  <c r="BH105" i="14" s="1"/>
  <c r="BH571" i="14" s="1"/>
  <c r="G581" i="14"/>
  <c r="G273" i="14"/>
  <c r="G196" i="14"/>
  <c r="I115" i="14"/>
  <c r="I273" i="14" s="1"/>
  <c r="H115" i="14"/>
  <c r="H273" i="14" s="1"/>
  <c r="G585" i="14"/>
  <c r="G200" i="14"/>
  <c r="G662" i="14" s="1"/>
  <c r="G277" i="14"/>
  <c r="I119" i="14"/>
  <c r="I277" i="14" s="1"/>
  <c r="AA572" i="14"/>
  <c r="AA264" i="14"/>
  <c r="BE572" i="14"/>
  <c r="BE264" i="14"/>
  <c r="BE187" i="14"/>
  <c r="BE341" i="14" s="1"/>
  <c r="AA575" i="14"/>
  <c r="AA267" i="14"/>
  <c r="AA190" i="14"/>
  <c r="AA652" i="14" s="1"/>
  <c r="AB110" i="14"/>
  <c r="AB111" i="14"/>
  <c r="BF111" i="14"/>
  <c r="BH111" i="14" s="1" a="1"/>
  <c r="BH111" i="14" s="1"/>
  <c r="BH577" i="14" s="1"/>
  <c r="BJ580" i="14"/>
  <c r="BJ195" i="14"/>
  <c r="V583" i="14"/>
  <c r="V275" i="14"/>
  <c r="V198" i="14"/>
  <c r="BO583" i="14"/>
  <c r="BO275" i="14"/>
  <c r="AF199" i="14"/>
  <c r="AF661" i="14" s="1"/>
  <c r="AF276" i="14"/>
  <c r="AW118" i="14"/>
  <c r="BL119" i="14"/>
  <c r="BL585" i="14" s="1"/>
  <c r="B577" i="14"/>
  <c r="B192" i="14"/>
  <c r="B654" i="14" s="1"/>
  <c r="BG192" i="14"/>
  <c r="BG654" i="14" s="1"/>
  <c r="BG577" i="14"/>
  <c r="BE578" i="14"/>
  <c r="BE270" i="14"/>
  <c r="BE193" i="14"/>
  <c r="BE655" i="14" s="1"/>
  <c r="B583" i="14"/>
  <c r="B198" i="14"/>
  <c r="B660" i="14" s="1"/>
  <c r="AA585" i="14"/>
  <c r="AA200" i="14"/>
  <c r="AA662" i="14" s="1"/>
  <c r="Q195" i="14"/>
  <c r="Q657" i="14" s="1"/>
  <c r="BJ571" i="14"/>
  <c r="BJ263" i="14"/>
  <c r="B575" i="14"/>
  <c r="B267" i="14"/>
  <c r="B190" i="14"/>
  <c r="BJ576" i="14"/>
  <c r="BJ191" i="14"/>
  <c r="BJ268" i="14"/>
  <c r="D111" i="14"/>
  <c r="V577" i="14"/>
  <c r="V192" i="14"/>
  <c r="D112" i="14"/>
  <c r="D578" i="14" s="1"/>
  <c r="AR193" i="14"/>
  <c r="AR347" i="14" s="1"/>
  <c r="AR270" i="14"/>
  <c r="BG112" i="14"/>
  <c r="B579" i="14"/>
  <c r="B194" i="14"/>
  <c r="B656" i="14" s="1"/>
  <c r="BT579" i="14"/>
  <c r="BT271" i="14"/>
  <c r="BT194" i="14"/>
  <c r="BT656" i="14" s="1"/>
  <c r="N114" i="14"/>
  <c r="N272" i="14" s="1"/>
  <c r="D117" i="14"/>
  <c r="BJ584" i="14"/>
  <c r="BJ199" i="14"/>
  <c r="BJ661" i="14" s="1"/>
  <c r="BJ567" i="14"/>
  <c r="BJ259" i="14"/>
  <c r="L183" i="14"/>
  <c r="L645" i="14" s="1"/>
  <c r="L260" i="14"/>
  <c r="W105" i="14"/>
  <c r="W186" i="14" s="1"/>
  <c r="BK105" i="14"/>
  <c r="BK263" i="14" s="1"/>
  <c r="C109" i="14"/>
  <c r="E109" i="14" s="1" a="1"/>
  <c r="E109" i="14" s="1"/>
  <c r="E575" i="14" s="1"/>
  <c r="V267" i="14"/>
  <c r="V575" i="14"/>
  <c r="V190" i="14"/>
  <c r="V652" i="14" s="1"/>
  <c r="BK110" i="14"/>
  <c r="W111" i="14"/>
  <c r="Y111" i="14" s="1" a="1"/>
  <c r="Y111" i="14" s="1"/>
  <c r="Y577" i="14" s="1"/>
  <c r="C113" i="14"/>
  <c r="V579" i="14"/>
  <c r="V271" i="14"/>
  <c r="V194" i="14"/>
  <c r="BU113" i="14"/>
  <c r="AG114" i="14"/>
  <c r="AI114" i="14" s="1" a="1"/>
  <c r="AI114" i="14" s="1"/>
  <c r="AI272" i="14" s="1"/>
  <c r="AV114" i="14"/>
  <c r="AA581" i="14"/>
  <c r="AA196" i="14"/>
  <c r="AA658" i="14" s="1"/>
  <c r="AR197" i="14"/>
  <c r="AR351" i="14" s="1"/>
  <c r="AR274" i="14"/>
  <c r="BL118" i="14"/>
  <c r="BL584" i="14" s="1"/>
  <c r="AG119" i="14"/>
  <c r="AG585" i="14" s="1"/>
  <c r="G577" i="14"/>
  <c r="G192" i="14"/>
  <c r="G654" i="14" s="1"/>
  <c r="AR199" i="14"/>
  <c r="AR353" i="14" s="1"/>
  <c r="AR276" i="14"/>
  <c r="M119" i="14"/>
  <c r="M585" i="14" s="1"/>
  <c r="AH119" i="14"/>
  <c r="AH277" i="14" s="1"/>
  <c r="BK107" i="14"/>
  <c r="BK573" i="14" s="1"/>
  <c r="BJ574" i="14"/>
  <c r="BJ189" i="14"/>
  <c r="BJ651" i="14" s="1"/>
  <c r="BJ266" i="14"/>
  <c r="H110" i="14"/>
  <c r="H111" i="14"/>
  <c r="H112" i="14"/>
  <c r="BA112" i="14"/>
  <c r="BC112" i="14" s="1" a="1"/>
  <c r="BC112" i="14" s="1"/>
  <c r="BC270" i="14" s="1"/>
  <c r="R114" i="14"/>
  <c r="V269" i="14"/>
  <c r="AF272" i="14"/>
  <c r="BL107" i="14"/>
  <c r="BL265" i="14" s="1"/>
  <c r="G575" i="14"/>
  <c r="G190" i="14"/>
  <c r="I110" i="14"/>
  <c r="BE576" i="14"/>
  <c r="BE268" i="14"/>
  <c r="BE191" i="14"/>
  <c r="BE653" i="14" s="1"/>
  <c r="I111" i="14"/>
  <c r="AA577" i="14"/>
  <c r="AA269" i="14"/>
  <c r="BE654" i="14"/>
  <c r="BE346" i="14"/>
  <c r="BO579" i="14"/>
  <c r="BO271" i="14"/>
  <c r="S114" i="14"/>
  <c r="S272" i="14" s="1"/>
  <c r="AK580" i="14"/>
  <c r="AK272" i="14"/>
  <c r="AK195" i="14"/>
  <c r="AK349" i="14" s="1"/>
  <c r="AV118" i="14"/>
  <c r="AV276" i="14" s="1"/>
  <c r="AF197" i="14"/>
  <c r="AF659" i="14" s="1"/>
  <c r="BL7" i="14"/>
  <c r="BQ7" i="14" s="1"/>
  <c r="BV7" i="14" s="1"/>
  <c r="Y268" i="14"/>
  <c r="D515" i="14"/>
  <c r="D126" i="14"/>
  <c r="D592" i="14" s="1"/>
  <c r="AR207" i="14"/>
  <c r="AR130" i="14"/>
  <c r="AR284" i="14" s="1"/>
  <c r="T27" i="14"/>
  <c r="S57" i="14" s="1"/>
  <c r="S53" i="14"/>
  <c r="S522" i="14"/>
  <c r="S137" i="14"/>
  <c r="S214" i="14"/>
  <c r="S525" i="14"/>
  <c r="S217" i="14"/>
  <c r="S140" i="14"/>
  <c r="AM526" i="14"/>
  <c r="AM218" i="14"/>
  <c r="AM141" i="14"/>
  <c r="C213" i="14"/>
  <c r="C136" i="14"/>
  <c r="C521" i="14"/>
  <c r="W213" i="14"/>
  <c r="W521" i="14"/>
  <c r="W136" i="14"/>
  <c r="AS524" i="14"/>
  <c r="AS216" i="14"/>
  <c r="AS139" i="14"/>
  <c r="AU598" i="14"/>
  <c r="AU290" i="14"/>
  <c r="AD525" i="14"/>
  <c r="AD217" i="14"/>
  <c r="AD140" i="14"/>
  <c r="BP526" i="14"/>
  <c r="BP141" i="14"/>
  <c r="BR60" i="14" a="1"/>
  <c r="BR60" i="14" s="1"/>
  <c r="BP218" i="14"/>
  <c r="BA547" i="14"/>
  <c r="BA162" i="14"/>
  <c r="BA239" i="14"/>
  <c r="BC81" i="14" a="1"/>
  <c r="BC81" i="14" s="1"/>
  <c r="BF560" i="14"/>
  <c r="BF252" i="14"/>
  <c r="BF175" i="14"/>
  <c r="BH94" i="14" a="1"/>
  <c r="BH94" i="14" s="1"/>
  <c r="W565" i="14"/>
  <c r="W257" i="14"/>
  <c r="W180" i="14"/>
  <c r="Y99" i="14" a="1"/>
  <c r="Y99" i="14" s="1"/>
  <c r="BL643" i="14"/>
  <c r="BL335" i="14"/>
  <c r="BT646" i="14"/>
  <c r="BT338" i="14"/>
  <c r="AG262" i="14"/>
  <c r="AG185" i="14"/>
  <c r="AG570" i="14"/>
  <c r="AI104" i="14" a="1"/>
  <c r="AI104" i="14" s="1"/>
  <c r="BP574" i="14"/>
  <c r="BP266" i="14"/>
  <c r="BP189" i="14"/>
  <c r="BR108" i="14" a="1"/>
  <c r="BR108" i="14" s="1"/>
  <c r="BF579" i="14"/>
  <c r="BF271" i="14"/>
  <c r="BF194" i="14"/>
  <c r="BH113" i="14" a="1"/>
  <c r="BH113" i="14" s="1"/>
  <c r="AV581" i="14"/>
  <c r="AV273" i="14"/>
  <c r="AV196" i="14"/>
  <c r="AX115" i="14" a="1"/>
  <c r="AX115" i="14" s="1"/>
  <c r="AZ661" i="14"/>
  <c r="AZ353" i="14"/>
  <c r="AM514" i="14"/>
  <c r="AM125" i="14"/>
  <c r="AM591" i="14" s="1"/>
  <c r="AH53" i="14"/>
  <c r="AI27" i="14"/>
  <c r="AH57" i="14" s="1"/>
  <c r="I526" i="14"/>
  <c r="I218" i="14"/>
  <c r="I141" i="14"/>
  <c r="D520" i="14"/>
  <c r="D212" i="14"/>
  <c r="D135" i="14"/>
  <c r="X520" i="14"/>
  <c r="X212" i="14"/>
  <c r="X135" i="14"/>
  <c r="AR520" i="14"/>
  <c r="AR212" i="14"/>
  <c r="AR135" i="14"/>
  <c r="AM521" i="14"/>
  <c r="AM136" i="14"/>
  <c r="AM213" i="14"/>
  <c r="B589" i="14"/>
  <c r="BF204" i="14"/>
  <c r="BF127" i="14"/>
  <c r="BF281" i="14" s="1"/>
  <c r="BQ207" i="14"/>
  <c r="BQ130" i="14"/>
  <c r="BQ284" i="14" s="1"/>
  <c r="W88" i="14"/>
  <c r="BK221" i="14"/>
  <c r="BK144" i="14"/>
  <c r="BK529" i="14"/>
  <c r="C225" i="14"/>
  <c r="C148" i="14"/>
  <c r="C533" i="14"/>
  <c r="H534" i="14"/>
  <c r="H149" i="14"/>
  <c r="AL70" i="14"/>
  <c r="AM70" i="14" s="1"/>
  <c r="BV621" i="14"/>
  <c r="BV313" i="14"/>
  <c r="BK237" i="14"/>
  <c r="BK160" i="14"/>
  <c r="BM79" i="14" a="1"/>
  <c r="BM79" i="14" s="1"/>
  <c r="BK545" i="14"/>
  <c r="BG642" i="14"/>
  <c r="BG334" i="14"/>
  <c r="AB181" i="14"/>
  <c r="AB258" i="14"/>
  <c r="AD100" i="14" a="1"/>
  <c r="AD100" i="14" s="1"/>
  <c r="AB566" i="14"/>
  <c r="AV568" i="14"/>
  <c r="AV260" i="14"/>
  <c r="AV183" i="14"/>
  <c r="AX102" i="14" a="1"/>
  <c r="AX102" i="14" s="1"/>
  <c r="AU652" i="14"/>
  <c r="AU344" i="14"/>
  <c r="X207" i="14"/>
  <c r="X130" i="14"/>
  <c r="X284" i="14" s="1"/>
  <c r="I517" i="14"/>
  <c r="I132" i="14"/>
  <c r="I209" i="14"/>
  <c r="AC132" i="14"/>
  <c r="AC209" i="14"/>
  <c r="AC517" i="14"/>
  <c r="AC216" i="14"/>
  <c r="AC139" i="14"/>
  <c r="AC524" i="14"/>
  <c r="AM525" i="14"/>
  <c r="AM217" i="14"/>
  <c r="AM140" i="14"/>
  <c r="S526" i="14"/>
  <c r="S218" i="14"/>
  <c r="S141" i="14"/>
  <c r="AA598" i="14"/>
  <c r="AA290" i="14"/>
  <c r="L599" i="14"/>
  <c r="L291" i="14"/>
  <c r="AF599" i="14"/>
  <c r="AF291" i="14"/>
  <c r="AZ599" i="14"/>
  <c r="AZ291" i="14"/>
  <c r="BE600" i="14"/>
  <c r="BE292" i="14"/>
  <c r="AC527" i="14"/>
  <c r="AC219" i="14"/>
  <c r="AC142" i="14"/>
  <c r="BA536" i="14"/>
  <c r="BA228" i="14"/>
  <c r="BA151" i="14"/>
  <c r="BB70" i="14"/>
  <c r="AM622" i="14"/>
  <c r="AM314" i="14"/>
  <c r="BU551" i="14"/>
  <c r="BU166" i="14"/>
  <c r="BU243" i="14"/>
  <c r="BW85" i="14" a="1"/>
  <c r="BW85" i="14" s="1"/>
  <c r="BU555" i="14"/>
  <c r="BU247" i="14"/>
  <c r="BU170" i="14"/>
  <c r="BW89" i="14" a="1"/>
  <c r="BW89" i="14" s="1"/>
  <c r="R248" i="14"/>
  <c r="R171" i="14"/>
  <c r="BP558" i="14"/>
  <c r="BP173" i="14"/>
  <c r="BP250" i="14"/>
  <c r="BR92" i="14" a="1"/>
  <c r="BR92" i="14" s="1"/>
  <c r="BP265" i="14"/>
  <c r="BP573" i="14"/>
  <c r="BP188" i="14"/>
  <c r="BR107" i="14" a="1"/>
  <c r="BR107" i="14" s="1"/>
  <c r="L651" i="14"/>
  <c r="L343" i="14"/>
  <c r="AQ213" i="14"/>
  <c r="AQ136" i="14"/>
  <c r="AQ521" i="14"/>
  <c r="AH518" i="14"/>
  <c r="AH133" i="14"/>
  <c r="AH210" i="14"/>
  <c r="BV518" i="14"/>
  <c r="BV133" i="14"/>
  <c r="BV210" i="14"/>
  <c r="W217" i="14"/>
  <c r="W140" i="14"/>
  <c r="Y59" i="14" a="1"/>
  <c r="Y59" i="14" s="1"/>
  <c r="W525" i="14"/>
  <c r="AQ217" i="14"/>
  <c r="AQ140" i="14"/>
  <c r="AS59" i="14" a="1"/>
  <c r="AS59" i="14" s="1"/>
  <c r="AQ525" i="14"/>
  <c r="AV76" i="14"/>
  <c r="BQ624" i="14"/>
  <c r="BQ316" i="14"/>
  <c r="AG555" i="14"/>
  <c r="AG247" i="14"/>
  <c r="AG170" i="14"/>
  <c r="AI89" i="14" a="1"/>
  <c r="AI89" i="14" s="1"/>
  <c r="W7" i="14"/>
  <c r="D129" i="14"/>
  <c r="D283" i="14" s="1"/>
  <c r="D206" i="14"/>
  <c r="X129" i="14"/>
  <c r="X283" i="14" s="1"/>
  <c r="X206" i="14"/>
  <c r="AR514" i="14"/>
  <c r="AR125" i="14"/>
  <c r="AR591" i="14" s="1"/>
  <c r="S515" i="14"/>
  <c r="S126" i="14"/>
  <c r="S592" i="14" s="1"/>
  <c r="AM207" i="14"/>
  <c r="AM130" i="14"/>
  <c r="AM284" i="14" s="1"/>
  <c r="R518" i="14"/>
  <c r="R133" i="14"/>
  <c r="R210" i="14"/>
  <c r="AL518" i="14"/>
  <c r="AL133" i="14"/>
  <c r="AL210" i="14"/>
  <c r="N518" i="14"/>
  <c r="N133" i="14"/>
  <c r="N210" i="14"/>
  <c r="R524" i="14"/>
  <c r="R216" i="14"/>
  <c r="T58" i="14" a="1"/>
  <c r="T58" i="14" s="1"/>
  <c r="R139" i="14"/>
  <c r="AD524" i="14"/>
  <c r="AD139" i="14"/>
  <c r="AD216" i="14"/>
  <c r="AL524" i="14"/>
  <c r="AL216" i="14"/>
  <c r="AN58" i="14" a="1"/>
  <c r="AN58" i="14" s="1"/>
  <c r="AL139" i="14"/>
  <c r="R525" i="14"/>
  <c r="R217" i="14"/>
  <c r="R140" i="14"/>
  <c r="T59" i="14" a="1"/>
  <c r="T59" i="14" s="1"/>
  <c r="AL525" i="14"/>
  <c r="AL217" i="14"/>
  <c r="AL140" i="14"/>
  <c r="AN59" i="14" a="1"/>
  <c r="AN59" i="14" s="1"/>
  <c r="V589" i="14"/>
  <c r="AP589" i="14"/>
  <c r="AW207" i="14"/>
  <c r="AW130" i="14"/>
  <c r="AW284" i="14" s="1"/>
  <c r="AA599" i="14"/>
  <c r="AA291" i="14"/>
  <c r="BK149" i="14"/>
  <c r="BK226" i="14"/>
  <c r="BK534" i="14"/>
  <c r="BL68" i="14"/>
  <c r="AB85" i="14"/>
  <c r="AV81" i="14"/>
  <c r="BP535" i="14"/>
  <c r="BP150" i="14"/>
  <c r="BP227" i="14"/>
  <c r="BQ69" i="14"/>
  <c r="BP554" i="14"/>
  <c r="BP169" i="14"/>
  <c r="BR88" i="14" a="1"/>
  <c r="BR88" i="14" s="1"/>
  <c r="BP246" i="14"/>
  <c r="BA563" i="14"/>
  <c r="BA255" i="14"/>
  <c r="BA178" i="14"/>
  <c r="BC97" i="14" a="1"/>
  <c r="BC97" i="14" s="1"/>
  <c r="BK565" i="14"/>
  <c r="BK257" i="14"/>
  <c r="BK180" i="14"/>
  <c r="BM99" i="14" a="1"/>
  <c r="BM99" i="14" s="1"/>
  <c r="AV566" i="14"/>
  <c r="AV181" i="14"/>
  <c r="AX100" i="14" a="1"/>
  <c r="AX100" i="14" s="1"/>
  <c r="AV258" i="14"/>
  <c r="AU644" i="14"/>
  <c r="AU336" i="14"/>
  <c r="BG646" i="14"/>
  <c r="BG338" i="14"/>
  <c r="M573" i="14"/>
  <c r="M265" i="14"/>
  <c r="M188" i="14"/>
  <c r="O107" i="14" a="1"/>
  <c r="O107" i="14" s="1"/>
  <c r="AB579" i="14"/>
  <c r="AB271" i="14"/>
  <c r="AB194" i="14"/>
  <c r="AD113" i="14" a="1"/>
  <c r="AD113" i="14" s="1"/>
  <c r="AB275" i="14"/>
  <c r="AB198" i="14"/>
  <c r="AD117" i="14" a="1"/>
  <c r="AD117" i="14" s="1"/>
  <c r="AB583" i="14"/>
  <c r="Q662" i="14"/>
  <c r="Q354" i="14"/>
  <c r="H51" i="14"/>
  <c r="H22" i="14"/>
  <c r="AB51" i="14"/>
  <c r="AB22" i="14"/>
  <c r="C26" i="14"/>
  <c r="C56" i="14" s="1"/>
  <c r="C23" i="14"/>
  <c r="AC518" i="14"/>
  <c r="AC133" i="14"/>
  <c r="AC210" i="14"/>
  <c r="AQ26" i="14"/>
  <c r="AQ56" i="14" s="1"/>
  <c r="AQ23" i="14"/>
  <c r="AL23" i="14"/>
  <c r="S520" i="14"/>
  <c r="S212" i="14"/>
  <c r="S135" i="14"/>
  <c r="AB25" i="14"/>
  <c r="AB55" i="14" s="1"/>
  <c r="R26" i="14"/>
  <c r="R56" i="14" s="1"/>
  <c r="AD26" i="14"/>
  <c r="AC56" i="14" s="1"/>
  <c r="S524" i="14"/>
  <c r="S216" i="14"/>
  <c r="S139" i="14"/>
  <c r="AM524" i="14"/>
  <c r="AM216" i="14"/>
  <c r="AM139" i="14"/>
  <c r="M217" i="14"/>
  <c r="M525" i="14"/>
  <c r="M140" i="14"/>
  <c r="AG217" i="14"/>
  <c r="AG525" i="14"/>
  <c r="AG140" i="14"/>
  <c r="N526" i="14"/>
  <c r="N141" i="14"/>
  <c r="AH526" i="14"/>
  <c r="AH141" i="14"/>
  <c r="N512" i="14"/>
  <c r="N123" i="14"/>
  <c r="N589" i="14" s="1"/>
  <c r="BQ123" i="14"/>
  <c r="BQ589" i="14" s="1"/>
  <c r="BQ512" i="14"/>
  <c r="AH513" i="14"/>
  <c r="AH124" i="14"/>
  <c r="AH590" i="14" s="1"/>
  <c r="AM513" i="14"/>
  <c r="AM124" i="14"/>
  <c r="AM590" i="14" s="1"/>
  <c r="BQ513" i="14"/>
  <c r="BU513" i="14"/>
  <c r="C514" i="14"/>
  <c r="C125" i="14"/>
  <c r="C591" i="14" s="1"/>
  <c r="H514" i="14"/>
  <c r="H125" i="14"/>
  <c r="H591" i="14" s="1"/>
  <c r="X515" i="14"/>
  <c r="X126" i="14"/>
  <c r="X592" i="14" s="1"/>
  <c r="AM45" i="14"/>
  <c r="AQ515" i="14"/>
  <c r="AQ126" i="14"/>
  <c r="AQ592" i="14" s="1"/>
  <c r="AV515" i="14"/>
  <c r="AV126" i="14"/>
  <c r="AV592" i="14" s="1"/>
  <c r="AX45" i="14" a="1"/>
  <c r="AX45" i="14" s="1"/>
  <c r="BK515" i="14"/>
  <c r="BK126" i="14"/>
  <c r="BK592" i="14" s="1"/>
  <c r="BP515" i="14"/>
  <c r="AH204" i="14"/>
  <c r="AH127" i="14"/>
  <c r="AH281" i="14" s="1"/>
  <c r="BK204" i="14"/>
  <c r="BK127" i="14"/>
  <c r="BK281" i="14" s="1"/>
  <c r="S128" i="14"/>
  <c r="S282" i="14" s="1"/>
  <c r="S205" i="14"/>
  <c r="S129" i="14"/>
  <c r="S283" i="14" s="1"/>
  <c r="S206" i="14"/>
  <c r="C207" i="14"/>
  <c r="C130" i="14"/>
  <c r="C284" i="14" s="1"/>
  <c r="H130" i="14"/>
  <c r="H284" i="14" s="1"/>
  <c r="M207" i="14"/>
  <c r="M130" i="14"/>
  <c r="M284" i="14" s="1"/>
  <c r="N516" i="14"/>
  <c r="N208" i="14"/>
  <c r="N131" i="14"/>
  <c r="N517" i="14"/>
  <c r="N132" i="14"/>
  <c r="AH517" i="14"/>
  <c r="AH132" i="14"/>
  <c r="X518" i="14"/>
  <c r="X133" i="14"/>
  <c r="I53" i="14"/>
  <c r="AW519" i="14"/>
  <c r="AW211" i="14"/>
  <c r="AW134" i="14"/>
  <c r="BQ519" i="14"/>
  <c r="BQ211" i="14"/>
  <c r="BQ134" i="14"/>
  <c r="N520" i="14"/>
  <c r="N212" i="14"/>
  <c r="N135" i="14"/>
  <c r="AC212" i="14"/>
  <c r="AC135" i="14"/>
  <c r="AC520" i="14"/>
  <c r="BQ212" i="14"/>
  <c r="BQ135" i="14"/>
  <c r="BQ520" i="14"/>
  <c r="BK213" i="14"/>
  <c r="BM55" i="14" a="1"/>
  <c r="BM55" i="14" s="1"/>
  <c r="BK521" i="14"/>
  <c r="BK136" i="14"/>
  <c r="G522" i="14"/>
  <c r="G214" i="14"/>
  <c r="BG522" i="14"/>
  <c r="BG137" i="14"/>
  <c r="BG214" i="14"/>
  <c r="BT214" i="14"/>
  <c r="BT522" i="14"/>
  <c r="BV56" i="14"/>
  <c r="BU56" i="14"/>
  <c r="I57" i="14"/>
  <c r="AW523" i="14"/>
  <c r="AW215" i="14"/>
  <c r="AW138" i="14"/>
  <c r="AG524" i="14"/>
  <c r="AG216" i="14"/>
  <c r="AG139" i="14"/>
  <c r="AI58" i="14" a="1"/>
  <c r="AI58" i="14" s="1"/>
  <c r="V525" i="14"/>
  <c r="V217" i="14"/>
  <c r="V140" i="14"/>
  <c r="AP525" i="14"/>
  <c r="AP217" i="14"/>
  <c r="AP140" i="14"/>
  <c r="AB526" i="14"/>
  <c r="AB141" i="14"/>
  <c r="AD60" i="14" a="1"/>
  <c r="AD60" i="14" s="1"/>
  <c r="I527" i="14"/>
  <c r="I219" i="14"/>
  <c r="R96" i="14"/>
  <c r="R92" i="14"/>
  <c r="R88" i="14"/>
  <c r="R84" i="14"/>
  <c r="R80" i="14"/>
  <c r="R76" i="14"/>
  <c r="R72" i="14"/>
  <c r="R68" i="14"/>
  <c r="R64" i="14"/>
  <c r="Q142" i="14"/>
  <c r="R61" i="14"/>
  <c r="BA527" i="14"/>
  <c r="BA142" i="14"/>
  <c r="BA219" i="14"/>
  <c r="BT527" i="14"/>
  <c r="BT142" i="14"/>
  <c r="BU67" i="14"/>
  <c r="BU63" i="14"/>
  <c r="BT219" i="14"/>
  <c r="Q528" i="14"/>
  <c r="Q220" i="14"/>
  <c r="Q143" i="14"/>
  <c r="AK528" i="14"/>
  <c r="AK220" i="14"/>
  <c r="AK143" i="14"/>
  <c r="B529" i="14"/>
  <c r="B221" i="14"/>
  <c r="B144" i="14"/>
  <c r="AA530" i="14"/>
  <c r="AA222" i="14"/>
  <c r="AA145" i="14"/>
  <c r="AU530" i="14"/>
  <c r="AU222" i="14"/>
  <c r="AU145" i="14"/>
  <c r="L531" i="14"/>
  <c r="L146" i="14"/>
  <c r="L223" i="14"/>
  <c r="AF531" i="14"/>
  <c r="AF146" i="14"/>
  <c r="AF223" i="14"/>
  <c r="AZ531" i="14"/>
  <c r="AZ146" i="14"/>
  <c r="AZ223" i="14"/>
  <c r="BT531" i="14"/>
  <c r="BT146" i="14"/>
  <c r="BT223" i="14"/>
  <c r="Q532" i="14"/>
  <c r="Q224" i="14"/>
  <c r="Q147" i="14"/>
  <c r="AK532" i="14"/>
  <c r="AK224" i="14"/>
  <c r="AK147" i="14"/>
  <c r="BE532" i="14"/>
  <c r="BE224" i="14"/>
  <c r="BE147" i="14"/>
  <c r="V533" i="14"/>
  <c r="V225" i="14"/>
  <c r="V148" i="14"/>
  <c r="AP533" i="14"/>
  <c r="AP225" i="14"/>
  <c r="AP148" i="14"/>
  <c r="AA534" i="14"/>
  <c r="AA226" i="14"/>
  <c r="AA149" i="14"/>
  <c r="AU534" i="14"/>
  <c r="AU226" i="14"/>
  <c r="AU149" i="14"/>
  <c r="BO534" i="14"/>
  <c r="BO226" i="14"/>
  <c r="BO149" i="14"/>
  <c r="L535" i="14"/>
  <c r="L150" i="14"/>
  <c r="L227" i="14"/>
  <c r="AF535" i="14"/>
  <c r="AF150" i="14"/>
  <c r="AF227" i="14"/>
  <c r="BT535" i="14"/>
  <c r="BT150" i="14"/>
  <c r="BT227" i="14"/>
  <c r="BV69" i="14"/>
  <c r="Q536" i="14"/>
  <c r="Q228" i="14"/>
  <c r="Q151" i="14"/>
  <c r="BE536" i="14"/>
  <c r="BE228" i="14"/>
  <c r="BE151" i="14"/>
  <c r="BG70" i="14"/>
  <c r="AP537" i="14"/>
  <c r="AP229" i="14"/>
  <c r="AP152" i="14"/>
  <c r="BV537" i="14"/>
  <c r="BV152" i="14"/>
  <c r="L230" i="14"/>
  <c r="L538" i="14"/>
  <c r="L153" i="14"/>
  <c r="M72" i="14"/>
  <c r="N72" i="14" s="1"/>
  <c r="BK72" i="14"/>
  <c r="AV73" i="14"/>
  <c r="AG74" i="14"/>
  <c r="C75" i="14"/>
  <c r="AQ75" i="14"/>
  <c r="AR75" i="14" s="1"/>
  <c r="AZ234" i="14"/>
  <c r="AZ542" i="14"/>
  <c r="BB76" i="14"/>
  <c r="AZ157" i="14"/>
  <c r="BA76" i="14"/>
  <c r="H77" i="14"/>
  <c r="AV77" i="14"/>
  <c r="BU543" i="14"/>
  <c r="BU158" i="14"/>
  <c r="BU235" i="14"/>
  <c r="BW77" i="14" a="1"/>
  <c r="BW77" i="14" s="1"/>
  <c r="AL544" i="14"/>
  <c r="AL236" i="14"/>
  <c r="AL159" i="14"/>
  <c r="AN78" i="14" a="1"/>
  <c r="AN78" i="14" s="1"/>
  <c r="V545" i="14"/>
  <c r="V237" i="14"/>
  <c r="V160" i="14"/>
  <c r="BB545" i="14"/>
  <c r="BB160" i="14"/>
  <c r="C80" i="14"/>
  <c r="L547" i="14"/>
  <c r="L162" i="14"/>
  <c r="L239" i="14"/>
  <c r="BL547" i="14"/>
  <c r="BL239" i="14"/>
  <c r="BL162" i="14"/>
  <c r="B548" i="14"/>
  <c r="B163" i="14"/>
  <c r="C82" i="14"/>
  <c r="AP548" i="14"/>
  <c r="AP163" i="14"/>
  <c r="AQ82" i="14"/>
  <c r="C83" i="14"/>
  <c r="D83" i="14" s="1"/>
  <c r="W83" i="14"/>
  <c r="AP549" i="14"/>
  <c r="AP241" i="14"/>
  <c r="AP164" i="14"/>
  <c r="BB549" i="14"/>
  <c r="BB164" i="14"/>
  <c r="BO549" i="14"/>
  <c r="BO241" i="14"/>
  <c r="BQ83" i="14"/>
  <c r="BO164" i="14"/>
  <c r="BP83" i="14"/>
  <c r="C84" i="14"/>
  <c r="L551" i="14"/>
  <c r="L166" i="14"/>
  <c r="L243" i="14"/>
  <c r="BQ551" i="14"/>
  <c r="BQ243" i="14"/>
  <c r="W87" i="14"/>
  <c r="X87" i="14" s="1"/>
  <c r="AP553" i="14"/>
  <c r="AP245" i="14"/>
  <c r="AP168" i="14"/>
  <c r="BB553" i="14"/>
  <c r="BB245" i="14"/>
  <c r="BB168" i="14"/>
  <c r="BO553" i="14"/>
  <c r="BO245" i="14"/>
  <c r="BQ87" i="14"/>
  <c r="BO168" i="14"/>
  <c r="BP87" i="14"/>
  <c r="L555" i="14"/>
  <c r="L170" i="14"/>
  <c r="BQ555" i="14"/>
  <c r="V556" i="14"/>
  <c r="V248" i="14"/>
  <c r="V171" i="14"/>
  <c r="W90" i="14"/>
  <c r="X90" i="14" s="1"/>
  <c r="BF557" i="14"/>
  <c r="BF249" i="14"/>
  <c r="BF172" i="14"/>
  <c r="BH91" i="14" a="1"/>
  <c r="BH91" i="14" s="1"/>
  <c r="AB558" i="14"/>
  <c r="AB173" i="14"/>
  <c r="AB250" i="14"/>
  <c r="AD92" i="14" a="1"/>
  <c r="AD92" i="14" s="1"/>
  <c r="AU250" i="14"/>
  <c r="AU558" i="14"/>
  <c r="AU173" i="14"/>
  <c r="AW92" i="14"/>
  <c r="BT250" i="14"/>
  <c r="BT558" i="14"/>
  <c r="BV92" i="14"/>
  <c r="BT173" i="14"/>
  <c r="BU92" i="14"/>
  <c r="R94" i="14"/>
  <c r="AK560" i="14"/>
  <c r="AK252" i="14"/>
  <c r="AK175" i="14"/>
  <c r="AM94" i="14"/>
  <c r="BU560" i="14"/>
  <c r="BU175" i="14"/>
  <c r="BW94" i="14" a="1"/>
  <c r="BW94" i="14" s="1"/>
  <c r="AQ95" i="14"/>
  <c r="AR95" i="14" s="1"/>
  <c r="BJ561" i="14"/>
  <c r="BJ253" i="14"/>
  <c r="BJ176" i="14"/>
  <c r="BL95" i="14"/>
  <c r="L562" i="14"/>
  <c r="L254" i="14"/>
  <c r="L177" i="14"/>
  <c r="M96" i="14"/>
  <c r="N96" i="14" s="1"/>
  <c r="X562" i="14"/>
  <c r="X254" i="14"/>
  <c r="AQ96" i="14"/>
  <c r="M97" i="14"/>
  <c r="AF563" i="14"/>
  <c r="AF255" i="14"/>
  <c r="AF178" i="14"/>
  <c r="AH97" i="14"/>
  <c r="B564" i="14"/>
  <c r="B179" i="14"/>
  <c r="C98" i="14"/>
  <c r="D98" i="14" s="1"/>
  <c r="V564" i="14"/>
  <c r="V256" i="14"/>
  <c r="X98" i="14"/>
  <c r="V179" i="14"/>
  <c r="W98" i="14"/>
  <c r="AP564" i="14"/>
  <c r="AP179" i="14"/>
  <c r="AQ98" i="14"/>
  <c r="AR98" i="14" s="1"/>
  <c r="BO565" i="14"/>
  <c r="BO257" i="14"/>
  <c r="BQ99" i="14"/>
  <c r="BO180" i="14"/>
  <c r="BP99" i="14"/>
  <c r="AF566" i="14"/>
  <c r="AF258" i="14"/>
  <c r="AH100" i="14"/>
  <c r="AF181" i="14"/>
  <c r="AG100" i="14"/>
  <c r="BT566" i="14"/>
  <c r="BT258" i="14"/>
  <c r="BV100" i="14"/>
  <c r="BT181" i="14"/>
  <c r="BU100" i="14"/>
  <c r="AV567" i="14"/>
  <c r="AV182" i="14"/>
  <c r="AX101" i="14" a="1"/>
  <c r="AX101" i="14" s="1"/>
  <c r="BP567" i="14"/>
  <c r="BP182" i="14"/>
  <c r="BR101" i="14" a="1"/>
  <c r="BR101" i="14" s="1"/>
  <c r="BP259" i="14"/>
  <c r="AZ568" i="14"/>
  <c r="AZ260" i="14"/>
  <c r="BB102" i="14"/>
  <c r="AZ183" i="14"/>
  <c r="BA102" i="14"/>
  <c r="Q569" i="14"/>
  <c r="Q261" i="14"/>
  <c r="S103" i="14"/>
  <c r="Q184" i="14"/>
  <c r="R103" i="14"/>
  <c r="AK569" i="14"/>
  <c r="AK261" i="14"/>
  <c r="AM103" i="14"/>
  <c r="AK184" i="14"/>
  <c r="AL103" i="14"/>
  <c r="AK262" i="14"/>
  <c r="AK570" i="14"/>
  <c r="AM104" i="14"/>
  <c r="AL104" i="14"/>
  <c r="AV571" i="14"/>
  <c r="AV186" i="14"/>
  <c r="AX105" i="14" a="1"/>
  <c r="AX105" i="14" s="1"/>
  <c r="BO571" i="14"/>
  <c r="BO263" i="14"/>
  <c r="BQ105" i="14"/>
  <c r="L572" i="14"/>
  <c r="N106" i="14"/>
  <c r="AC572" i="14"/>
  <c r="AC264" i="14"/>
  <c r="AC187" i="14"/>
  <c r="AV572" i="14"/>
  <c r="AV264" i="14"/>
  <c r="AV187" i="14"/>
  <c r="AX106" i="14" a="1"/>
  <c r="AX106" i="14" s="1"/>
  <c r="BO572" i="14"/>
  <c r="BO264" i="14"/>
  <c r="BO187" i="14"/>
  <c r="BQ106" i="14"/>
  <c r="AC573" i="14"/>
  <c r="AC265" i="14"/>
  <c r="X574" i="14"/>
  <c r="X266" i="14"/>
  <c r="AK574" i="14"/>
  <c r="AM108" i="14"/>
  <c r="AK266" i="14"/>
  <c r="AL108" i="14"/>
  <c r="Q575" i="14"/>
  <c r="Q267" i="14"/>
  <c r="S109" i="14"/>
  <c r="Q190" i="14"/>
  <c r="R109" i="14"/>
  <c r="H576" i="14"/>
  <c r="H268" i="14"/>
  <c r="H191" i="14"/>
  <c r="J110" i="14" a="1"/>
  <c r="J110" i="14" s="1"/>
  <c r="AG576" i="14"/>
  <c r="AG268" i="14"/>
  <c r="AG191" i="14"/>
  <c r="AI110" i="14" a="1"/>
  <c r="AI110" i="14" s="1"/>
  <c r="BK576" i="14"/>
  <c r="BK268" i="14"/>
  <c r="BK191" i="14"/>
  <c r="BM110" i="14" a="1"/>
  <c r="BM110" i="14" s="1"/>
  <c r="AF577" i="14"/>
  <c r="AF269" i="14"/>
  <c r="AF192" i="14"/>
  <c r="AH111" i="14"/>
  <c r="AC578" i="14"/>
  <c r="AC270" i="14"/>
  <c r="AC193" i="14"/>
  <c r="BK578" i="14"/>
  <c r="BK270" i="14"/>
  <c r="BK193" i="14"/>
  <c r="BM112" i="14" a="1"/>
  <c r="BM112" i="14" s="1"/>
  <c r="G579" i="14"/>
  <c r="G194" i="14"/>
  <c r="I113" i="14"/>
  <c r="X579" i="14"/>
  <c r="X194" i="14"/>
  <c r="X271" i="14"/>
  <c r="BJ579" i="14"/>
  <c r="BJ271" i="14"/>
  <c r="BL113" i="14"/>
  <c r="BK113" i="14"/>
  <c r="W580" i="14"/>
  <c r="W272" i="14"/>
  <c r="W195" i="14"/>
  <c r="Y114" i="14" a="1"/>
  <c r="Y114" i="14" s="1"/>
  <c r="BE580" i="14"/>
  <c r="BG114" i="14"/>
  <c r="BE195" i="14"/>
  <c r="BF114" i="14"/>
  <c r="L658" i="14"/>
  <c r="L350" i="14"/>
  <c r="AK581" i="14"/>
  <c r="AK273" i="14"/>
  <c r="AM115" i="14"/>
  <c r="BT581" i="14"/>
  <c r="BT196" i="14"/>
  <c r="BV115" i="14"/>
  <c r="BU115" i="14"/>
  <c r="BO582" i="14"/>
  <c r="BO274" i="14"/>
  <c r="BQ116" i="14"/>
  <c r="BP116" i="14"/>
  <c r="D583" i="14"/>
  <c r="D198" i="14"/>
  <c r="D275" i="14"/>
  <c r="S583" i="14"/>
  <c r="S275" i="14"/>
  <c r="S198" i="14"/>
  <c r="AF583" i="14"/>
  <c r="AF275" i="14"/>
  <c r="AH117" i="14"/>
  <c r="AG117" i="14"/>
  <c r="BF583" i="14"/>
  <c r="BF275" i="14"/>
  <c r="BF198" i="14"/>
  <c r="BH117" i="14" a="1"/>
  <c r="BH117" i="14" s="1"/>
  <c r="W584" i="14"/>
  <c r="W276" i="14"/>
  <c r="W199" i="14"/>
  <c r="Y118" i="14" a="1"/>
  <c r="Y118" i="14" s="1"/>
  <c r="BT584" i="14"/>
  <c r="BT276" i="14"/>
  <c r="BV118" i="14"/>
  <c r="AK585" i="14"/>
  <c r="AK277" i="14"/>
  <c r="AM119" i="14"/>
  <c r="AU585" i="14"/>
  <c r="AU277" i="14"/>
  <c r="AW119" i="14"/>
  <c r="BT585" i="14"/>
  <c r="BT200" i="14"/>
  <c r="BV119" i="14"/>
  <c r="BU119" i="14"/>
  <c r="Q120" i="14"/>
  <c r="BE120" i="14"/>
  <c r="G589" i="14"/>
  <c r="Q589" i="14"/>
  <c r="AK123" i="14"/>
  <c r="BE589" i="14"/>
  <c r="V124" i="14"/>
  <c r="V590" i="14" s="1"/>
  <c r="AA125" i="14"/>
  <c r="AA591" i="14" s="1"/>
  <c r="Q127" i="14"/>
  <c r="Q281" i="14" s="1"/>
  <c r="BE127" i="14"/>
  <c r="BE281" i="14" s="1"/>
  <c r="AU593" i="14"/>
  <c r="AU285" i="14"/>
  <c r="L594" i="14"/>
  <c r="L286" i="14"/>
  <c r="AF594" i="14"/>
  <c r="AF286" i="14"/>
  <c r="BJ594" i="14"/>
  <c r="BJ286" i="14"/>
  <c r="G595" i="14"/>
  <c r="G287" i="14"/>
  <c r="BE595" i="14"/>
  <c r="BE287" i="14"/>
  <c r="AU597" i="14"/>
  <c r="AU289" i="14"/>
  <c r="L598" i="14"/>
  <c r="L290" i="14"/>
  <c r="AF598" i="14"/>
  <c r="AF290" i="14"/>
  <c r="AZ598" i="14"/>
  <c r="AZ290" i="14"/>
  <c r="BT598" i="14"/>
  <c r="BT290" i="14"/>
  <c r="G137" i="14"/>
  <c r="L600" i="14"/>
  <c r="L292" i="14"/>
  <c r="AZ600" i="14"/>
  <c r="AZ292" i="14"/>
  <c r="AK601" i="14"/>
  <c r="AK293" i="14"/>
  <c r="V296" i="14"/>
  <c r="V604" i="14"/>
  <c r="BT606" i="14"/>
  <c r="BT298" i="14"/>
  <c r="AK607" i="14"/>
  <c r="AK299" i="14"/>
  <c r="AZ610" i="14"/>
  <c r="AZ302" i="14"/>
  <c r="BE611" i="14"/>
  <c r="BE303" i="14"/>
  <c r="AF614" i="14"/>
  <c r="AF306" i="14"/>
  <c r="BT614" i="14"/>
  <c r="BT306" i="14"/>
  <c r="BQ616" i="14"/>
  <c r="BQ308" i="14"/>
  <c r="BV617" i="14"/>
  <c r="BV309" i="14"/>
  <c r="Q619" i="14"/>
  <c r="Q311" i="14"/>
  <c r="AA621" i="14"/>
  <c r="AA313" i="14"/>
  <c r="BO621" i="14"/>
  <c r="BT622" i="14"/>
  <c r="BT314" i="14"/>
  <c r="AK623" i="14"/>
  <c r="AK315" i="14"/>
  <c r="L626" i="14"/>
  <c r="L318" i="14"/>
  <c r="BJ628" i="14"/>
  <c r="BJ320" i="14"/>
  <c r="AA629" i="14"/>
  <c r="AA321" i="14"/>
  <c r="AF630" i="14"/>
  <c r="AF322" i="14"/>
  <c r="BT630" i="14"/>
  <c r="BT322" i="14"/>
  <c r="AK631" i="14"/>
  <c r="AK323" i="14"/>
  <c r="B632" i="14"/>
  <c r="B324" i="14"/>
  <c r="AP632" i="14"/>
  <c r="AP324" i="14"/>
  <c r="BQ170" i="14"/>
  <c r="BV633" i="14"/>
  <c r="BV325" i="14"/>
  <c r="Q635" i="14"/>
  <c r="Q327" i="14"/>
  <c r="V636" i="14"/>
  <c r="V328" i="14"/>
  <c r="AF638" i="14"/>
  <c r="AK639" i="14"/>
  <c r="AK331" i="14"/>
  <c r="G641" i="14"/>
  <c r="G333" i="14"/>
  <c r="AZ642" i="14"/>
  <c r="AZ334" i="14"/>
  <c r="Q643" i="14"/>
  <c r="Q335" i="14"/>
  <c r="BE643" i="14"/>
  <c r="BE335" i="14"/>
  <c r="V644" i="14"/>
  <c r="V336" i="14"/>
  <c r="BO644" i="14"/>
  <c r="BO336" i="14"/>
  <c r="G646" i="14"/>
  <c r="G338" i="14"/>
  <c r="AZ646" i="14"/>
  <c r="AZ338" i="14"/>
  <c r="Q647" i="14"/>
  <c r="Q339" i="14"/>
  <c r="BL339" i="14"/>
  <c r="BL647" i="14"/>
  <c r="AC186" i="14"/>
  <c r="AU648" i="14"/>
  <c r="AU340" i="14"/>
  <c r="L187" i="14"/>
  <c r="AA650" i="14"/>
  <c r="BG650" i="14"/>
  <c r="BG342" i="14"/>
  <c r="X189" i="14"/>
  <c r="AK189" i="14"/>
  <c r="AZ657" i="14"/>
  <c r="AZ349" i="14"/>
  <c r="Q658" i="14"/>
  <c r="Q350" i="14"/>
  <c r="BJ660" i="14"/>
  <c r="BJ352" i="14"/>
  <c r="AA661" i="14"/>
  <c r="AA353" i="14"/>
  <c r="AH206" i="14"/>
  <c r="Q219" i="14"/>
  <c r="AZ255" i="14"/>
  <c r="B256" i="14"/>
  <c r="AR272" i="14"/>
  <c r="BJ288" i="14"/>
  <c r="AK289" i="14"/>
  <c r="I48" i="14"/>
  <c r="I44" i="14"/>
  <c r="D55" i="14"/>
  <c r="E28" i="14"/>
  <c r="D58" i="14" s="1"/>
  <c r="AD25" i="14"/>
  <c r="AC55" i="14" s="1"/>
  <c r="W524" i="14"/>
  <c r="W216" i="14"/>
  <c r="W139" i="14"/>
  <c r="AL526" i="14"/>
  <c r="AL141" i="14"/>
  <c r="AB512" i="14"/>
  <c r="AB123" i="14"/>
  <c r="AB589" i="14" s="1"/>
  <c r="AG512" i="14"/>
  <c r="AG123" i="14"/>
  <c r="AG589" i="14" s="1"/>
  <c r="AL512" i="14"/>
  <c r="AL123" i="14"/>
  <c r="AL589" i="14" s="1"/>
  <c r="M513" i="14"/>
  <c r="M124" i="14"/>
  <c r="M590" i="14" s="1"/>
  <c r="R513" i="14"/>
  <c r="R124" i="14"/>
  <c r="R590" i="14" s="1"/>
  <c r="W513" i="14"/>
  <c r="W124" i="14"/>
  <c r="W590" i="14" s="1"/>
  <c r="BG513" i="14"/>
  <c r="BG124" i="14"/>
  <c r="BG590" i="14" s="1"/>
  <c r="D44" i="14"/>
  <c r="R514" i="14"/>
  <c r="R125" i="14"/>
  <c r="R591" i="14" s="1"/>
  <c r="AB514" i="14"/>
  <c r="AB125" i="14"/>
  <c r="AB591" i="14" s="1"/>
  <c r="AU514" i="14"/>
  <c r="AW44" i="14"/>
  <c r="AZ514" i="14"/>
  <c r="BA44" i="14"/>
  <c r="BO514" i="14"/>
  <c r="BQ44" i="14"/>
  <c r="BT514" i="14"/>
  <c r="BU44" i="14"/>
  <c r="D204" i="14"/>
  <c r="D127" i="14"/>
  <c r="D281" i="14" s="1"/>
  <c r="M204" i="14"/>
  <c r="M127" i="14"/>
  <c r="M281" i="14" s="1"/>
  <c r="R204" i="14"/>
  <c r="R127" i="14"/>
  <c r="R281" i="14" s="1"/>
  <c r="BU46" i="14"/>
  <c r="AC128" i="14"/>
  <c r="AC282" i="14" s="1"/>
  <c r="AC205" i="14"/>
  <c r="AG205" i="14"/>
  <c r="AG128" i="14"/>
  <c r="AG282" i="14" s="1"/>
  <c r="AL205" i="14"/>
  <c r="AL128" i="14"/>
  <c r="AL282" i="14" s="1"/>
  <c r="AQ205" i="14"/>
  <c r="AQ128" i="14"/>
  <c r="AQ282" i="14" s="1"/>
  <c r="AU205" i="14"/>
  <c r="AV47" i="14"/>
  <c r="BJ205" i="14"/>
  <c r="BL47" i="14"/>
  <c r="BO205" i="14"/>
  <c r="BP47" i="14"/>
  <c r="AX48" i="14" a="1"/>
  <c r="AX48" i="14" s="1"/>
  <c r="W207" i="14"/>
  <c r="W130" i="14"/>
  <c r="W284" i="14" s="1"/>
  <c r="AB130" i="14"/>
  <c r="AB284" i="14" s="1"/>
  <c r="AG207" i="14"/>
  <c r="AG130" i="14"/>
  <c r="AG284" i="14" s="1"/>
  <c r="BT207" i="14"/>
  <c r="BV49" i="14"/>
  <c r="X516" i="14"/>
  <c r="X208" i="14"/>
  <c r="X131" i="14"/>
  <c r="AB516" i="14"/>
  <c r="AB208" i="14"/>
  <c r="AB131" i="14"/>
  <c r="AG516" i="14"/>
  <c r="AG208" i="14"/>
  <c r="AG131" i="14"/>
  <c r="AL516" i="14"/>
  <c r="AL208" i="14"/>
  <c r="AL131" i="14"/>
  <c r="G521" i="14"/>
  <c r="G213" i="14"/>
  <c r="BA598" i="14"/>
  <c r="BA290" i="14"/>
  <c r="L523" i="14"/>
  <c r="L215" i="14"/>
  <c r="AZ523" i="14"/>
  <c r="AZ215" i="14"/>
  <c r="BB57" i="14"/>
  <c r="BL523" i="14"/>
  <c r="BL215" i="14"/>
  <c r="BL138" i="14"/>
  <c r="BQ523" i="14"/>
  <c r="BQ215" i="14"/>
  <c r="BQ138" i="14"/>
  <c r="AH524" i="14"/>
  <c r="AH216" i="14"/>
  <c r="AH139" i="14"/>
  <c r="BA524" i="14"/>
  <c r="BA216" i="14"/>
  <c r="BA139" i="14"/>
  <c r="BC58" i="14" a="1"/>
  <c r="BC58" i="14" s="1"/>
  <c r="BB525" i="14"/>
  <c r="BB140" i="14"/>
  <c r="BO525" i="14"/>
  <c r="BO217" i="14"/>
  <c r="BQ59" i="14"/>
  <c r="BO140" i="14"/>
  <c r="BP59" i="14"/>
  <c r="W141" i="14"/>
  <c r="W218" i="14"/>
  <c r="W526" i="14"/>
  <c r="Y60" i="14" a="1"/>
  <c r="Y60" i="14" s="1"/>
  <c r="AQ141" i="14"/>
  <c r="AQ218" i="14"/>
  <c r="AS60" i="14" a="1"/>
  <c r="AS60" i="14" s="1"/>
  <c r="L527" i="14"/>
  <c r="L142" i="14"/>
  <c r="M95" i="14"/>
  <c r="M91" i="14"/>
  <c r="M87" i="14"/>
  <c r="M83" i="14"/>
  <c r="M79" i="14"/>
  <c r="M75" i="14"/>
  <c r="M71" i="14"/>
  <c r="M67" i="14"/>
  <c r="M63" i="14"/>
  <c r="L219" i="14"/>
  <c r="AV527" i="14"/>
  <c r="AV142" i="14"/>
  <c r="R62" i="14"/>
  <c r="C63" i="14"/>
  <c r="M65" i="14"/>
  <c r="AG65" i="14"/>
  <c r="BU65" i="14"/>
  <c r="R66" i="14"/>
  <c r="AQ67" i="14"/>
  <c r="BP68" i="14"/>
  <c r="AG69" i="14"/>
  <c r="R70" i="14"/>
  <c r="AQ71" i="14"/>
  <c r="G538" i="14"/>
  <c r="G230" i="14"/>
  <c r="G153" i="14"/>
  <c r="AU538" i="14"/>
  <c r="AU230" i="14"/>
  <c r="AU153" i="14"/>
  <c r="Q539" i="14"/>
  <c r="Q154" i="14"/>
  <c r="R73" i="14"/>
  <c r="S73" i="14" s="1"/>
  <c r="B540" i="14"/>
  <c r="B155" i="14"/>
  <c r="C74" i="14"/>
  <c r="D74" i="14" s="1"/>
  <c r="AP540" i="14"/>
  <c r="AP155" i="14"/>
  <c r="AQ74" i="14"/>
  <c r="AR74" i="14" s="1"/>
  <c r="BU540" i="14"/>
  <c r="BU232" i="14"/>
  <c r="BU155" i="14"/>
  <c r="BW74" i="14" a="1"/>
  <c r="BW74" i="14" s="1"/>
  <c r="Q158" i="14"/>
  <c r="R77" i="14"/>
  <c r="S77" i="14" s="1"/>
  <c r="M81" i="14"/>
  <c r="N81" i="14" s="1"/>
  <c r="BT547" i="14"/>
  <c r="BT162" i="14"/>
  <c r="BT239" i="14"/>
  <c r="BV81" i="14"/>
  <c r="Q548" i="14"/>
  <c r="Q240" i="14"/>
  <c r="Q163" i="14"/>
  <c r="AK548" i="14"/>
  <c r="AK240" i="14"/>
  <c r="AK163" i="14"/>
  <c r="AM82" i="14"/>
  <c r="AW240" i="14"/>
  <c r="AW548" i="14"/>
  <c r="AW163" i="14"/>
  <c r="BB548" i="14"/>
  <c r="BB240" i="14"/>
  <c r="BU548" i="14"/>
  <c r="BU240" i="14"/>
  <c r="BU163" i="14"/>
  <c r="BW82" i="14" a="1"/>
  <c r="BW82" i="14" s="1"/>
  <c r="AQ83" i="14"/>
  <c r="BJ549" i="14"/>
  <c r="BJ241" i="14"/>
  <c r="BJ164" i="14"/>
  <c r="BL83" i="14"/>
  <c r="L242" i="14"/>
  <c r="L550" i="14"/>
  <c r="L165" i="14"/>
  <c r="M84" i="14"/>
  <c r="N84" i="14" s="1"/>
  <c r="AF242" i="14"/>
  <c r="AF550" i="14"/>
  <c r="AH84" i="14"/>
  <c r="AF165" i="14"/>
  <c r="AG84" i="14"/>
  <c r="M85" i="14"/>
  <c r="N85" i="14" s="1"/>
  <c r="Q552" i="14"/>
  <c r="Q244" i="14"/>
  <c r="Q167" i="14"/>
  <c r="AK552" i="14"/>
  <c r="AK244" i="14"/>
  <c r="AK167" i="14"/>
  <c r="AM86" i="14"/>
  <c r="BJ552" i="14"/>
  <c r="BL86" i="14"/>
  <c r="BJ167" i="14"/>
  <c r="BK86" i="14"/>
  <c r="R87" i="14"/>
  <c r="AQ87" i="14"/>
  <c r="BJ553" i="14"/>
  <c r="BJ245" i="14"/>
  <c r="BJ168" i="14"/>
  <c r="BL87" i="14"/>
  <c r="L246" i="14"/>
  <c r="L554" i="14"/>
  <c r="L169" i="14"/>
  <c r="M88" i="14"/>
  <c r="N88" i="14" s="1"/>
  <c r="AF246" i="14"/>
  <c r="AF554" i="14"/>
  <c r="AH88" i="14"/>
  <c r="AF169" i="14"/>
  <c r="AG88" i="14"/>
  <c r="AP556" i="14"/>
  <c r="AP171" i="14"/>
  <c r="AQ90" i="14"/>
  <c r="AR90" i="14" s="1"/>
  <c r="AP557" i="14"/>
  <c r="AP249" i="14"/>
  <c r="AP172" i="14"/>
  <c r="BG557" i="14"/>
  <c r="BG249" i="14"/>
  <c r="C92" i="14"/>
  <c r="L559" i="14"/>
  <c r="L251" i="14"/>
  <c r="L174" i="14"/>
  <c r="BG93" i="14"/>
  <c r="BE174" i="14"/>
  <c r="BF93" i="14"/>
  <c r="BP559" i="14"/>
  <c r="BP251" i="14"/>
  <c r="BP174" i="14"/>
  <c r="BR93" i="14" a="1"/>
  <c r="BR93" i="14" s="1"/>
  <c r="AA561" i="14"/>
  <c r="AA253" i="14"/>
  <c r="AC95" i="14"/>
  <c r="AA176" i="14"/>
  <c r="AB95" i="14"/>
  <c r="AA562" i="14"/>
  <c r="AA254" i="14"/>
  <c r="AA177" i="14"/>
  <c r="AC96" i="14"/>
  <c r="AM562" i="14"/>
  <c r="AM254" i="14"/>
  <c r="AM177" i="14"/>
  <c r="AG97" i="14"/>
  <c r="BT563" i="14"/>
  <c r="BT255" i="14"/>
  <c r="BT178" i="14"/>
  <c r="BV97" i="14"/>
  <c r="AK564" i="14"/>
  <c r="AK256" i="14"/>
  <c r="AK179" i="14"/>
  <c r="AM98" i="14"/>
  <c r="BE564" i="14"/>
  <c r="BE256" i="14"/>
  <c r="BE179" i="14"/>
  <c r="BG98" i="14"/>
  <c r="AP565" i="14"/>
  <c r="AP257" i="14"/>
  <c r="AP180" i="14"/>
  <c r="G258" i="14"/>
  <c r="G566" i="14"/>
  <c r="G181" i="14"/>
  <c r="BO258" i="14"/>
  <c r="BO181" i="14"/>
  <c r="BQ100" i="14"/>
  <c r="L259" i="14"/>
  <c r="L182" i="14"/>
  <c r="AF567" i="14"/>
  <c r="AF182" i="14"/>
  <c r="AH101" i="14"/>
  <c r="AB568" i="14"/>
  <c r="AB260" i="14"/>
  <c r="AB183" i="14"/>
  <c r="AD102" i="14" a="1"/>
  <c r="AD102" i="14" s="1"/>
  <c r="BO568" i="14"/>
  <c r="BO260" i="14"/>
  <c r="BO183" i="14"/>
  <c r="BQ102" i="14"/>
  <c r="L569" i="14"/>
  <c r="L261" i="14"/>
  <c r="L184" i="14"/>
  <c r="AF569" i="14"/>
  <c r="AF261" i="14"/>
  <c r="AF184" i="14"/>
  <c r="AH103" i="14"/>
  <c r="BP103" i="14"/>
  <c r="AF571" i="14"/>
  <c r="AF186" i="14"/>
  <c r="AH105" i="14"/>
  <c r="BP105" i="14"/>
  <c r="M106" i="14"/>
  <c r="AF572" i="14"/>
  <c r="AF264" i="14"/>
  <c r="AH106" i="14"/>
  <c r="BP106" i="14"/>
  <c r="AF573" i="14"/>
  <c r="AF265" i="14"/>
  <c r="AF188" i="14"/>
  <c r="AH107" i="14"/>
  <c r="BJ650" i="14"/>
  <c r="BJ342" i="14"/>
  <c r="G651" i="14"/>
  <c r="G343" i="14"/>
  <c r="M108" i="14"/>
  <c r="L575" i="14"/>
  <c r="L267" i="14"/>
  <c r="L190" i="14"/>
  <c r="N109" i="14"/>
  <c r="AK575" i="14"/>
  <c r="AK267" i="14"/>
  <c r="AM109" i="14"/>
  <c r="AK190" i="14"/>
  <c r="AL109" i="14"/>
  <c r="AV109" i="14"/>
  <c r="BO575" i="14"/>
  <c r="BO267" i="14"/>
  <c r="BQ109" i="14"/>
  <c r="D576" i="14"/>
  <c r="D268" i="14"/>
  <c r="Q576" i="14"/>
  <c r="S110" i="14"/>
  <c r="Q268" i="14"/>
  <c r="R110" i="14"/>
  <c r="AU576" i="14"/>
  <c r="AU268" i="14"/>
  <c r="AU191" i="14"/>
  <c r="AW110" i="14"/>
  <c r="BL576" i="14"/>
  <c r="BL268" i="14"/>
  <c r="H269" i="14"/>
  <c r="H192" i="14"/>
  <c r="H577" i="14"/>
  <c r="J111" i="14" a="1"/>
  <c r="J111" i="14" s="1"/>
  <c r="AZ577" i="14"/>
  <c r="AZ269" i="14"/>
  <c r="AZ192" i="14"/>
  <c r="BB111" i="14"/>
  <c r="BA111" i="14"/>
  <c r="AU578" i="14"/>
  <c r="AU270" i="14"/>
  <c r="AW112" i="14"/>
  <c r="AV112" i="14"/>
  <c r="T656" i="14"/>
  <c r="T348" i="14"/>
  <c r="BQ579" i="14"/>
  <c r="BQ194" i="14"/>
  <c r="BQ271" i="14"/>
  <c r="G580" i="14"/>
  <c r="G272" i="14"/>
  <c r="I114" i="14"/>
  <c r="H114" i="14"/>
  <c r="R580" i="14"/>
  <c r="R272" i="14"/>
  <c r="R195" i="14"/>
  <c r="T114" i="14" a="1"/>
  <c r="T114" i="14" s="1"/>
  <c r="AZ580" i="14"/>
  <c r="AZ272" i="14"/>
  <c r="BB114" i="14"/>
  <c r="BL580" i="14"/>
  <c r="BL195" i="14"/>
  <c r="BL272" i="14"/>
  <c r="B581" i="14"/>
  <c r="B273" i="14"/>
  <c r="D115" i="14"/>
  <c r="B196" i="14"/>
  <c r="C115" i="14"/>
  <c r="M581" i="14"/>
  <c r="M273" i="14"/>
  <c r="M196" i="14"/>
  <c r="O115" i="14" a="1"/>
  <c r="O115" i="14" s="1"/>
  <c r="AL115" i="14"/>
  <c r="BO581" i="14"/>
  <c r="BQ115" i="14"/>
  <c r="I582" i="14"/>
  <c r="I274" i="14"/>
  <c r="I197" i="14"/>
  <c r="AB274" i="14"/>
  <c r="AB582" i="14"/>
  <c r="AB197" i="14"/>
  <c r="AD116" i="14" a="1"/>
  <c r="AD116" i="14" s="1"/>
  <c r="BJ582" i="14"/>
  <c r="BJ274" i="14"/>
  <c r="BJ197" i="14"/>
  <c r="BL116" i="14"/>
  <c r="G583" i="14"/>
  <c r="G198" i="14"/>
  <c r="I117" i="14"/>
  <c r="R584" i="14"/>
  <c r="R276" i="14"/>
  <c r="R199" i="14"/>
  <c r="T118" i="14" a="1"/>
  <c r="T118" i="14" s="1"/>
  <c r="AL584" i="14"/>
  <c r="AL276" i="14"/>
  <c r="AL199" i="14"/>
  <c r="AN118" i="14" a="1"/>
  <c r="AN118" i="14" s="1"/>
  <c r="BA118" i="14"/>
  <c r="BO661" i="14"/>
  <c r="BO353" i="14"/>
  <c r="BU118" i="14"/>
  <c r="L662" i="14"/>
  <c r="L354" i="14"/>
  <c r="R119" i="14"/>
  <c r="AF662" i="14"/>
  <c r="AF354" i="14"/>
  <c r="AL119" i="14"/>
  <c r="AV119" i="14"/>
  <c r="BO585" i="14"/>
  <c r="BQ119" i="14"/>
  <c r="BT120" i="14"/>
  <c r="Q602" i="14"/>
  <c r="Q294" i="14"/>
  <c r="BE602" i="14"/>
  <c r="BE294" i="14"/>
  <c r="V603" i="14"/>
  <c r="BJ603" i="14"/>
  <c r="BJ295" i="14"/>
  <c r="AF605" i="14"/>
  <c r="AF297" i="14"/>
  <c r="Q610" i="14"/>
  <c r="Q302" i="14"/>
  <c r="BE610" i="14"/>
  <c r="BE302" i="14"/>
  <c r="BJ611" i="14"/>
  <c r="BJ303" i="14"/>
  <c r="AK614" i="14"/>
  <c r="AK306" i="14"/>
  <c r="AP615" i="14"/>
  <c r="AP307" i="14"/>
  <c r="AF621" i="14"/>
  <c r="AF313" i="14"/>
  <c r="BT621" i="14"/>
  <c r="BT313" i="14"/>
  <c r="AP623" i="14"/>
  <c r="AP315" i="14"/>
  <c r="BT629" i="14"/>
  <c r="BT321" i="14"/>
  <c r="AK630" i="14"/>
  <c r="AK322" i="14"/>
  <c r="AZ633" i="14"/>
  <c r="AZ325" i="14"/>
  <c r="Q634" i="14"/>
  <c r="Q326" i="14"/>
  <c r="BJ635" i="14"/>
  <c r="BJ327" i="14"/>
  <c r="AF637" i="14"/>
  <c r="AF329" i="14"/>
  <c r="BT637" i="14"/>
  <c r="BT329" i="14"/>
  <c r="AP639" i="14"/>
  <c r="AP331" i="14"/>
  <c r="L641" i="14"/>
  <c r="L333" i="14"/>
  <c r="AZ641" i="14"/>
  <c r="AZ333" i="14"/>
  <c r="V643" i="14"/>
  <c r="V335" i="14"/>
  <c r="BJ643" i="14"/>
  <c r="BJ335" i="14"/>
  <c r="BG644" i="14"/>
  <c r="BG336" i="14"/>
  <c r="X645" i="14"/>
  <c r="X337" i="14"/>
  <c r="AK645" i="14"/>
  <c r="AK337" i="14"/>
  <c r="V646" i="14"/>
  <c r="V338" i="14"/>
  <c r="BO184" i="14"/>
  <c r="AF185" i="14"/>
  <c r="G648" i="14"/>
  <c r="G340" i="14"/>
  <c r="AZ648" i="14"/>
  <c r="AZ340" i="14"/>
  <c r="Q649" i="14"/>
  <c r="Q341" i="14"/>
  <c r="BL649" i="14"/>
  <c r="BL341" i="14"/>
  <c r="B650" i="14"/>
  <c r="B342" i="14"/>
  <c r="AC188" i="14"/>
  <c r="AU650" i="14"/>
  <c r="AU342" i="14"/>
  <c r="BG190" i="14"/>
  <c r="V656" i="14"/>
  <c r="V348" i="14"/>
  <c r="V204" i="14"/>
  <c r="BJ204" i="14"/>
  <c r="AL206" i="14"/>
  <c r="BF207" i="14"/>
  <c r="X217" i="14"/>
  <c r="AL218" i="14"/>
  <c r="Q251" i="14"/>
  <c r="AC259" i="14"/>
  <c r="AV263" i="14"/>
  <c r="AF266" i="14"/>
  <c r="AU267" i="14"/>
  <c r="T271" i="14"/>
  <c r="BT273" i="14"/>
  <c r="BT277" i="14"/>
  <c r="AK287" i="14"/>
  <c r="Q291" i="14"/>
  <c r="I512" i="14"/>
  <c r="AW513" i="14"/>
  <c r="AP514" i="14"/>
  <c r="AQ526" i="14"/>
  <c r="Q527" i="14"/>
  <c r="Q543" i="14"/>
  <c r="BO566" i="14"/>
  <c r="T579" i="14"/>
  <c r="M213" i="14"/>
  <c r="M521" i="14"/>
  <c r="M136" i="14"/>
  <c r="I518" i="14"/>
  <c r="I133" i="14"/>
  <c r="I210" i="14"/>
  <c r="W26" i="14"/>
  <c r="W56" i="14" s="1"/>
  <c r="W23" i="14"/>
  <c r="R23" i="14"/>
  <c r="AD23" i="14"/>
  <c r="AM520" i="14"/>
  <c r="AM212" i="14"/>
  <c r="AM135" i="14"/>
  <c r="H25" i="14"/>
  <c r="H55" i="14" s="1"/>
  <c r="T25" i="14"/>
  <c r="S55" i="14" s="1"/>
  <c r="J26" i="14"/>
  <c r="AL26" i="14"/>
  <c r="AL56" i="14" s="1"/>
  <c r="C524" i="14"/>
  <c r="C216" i="14"/>
  <c r="C139" i="14"/>
  <c r="X524" i="14"/>
  <c r="X216" i="14"/>
  <c r="X139" i="14"/>
  <c r="AR524" i="14"/>
  <c r="AR216" i="14"/>
  <c r="AR139" i="14"/>
  <c r="AB525" i="14"/>
  <c r="AB217" i="14"/>
  <c r="AB140" i="14"/>
  <c r="AC123" i="14"/>
  <c r="AC589" i="14" s="1"/>
  <c r="AC512" i="14"/>
  <c r="AH512" i="14"/>
  <c r="AH123" i="14"/>
  <c r="AH589" i="14" s="1"/>
  <c r="BE512" i="14"/>
  <c r="BG42" i="14"/>
  <c r="BJ512" i="14"/>
  <c r="BJ120" i="14"/>
  <c r="BK42" i="14"/>
  <c r="N513" i="14"/>
  <c r="N124" i="14"/>
  <c r="N590" i="14" s="1"/>
  <c r="S513" i="14"/>
  <c r="S124" i="14"/>
  <c r="S590" i="14" s="1"/>
  <c r="S514" i="14"/>
  <c r="S125" i="14"/>
  <c r="S591" i="14" s="1"/>
  <c r="X44" i="14"/>
  <c r="AH514" i="14"/>
  <c r="AH125" i="14"/>
  <c r="AH591" i="14" s="1"/>
  <c r="AL514" i="14"/>
  <c r="AL125" i="14"/>
  <c r="AL591" i="14" s="1"/>
  <c r="AQ514" i="14"/>
  <c r="AQ125" i="14"/>
  <c r="AQ591" i="14" s="1"/>
  <c r="AV44" i="14"/>
  <c r="BB44" i="14"/>
  <c r="BK44" i="14"/>
  <c r="BP44" i="14"/>
  <c r="BV44" i="14"/>
  <c r="C515" i="14"/>
  <c r="C126" i="14"/>
  <c r="C592" i="14" s="1"/>
  <c r="H515" i="14"/>
  <c r="H126" i="14"/>
  <c r="H592" i="14" s="1"/>
  <c r="M515" i="14"/>
  <c r="M126" i="14"/>
  <c r="M592" i="14" s="1"/>
  <c r="BM45" i="14" a="1"/>
  <c r="BM45" i="14" s="1"/>
  <c r="I204" i="14"/>
  <c r="I127" i="14"/>
  <c r="I281" i="14" s="1"/>
  <c r="N204" i="14"/>
  <c r="N127" i="14"/>
  <c r="N281" i="14" s="1"/>
  <c r="BB46" i="14"/>
  <c r="BQ204" i="14"/>
  <c r="BQ127" i="14"/>
  <c r="BQ281" i="14" s="1"/>
  <c r="BV46" i="14"/>
  <c r="AM128" i="14"/>
  <c r="AM282" i="14" s="1"/>
  <c r="AM205" i="14"/>
  <c r="AW47" i="14"/>
  <c r="BF47" i="14"/>
  <c r="BK47" i="14"/>
  <c r="BQ47" i="14"/>
  <c r="BU205" i="14"/>
  <c r="BU128" i="14"/>
  <c r="BU282" i="14" s="1"/>
  <c r="C206" i="14"/>
  <c r="C129" i="14"/>
  <c r="C283" i="14" s="1"/>
  <c r="BH48" i="14" a="1"/>
  <c r="BH48" i="14" s="1"/>
  <c r="AC207" i="14"/>
  <c r="AC130" i="14"/>
  <c r="AC284" i="14" s="1"/>
  <c r="AQ207" i="14"/>
  <c r="AQ130" i="14"/>
  <c r="AQ284" i="14" s="1"/>
  <c r="AV49" i="14"/>
  <c r="BG49" i="14"/>
  <c r="BK207" i="14"/>
  <c r="BK130" i="14"/>
  <c r="BK284" i="14" s="1"/>
  <c r="BP49" i="14"/>
  <c r="BU49" i="14"/>
  <c r="Q516" i="14"/>
  <c r="Q208" i="14"/>
  <c r="AC208" i="14"/>
  <c r="AC131" i="14"/>
  <c r="AH516" i="14"/>
  <c r="AH208" i="14"/>
  <c r="AH131" i="14"/>
  <c r="BE516" i="14"/>
  <c r="BE208" i="14"/>
  <c r="BG50" i="14"/>
  <c r="BJ516" i="14"/>
  <c r="BK50" i="14"/>
  <c r="B517" i="14"/>
  <c r="B209" i="14"/>
  <c r="G517" i="14"/>
  <c r="G209" i="14"/>
  <c r="Q517" i="14"/>
  <c r="Q209" i="14"/>
  <c r="V517" i="14"/>
  <c r="V209" i="14"/>
  <c r="AA517" i="14"/>
  <c r="AA209" i="14"/>
  <c r="AK517" i="14"/>
  <c r="AK209" i="14"/>
  <c r="AP517" i="14"/>
  <c r="AP209" i="14"/>
  <c r="AU517" i="14"/>
  <c r="AU209" i="14"/>
  <c r="AV51" i="14"/>
  <c r="BE517" i="14"/>
  <c r="BE209" i="14"/>
  <c r="BJ517" i="14"/>
  <c r="BJ209" i="14"/>
  <c r="BL51" i="14"/>
  <c r="BO517" i="14"/>
  <c r="BO209" i="14"/>
  <c r="BP51" i="14"/>
  <c r="B210" i="14"/>
  <c r="B518" i="14"/>
  <c r="G518" i="14"/>
  <c r="G210" i="14"/>
  <c r="L210" i="14"/>
  <c r="L518" i="14"/>
  <c r="AA518" i="14"/>
  <c r="AA210" i="14"/>
  <c r="AF210" i="14"/>
  <c r="AF518" i="14"/>
  <c r="AP210" i="14"/>
  <c r="AP518" i="14"/>
  <c r="AU518" i="14"/>
  <c r="AU210" i="14"/>
  <c r="AW52" i="14"/>
  <c r="AZ210" i="14"/>
  <c r="AZ518" i="14"/>
  <c r="BA52" i="14"/>
  <c r="BO518" i="14"/>
  <c r="BO210" i="14"/>
  <c r="BQ52" i="14"/>
  <c r="BT210" i="14"/>
  <c r="BT518" i="14"/>
  <c r="BU52" i="14"/>
  <c r="L519" i="14"/>
  <c r="L211" i="14"/>
  <c r="AF519" i="14"/>
  <c r="AF211" i="14"/>
  <c r="AZ519" i="14"/>
  <c r="AZ211" i="14"/>
  <c r="BB53" i="14"/>
  <c r="BG58" i="14"/>
  <c r="BF53" i="14"/>
  <c r="BT519" i="14"/>
  <c r="BT211" i="14"/>
  <c r="BV53" i="14"/>
  <c r="Q520" i="14"/>
  <c r="Q212" i="14"/>
  <c r="AK520" i="14"/>
  <c r="AK212" i="14"/>
  <c r="BE520" i="14"/>
  <c r="BE212" i="14"/>
  <c r="BG54" i="14"/>
  <c r="BJ520" i="14"/>
  <c r="BK54" i="14"/>
  <c r="B521" i="14"/>
  <c r="B213" i="14"/>
  <c r="V521" i="14"/>
  <c r="V213" i="14"/>
  <c r="AP521" i="14"/>
  <c r="AP213" i="14"/>
  <c r="BO521" i="14"/>
  <c r="BO213" i="14"/>
  <c r="BQ55" i="14"/>
  <c r="BP55" i="14"/>
  <c r="BA57" i="14"/>
  <c r="BT523" i="14"/>
  <c r="BT215" i="14"/>
  <c r="BV57" i="14"/>
  <c r="Q524" i="14"/>
  <c r="Q216" i="14"/>
  <c r="Y58" i="14" a="1"/>
  <c r="Y58" i="14" s="1"/>
  <c r="AK524" i="14"/>
  <c r="AK216" i="14"/>
  <c r="AW58" i="14"/>
  <c r="BB58" i="14"/>
  <c r="BJ524" i="14"/>
  <c r="BL58" i="14"/>
  <c r="BJ139" i="14"/>
  <c r="BK58" i="14"/>
  <c r="BJ525" i="14"/>
  <c r="BJ217" i="14"/>
  <c r="BJ140" i="14"/>
  <c r="BL59" i="14"/>
  <c r="L218" i="14"/>
  <c r="L526" i="14"/>
  <c r="L141" i="14"/>
  <c r="AF218" i="14"/>
  <c r="AF526" i="14"/>
  <c r="AF141" i="14"/>
  <c r="AZ218" i="14"/>
  <c r="AZ526" i="14"/>
  <c r="AZ141" i="14"/>
  <c r="BA60" i="14"/>
  <c r="BK141" i="14"/>
  <c r="BK218" i="14"/>
  <c r="BK526" i="14"/>
  <c r="BM60" i="14" a="1"/>
  <c r="BM60" i="14" s="1"/>
  <c r="M61" i="14"/>
  <c r="N61" i="14" s="1"/>
  <c r="AF527" i="14"/>
  <c r="AF142" i="14"/>
  <c r="AG79" i="14"/>
  <c r="AG75" i="14"/>
  <c r="AG71" i="14"/>
  <c r="AG67" i="14"/>
  <c r="AG63" i="14"/>
  <c r="AF219" i="14"/>
  <c r="AH61" i="14"/>
  <c r="AW61" i="14"/>
  <c r="BF68" i="14"/>
  <c r="BF64" i="14"/>
  <c r="BE142" i="14"/>
  <c r="BF61" i="14"/>
  <c r="BG61" i="14" s="1"/>
  <c r="M62" i="14"/>
  <c r="AG62" i="14"/>
  <c r="BA62" i="14"/>
  <c r="BU62" i="14"/>
  <c r="R63" i="14"/>
  <c r="AL63" i="14"/>
  <c r="BF63" i="14"/>
  <c r="C64" i="14"/>
  <c r="W64" i="14"/>
  <c r="AQ64" i="14"/>
  <c r="BK64" i="14"/>
  <c r="H65" i="14"/>
  <c r="AB65" i="14"/>
  <c r="AV65" i="14"/>
  <c r="BP65" i="14"/>
  <c r="M66" i="14"/>
  <c r="AG66" i="14"/>
  <c r="BA66" i="14"/>
  <c r="BU66" i="14"/>
  <c r="R67" i="14"/>
  <c r="AL67" i="14"/>
  <c r="BF67" i="14"/>
  <c r="C68" i="14"/>
  <c r="W68" i="14"/>
  <c r="AQ68" i="14"/>
  <c r="H69" i="14"/>
  <c r="AB69" i="14"/>
  <c r="AV69" i="14"/>
  <c r="M70" i="14"/>
  <c r="AG70" i="14"/>
  <c r="BU536" i="14"/>
  <c r="BU228" i="14"/>
  <c r="BU151" i="14"/>
  <c r="BW70" i="14" a="1"/>
  <c r="BW70" i="14" s="1"/>
  <c r="R71" i="14"/>
  <c r="H72" i="14"/>
  <c r="I72" i="14" s="1"/>
  <c r="AV72" i="14"/>
  <c r="AW72" i="14" s="1"/>
  <c r="BO538" i="14"/>
  <c r="BO230" i="14"/>
  <c r="BO153" i="14"/>
  <c r="BQ72" i="14"/>
  <c r="L539" i="14"/>
  <c r="L154" i="14"/>
  <c r="L231" i="14"/>
  <c r="AF539" i="14"/>
  <c r="AF154" i="14"/>
  <c r="AF231" i="14"/>
  <c r="AZ539" i="14"/>
  <c r="AZ154" i="14"/>
  <c r="AZ231" i="14"/>
  <c r="BT539" i="14"/>
  <c r="BT154" i="14"/>
  <c r="BT231" i="14"/>
  <c r="BV73" i="14"/>
  <c r="Q540" i="14"/>
  <c r="Q232" i="14"/>
  <c r="Q155" i="14"/>
  <c r="AK540" i="14"/>
  <c r="AK232" i="14"/>
  <c r="AK155" i="14"/>
  <c r="AM74" i="14"/>
  <c r="BE540" i="14"/>
  <c r="BE232" i="14"/>
  <c r="BE155" i="14"/>
  <c r="BG74" i="14"/>
  <c r="BQ232" i="14"/>
  <c r="BQ155" i="14"/>
  <c r="BV540" i="14"/>
  <c r="BV232" i="14"/>
  <c r="G541" i="14"/>
  <c r="G233" i="14"/>
  <c r="G156" i="14"/>
  <c r="H75" i="14"/>
  <c r="I75" i="14" s="1"/>
  <c r="AA541" i="14"/>
  <c r="AA233" i="14"/>
  <c r="AA156" i="14"/>
  <c r="AB75" i="14"/>
  <c r="AU541" i="14"/>
  <c r="AU233" i="14"/>
  <c r="AU156" i="14"/>
  <c r="AV75" i="14"/>
  <c r="AW75" i="14" s="1"/>
  <c r="BG541" i="14"/>
  <c r="BG233" i="14"/>
  <c r="BO541" i="14"/>
  <c r="BO233" i="14"/>
  <c r="BQ75" i="14"/>
  <c r="BO156" i="14"/>
  <c r="BP75" i="14"/>
  <c r="BO542" i="14"/>
  <c r="BO234" i="14"/>
  <c r="BO157" i="14"/>
  <c r="BQ76" i="14"/>
  <c r="L543" i="14"/>
  <c r="L158" i="14"/>
  <c r="L235" i="14"/>
  <c r="AF543" i="14"/>
  <c r="AF158" i="14"/>
  <c r="AF235" i="14"/>
  <c r="AZ543" i="14"/>
  <c r="AZ158" i="14"/>
  <c r="AZ235" i="14"/>
  <c r="BB77" i="14"/>
  <c r="BQ543" i="14"/>
  <c r="BQ235" i="14"/>
  <c r="B544" i="14"/>
  <c r="B159" i="14"/>
  <c r="C78" i="14"/>
  <c r="D78" i="14" s="1"/>
  <c r="V544" i="14"/>
  <c r="V159" i="14"/>
  <c r="W78" i="14"/>
  <c r="X78" i="14" s="1"/>
  <c r="AP544" i="14"/>
  <c r="AP159" i="14"/>
  <c r="AQ78" i="14"/>
  <c r="AR78" i="14" s="1"/>
  <c r="BB544" i="14"/>
  <c r="BB236" i="14"/>
  <c r="BJ544" i="14"/>
  <c r="BL78" i="14"/>
  <c r="BJ159" i="14"/>
  <c r="BK78" i="14"/>
  <c r="R79" i="14"/>
  <c r="G546" i="14"/>
  <c r="G238" i="14"/>
  <c r="G161" i="14"/>
  <c r="AA546" i="14"/>
  <c r="AA238" i="14"/>
  <c r="AA161" i="14"/>
  <c r="AM546" i="14"/>
  <c r="AM238" i="14"/>
  <c r="AM161" i="14"/>
  <c r="AZ238" i="14"/>
  <c r="AZ546" i="14"/>
  <c r="BB80" i="14"/>
  <c r="AZ161" i="14"/>
  <c r="BA80" i="14"/>
  <c r="BK161" i="14"/>
  <c r="BK238" i="14"/>
  <c r="BM80" i="14" a="1"/>
  <c r="BM80" i="14" s="1"/>
  <c r="H81" i="14"/>
  <c r="AB81" i="14"/>
  <c r="BU81" i="14"/>
  <c r="R82" i="14"/>
  <c r="AL82" i="14"/>
  <c r="BE548" i="14"/>
  <c r="BE240" i="14"/>
  <c r="BE163" i="14"/>
  <c r="BG82" i="14"/>
  <c r="BQ240" i="14"/>
  <c r="BQ163" i="14"/>
  <c r="BV548" i="14"/>
  <c r="BV240" i="14"/>
  <c r="G549" i="14"/>
  <c r="G241" i="14"/>
  <c r="G164" i="14"/>
  <c r="H83" i="14"/>
  <c r="I83" i="14" s="1"/>
  <c r="AA549" i="14"/>
  <c r="AA241" i="14"/>
  <c r="AA164" i="14"/>
  <c r="AB83" i="14"/>
  <c r="AC83" i="14" s="1"/>
  <c r="AL549" i="14"/>
  <c r="AL241" i="14"/>
  <c r="AL164" i="14"/>
  <c r="AN83" i="14" a="1"/>
  <c r="AN83" i="14" s="1"/>
  <c r="BK83" i="14"/>
  <c r="G550" i="14"/>
  <c r="G242" i="14"/>
  <c r="G165" i="14"/>
  <c r="AA550" i="14"/>
  <c r="AA242" i="14"/>
  <c r="AA165" i="14"/>
  <c r="AZ242" i="14"/>
  <c r="AZ550" i="14"/>
  <c r="BB84" i="14"/>
  <c r="AZ165" i="14"/>
  <c r="BA84" i="14"/>
  <c r="BK165" i="14"/>
  <c r="BK242" i="14"/>
  <c r="BK550" i="14"/>
  <c r="BM84" i="14" a="1"/>
  <c r="BM84" i="14" s="1"/>
  <c r="H85" i="14"/>
  <c r="AV551" i="14"/>
  <c r="AV166" i="14"/>
  <c r="AX85" i="14" a="1"/>
  <c r="AX85" i="14" s="1"/>
  <c r="R86" i="14"/>
  <c r="AL86" i="14"/>
  <c r="BE552" i="14"/>
  <c r="BE244" i="14"/>
  <c r="BE167" i="14"/>
  <c r="BG86" i="14"/>
  <c r="BV244" i="14"/>
  <c r="BV552" i="14"/>
  <c r="G553" i="14"/>
  <c r="G245" i="14"/>
  <c r="G168" i="14"/>
  <c r="H87" i="14"/>
  <c r="AA553" i="14"/>
  <c r="AA245" i="14"/>
  <c r="AA168" i="14"/>
  <c r="AB87" i="14"/>
  <c r="AC87" i="14" s="1"/>
  <c r="AL553" i="14"/>
  <c r="AL245" i="14"/>
  <c r="AL168" i="14"/>
  <c r="AN87" i="14" a="1"/>
  <c r="AN87" i="14" s="1"/>
  <c r="BK87" i="14"/>
  <c r="BW553" i="14"/>
  <c r="BW245" i="14"/>
  <c r="BW168" i="14"/>
  <c r="G246" i="14"/>
  <c r="G554" i="14"/>
  <c r="G169" i="14"/>
  <c r="AA246" i="14"/>
  <c r="AA554" i="14"/>
  <c r="AA169" i="14"/>
  <c r="AZ246" i="14"/>
  <c r="AZ554" i="14"/>
  <c r="BB88" i="14"/>
  <c r="AZ169" i="14"/>
  <c r="BA88" i="14"/>
  <c r="BK169" i="14"/>
  <c r="BM88" i="14" a="1"/>
  <c r="BM88" i="14" s="1"/>
  <c r="H89" i="14"/>
  <c r="AB555" i="14"/>
  <c r="AK556" i="14"/>
  <c r="AK248" i="14"/>
  <c r="AK171" i="14"/>
  <c r="AM90" i="14"/>
  <c r="AW248" i="14"/>
  <c r="AW556" i="14"/>
  <c r="AW171" i="14"/>
  <c r="BB248" i="14"/>
  <c r="BB556" i="14"/>
  <c r="BJ556" i="14"/>
  <c r="BJ248" i="14"/>
  <c r="BL90" i="14"/>
  <c r="BJ171" i="14"/>
  <c r="BK90" i="14"/>
  <c r="BU556" i="14"/>
  <c r="BU171" i="14"/>
  <c r="BU248" i="14"/>
  <c r="BW90" i="14" a="1"/>
  <c r="BW90" i="14" s="1"/>
  <c r="R91" i="14"/>
  <c r="AQ91" i="14"/>
  <c r="AR91" i="14" s="1"/>
  <c r="BC557" i="14"/>
  <c r="BC249" i="14"/>
  <c r="BC172" i="14"/>
  <c r="BJ557" i="14"/>
  <c r="BJ249" i="14"/>
  <c r="BJ172" i="14"/>
  <c r="BL91" i="14"/>
  <c r="BV557" i="14"/>
  <c r="BV249" i="14"/>
  <c r="BV172" i="14"/>
  <c r="L250" i="14"/>
  <c r="L558" i="14"/>
  <c r="L173" i="14"/>
  <c r="M92" i="14"/>
  <c r="N92" i="14" s="1"/>
  <c r="AF250" i="14"/>
  <c r="AF558" i="14"/>
  <c r="AH92" i="14"/>
  <c r="AF173" i="14"/>
  <c r="AG92" i="14"/>
  <c r="M93" i="14"/>
  <c r="AF559" i="14"/>
  <c r="AF174" i="14"/>
  <c r="AH93" i="14"/>
  <c r="AZ559" i="14"/>
  <c r="AZ251" i="14"/>
  <c r="AZ174" i="14"/>
  <c r="BB93" i="14"/>
  <c r="BL559" i="14"/>
  <c r="BL251" i="14"/>
  <c r="BL174" i="14"/>
  <c r="B560" i="14"/>
  <c r="B252" i="14"/>
  <c r="B175" i="14"/>
  <c r="C94" i="14"/>
  <c r="D94" i="14" s="1"/>
  <c r="V560" i="14"/>
  <c r="X94" i="14"/>
  <c r="V175" i="14"/>
  <c r="W94" i="14"/>
  <c r="AG560" i="14"/>
  <c r="AG175" i="14"/>
  <c r="AI94" i="14" a="1"/>
  <c r="AI94" i="14" s="1"/>
  <c r="B561" i="14"/>
  <c r="B253" i="14"/>
  <c r="B176" i="14"/>
  <c r="V561" i="14"/>
  <c r="V253" i="14"/>
  <c r="V176" i="14"/>
  <c r="X95" i="14"/>
  <c r="AU561" i="14"/>
  <c r="AU253" i="14"/>
  <c r="AW95" i="14"/>
  <c r="AU176" i="14"/>
  <c r="AV95" i="14"/>
  <c r="AB96" i="14"/>
  <c r="AU254" i="14"/>
  <c r="AU562" i="14"/>
  <c r="AU177" i="14"/>
  <c r="AW96" i="14"/>
  <c r="BT562" i="14"/>
  <c r="BT254" i="14"/>
  <c r="BV96" i="14"/>
  <c r="BT177" i="14"/>
  <c r="BU96" i="14"/>
  <c r="Q563" i="14"/>
  <c r="Q255" i="14"/>
  <c r="Q178" i="14"/>
  <c r="R97" i="14"/>
  <c r="AV563" i="14"/>
  <c r="AV255" i="14"/>
  <c r="AV178" i="14"/>
  <c r="AX97" i="14" a="1"/>
  <c r="AX97" i="14" s="1"/>
  <c r="BU97" i="14"/>
  <c r="AL98" i="14"/>
  <c r="BF98" i="14"/>
  <c r="AQ99" i="14"/>
  <c r="AR99" i="14" s="1"/>
  <c r="H100" i="14"/>
  <c r="I100" i="14" s="1"/>
  <c r="BP100" i="14"/>
  <c r="M101" i="14"/>
  <c r="N101" i="14" s="1"/>
  <c r="AG101" i="14"/>
  <c r="AZ567" i="14"/>
  <c r="AZ259" i="14"/>
  <c r="BB101" i="14"/>
  <c r="BA101" i="14"/>
  <c r="BG567" i="14"/>
  <c r="BG259" i="14"/>
  <c r="BL567" i="14"/>
  <c r="BL259" i="14"/>
  <c r="BL182" i="14"/>
  <c r="BT567" i="14"/>
  <c r="BT259" i="14"/>
  <c r="BV101" i="14"/>
  <c r="BU101" i="14"/>
  <c r="Q568" i="14"/>
  <c r="Q260" i="14"/>
  <c r="S102" i="14"/>
  <c r="R102" i="14"/>
  <c r="X568" i="14"/>
  <c r="X260" i="14"/>
  <c r="AC260" i="14"/>
  <c r="AC568" i="14"/>
  <c r="AC183" i="14"/>
  <c r="AK568" i="14"/>
  <c r="AK260" i="14"/>
  <c r="AM102" i="14"/>
  <c r="AL102" i="14"/>
  <c r="BP102" i="14"/>
  <c r="M103" i="14"/>
  <c r="N103" i="14" s="1"/>
  <c r="AG103" i="14"/>
  <c r="AZ569" i="14"/>
  <c r="BB103" i="14"/>
  <c r="BA103" i="14"/>
  <c r="H104" i="14"/>
  <c r="AA647" i="14"/>
  <c r="AA339" i="14"/>
  <c r="AZ262" i="14"/>
  <c r="AZ570" i="14"/>
  <c r="BB104" i="14"/>
  <c r="AZ185" i="14"/>
  <c r="BA104" i="14"/>
  <c r="BK262" i="14"/>
  <c r="H105" i="14"/>
  <c r="AG105" i="14"/>
  <c r="AZ571" i="14"/>
  <c r="AZ263" i="14"/>
  <c r="BB105" i="14"/>
  <c r="BA105" i="14"/>
  <c r="H106" i="14"/>
  <c r="AG106" i="14"/>
  <c r="AZ572" i="14"/>
  <c r="AZ264" i="14"/>
  <c r="BB106" i="14"/>
  <c r="AZ187" i="14"/>
  <c r="BA106" i="14"/>
  <c r="H107" i="14"/>
  <c r="AG107" i="14"/>
  <c r="AZ573" i="14"/>
  <c r="BB107" i="14"/>
  <c r="BA107" i="14"/>
  <c r="AA343" i="14"/>
  <c r="AG108" i="14"/>
  <c r="AZ574" i="14"/>
  <c r="AZ266" i="14"/>
  <c r="BB108" i="14"/>
  <c r="AZ189" i="14"/>
  <c r="BA108" i="14"/>
  <c r="BK574" i="14"/>
  <c r="BK266" i="14"/>
  <c r="BK189" i="14"/>
  <c r="BM108" i="14" a="1"/>
  <c r="BM108" i="14" s="1"/>
  <c r="M109" i="14"/>
  <c r="AF575" i="14"/>
  <c r="AF267" i="14"/>
  <c r="AF190" i="14"/>
  <c r="AH109" i="14"/>
  <c r="BJ652" i="14"/>
  <c r="BJ344" i="14"/>
  <c r="BP109" i="14"/>
  <c r="L576" i="14"/>
  <c r="N110" i="14"/>
  <c r="AK576" i="14"/>
  <c r="AM110" i="14"/>
  <c r="AL110" i="14"/>
  <c r="AV110" i="14"/>
  <c r="BH576" i="14"/>
  <c r="BH268" i="14"/>
  <c r="BH191" i="14"/>
  <c r="BO576" i="14"/>
  <c r="BO268" i="14"/>
  <c r="BO191" i="14"/>
  <c r="BQ110" i="14"/>
  <c r="D577" i="14"/>
  <c r="D269" i="14"/>
  <c r="D192" i="14"/>
  <c r="Q577" i="14"/>
  <c r="Q269" i="14"/>
  <c r="S111" i="14"/>
  <c r="Q192" i="14"/>
  <c r="R111" i="14"/>
  <c r="AB269" i="14"/>
  <c r="AB577" i="14"/>
  <c r="AB192" i="14"/>
  <c r="AD111" i="14" a="1"/>
  <c r="AD111" i="14" s="1"/>
  <c r="AU577" i="14"/>
  <c r="AU269" i="14"/>
  <c r="AW111" i="14"/>
  <c r="BL577" i="14"/>
  <c r="BL269" i="14"/>
  <c r="BL192" i="14"/>
  <c r="BT577" i="14"/>
  <c r="BT192" i="14"/>
  <c r="BV111" i="14"/>
  <c r="BU111" i="14"/>
  <c r="H578" i="14"/>
  <c r="H270" i="14"/>
  <c r="H193" i="14"/>
  <c r="J112" i="14" a="1"/>
  <c r="J112" i="14" s="1"/>
  <c r="AG112" i="14"/>
  <c r="BB578" i="14"/>
  <c r="BB270" i="14"/>
  <c r="BB193" i="14"/>
  <c r="BG578" i="14"/>
  <c r="BG193" i="14"/>
  <c r="BG270" i="14"/>
  <c r="BO578" i="14"/>
  <c r="BO270" i="14"/>
  <c r="BQ112" i="14"/>
  <c r="BP112" i="14"/>
  <c r="C579" i="14"/>
  <c r="C271" i="14"/>
  <c r="C194" i="14"/>
  <c r="E113" i="14" a="1"/>
  <c r="E113" i="14" s="1"/>
  <c r="BR579" i="14"/>
  <c r="BR271" i="14"/>
  <c r="B580" i="14"/>
  <c r="B272" i="14"/>
  <c r="B195" i="14"/>
  <c r="D114" i="14"/>
  <c r="AA580" i="14"/>
  <c r="AA272" i="14"/>
  <c r="AC114" i="14"/>
  <c r="AB114" i="14"/>
  <c r="AL580" i="14"/>
  <c r="AL272" i="14"/>
  <c r="AL195" i="14"/>
  <c r="AN114" i="14" a="1"/>
  <c r="AN114" i="14" s="1"/>
  <c r="AU657" i="14"/>
  <c r="AU349" i="14"/>
  <c r="BA114" i="14"/>
  <c r="BT580" i="14"/>
  <c r="BT272" i="14"/>
  <c r="BV114" i="14"/>
  <c r="V581" i="14"/>
  <c r="X115" i="14"/>
  <c r="V196" i="14"/>
  <c r="W115" i="14"/>
  <c r="BP115" i="14"/>
  <c r="L582" i="14"/>
  <c r="L274" i="14"/>
  <c r="N116" i="14"/>
  <c r="AC582" i="14"/>
  <c r="AC274" i="14"/>
  <c r="AC197" i="14"/>
  <c r="AK582" i="14"/>
  <c r="AK197" i="14"/>
  <c r="AM116" i="14"/>
  <c r="AL116" i="14"/>
  <c r="BK116" i="14"/>
  <c r="H117" i="14"/>
  <c r="BJ583" i="14"/>
  <c r="BJ275" i="14"/>
  <c r="BL117" i="14"/>
  <c r="BK117" i="14"/>
  <c r="BQ583" i="14"/>
  <c r="BQ198" i="14"/>
  <c r="BQ275" i="14"/>
  <c r="BV583" i="14"/>
  <c r="BV198" i="14"/>
  <c r="BV275" i="14"/>
  <c r="G584" i="14"/>
  <c r="G276" i="14"/>
  <c r="I118" i="14"/>
  <c r="H118" i="14"/>
  <c r="N584" i="14"/>
  <c r="N199" i="14"/>
  <c r="N276" i="14"/>
  <c r="S584" i="14"/>
  <c r="S199" i="14"/>
  <c r="AA584" i="14"/>
  <c r="AA276" i="14"/>
  <c r="AC118" i="14"/>
  <c r="AB118" i="14"/>
  <c r="AH584" i="14"/>
  <c r="AH199" i="14"/>
  <c r="AH276" i="14"/>
  <c r="BP584" i="14"/>
  <c r="BP276" i="14"/>
  <c r="BP199" i="14"/>
  <c r="BR118" i="14" a="1"/>
  <c r="BR118" i="14" s="1"/>
  <c r="BP119" i="14"/>
  <c r="AK120" i="14"/>
  <c r="L123" i="14"/>
  <c r="AF123" i="14"/>
  <c r="AZ123" i="14"/>
  <c r="BJ123" i="14"/>
  <c r="BT123" i="14"/>
  <c r="G124" i="14"/>
  <c r="G590" i="14" s="1"/>
  <c r="Q124" i="14"/>
  <c r="Q590" i="14" s="1"/>
  <c r="AA124" i="14"/>
  <c r="AA590" i="14" s="1"/>
  <c r="AK124" i="14"/>
  <c r="AK590" i="14" s="1"/>
  <c r="BE124" i="14"/>
  <c r="BE590" i="14" s="1"/>
  <c r="B125" i="14"/>
  <c r="B591" i="14" s="1"/>
  <c r="L125" i="14"/>
  <c r="L591" i="14" s="1"/>
  <c r="V125" i="14"/>
  <c r="V591" i="14" s="1"/>
  <c r="AF125" i="14"/>
  <c r="AF591" i="14" s="1"/>
  <c r="AZ125" i="14"/>
  <c r="AZ591" i="14" s="1"/>
  <c r="BJ125" i="14"/>
  <c r="BJ591" i="14" s="1"/>
  <c r="BT125" i="14"/>
  <c r="BT591" i="14" s="1"/>
  <c r="G126" i="14"/>
  <c r="G592" i="14" s="1"/>
  <c r="Q126" i="14"/>
  <c r="Q592" i="14" s="1"/>
  <c r="AA126" i="14"/>
  <c r="AA592" i="14" s="1"/>
  <c r="AU126" i="14"/>
  <c r="AU592" i="14" s="1"/>
  <c r="BO126" i="14"/>
  <c r="BO592" i="14" s="1"/>
  <c r="L127" i="14"/>
  <c r="L281" i="14" s="1"/>
  <c r="AF127" i="14"/>
  <c r="AF281" i="14" s="1"/>
  <c r="AZ127" i="14"/>
  <c r="AZ281" i="14" s="1"/>
  <c r="BJ127" i="14"/>
  <c r="BJ281" i="14" s="1"/>
  <c r="BT127" i="14"/>
  <c r="BT281" i="14" s="1"/>
  <c r="G128" i="14"/>
  <c r="G282" i="14" s="1"/>
  <c r="Q128" i="14"/>
  <c r="Q282" i="14" s="1"/>
  <c r="AA128" i="14"/>
  <c r="AA282" i="14" s="1"/>
  <c r="AK128" i="14"/>
  <c r="AK282" i="14" s="1"/>
  <c r="AU128" i="14"/>
  <c r="AU282" i="14" s="1"/>
  <c r="BE128" i="14"/>
  <c r="BE282" i="14" s="1"/>
  <c r="BO128" i="14"/>
  <c r="BO282" i="14" s="1"/>
  <c r="B129" i="14"/>
  <c r="B283" i="14" s="1"/>
  <c r="L129" i="14"/>
  <c r="L283" i="14" s="1"/>
  <c r="V129" i="14"/>
  <c r="V283" i="14" s="1"/>
  <c r="AF129" i="14"/>
  <c r="AF283" i="14" s="1"/>
  <c r="AP129" i="14"/>
  <c r="AP283" i="14" s="1"/>
  <c r="BJ129" i="14"/>
  <c r="BJ283" i="14" s="1"/>
  <c r="G130" i="14"/>
  <c r="G284" i="14" s="1"/>
  <c r="AA130" i="14"/>
  <c r="AA284" i="14" s="1"/>
  <c r="AK130" i="14"/>
  <c r="AK284" i="14" s="1"/>
  <c r="AU130" i="14"/>
  <c r="AU284" i="14" s="1"/>
  <c r="BE130" i="14"/>
  <c r="BE284" i="14" s="1"/>
  <c r="BO130" i="14"/>
  <c r="BO284" i="14" s="1"/>
  <c r="B131" i="14"/>
  <c r="L131" i="14"/>
  <c r="V131" i="14"/>
  <c r="AF131" i="14"/>
  <c r="AP131" i="14"/>
  <c r="AZ131" i="14"/>
  <c r="BJ131" i="14"/>
  <c r="BT131" i="14"/>
  <c r="G132" i="14"/>
  <c r="Q132" i="14"/>
  <c r="AA132" i="14"/>
  <c r="AK132" i="14"/>
  <c r="AU132" i="14"/>
  <c r="BE132" i="14"/>
  <c r="BO132" i="14"/>
  <c r="B133" i="14"/>
  <c r="L133" i="14"/>
  <c r="V133" i="14"/>
  <c r="AF133" i="14"/>
  <c r="AP133" i="14"/>
  <c r="AZ133" i="14"/>
  <c r="BJ133" i="14"/>
  <c r="BT133" i="14"/>
  <c r="G134" i="14"/>
  <c r="Q134" i="14"/>
  <c r="AA134" i="14"/>
  <c r="AK134" i="14"/>
  <c r="AU134" i="14"/>
  <c r="BE134" i="14"/>
  <c r="BO134" i="14"/>
  <c r="B135" i="14"/>
  <c r="L135" i="14"/>
  <c r="V135" i="14"/>
  <c r="AF135" i="14"/>
  <c r="AP135" i="14"/>
  <c r="AZ135" i="14"/>
  <c r="BJ135" i="14"/>
  <c r="BT135" i="14"/>
  <c r="G136" i="14"/>
  <c r="Q598" i="14"/>
  <c r="Q290" i="14"/>
  <c r="AK598" i="14"/>
  <c r="AK290" i="14"/>
  <c r="BE598" i="14"/>
  <c r="BE290" i="14"/>
  <c r="BO136" i="14"/>
  <c r="V599" i="14"/>
  <c r="V291" i="14"/>
  <c r="AP599" i="14"/>
  <c r="AP291" i="14"/>
  <c r="BJ599" i="14"/>
  <c r="BJ291" i="14"/>
  <c r="BT137" i="14"/>
  <c r="Q138" i="14"/>
  <c r="AA600" i="14"/>
  <c r="AA292" i="14"/>
  <c r="AK138" i="14"/>
  <c r="BO600" i="14"/>
  <c r="B139" i="14"/>
  <c r="V139" i="14"/>
  <c r="AP139" i="14"/>
  <c r="BO601" i="14"/>
  <c r="BO293" i="14"/>
  <c r="AF602" i="14"/>
  <c r="AF294" i="14"/>
  <c r="BT602" i="14"/>
  <c r="BT294" i="14"/>
  <c r="X141" i="14"/>
  <c r="BL141" i="14"/>
  <c r="B604" i="14"/>
  <c r="B296" i="14"/>
  <c r="AP604" i="14"/>
  <c r="AP296" i="14"/>
  <c r="AU605" i="14"/>
  <c r="AU297" i="14"/>
  <c r="L606" i="14"/>
  <c r="L298" i="14"/>
  <c r="AZ606" i="14"/>
  <c r="AZ298" i="14"/>
  <c r="Q607" i="14"/>
  <c r="Q299" i="14"/>
  <c r="BE607" i="14"/>
  <c r="BE299" i="14"/>
  <c r="V608" i="14"/>
  <c r="V300" i="14"/>
  <c r="BJ300" i="14"/>
  <c r="BJ608" i="14"/>
  <c r="AA609" i="14"/>
  <c r="AA301" i="14"/>
  <c r="BO609" i="14"/>
  <c r="BO301" i="14"/>
  <c r="AF610" i="14"/>
  <c r="AF302" i="14"/>
  <c r="BT610" i="14"/>
  <c r="BT302" i="14"/>
  <c r="AK611" i="14"/>
  <c r="AK303" i="14"/>
  <c r="B612" i="14"/>
  <c r="B304" i="14"/>
  <c r="AP612" i="14"/>
  <c r="AP304" i="14"/>
  <c r="L614" i="14"/>
  <c r="L306" i="14"/>
  <c r="AZ614" i="14"/>
  <c r="AZ306" i="14"/>
  <c r="Q615" i="14"/>
  <c r="Q307" i="14"/>
  <c r="BE615" i="14"/>
  <c r="BE307" i="14"/>
  <c r="V616" i="14"/>
  <c r="V308" i="14"/>
  <c r="AA617" i="14"/>
  <c r="AA309" i="14"/>
  <c r="AF618" i="14"/>
  <c r="AF310" i="14"/>
  <c r="BG156" i="14"/>
  <c r="BT618" i="14"/>
  <c r="BT310" i="14"/>
  <c r="BL157" i="14"/>
  <c r="BQ158" i="14"/>
  <c r="L622" i="14"/>
  <c r="L314" i="14"/>
  <c r="AZ622" i="14"/>
  <c r="AZ314" i="14"/>
  <c r="Q623" i="14"/>
  <c r="Q315" i="14"/>
  <c r="BE623" i="14"/>
  <c r="BE315" i="14"/>
  <c r="AA625" i="14"/>
  <c r="AA317" i="14"/>
  <c r="BB163" i="14"/>
  <c r="BO625" i="14"/>
  <c r="BO317" i="14"/>
  <c r="AF626" i="14"/>
  <c r="AF318" i="14"/>
  <c r="BT626" i="14"/>
  <c r="BT318" i="14"/>
  <c r="AK627" i="14"/>
  <c r="AK319" i="14"/>
  <c r="BQ166" i="14"/>
  <c r="BV167" i="14"/>
  <c r="L630" i="14"/>
  <c r="L322" i="14"/>
  <c r="AZ630" i="14"/>
  <c r="AZ322" i="14"/>
  <c r="Q631" i="14"/>
  <c r="Q323" i="14"/>
  <c r="BE631" i="14"/>
  <c r="BE323" i="14"/>
  <c r="V632" i="14"/>
  <c r="V324" i="14"/>
  <c r="BJ632" i="14"/>
  <c r="BJ324" i="14"/>
  <c r="BB171" i="14"/>
  <c r="AF634" i="14"/>
  <c r="AF326" i="14"/>
  <c r="BG172" i="14"/>
  <c r="B636" i="14"/>
  <c r="B328" i="14"/>
  <c r="AP636" i="14"/>
  <c r="AP328" i="14"/>
  <c r="BQ174" i="14"/>
  <c r="G637" i="14"/>
  <c r="AU637" i="14"/>
  <c r="AU329" i="14"/>
  <c r="Q639" i="14"/>
  <c r="Q331" i="14"/>
  <c r="BE639" i="14"/>
  <c r="BE331" i="14"/>
  <c r="BJ640" i="14"/>
  <c r="BJ332" i="14"/>
  <c r="AA641" i="14"/>
  <c r="AA333" i="14"/>
  <c r="BB179" i="14"/>
  <c r="AF642" i="14"/>
  <c r="AF334" i="14"/>
  <c r="AK643" i="14"/>
  <c r="AK335" i="14"/>
  <c r="B644" i="14"/>
  <c r="B336" i="14"/>
  <c r="AC182" i="14"/>
  <c r="X185" i="14"/>
  <c r="AK185" i="14"/>
  <c r="BE647" i="14"/>
  <c r="BE339" i="14"/>
  <c r="V648" i="14"/>
  <c r="V340" i="14"/>
  <c r="BO186" i="14"/>
  <c r="AF187" i="14"/>
  <c r="AZ188" i="14"/>
  <c r="Q189" i="14"/>
  <c r="BL189" i="14"/>
  <c r="B652" i="14"/>
  <c r="B344" i="14"/>
  <c r="AC190" i="14"/>
  <c r="L191" i="14"/>
  <c r="Y191" i="14"/>
  <c r="BJ653" i="14"/>
  <c r="BJ345" i="14"/>
  <c r="AA654" i="14"/>
  <c r="AA346" i="14"/>
  <c r="BJ194" i="14"/>
  <c r="G195" i="14"/>
  <c r="AA195" i="14"/>
  <c r="BJ657" i="14"/>
  <c r="BJ349" i="14"/>
  <c r="G658" i="14"/>
  <c r="G350" i="14"/>
  <c r="BT660" i="14"/>
  <c r="BT352" i="14"/>
  <c r="Q661" i="14"/>
  <c r="Q353" i="14"/>
  <c r="AK661" i="14"/>
  <c r="AK353" i="14"/>
  <c r="BT199" i="14"/>
  <c r="AK200" i="14"/>
  <c r="BL206" i="14"/>
  <c r="AU207" i="14"/>
  <c r="BO207" i="14"/>
  <c r="X210" i="14"/>
  <c r="G211" i="14"/>
  <c r="AA211" i="14"/>
  <c r="AU211" i="14"/>
  <c r="BO211" i="14"/>
  <c r="X218" i="14"/>
  <c r="AR218" i="14"/>
  <c r="BL218" i="14"/>
  <c r="BL234" i="14"/>
  <c r="BL238" i="14"/>
  <c r="BU252" i="14"/>
  <c r="AP256" i="14"/>
  <c r="AF259" i="14"/>
  <c r="BK259" i="14"/>
  <c r="AZ261" i="14"/>
  <c r="X262" i="14"/>
  <c r="BG267" i="14"/>
  <c r="AK268" i="14"/>
  <c r="BE272" i="14"/>
  <c r="S276" i="14"/>
  <c r="BE285" i="14"/>
  <c r="AU292" i="14"/>
  <c r="Q293" i="14"/>
  <c r="G296" i="14"/>
  <c r="G300" i="14"/>
  <c r="G308" i="14"/>
  <c r="AU312" i="14"/>
  <c r="AU316" i="14"/>
  <c r="G324" i="14"/>
  <c r="AU324" i="14"/>
  <c r="G328" i="14"/>
  <c r="AU328" i="14"/>
  <c r="G332" i="14"/>
  <c r="AU332" i="14"/>
  <c r="G336" i="14"/>
  <c r="C513" i="14"/>
  <c r="V518" i="14"/>
  <c r="BK546" i="14"/>
  <c r="BQ548" i="14"/>
  <c r="V612" i="14"/>
  <c r="BJ616" i="14"/>
  <c r="AC204" i="14"/>
  <c r="AC127" i="14"/>
  <c r="AC281" i="14" s="1"/>
  <c r="BE204" i="14"/>
  <c r="BG46" i="14"/>
  <c r="AQ206" i="14"/>
  <c r="AQ129" i="14"/>
  <c r="AQ283" i="14" s="1"/>
  <c r="BM48" i="14" a="1"/>
  <c r="BM48" i="14" s="1"/>
  <c r="I208" i="14"/>
  <c r="I131" i="14"/>
  <c r="I516" i="14"/>
  <c r="AK516" i="14"/>
  <c r="AK208" i="14"/>
  <c r="BQ208" i="14"/>
  <c r="BQ131" i="14"/>
  <c r="S209" i="14"/>
  <c r="BB132" i="14"/>
  <c r="BG517" i="14"/>
  <c r="BG132" i="14"/>
  <c r="BG209" i="14"/>
  <c r="D518" i="14"/>
  <c r="D133" i="14"/>
  <c r="S518" i="14"/>
  <c r="S133" i="14"/>
  <c r="S210" i="14"/>
  <c r="BL518" i="14"/>
  <c r="BL133" i="14"/>
  <c r="I212" i="14"/>
  <c r="I135" i="14"/>
  <c r="AH520" i="14"/>
  <c r="AH212" i="14"/>
  <c r="AH135" i="14"/>
  <c r="AW212" i="14"/>
  <c r="AW135" i="14"/>
  <c r="BB520" i="14"/>
  <c r="BB212" i="14"/>
  <c r="BB135" i="14"/>
  <c r="AA522" i="14"/>
  <c r="AA214" i="14"/>
  <c r="AU522" i="14"/>
  <c r="AU214" i="14"/>
  <c r="AW56" i="14"/>
  <c r="BL522" i="14"/>
  <c r="BL137" i="14"/>
  <c r="BE523" i="14"/>
  <c r="BG57" i="14"/>
  <c r="BF57" i="14"/>
  <c r="M524" i="14"/>
  <c r="M216" i="14"/>
  <c r="M139" i="14"/>
  <c r="O58" i="14" a="1"/>
  <c r="O58" i="14" s="1"/>
  <c r="BF524" i="14"/>
  <c r="BF216" i="14"/>
  <c r="BF139" i="14"/>
  <c r="BH58" i="14" a="1"/>
  <c r="BH58" i="14" s="1"/>
  <c r="B525" i="14"/>
  <c r="B217" i="14"/>
  <c r="B140" i="14"/>
  <c r="O59" i="14" a="1"/>
  <c r="O59" i="14" s="1"/>
  <c r="AI59" i="14" a="1"/>
  <c r="AI59" i="14" s="1"/>
  <c r="AV526" i="14"/>
  <c r="AV141" i="14"/>
  <c r="AX60" i="14" a="1"/>
  <c r="AX60" i="14" s="1"/>
  <c r="BO526" i="14"/>
  <c r="BO218" i="14"/>
  <c r="BO141" i="14"/>
  <c r="BQ60" i="14"/>
  <c r="AB527" i="14"/>
  <c r="AB142" i="14"/>
  <c r="BE528" i="14"/>
  <c r="BE220" i="14"/>
  <c r="BE143" i="14"/>
  <c r="V529" i="14"/>
  <c r="V221" i="14"/>
  <c r="V144" i="14"/>
  <c r="AP529" i="14"/>
  <c r="AP221" i="14"/>
  <c r="AP144" i="14"/>
  <c r="BJ529" i="14"/>
  <c r="BJ221" i="14"/>
  <c r="BJ144" i="14"/>
  <c r="BL63" i="14"/>
  <c r="G530" i="14"/>
  <c r="G222" i="14"/>
  <c r="G145" i="14"/>
  <c r="BO530" i="14"/>
  <c r="BO222" i="14"/>
  <c r="BO145" i="14"/>
  <c r="B533" i="14"/>
  <c r="B225" i="14"/>
  <c r="B148" i="14"/>
  <c r="D67" i="14"/>
  <c r="BJ533" i="14"/>
  <c r="BJ225" i="14"/>
  <c r="BJ148" i="14"/>
  <c r="G534" i="14"/>
  <c r="G226" i="14"/>
  <c r="G149" i="14"/>
  <c r="I68" i="14"/>
  <c r="AZ535" i="14"/>
  <c r="AZ150" i="14"/>
  <c r="AZ227" i="14"/>
  <c r="AK536" i="14"/>
  <c r="AK228" i="14"/>
  <c r="AK151" i="14"/>
  <c r="B537" i="14"/>
  <c r="B229" i="14"/>
  <c r="B152" i="14"/>
  <c r="V537" i="14"/>
  <c r="V229" i="14"/>
  <c r="V152" i="14"/>
  <c r="BJ537" i="14"/>
  <c r="BJ229" i="14"/>
  <c r="BJ152" i="14"/>
  <c r="AF230" i="14"/>
  <c r="AF538" i="14"/>
  <c r="AF153" i="14"/>
  <c r="AG72" i="14"/>
  <c r="AH72" i="14" s="1"/>
  <c r="AZ230" i="14"/>
  <c r="AZ538" i="14"/>
  <c r="AZ153" i="14"/>
  <c r="BA72" i="14"/>
  <c r="H73" i="14"/>
  <c r="AB73" i="14"/>
  <c r="BP539" i="14"/>
  <c r="BP154" i="14"/>
  <c r="BR73" i="14" a="1"/>
  <c r="BR73" i="14" s="1"/>
  <c r="M74" i="14"/>
  <c r="BA74" i="14"/>
  <c r="W75" i="14"/>
  <c r="X75" i="14" s="1"/>
  <c r="BK75" i="14"/>
  <c r="G542" i="14"/>
  <c r="G234" i="14"/>
  <c r="G157" i="14"/>
  <c r="AA542" i="14"/>
  <c r="AA234" i="14"/>
  <c r="AA157" i="14"/>
  <c r="AM542" i="14"/>
  <c r="AM234" i="14"/>
  <c r="AM157" i="14"/>
  <c r="BK157" i="14"/>
  <c r="BK234" i="14"/>
  <c r="BK542" i="14"/>
  <c r="BM76" i="14" a="1"/>
  <c r="BM76" i="14" s="1"/>
  <c r="AB77" i="14"/>
  <c r="R78" i="14"/>
  <c r="S78" i="14" s="1"/>
  <c r="BF544" i="14"/>
  <c r="BF236" i="14"/>
  <c r="BF159" i="14"/>
  <c r="BH78" i="14" a="1"/>
  <c r="BH78" i="14" s="1"/>
  <c r="B545" i="14"/>
  <c r="B237" i="14"/>
  <c r="B160" i="14"/>
  <c r="AP545" i="14"/>
  <c r="AP237" i="14"/>
  <c r="AP160" i="14"/>
  <c r="BO545" i="14"/>
  <c r="BO237" i="14"/>
  <c r="BQ79" i="14"/>
  <c r="BO160" i="14"/>
  <c r="BP79" i="14"/>
  <c r="W80" i="14"/>
  <c r="AV80" i="14"/>
  <c r="AW80" i="14" s="1"/>
  <c r="BO546" i="14"/>
  <c r="BO238" i="14"/>
  <c r="BO161" i="14"/>
  <c r="BQ80" i="14"/>
  <c r="AF547" i="14"/>
  <c r="AF162" i="14"/>
  <c r="AF239" i="14"/>
  <c r="AH81" i="14"/>
  <c r="AZ547" i="14"/>
  <c r="AZ162" i="14"/>
  <c r="AZ239" i="14"/>
  <c r="BB81" i="14"/>
  <c r="BQ547" i="14"/>
  <c r="BQ239" i="14"/>
  <c r="V548" i="14"/>
  <c r="V163" i="14"/>
  <c r="W82" i="14"/>
  <c r="X82" i="14" s="1"/>
  <c r="AH548" i="14"/>
  <c r="AH240" i="14"/>
  <c r="BA548" i="14"/>
  <c r="BA240" i="14"/>
  <c r="BA163" i="14"/>
  <c r="BC82" i="14" a="1"/>
  <c r="BC82" i="14" s="1"/>
  <c r="W84" i="14"/>
  <c r="AV550" i="14"/>
  <c r="AV165" i="14"/>
  <c r="AX84" i="14" a="1"/>
  <c r="AX84" i="14" s="1"/>
  <c r="BO550" i="14"/>
  <c r="BO242" i="14"/>
  <c r="BO165" i="14"/>
  <c r="BQ84" i="14"/>
  <c r="AF551" i="14"/>
  <c r="AF166" i="14"/>
  <c r="AF243" i="14"/>
  <c r="AH85" i="14"/>
  <c r="AZ551" i="14"/>
  <c r="AZ166" i="14"/>
  <c r="AZ243" i="14"/>
  <c r="BB85" i="14"/>
  <c r="B552" i="14"/>
  <c r="B167" i="14"/>
  <c r="C86" i="14"/>
  <c r="V552" i="14"/>
  <c r="V167" i="14"/>
  <c r="W86" i="14"/>
  <c r="AP552" i="14"/>
  <c r="AP244" i="14"/>
  <c r="AP167" i="14"/>
  <c r="AQ86" i="14"/>
  <c r="AR86" i="14" s="1"/>
  <c r="C87" i="14"/>
  <c r="D87" i="14" s="1"/>
  <c r="AI553" i="14"/>
  <c r="AI245" i="14"/>
  <c r="AI168" i="14"/>
  <c r="C88" i="14"/>
  <c r="AV554" i="14"/>
  <c r="AV169" i="14"/>
  <c r="AV246" i="14"/>
  <c r="AX88" i="14" a="1"/>
  <c r="AX88" i="14" s="1"/>
  <c r="BO246" i="14"/>
  <c r="BO554" i="14"/>
  <c r="BO169" i="14"/>
  <c r="BQ88" i="14"/>
  <c r="AF555" i="14"/>
  <c r="AF247" i="14"/>
  <c r="AF170" i="14"/>
  <c r="AH89" i="14"/>
  <c r="AZ555" i="14"/>
  <c r="AZ170" i="14"/>
  <c r="BB89" i="14"/>
  <c r="BL555" i="14"/>
  <c r="BL170" i="14"/>
  <c r="B556" i="14"/>
  <c r="B171" i="14"/>
  <c r="C90" i="14"/>
  <c r="D90" i="14" s="1"/>
  <c r="BF556" i="14"/>
  <c r="BF248" i="14"/>
  <c r="BF171" i="14"/>
  <c r="BH90" i="14" a="1"/>
  <c r="BH90" i="14" s="1"/>
  <c r="B557" i="14"/>
  <c r="B249" i="14"/>
  <c r="B172" i="14"/>
  <c r="V557" i="14"/>
  <c r="V249" i="14"/>
  <c r="V172" i="14"/>
  <c r="AH557" i="14"/>
  <c r="AH249" i="14"/>
  <c r="AH172" i="14"/>
  <c r="AU557" i="14"/>
  <c r="AU249" i="14"/>
  <c r="AW91" i="14"/>
  <c r="AU172" i="14"/>
  <c r="AV91" i="14"/>
  <c r="H92" i="14"/>
  <c r="I92" i="14" s="1"/>
  <c r="BG558" i="14"/>
  <c r="BG250" i="14"/>
  <c r="BG173" i="14"/>
  <c r="BL250" i="14"/>
  <c r="Q174" i="14"/>
  <c r="R93" i="14"/>
  <c r="S93" i="14" s="1"/>
  <c r="AB174" i="14"/>
  <c r="AW252" i="14"/>
  <c r="AW175" i="14"/>
  <c r="BJ560" i="14"/>
  <c r="BL94" i="14"/>
  <c r="BJ175" i="14"/>
  <c r="BK94" i="14"/>
  <c r="R95" i="14"/>
  <c r="BV561" i="14"/>
  <c r="BV253" i="14"/>
  <c r="BV176" i="14"/>
  <c r="AF562" i="14"/>
  <c r="AF254" i="14"/>
  <c r="AH96" i="14"/>
  <c r="AF177" i="14"/>
  <c r="AG96" i="14"/>
  <c r="AZ178" i="14"/>
  <c r="AZ563" i="14"/>
  <c r="BB97" i="14"/>
  <c r="AH256" i="14"/>
  <c r="AH564" i="14"/>
  <c r="AW564" i="14"/>
  <c r="AW256" i="14"/>
  <c r="AW179" i="14"/>
  <c r="BJ564" i="14"/>
  <c r="BJ256" i="14"/>
  <c r="BL98" i="14"/>
  <c r="BJ179" i="14"/>
  <c r="BK98" i="14"/>
  <c r="BQ564" i="14"/>
  <c r="BQ256" i="14"/>
  <c r="BQ179" i="14"/>
  <c r="G565" i="14"/>
  <c r="G257" i="14"/>
  <c r="G180" i="14"/>
  <c r="H99" i="14"/>
  <c r="I99" i="14" s="1"/>
  <c r="AA565" i="14"/>
  <c r="AA257" i="14"/>
  <c r="AC99" i="14"/>
  <c r="AA180" i="14"/>
  <c r="AB99" i="14"/>
  <c r="AH565" i="14"/>
  <c r="AH257" i="14"/>
  <c r="AH180" i="14"/>
  <c r="AU565" i="14"/>
  <c r="AU257" i="14"/>
  <c r="AW99" i="14"/>
  <c r="AU180" i="14"/>
  <c r="AV99" i="14"/>
  <c r="BG565" i="14"/>
  <c r="BG257" i="14"/>
  <c r="L566" i="14"/>
  <c r="L258" i="14"/>
  <c r="L181" i="14"/>
  <c r="M100" i="14"/>
  <c r="AM566" i="14"/>
  <c r="AM258" i="14"/>
  <c r="AM181" i="14"/>
  <c r="AZ566" i="14"/>
  <c r="AZ258" i="14"/>
  <c r="BB100" i="14"/>
  <c r="AZ181" i="14"/>
  <c r="BA100" i="14"/>
  <c r="BL566" i="14"/>
  <c r="BL258" i="14"/>
  <c r="Q567" i="14"/>
  <c r="S101" i="14"/>
  <c r="Q182" i="14"/>
  <c r="R101" i="14"/>
  <c r="X567" i="14"/>
  <c r="X259" i="14"/>
  <c r="X182" i="14"/>
  <c r="AK567" i="14"/>
  <c r="AM101" i="14"/>
  <c r="AK259" i="14"/>
  <c r="AK182" i="14"/>
  <c r="AL101" i="14"/>
  <c r="M102" i="14"/>
  <c r="AG568" i="14"/>
  <c r="AG183" i="14"/>
  <c r="AG260" i="14"/>
  <c r="AI102" i="14" a="1"/>
  <c r="AI102" i="14" s="1"/>
  <c r="BG568" i="14"/>
  <c r="BG260" i="14"/>
  <c r="BG183" i="14"/>
  <c r="BT568" i="14"/>
  <c r="BV102" i="14"/>
  <c r="BT183" i="14"/>
  <c r="BU102" i="14"/>
  <c r="AV569" i="14"/>
  <c r="AV261" i="14"/>
  <c r="AV184" i="14"/>
  <c r="AX103" i="14" a="1"/>
  <c r="AX103" i="14" s="1"/>
  <c r="BO569" i="14"/>
  <c r="BQ103" i="14"/>
  <c r="L570" i="14"/>
  <c r="L262" i="14"/>
  <c r="AC570" i="14"/>
  <c r="AC185" i="14"/>
  <c r="AV570" i="14"/>
  <c r="AV185" i="14"/>
  <c r="AX104" i="14" a="1"/>
  <c r="AX104" i="14" s="1"/>
  <c r="BO570" i="14"/>
  <c r="BO262" i="14"/>
  <c r="BO185" i="14"/>
  <c r="BQ104" i="14"/>
  <c r="L571" i="14"/>
  <c r="L263" i="14"/>
  <c r="L186" i="14"/>
  <c r="N105" i="14"/>
  <c r="X571" i="14"/>
  <c r="X263" i="14"/>
  <c r="X186" i="14"/>
  <c r="AK571" i="14"/>
  <c r="AM105" i="14"/>
  <c r="AK263" i="14"/>
  <c r="AK186" i="14"/>
  <c r="AL105" i="14"/>
  <c r="X572" i="14"/>
  <c r="X264" i="14"/>
  <c r="AK572" i="14"/>
  <c r="AK264" i="14"/>
  <c r="AM106" i="14"/>
  <c r="AL106" i="14"/>
  <c r="L573" i="14"/>
  <c r="L265" i="14"/>
  <c r="L188" i="14"/>
  <c r="N107" i="14"/>
  <c r="X573" i="14"/>
  <c r="X265" i="14"/>
  <c r="X188" i="14"/>
  <c r="AK573" i="14"/>
  <c r="AK265" i="14"/>
  <c r="AM107" i="14"/>
  <c r="AK188" i="14"/>
  <c r="AL107" i="14"/>
  <c r="BO573" i="14"/>
  <c r="BQ107" i="14"/>
  <c r="L574" i="14"/>
  <c r="L266" i="14"/>
  <c r="N108" i="14"/>
  <c r="AC574" i="14"/>
  <c r="AC266" i="14"/>
  <c r="AC189" i="14"/>
  <c r="AV574" i="14"/>
  <c r="AV266" i="14"/>
  <c r="AV189" i="14"/>
  <c r="AX108" i="14" a="1"/>
  <c r="AX108" i="14" s="1"/>
  <c r="BO574" i="14"/>
  <c r="BO266" i="14"/>
  <c r="BO189" i="14"/>
  <c r="BQ108" i="14"/>
  <c r="D575" i="14"/>
  <c r="D267" i="14"/>
  <c r="D190" i="14"/>
  <c r="AB575" i="14"/>
  <c r="AB267" i="14"/>
  <c r="AB190" i="14"/>
  <c r="AD109" i="14" a="1"/>
  <c r="AD109" i="14" s="1"/>
  <c r="AU575" i="14"/>
  <c r="AW109" i="14"/>
  <c r="BT575" i="14"/>
  <c r="BV109" i="14"/>
  <c r="BU109" i="14"/>
  <c r="AA653" i="14"/>
  <c r="AA345" i="14"/>
  <c r="AZ576" i="14"/>
  <c r="AZ268" i="14"/>
  <c r="BB110" i="14"/>
  <c r="AZ191" i="14"/>
  <c r="BA110" i="14"/>
  <c r="M577" i="14"/>
  <c r="M269" i="14"/>
  <c r="M192" i="14"/>
  <c r="O111" i="14" a="1"/>
  <c r="O111" i="14" s="1"/>
  <c r="L578" i="14"/>
  <c r="L270" i="14"/>
  <c r="N112" i="14"/>
  <c r="X578" i="14"/>
  <c r="X193" i="14"/>
  <c r="AK578" i="14"/>
  <c r="AK193" i="14"/>
  <c r="AM112" i="14"/>
  <c r="AL112" i="14"/>
  <c r="BW578" i="14"/>
  <c r="BW193" i="14"/>
  <c r="BW270" i="14"/>
  <c r="S579" i="14"/>
  <c r="S271" i="14"/>
  <c r="S194" i="14"/>
  <c r="AF579" i="14"/>
  <c r="AF271" i="14"/>
  <c r="AH113" i="14"/>
  <c r="AG113" i="14"/>
  <c r="BB579" i="14"/>
  <c r="BB194" i="14"/>
  <c r="BU579" i="14"/>
  <c r="BU271" i="14"/>
  <c r="BU194" i="14"/>
  <c r="BW113" i="14" a="1"/>
  <c r="BW113" i="14" s="1"/>
  <c r="AU581" i="14"/>
  <c r="AU273" i="14"/>
  <c r="AW115" i="14"/>
  <c r="H274" i="14"/>
  <c r="H582" i="14"/>
  <c r="H197" i="14"/>
  <c r="J116" i="14" a="1"/>
  <c r="J116" i="14" s="1"/>
  <c r="BG582" i="14"/>
  <c r="BG197" i="14"/>
  <c r="BG274" i="14"/>
  <c r="BV582" i="14"/>
  <c r="BV274" i="14"/>
  <c r="BV197" i="14"/>
  <c r="L583" i="14"/>
  <c r="L275" i="14"/>
  <c r="N117" i="14"/>
  <c r="M117" i="14"/>
  <c r="X583" i="14"/>
  <c r="X198" i="14"/>
  <c r="X275" i="14"/>
  <c r="AM583" i="14"/>
  <c r="AM275" i="14"/>
  <c r="AM198" i="14"/>
  <c r="C584" i="14"/>
  <c r="C276" i="14"/>
  <c r="C199" i="14"/>
  <c r="E118" i="14" a="1"/>
  <c r="E118" i="14" s="1"/>
  <c r="AZ584" i="14"/>
  <c r="AZ276" i="14"/>
  <c r="BB118" i="14"/>
  <c r="Q585" i="14"/>
  <c r="Q277" i="14"/>
  <c r="S119" i="14"/>
  <c r="BG585" i="14"/>
  <c r="BG200" i="14"/>
  <c r="B128" i="14"/>
  <c r="B282" i="14" s="1"/>
  <c r="AP128" i="14"/>
  <c r="AP282" i="14" s="1"/>
  <c r="AF130" i="14"/>
  <c r="AF284" i="14" s="1"/>
  <c r="AK131" i="14"/>
  <c r="B594" i="14"/>
  <c r="B286" i="14"/>
  <c r="V594" i="14"/>
  <c r="V286" i="14"/>
  <c r="AP594" i="14"/>
  <c r="AP286" i="14"/>
  <c r="AZ594" i="14"/>
  <c r="AZ286" i="14"/>
  <c r="BT594" i="14"/>
  <c r="BT286" i="14"/>
  <c r="Q595" i="14"/>
  <c r="Q287" i="14"/>
  <c r="AA595" i="14"/>
  <c r="AA287" i="14"/>
  <c r="AU595" i="14"/>
  <c r="AU287" i="14"/>
  <c r="BO595" i="14"/>
  <c r="BO287" i="14"/>
  <c r="L596" i="14"/>
  <c r="L288" i="14"/>
  <c r="AF596" i="14"/>
  <c r="AF288" i="14"/>
  <c r="AZ596" i="14"/>
  <c r="AZ288" i="14"/>
  <c r="BT596" i="14"/>
  <c r="Q597" i="14"/>
  <c r="Q289" i="14"/>
  <c r="BE597" i="14"/>
  <c r="BE289" i="14"/>
  <c r="B598" i="14"/>
  <c r="B290" i="14"/>
  <c r="V598" i="14"/>
  <c r="V290" i="14"/>
  <c r="AP598" i="14"/>
  <c r="AP290" i="14"/>
  <c r="BJ598" i="14"/>
  <c r="BJ290" i="14"/>
  <c r="AK599" i="14"/>
  <c r="AK291" i="14"/>
  <c r="AU137" i="14"/>
  <c r="V600" i="14"/>
  <c r="V292" i="14"/>
  <c r="AF600" i="14"/>
  <c r="AF292" i="14"/>
  <c r="BT600" i="14"/>
  <c r="BT292" i="14"/>
  <c r="G601" i="14"/>
  <c r="G293" i="14"/>
  <c r="AA601" i="14"/>
  <c r="AA293" i="14"/>
  <c r="AU601" i="14"/>
  <c r="AU293" i="14"/>
  <c r="L602" i="14"/>
  <c r="L294" i="14"/>
  <c r="Q603" i="14"/>
  <c r="Q295" i="14"/>
  <c r="BE603" i="14"/>
  <c r="BE295" i="14"/>
  <c r="I142" i="14"/>
  <c r="AF606" i="14"/>
  <c r="AF298" i="14"/>
  <c r="G609" i="14"/>
  <c r="G301" i="14"/>
  <c r="L610" i="14"/>
  <c r="L302" i="14"/>
  <c r="Q611" i="14"/>
  <c r="Q303" i="14"/>
  <c r="AK615" i="14"/>
  <c r="AK307" i="14"/>
  <c r="G617" i="14"/>
  <c r="G309" i="14"/>
  <c r="L618" i="14"/>
  <c r="L310" i="14"/>
  <c r="AZ618" i="14"/>
  <c r="AZ310" i="14"/>
  <c r="BE619" i="14"/>
  <c r="BE311" i="14"/>
  <c r="BB621" i="14"/>
  <c r="BB313" i="14"/>
  <c r="AF622" i="14"/>
  <c r="AF314" i="14"/>
  <c r="AU625" i="14"/>
  <c r="AU317" i="14"/>
  <c r="BV625" i="14"/>
  <c r="BV317" i="14"/>
  <c r="AZ626" i="14"/>
  <c r="AZ318" i="14"/>
  <c r="Q627" i="14"/>
  <c r="Q319" i="14"/>
  <c r="BE627" i="14"/>
  <c r="BE319" i="14"/>
  <c r="AW628" i="14"/>
  <c r="AW320" i="14"/>
  <c r="BG168" i="14"/>
  <c r="BL323" i="14"/>
  <c r="AC632" i="14"/>
  <c r="AC324" i="14"/>
  <c r="G633" i="14"/>
  <c r="G325" i="14"/>
  <c r="L634" i="14"/>
  <c r="L326" i="14"/>
  <c r="AM172" i="14"/>
  <c r="BE635" i="14"/>
  <c r="BE327" i="14"/>
  <c r="BJ636" i="14"/>
  <c r="BJ328" i="14"/>
  <c r="X177" i="14"/>
  <c r="B640" i="14"/>
  <c r="B332" i="14"/>
  <c r="AP640" i="14"/>
  <c r="AP332" i="14"/>
  <c r="AH179" i="14"/>
  <c r="AF645" i="14"/>
  <c r="AF337" i="14"/>
  <c r="B648" i="14"/>
  <c r="B340" i="14"/>
  <c r="BJ649" i="14"/>
  <c r="BJ341" i="14"/>
  <c r="BT650" i="14"/>
  <c r="BT342" i="14"/>
  <c r="BO652" i="14"/>
  <c r="BO344" i="14"/>
  <c r="AF653" i="14"/>
  <c r="AF345" i="14"/>
  <c r="BT657" i="14"/>
  <c r="BT349" i="14"/>
  <c r="AK196" i="14"/>
  <c r="G661" i="14"/>
  <c r="G353" i="14"/>
  <c r="BB206" i="14"/>
  <c r="BV206" i="14"/>
  <c r="AK207" i="14"/>
  <c r="Q215" i="14"/>
  <c r="AK215" i="14"/>
  <c r="BE215" i="14"/>
  <c r="N218" i="14"/>
  <c r="AH218" i="14"/>
  <c r="L247" i="14"/>
  <c r="BL247" i="14"/>
  <c r="Q285" i="14"/>
  <c r="AC48" i="14"/>
  <c r="AC44" i="14"/>
  <c r="R25" i="14"/>
  <c r="R55" i="14" s="1"/>
  <c r="AQ524" i="14"/>
  <c r="AQ216" i="14"/>
  <c r="AQ139" i="14"/>
  <c r="C29" i="14"/>
  <c r="C59" i="14" s="1"/>
  <c r="R526" i="14"/>
  <c r="R141" i="14"/>
  <c r="B512" i="14"/>
  <c r="B120" i="14"/>
  <c r="X512" i="14"/>
  <c r="X123" i="14"/>
  <c r="X589" i="14" s="1"/>
  <c r="AP512" i="14"/>
  <c r="AP120" i="14"/>
  <c r="BB513" i="14"/>
  <c r="BB124" i="14"/>
  <c r="BB590" i="14" s="1"/>
  <c r="W125" i="14"/>
  <c r="W591" i="14" s="1"/>
  <c r="AR45" i="14"/>
  <c r="BL515" i="14"/>
  <c r="BL126" i="14"/>
  <c r="BL592" i="14" s="1"/>
  <c r="H204" i="14"/>
  <c r="H127" i="14"/>
  <c r="H281" i="14" s="1"/>
  <c r="AR204" i="14"/>
  <c r="AR127" i="14"/>
  <c r="AR281" i="14" s="1"/>
  <c r="BA46" i="14"/>
  <c r="BL46" i="14"/>
  <c r="C205" i="14"/>
  <c r="C128" i="14"/>
  <c r="C282" i="14" s="1"/>
  <c r="AR48" i="14"/>
  <c r="D49" i="14"/>
  <c r="S49" i="14"/>
  <c r="AZ207" i="14"/>
  <c r="BB49" i="14"/>
  <c r="AA521" i="14"/>
  <c r="AA213" i="14"/>
  <c r="AU521" i="14"/>
  <c r="AU213" i="14"/>
  <c r="AW55" i="14"/>
  <c r="AW60" i="14"/>
  <c r="AV55" i="14"/>
  <c r="BF521" i="14"/>
  <c r="BF213" i="14"/>
  <c r="BF136" i="14"/>
  <c r="AV56" i="14"/>
  <c r="BO522" i="14"/>
  <c r="BO214" i="14"/>
  <c r="BQ56" i="14"/>
  <c r="AF523" i="14"/>
  <c r="AF215" i="14"/>
  <c r="N524" i="14"/>
  <c r="N216" i="14"/>
  <c r="N139" i="14"/>
  <c r="X527" i="14"/>
  <c r="X219" i="14"/>
  <c r="X142" i="14"/>
  <c r="AK527" i="14"/>
  <c r="AL72" i="14"/>
  <c r="AL68" i="14"/>
  <c r="AL64" i="14"/>
  <c r="AK142" i="14"/>
  <c r="AL61" i="14"/>
  <c r="AM61" i="14" s="1"/>
  <c r="AL62" i="14"/>
  <c r="W63" i="14"/>
  <c r="AQ63" i="14"/>
  <c r="AB64" i="14"/>
  <c r="AV64" i="14"/>
  <c r="BP64" i="14"/>
  <c r="BA65" i="14"/>
  <c r="AL66" i="14"/>
  <c r="BF66" i="14"/>
  <c r="W67" i="14"/>
  <c r="BK67" i="14"/>
  <c r="AB68" i="14"/>
  <c r="AV68" i="14"/>
  <c r="M69" i="14"/>
  <c r="BU69" i="14"/>
  <c r="BF70" i="14"/>
  <c r="W71" i="14"/>
  <c r="AA538" i="14"/>
  <c r="AA230" i="14"/>
  <c r="AA153" i="14"/>
  <c r="BT230" i="14"/>
  <c r="BT538" i="14"/>
  <c r="BV72" i="14"/>
  <c r="BT153" i="14"/>
  <c r="BU72" i="14"/>
  <c r="AM73" i="14"/>
  <c r="AK154" i="14"/>
  <c r="AL73" i="14"/>
  <c r="BE539" i="14"/>
  <c r="BG73" i="14"/>
  <c r="BE154" i="14"/>
  <c r="BF73" i="14"/>
  <c r="BQ539" i="14"/>
  <c r="BQ231" i="14"/>
  <c r="V540" i="14"/>
  <c r="V155" i="14"/>
  <c r="W74" i="14"/>
  <c r="BJ540" i="14"/>
  <c r="BJ155" i="14"/>
  <c r="BK74" i="14"/>
  <c r="R75" i="14"/>
  <c r="BF541" i="14"/>
  <c r="BF233" i="14"/>
  <c r="BF156" i="14"/>
  <c r="BH75" i="14" a="1"/>
  <c r="BH75" i="14" s="1"/>
  <c r="H76" i="14"/>
  <c r="I76" i="14" s="1"/>
  <c r="AB76" i="14"/>
  <c r="AC76" i="14" s="1"/>
  <c r="AU542" i="14"/>
  <c r="AU234" i="14"/>
  <c r="AU157" i="14"/>
  <c r="BG542" i="14"/>
  <c r="BG234" i="14"/>
  <c r="BG157" i="14"/>
  <c r="BT234" i="14"/>
  <c r="BT542" i="14"/>
  <c r="BV76" i="14"/>
  <c r="BT157" i="14"/>
  <c r="BU76" i="14"/>
  <c r="AK543" i="14"/>
  <c r="AM77" i="14"/>
  <c r="AK158" i="14"/>
  <c r="AL77" i="14"/>
  <c r="BG77" i="14"/>
  <c r="BE158" i="14"/>
  <c r="BF77" i="14"/>
  <c r="BP543" i="14"/>
  <c r="BP158" i="14"/>
  <c r="BR77" i="14" a="1"/>
  <c r="BR77" i="14" s="1"/>
  <c r="M78" i="14"/>
  <c r="AG78" i="14"/>
  <c r="C79" i="14"/>
  <c r="W79" i="14"/>
  <c r="AQ79" i="14"/>
  <c r="BJ545" i="14"/>
  <c r="BJ237" i="14"/>
  <c r="BJ160" i="14"/>
  <c r="BL79" i="14"/>
  <c r="L238" i="14"/>
  <c r="L546" i="14"/>
  <c r="L161" i="14"/>
  <c r="M80" i="14"/>
  <c r="N80" i="14" s="1"/>
  <c r="AF238" i="14"/>
  <c r="AF546" i="14"/>
  <c r="AF161" i="14"/>
  <c r="AG80" i="14"/>
  <c r="BP80" i="14"/>
  <c r="AG81" i="14"/>
  <c r="BJ548" i="14"/>
  <c r="BL82" i="14"/>
  <c r="BJ163" i="14"/>
  <c r="BK82" i="14"/>
  <c r="R83" i="14"/>
  <c r="AQ84" i="14"/>
  <c r="BP84" i="14"/>
  <c r="AG85" i="14"/>
  <c r="BA85" i="14"/>
  <c r="BT551" i="14"/>
  <c r="BT166" i="14"/>
  <c r="BT243" i="14"/>
  <c r="BV85" i="14"/>
  <c r="BC553" i="14"/>
  <c r="BC245" i="14"/>
  <c r="BC168" i="14"/>
  <c r="AQ88" i="14"/>
  <c r="M89" i="14"/>
  <c r="N89" i="14" s="1"/>
  <c r="BA89" i="14"/>
  <c r="BT555" i="14"/>
  <c r="BT247" i="14"/>
  <c r="BT170" i="14"/>
  <c r="BV89" i="14"/>
  <c r="Q556" i="14"/>
  <c r="Q248" i="14"/>
  <c r="Q171" i="14"/>
  <c r="S90" i="14"/>
  <c r="C91" i="14"/>
  <c r="D91" i="14" s="1"/>
  <c r="BB557" i="14"/>
  <c r="BB249" i="14"/>
  <c r="BB172" i="14"/>
  <c r="BO557" i="14"/>
  <c r="BO249" i="14"/>
  <c r="BQ91" i="14"/>
  <c r="BO172" i="14"/>
  <c r="BP91" i="14"/>
  <c r="W92" i="14"/>
  <c r="AV92" i="14"/>
  <c r="BO250" i="14"/>
  <c r="BO558" i="14"/>
  <c r="BO173" i="14"/>
  <c r="BQ92" i="14"/>
  <c r="AK559" i="14"/>
  <c r="AM93" i="14"/>
  <c r="AK251" i="14"/>
  <c r="AK174" i="14"/>
  <c r="AL93" i="14"/>
  <c r="M94" i="14"/>
  <c r="AL94" i="14"/>
  <c r="BE560" i="14"/>
  <c r="BE252" i="14"/>
  <c r="BE175" i="14"/>
  <c r="BG94" i="14"/>
  <c r="BQ252" i="14"/>
  <c r="BQ560" i="14"/>
  <c r="BQ175" i="14"/>
  <c r="G561" i="14"/>
  <c r="G253" i="14"/>
  <c r="G176" i="14"/>
  <c r="H95" i="14"/>
  <c r="I95" i="14" s="1"/>
  <c r="AL561" i="14"/>
  <c r="AL253" i="14"/>
  <c r="AL176" i="14"/>
  <c r="AN95" i="14" a="1"/>
  <c r="AN95" i="14" s="1"/>
  <c r="BK95" i="14"/>
  <c r="G562" i="14"/>
  <c r="G254" i="14"/>
  <c r="G177" i="14"/>
  <c r="AZ562" i="14"/>
  <c r="AZ254" i="14"/>
  <c r="BB96" i="14"/>
  <c r="AZ177" i="14"/>
  <c r="BA96" i="14"/>
  <c r="H97" i="14"/>
  <c r="Q564" i="14"/>
  <c r="Q256" i="14"/>
  <c r="Q179" i="14"/>
  <c r="S98" i="14"/>
  <c r="B565" i="14"/>
  <c r="B257" i="14"/>
  <c r="B180" i="14"/>
  <c r="V565" i="14"/>
  <c r="V257" i="14"/>
  <c r="V180" i="14"/>
  <c r="X99" i="14"/>
  <c r="BJ565" i="14"/>
  <c r="BJ257" i="14"/>
  <c r="BJ180" i="14"/>
  <c r="BL99" i="14"/>
  <c r="AA258" i="14"/>
  <c r="AA566" i="14"/>
  <c r="AA181" i="14"/>
  <c r="AC100" i="14"/>
  <c r="AU258" i="14"/>
  <c r="AU566" i="14"/>
  <c r="AU181" i="14"/>
  <c r="AW100" i="14"/>
  <c r="H102" i="14"/>
  <c r="AU568" i="14"/>
  <c r="AU260" i="14"/>
  <c r="AU183" i="14"/>
  <c r="AW102" i="14"/>
  <c r="BJ646" i="14"/>
  <c r="BJ338" i="14"/>
  <c r="M104" i="14"/>
  <c r="AF570" i="14"/>
  <c r="AF262" i="14"/>
  <c r="AH104" i="14"/>
  <c r="BP104" i="14"/>
  <c r="M105" i="14"/>
  <c r="AH574" i="14"/>
  <c r="AH266" i="14"/>
  <c r="AH189" i="14"/>
  <c r="X575" i="14"/>
  <c r="X267" i="14"/>
  <c r="X190" i="14"/>
  <c r="I576" i="14"/>
  <c r="I268" i="14"/>
  <c r="I191" i="14"/>
  <c r="AB576" i="14"/>
  <c r="AB268" i="14"/>
  <c r="AB191" i="14"/>
  <c r="AD110" i="14" a="1"/>
  <c r="AD110" i="14" s="1"/>
  <c r="BG576" i="14"/>
  <c r="BG268" i="14"/>
  <c r="BG191" i="14"/>
  <c r="BT576" i="14"/>
  <c r="BT268" i="14"/>
  <c r="BV110" i="14"/>
  <c r="BT191" i="14"/>
  <c r="BU110" i="14"/>
  <c r="AG111" i="14"/>
  <c r="BK269" i="14"/>
  <c r="BK577" i="14"/>
  <c r="BK192" i="14"/>
  <c r="BM111" i="14" a="1"/>
  <c r="BM111" i="14" s="1"/>
  <c r="M112" i="14"/>
  <c r="AF578" i="14"/>
  <c r="AH112" i="14"/>
  <c r="BF270" i="14"/>
  <c r="BF193" i="14"/>
  <c r="BF578" i="14"/>
  <c r="BH112" i="14" a="1"/>
  <c r="BH112" i="14" s="1"/>
  <c r="H113" i="14"/>
  <c r="AA579" i="14"/>
  <c r="AA271" i="14"/>
  <c r="AA194" i="14"/>
  <c r="AC113" i="14"/>
  <c r="AM579" i="14"/>
  <c r="AM271" i="14"/>
  <c r="AM194" i="14"/>
  <c r="BE579" i="14"/>
  <c r="BE271" i="14"/>
  <c r="BE194" i="14"/>
  <c r="BG113" i="14"/>
  <c r="BV579" i="14"/>
  <c r="BV194" i="14"/>
  <c r="BV271" i="14"/>
  <c r="BQ580" i="14"/>
  <c r="BQ195" i="14"/>
  <c r="AF658" i="14"/>
  <c r="AF350" i="14"/>
  <c r="D582" i="14"/>
  <c r="D197" i="14"/>
  <c r="D274" i="14"/>
  <c r="Q582" i="14"/>
  <c r="Q274" i="14"/>
  <c r="Q197" i="14"/>
  <c r="S116" i="14"/>
  <c r="R116" i="14"/>
  <c r="BC582" i="14"/>
  <c r="BC197" i="14"/>
  <c r="AA583" i="14"/>
  <c r="AA275" i="14"/>
  <c r="AA198" i="14"/>
  <c r="AC117" i="14"/>
  <c r="BU275" i="14"/>
  <c r="BU198" i="14"/>
  <c r="BW117" i="14" a="1"/>
  <c r="BW117" i="14" s="1"/>
  <c r="AU661" i="14"/>
  <c r="AU353" i="14"/>
  <c r="AF120" i="14"/>
  <c r="D140" i="14"/>
  <c r="AR140" i="14"/>
  <c r="BT605" i="14"/>
  <c r="BT297" i="14"/>
  <c r="AK606" i="14"/>
  <c r="AK298" i="14"/>
  <c r="B607" i="14"/>
  <c r="B299" i="14"/>
  <c r="AZ609" i="14"/>
  <c r="AZ301" i="14"/>
  <c r="B615" i="14"/>
  <c r="B307" i="14"/>
  <c r="AZ617" i="14"/>
  <c r="AZ309" i="14"/>
  <c r="Q618" i="14"/>
  <c r="Q310" i="14"/>
  <c r="BE618" i="14"/>
  <c r="BE310" i="14"/>
  <c r="AK622" i="14"/>
  <c r="AK314" i="14"/>
  <c r="AZ625" i="14"/>
  <c r="AZ317" i="14"/>
  <c r="Q626" i="14"/>
  <c r="Q318" i="14"/>
  <c r="BE626" i="14"/>
  <c r="BE318" i="14"/>
  <c r="AF629" i="14"/>
  <c r="AF321" i="14"/>
  <c r="AP631" i="14"/>
  <c r="AP323" i="14"/>
  <c r="L633" i="14"/>
  <c r="L325" i="14"/>
  <c r="V635" i="14"/>
  <c r="V327" i="14"/>
  <c r="BT190" i="14"/>
  <c r="AK653" i="14"/>
  <c r="AK345" i="14"/>
  <c r="V654" i="14"/>
  <c r="V346" i="14"/>
  <c r="AU196" i="14"/>
  <c r="BO196" i="14"/>
  <c r="L659" i="14"/>
  <c r="L351" i="14"/>
  <c r="AU659" i="14"/>
  <c r="AU351" i="14"/>
  <c r="BO197" i="14"/>
  <c r="L198" i="14"/>
  <c r="AF198" i="14"/>
  <c r="BF206" i="14"/>
  <c r="B208" i="14"/>
  <c r="AP208" i="14"/>
  <c r="B216" i="14"/>
  <c r="V216" i="14"/>
  <c r="AP216" i="14"/>
  <c r="D217" i="14"/>
  <c r="AR217" i="14"/>
  <c r="B232" i="14"/>
  <c r="AP232" i="14"/>
  <c r="B240" i="14"/>
  <c r="AP240" i="14"/>
  <c r="AG213" i="14"/>
  <c r="AG521" i="14"/>
  <c r="AG136" i="14"/>
  <c r="AC526" i="14"/>
  <c r="AC218" i="14"/>
  <c r="N49" i="14"/>
  <c r="N45" i="14"/>
  <c r="AH49" i="14"/>
  <c r="AH45" i="14"/>
  <c r="D517" i="14"/>
  <c r="D132" i="14"/>
  <c r="X517" i="14"/>
  <c r="X132" i="14"/>
  <c r="J25" i="14"/>
  <c r="Y25" i="14"/>
  <c r="X55" i="14" s="1"/>
  <c r="AL25" i="14"/>
  <c r="AL55" i="14" s="1"/>
  <c r="O26" i="14"/>
  <c r="N56" i="14" s="1"/>
  <c r="H28" i="14"/>
  <c r="H58" i="14" s="1"/>
  <c r="AB524" i="14"/>
  <c r="AB216" i="14"/>
  <c r="AB139" i="14"/>
  <c r="AC140" i="14"/>
  <c r="AC217" i="14"/>
  <c r="M526" i="14"/>
  <c r="M141" i="14"/>
  <c r="M218" i="14"/>
  <c r="AG526" i="14"/>
  <c r="AG141" i="14"/>
  <c r="AG218" i="14"/>
  <c r="D512" i="14"/>
  <c r="D123" i="14"/>
  <c r="D589" i="14" s="1"/>
  <c r="H512" i="14"/>
  <c r="H123" i="14"/>
  <c r="H589" i="14" s="1"/>
  <c r="M512" i="14"/>
  <c r="M123" i="14"/>
  <c r="M589" i="14" s="1"/>
  <c r="R512" i="14"/>
  <c r="R123" i="14"/>
  <c r="R589" i="14" s="1"/>
  <c r="V512" i="14"/>
  <c r="V120" i="14"/>
  <c r="AR512" i="14"/>
  <c r="AR123" i="14"/>
  <c r="AR589" i="14" s="1"/>
  <c r="BA42" i="14"/>
  <c r="BF42" i="14"/>
  <c r="BL42" i="14"/>
  <c r="BU42" i="14"/>
  <c r="AC513" i="14"/>
  <c r="AC124" i="14"/>
  <c r="AC590" i="14" s="1"/>
  <c r="AG513" i="14"/>
  <c r="AG124" i="14"/>
  <c r="AG590" i="14" s="1"/>
  <c r="AL513" i="14"/>
  <c r="AL124" i="14"/>
  <c r="AL590" i="14" s="1"/>
  <c r="AU513" i="14"/>
  <c r="AV43" i="14"/>
  <c r="BJ513" i="14"/>
  <c r="BL43" i="14"/>
  <c r="BO513" i="14"/>
  <c r="BP43" i="14"/>
  <c r="BG514" i="14"/>
  <c r="BG125" i="14"/>
  <c r="BG591" i="14" s="1"/>
  <c r="BL44" i="14"/>
  <c r="W515" i="14"/>
  <c r="W126" i="14"/>
  <c r="W592" i="14" s="1"/>
  <c r="AB515" i="14"/>
  <c r="AB126" i="14"/>
  <c r="AB592" i="14" s="1"/>
  <c r="AG515" i="14"/>
  <c r="AG126" i="14"/>
  <c r="AG592" i="14" s="1"/>
  <c r="AZ515" i="14"/>
  <c r="BB45" i="14"/>
  <c r="BE515" i="14"/>
  <c r="BF45" i="14"/>
  <c r="BT515" i="14"/>
  <c r="BV45" i="14"/>
  <c r="X204" i="14"/>
  <c r="X127" i="14"/>
  <c r="X281" i="14" s="1"/>
  <c r="AB204" i="14"/>
  <c r="AB127" i="14"/>
  <c r="AB281" i="14" s="1"/>
  <c r="AG204" i="14"/>
  <c r="AG127" i="14"/>
  <c r="AG281" i="14" s="1"/>
  <c r="AL204" i="14"/>
  <c r="AL127" i="14"/>
  <c r="AL281" i="14" s="1"/>
  <c r="I128" i="14"/>
  <c r="I282" i="14" s="1"/>
  <c r="I205" i="14"/>
  <c r="M205" i="14"/>
  <c r="M128" i="14"/>
  <c r="M282" i="14" s="1"/>
  <c r="R205" i="14"/>
  <c r="R128" i="14"/>
  <c r="R282" i="14" s="1"/>
  <c r="W205" i="14"/>
  <c r="W128" i="14"/>
  <c r="W282" i="14" s="1"/>
  <c r="BG47" i="14"/>
  <c r="W206" i="14"/>
  <c r="W129" i="14"/>
  <c r="W283" i="14" s="1"/>
  <c r="AU206" i="14"/>
  <c r="AW48" i="14"/>
  <c r="AZ206" i="14"/>
  <c r="BA48" i="14"/>
  <c r="BO206" i="14"/>
  <c r="BQ48" i="14"/>
  <c r="BT206" i="14"/>
  <c r="BU48" i="14"/>
  <c r="BH49" i="14" a="1"/>
  <c r="BH49" i="14" s="1"/>
  <c r="BL207" i="14"/>
  <c r="BL130" i="14"/>
  <c r="BL284" i="14" s="1"/>
  <c r="D516" i="14"/>
  <c r="D208" i="14"/>
  <c r="D131" i="14"/>
  <c r="H516" i="14"/>
  <c r="H208" i="14"/>
  <c r="H131" i="14"/>
  <c r="M516" i="14"/>
  <c r="M208" i="14"/>
  <c r="M131" i="14"/>
  <c r="R516" i="14"/>
  <c r="R208" i="14"/>
  <c r="R131" i="14"/>
  <c r="AR516" i="14"/>
  <c r="AR208" i="14"/>
  <c r="AR131" i="14"/>
  <c r="R51" i="14"/>
  <c r="AL51" i="14"/>
  <c r="AW517" i="14"/>
  <c r="AW132" i="14"/>
  <c r="AW209" i="14"/>
  <c r="BK209" i="14"/>
  <c r="BK132" i="14"/>
  <c r="BQ132" i="14"/>
  <c r="BQ209" i="14"/>
  <c r="C52" i="14"/>
  <c r="W52" i="14"/>
  <c r="AQ52" i="14"/>
  <c r="BB518" i="14"/>
  <c r="BB133" i="14"/>
  <c r="BK210" i="14"/>
  <c r="BK518" i="14"/>
  <c r="BK133" i="14"/>
  <c r="BA519" i="14"/>
  <c r="BA211" i="14"/>
  <c r="BA134" i="14"/>
  <c r="BG519" i="14"/>
  <c r="BG211" i="14"/>
  <c r="BG134" i="14"/>
  <c r="BU519" i="14"/>
  <c r="BU211" i="14"/>
  <c r="BU134" i="14"/>
  <c r="AV520" i="14"/>
  <c r="AV212" i="14"/>
  <c r="AV135" i="14"/>
  <c r="BA520" i="14"/>
  <c r="BA212" i="14"/>
  <c r="BA135" i="14"/>
  <c r="BC54" i="14" a="1"/>
  <c r="BC54" i="14" s="1"/>
  <c r="BL520" i="14"/>
  <c r="BL212" i="14"/>
  <c r="BL135" i="14"/>
  <c r="BP520" i="14"/>
  <c r="BP212" i="14"/>
  <c r="BP135" i="14"/>
  <c r="BJ521" i="14"/>
  <c r="BJ213" i="14"/>
  <c r="BL55" i="14"/>
  <c r="D56" i="14"/>
  <c r="L214" i="14"/>
  <c r="L522" i="14"/>
  <c r="AF214" i="14"/>
  <c r="AF522" i="14"/>
  <c r="AZ214" i="14"/>
  <c r="AZ522" i="14"/>
  <c r="BB56" i="14"/>
  <c r="BA56" i="14"/>
  <c r="BK214" i="14"/>
  <c r="BK137" i="14"/>
  <c r="BM56" i="14" a="1"/>
  <c r="BM56" i="14" s="1"/>
  <c r="AV523" i="14"/>
  <c r="AV138" i="14"/>
  <c r="AX57" i="14" a="1"/>
  <c r="AX57" i="14" s="1"/>
  <c r="BU523" i="14"/>
  <c r="BU215" i="14"/>
  <c r="BW57" i="14" a="1"/>
  <c r="BW57" i="14" s="1"/>
  <c r="BU138" i="14"/>
  <c r="AX524" i="14"/>
  <c r="AX139" i="14"/>
  <c r="BE524" i="14"/>
  <c r="BE216" i="14"/>
  <c r="BE139" i="14"/>
  <c r="BQ216" i="14"/>
  <c r="BQ139" i="14"/>
  <c r="G525" i="14"/>
  <c r="G217" i="14"/>
  <c r="G140" i="14"/>
  <c r="N525" i="14"/>
  <c r="N140" i="14"/>
  <c r="AA525" i="14"/>
  <c r="AA217" i="14"/>
  <c r="AA140" i="14"/>
  <c r="AH525" i="14"/>
  <c r="AH140" i="14"/>
  <c r="AU525" i="14"/>
  <c r="AU217" i="14"/>
  <c r="AU140" i="14"/>
  <c r="AV59" i="14"/>
  <c r="BK217" i="14"/>
  <c r="BK140" i="14"/>
  <c r="BM59" i="14" a="1"/>
  <c r="BM59" i="14" s="1"/>
  <c r="G526" i="14"/>
  <c r="G218" i="14"/>
  <c r="G141" i="14"/>
  <c r="O60" i="14" a="1"/>
  <c r="O60" i="14" s="1"/>
  <c r="T60" i="14" a="1"/>
  <c r="T60" i="14" s="1"/>
  <c r="AA526" i="14"/>
  <c r="AA218" i="14"/>
  <c r="AA141" i="14"/>
  <c r="AI60" i="14" a="1"/>
  <c r="AI60" i="14" s="1"/>
  <c r="AN60" i="14" a="1"/>
  <c r="AN60" i="14" s="1"/>
  <c r="AU526" i="14"/>
  <c r="AU218" i="14"/>
  <c r="AU141" i="14"/>
  <c r="BT218" i="14"/>
  <c r="BT526" i="14"/>
  <c r="BV60" i="14"/>
  <c r="BT141" i="14"/>
  <c r="BU60" i="14"/>
  <c r="H527" i="14"/>
  <c r="H142" i="14"/>
  <c r="AG527" i="14"/>
  <c r="AG142" i="14"/>
  <c r="AG219" i="14"/>
  <c r="AZ527" i="14"/>
  <c r="AZ142" i="14"/>
  <c r="BA75" i="14"/>
  <c r="BA71" i="14"/>
  <c r="BA67" i="14"/>
  <c r="BA63" i="14"/>
  <c r="AZ219" i="14"/>
  <c r="BB61" i="14"/>
  <c r="BL527" i="14"/>
  <c r="BL219" i="14"/>
  <c r="BL142" i="14"/>
  <c r="B528" i="14"/>
  <c r="C81" i="14"/>
  <c r="C77" i="14"/>
  <c r="C73" i="14"/>
  <c r="C69" i="14"/>
  <c r="C65" i="14"/>
  <c r="B143" i="14"/>
  <c r="C62" i="14"/>
  <c r="D62" i="14" s="1"/>
  <c r="V528" i="14"/>
  <c r="W81" i="14"/>
  <c r="W77" i="14"/>
  <c r="W73" i="14"/>
  <c r="W69" i="14"/>
  <c r="W65" i="14"/>
  <c r="V143" i="14"/>
  <c r="W62" i="14"/>
  <c r="X62" i="14" s="1"/>
  <c r="AP528" i="14"/>
  <c r="AQ81" i="14"/>
  <c r="AQ77" i="14"/>
  <c r="AQ73" i="14"/>
  <c r="AQ69" i="14"/>
  <c r="AQ65" i="14"/>
  <c r="AP143" i="14"/>
  <c r="AQ62" i="14"/>
  <c r="BJ528" i="14"/>
  <c r="BK73" i="14"/>
  <c r="BK69" i="14"/>
  <c r="BK65" i="14"/>
  <c r="BJ143" i="14"/>
  <c r="BK62" i="14"/>
  <c r="BL62" i="14" s="1"/>
  <c r="G529" i="14"/>
  <c r="G221" i="14"/>
  <c r="G144" i="14"/>
  <c r="H63" i="14"/>
  <c r="AA529" i="14"/>
  <c r="AA221" i="14"/>
  <c r="AA144" i="14"/>
  <c r="AB63" i="14"/>
  <c r="AC63" i="14" s="1"/>
  <c r="AU529" i="14"/>
  <c r="AU221" i="14"/>
  <c r="AU144" i="14"/>
  <c r="AV63" i="14"/>
  <c r="AW63" i="14" s="1"/>
  <c r="BO529" i="14"/>
  <c r="BO221" i="14"/>
  <c r="BO144" i="14"/>
  <c r="BP63" i="14"/>
  <c r="BQ63" i="14" s="1"/>
  <c r="L222" i="14"/>
  <c r="L530" i="14"/>
  <c r="L145" i="14"/>
  <c r="M64" i="14"/>
  <c r="AF222" i="14"/>
  <c r="AF530" i="14"/>
  <c r="AF145" i="14"/>
  <c r="AG64" i="14"/>
  <c r="AH64" i="14" s="1"/>
  <c r="AZ222" i="14"/>
  <c r="AZ530" i="14"/>
  <c r="AZ145" i="14"/>
  <c r="BA64" i="14"/>
  <c r="BB64" i="14" s="1"/>
  <c r="BT222" i="14"/>
  <c r="BT530" i="14"/>
  <c r="BT145" i="14"/>
  <c r="BU64" i="14"/>
  <c r="BV64" i="14" s="1"/>
  <c r="Q531" i="14"/>
  <c r="Q146" i="14"/>
  <c r="R65" i="14"/>
  <c r="S65" i="14" s="1"/>
  <c r="AK146" i="14"/>
  <c r="AL65" i="14"/>
  <c r="AM65" i="14" s="1"/>
  <c r="BE531" i="14"/>
  <c r="BE146" i="14"/>
  <c r="BF65" i="14"/>
  <c r="BG65" i="14" s="1"/>
  <c r="B532" i="14"/>
  <c r="B147" i="14"/>
  <c r="C66" i="14"/>
  <c r="D66" i="14" s="1"/>
  <c r="V532" i="14"/>
  <c r="V147" i="14"/>
  <c r="W66" i="14"/>
  <c r="X66" i="14" s="1"/>
  <c r="AP532" i="14"/>
  <c r="AP147" i="14"/>
  <c r="AQ66" i="14"/>
  <c r="AR66" i="14" s="1"/>
  <c r="BJ532" i="14"/>
  <c r="BJ147" i="14"/>
  <c r="BK66" i="14"/>
  <c r="BL66" i="14" s="1"/>
  <c r="G533" i="14"/>
  <c r="G225" i="14"/>
  <c r="G148" i="14"/>
  <c r="H67" i="14"/>
  <c r="I67" i="14" s="1"/>
  <c r="AA533" i="14"/>
  <c r="AA225" i="14"/>
  <c r="AA148" i="14"/>
  <c r="AB67" i="14"/>
  <c r="AU533" i="14"/>
  <c r="AU225" i="14"/>
  <c r="AU148" i="14"/>
  <c r="AV67" i="14"/>
  <c r="AW67" i="14" s="1"/>
  <c r="BO533" i="14"/>
  <c r="BO225" i="14"/>
  <c r="BO148" i="14"/>
  <c r="BP67" i="14"/>
  <c r="BQ67" i="14" s="1"/>
  <c r="L226" i="14"/>
  <c r="L534" i="14"/>
  <c r="L149" i="14"/>
  <c r="M68" i="14"/>
  <c r="N68" i="14" s="1"/>
  <c r="AF226" i="14"/>
  <c r="AF534" i="14"/>
  <c r="AF149" i="14"/>
  <c r="AG68" i="14"/>
  <c r="AZ226" i="14"/>
  <c r="AZ534" i="14"/>
  <c r="AZ149" i="14"/>
  <c r="BA68" i="14"/>
  <c r="BB68" i="14" s="1"/>
  <c r="BT226" i="14"/>
  <c r="BT534" i="14"/>
  <c r="BV68" i="14"/>
  <c r="BT149" i="14"/>
  <c r="BU68" i="14"/>
  <c r="Q150" i="14"/>
  <c r="R69" i="14"/>
  <c r="S69" i="14" s="1"/>
  <c r="AK535" i="14"/>
  <c r="AK150" i="14"/>
  <c r="AL69" i="14"/>
  <c r="AM69" i="14" s="1"/>
  <c r="BE150" i="14"/>
  <c r="BF69" i="14"/>
  <c r="B536" i="14"/>
  <c r="B151" i="14"/>
  <c r="C70" i="14"/>
  <c r="V536" i="14"/>
  <c r="V151" i="14"/>
  <c r="W70" i="14"/>
  <c r="AP536" i="14"/>
  <c r="AP151" i="14"/>
  <c r="AQ70" i="14"/>
  <c r="BJ536" i="14"/>
  <c r="BJ151" i="14"/>
  <c r="BK70" i="14"/>
  <c r="G537" i="14"/>
  <c r="G229" i="14"/>
  <c r="G152" i="14"/>
  <c r="H71" i="14"/>
  <c r="I71" i="14" s="1"/>
  <c r="AA537" i="14"/>
  <c r="AA229" i="14"/>
  <c r="AA152" i="14"/>
  <c r="AB71" i="14"/>
  <c r="AU537" i="14"/>
  <c r="AU229" i="14"/>
  <c r="AU152" i="14"/>
  <c r="AV71" i="14"/>
  <c r="AW71" i="14" s="1"/>
  <c r="BG537" i="14"/>
  <c r="BO537" i="14"/>
  <c r="BO229" i="14"/>
  <c r="BO152" i="14"/>
  <c r="BP71" i="14"/>
  <c r="C72" i="14"/>
  <c r="W72" i="14"/>
  <c r="AQ72" i="14"/>
  <c r="BP538" i="14"/>
  <c r="BP153" i="14"/>
  <c r="BR72" i="14" a="1"/>
  <c r="BR72" i="14" s="1"/>
  <c r="M73" i="14"/>
  <c r="AG73" i="14"/>
  <c r="BA73" i="14"/>
  <c r="BU539" i="14"/>
  <c r="BU154" i="14"/>
  <c r="BU231" i="14"/>
  <c r="BW73" i="14" a="1"/>
  <c r="BW73" i="14" s="1"/>
  <c r="R74" i="14"/>
  <c r="AL540" i="14"/>
  <c r="AL232" i="14"/>
  <c r="AL155" i="14"/>
  <c r="AN74" i="14" a="1"/>
  <c r="AN74" i="14" s="1"/>
  <c r="BF540" i="14"/>
  <c r="BF232" i="14"/>
  <c r="BF155" i="14"/>
  <c r="BH74" i="14" a="1"/>
  <c r="BH74" i="14" s="1"/>
  <c r="B541" i="14"/>
  <c r="B233" i="14"/>
  <c r="B156" i="14"/>
  <c r="V541" i="14"/>
  <c r="V233" i="14"/>
  <c r="V156" i="14"/>
  <c r="AP541" i="14"/>
  <c r="AP233" i="14"/>
  <c r="AP156" i="14"/>
  <c r="BJ541" i="14"/>
  <c r="BJ233" i="14"/>
  <c r="BJ156" i="14"/>
  <c r="L234" i="14"/>
  <c r="L542" i="14"/>
  <c r="L157" i="14"/>
  <c r="M76" i="14"/>
  <c r="N76" i="14" s="1"/>
  <c r="AF234" i="14"/>
  <c r="AF542" i="14"/>
  <c r="AF157" i="14"/>
  <c r="AG76" i="14"/>
  <c r="AQ76" i="14"/>
  <c r="BP542" i="14"/>
  <c r="BP157" i="14"/>
  <c r="BR76" i="14" a="1"/>
  <c r="BR76" i="14" s="1"/>
  <c r="M77" i="14"/>
  <c r="N77" i="14" s="1"/>
  <c r="AG77" i="14"/>
  <c r="AH77" i="14" s="1"/>
  <c r="BA543" i="14"/>
  <c r="BA158" i="14"/>
  <c r="BA235" i="14"/>
  <c r="BC77" i="14" a="1"/>
  <c r="BC77" i="14" s="1"/>
  <c r="BT543" i="14"/>
  <c r="BT158" i="14"/>
  <c r="BT235" i="14"/>
  <c r="BV77" i="14"/>
  <c r="Q544" i="14"/>
  <c r="Q236" i="14"/>
  <c r="Q159" i="14"/>
  <c r="AK544" i="14"/>
  <c r="AK236" i="14"/>
  <c r="AK159" i="14"/>
  <c r="AM78" i="14"/>
  <c r="BE544" i="14"/>
  <c r="BE236" i="14"/>
  <c r="BE159" i="14"/>
  <c r="BG78" i="14"/>
  <c r="BQ236" i="14"/>
  <c r="BQ544" i="14"/>
  <c r="BQ159" i="14"/>
  <c r="BV544" i="14"/>
  <c r="BV236" i="14"/>
  <c r="G545" i="14"/>
  <c r="G237" i="14"/>
  <c r="G160" i="14"/>
  <c r="H79" i="14"/>
  <c r="I79" i="14" s="1"/>
  <c r="AA545" i="14"/>
  <c r="AA237" i="14"/>
  <c r="AA160" i="14"/>
  <c r="AB79" i="14"/>
  <c r="AM545" i="14"/>
  <c r="AM237" i="14"/>
  <c r="AU545" i="14"/>
  <c r="AU237" i="14"/>
  <c r="AU160" i="14"/>
  <c r="AV79" i="14"/>
  <c r="AW79" i="14" s="1"/>
  <c r="BF545" i="14"/>
  <c r="BF237" i="14"/>
  <c r="BF160" i="14"/>
  <c r="BH79" i="14" a="1"/>
  <c r="BH79" i="14" s="1"/>
  <c r="H80" i="14"/>
  <c r="AB80" i="14"/>
  <c r="AC80" i="14" s="1"/>
  <c r="AU546" i="14"/>
  <c r="AU238" i="14"/>
  <c r="AU161" i="14"/>
  <c r="BG546" i="14"/>
  <c r="BG238" i="14"/>
  <c r="BG161" i="14"/>
  <c r="BT238" i="14"/>
  <c r="BT546" i="14"/>
  <c r="BV80" i="14"/>
  <c r="BT161" i="14"/>
  <c r="BU80" i="14"/>
  <c r="Q547" i="14"/>
  <c r="Q162" i="14"/>
  <c r="R81" i="14"/>
  <c r="AM81" i="14"/>
  <c r="AK162" i="14"/>
  <c r="AL81" i="14"/>
  <c r="BE547" i="14"/>
  <c r="BG81" i="14"/>
  <c r="BE162" i="14"/>
  <c r="BF81" i="14"/>
  <c r="M82" i="14"/>
  <c r="AG548" i="14"/>
  <c r="AG240" i="14"/>
  <c r="AG163" i="14"/>
  <c r="AI82" i="14" a="1"/>
  <c r="AI82" i="14" s="1"/>
  <c r="BF548" i="14"/>
  <c r="BF240" i="14"/>
  <c r="BF163" i="14"/>
  <c r="BH82" i="14" a="1"/>
  <c r="BH82" i="14" s="1"/>
  <c r="B549" i="14"/>
  <c r="B241" i="14"/>
  <c r="B164" i="14"/>
  <c r="V549" i="14"/>
  <c r="V241" i="14"/>
  <c r="V164" i="14"/>
  <c r="X83" i="14"/>
  <c r="AM549" i="14"/>
  <c r="AM241" i="14"/>
  <c r="AU549" i="14"/>
  <c r="AU241" i="14"/>
  <c r="AW83" i="14"/>
  <c r="AU164" i="14"/>
  <c r="AV83" i="14"/>
  <c r="BF549" i="14"/>
  <c r="BF241" i="14"/>
  <c r="BF164" i="14"/>
  <c r="BH83" i="14" a="1"/>
  <c r="BH83" i="14" s="1"/>
  <c r="H84" i="14"/>
  <c r="AB84" i="14"/>
  <c r="AU550" i="14"/>
  <c r="AU242" i="14"/>
  <c r="AU165" i="14"/>
  <c r="AW84" i="14"/>
  <c r="BT242" i="14"/>
  <c r="BT550" i="14"/>
  <c r="BV84" i="14"/>
  <c r="BT165" i="14"/>
  <c r="BU84" i="14"/>
  <c r="Q166" i="14"/>
  <c r="R85" i="14"/>
  <c r="S85" i="14" s="1"/>
  <c r="AK551" i="14"/>
  <c r="AM85" i="14"/>
  <c r="AK166" i="14"/>
  <c r="AL85" i="14"/>
  <c r="AW551" i="14"/>
  <c r="AW243" i="14"/>
  <c r="BG85" i="14"/>
  <c r="BE166" i="14"/>
  <c r="BF85" i="14"/>
  <c r="BP551" i="14"/>
  <c r="BP166" i="14"/>
  <c r="BR85" i="14" a="1"/>
  <c r="BR85" i="14" s="1"/>
  <c r="M86" i="14"/>
  <c r="BF552" i="14"/>
  <c r="BF244" i="14"/>
  <c r="BF167" i="14"/>
  <c r="BH86" i="14" a="1"/>
  <c r="BH86" i="14" s="1"/>
  <c r="B553" i="14"/>
  <c r="B245" i="14"/>
  <c r="B168" i="14"/>
  <c r="V553" i="14"/>
  <c r="V245" i="14"/>
  <c r="V168" i="14"/>
  <c r="AH553" i="14"/>
  <c r="AH245" i="14"/>
  <c r="AH168" i="14"/>
  <c r="AU553" i="14"/>
  <c r="AU245" i="14"/>
  <c r="AW87" i="14"/>
  <c r="AU168" i="14"/>
  <c r="AV87" i="14"/>
  <c r="BF553" i="14"/>
  <c r="BF245" i="14"/>
  <c r="BF168" i="14"/>
  <c r="BH87" i="14" a="1"/>
  <c r="BH87" i="14" s="1"/>
  <c r="H88" i="14"/>
  <c r="AB88" i="14"/>
  <c r="AU246" i="14"/>
  <c r="AU554" i="14"/>
  <c r="AU169" i="14"/>
  <c r="AW88" i="14"/>
  <c r="BT246" i="14"/>
  <c r="BT554" i="14"/>
  <c r="BV88" i="14"/>
  <c r="BT169" i="14"/>
  <c r="BU88" i="14"/>
  <c r="Q555" i="14"/>
  <c r="Q247" i="14"/>
  <c r="Q170" i="14"/>
  <c r="R89" i="14"/>
  <c r="S89" i="14" s="1"/>
  <c r="AC555" i="14"/>
  <c r="AC247" i="14"/>
  <c r="AM89" i="14"/>
  <c r="AK170" i="14"/>
  <c r="AL89" i="14"/>
  <c r="BE555" i="14"/>
  <c r="BG89" i="14"/>
  <c r="BE247" i="14"/>
  <c r="BE170" i="14"/>
  <c r="BF89" i="14"/>
  <c r="M90" i="14"/>
  <c r="AL556" i="14"/>
  <c r="AL248" i="14"/>
  <c r="AL171" i="14"/>
  <c r="AN90" i="14" a="1"/>
  <c r="AN90" i="14" s="1"/>
  <c r="AX556" i="14"/>
  <c r="AX248" i="14"/>
  <c r="AX171" i="14"/>
  <c r="BE556" i="14"/>
  <c r="BE248" i="14"/>
  <c r="BE171" i="14"/>
  <c r="BG90" i="14"/>
  <c r="BQ248" i="14"/>
  <c r="BQ171" i="14"/>
  <c r="BV248" i="14"/>
  <c r="BV556" i="14"/>
  <c r="G557" i="14"/>
  <c r="G249" i="14"/>
  <c r="G172" i="14"/>
  <c r="H91" i="14"/>
  <c r="I91" i="14" s="1"/>
  <c r="AA557" i="14"/>
  <c r="AA249" i="14"/>
  <c r="AC91" i="14"/>
  <c r="AA172" i="14"/>
  <c r="AB91" i="14"/>
  <c r="BK249" i="14"/>
  <c r="BK172" i="14"/>
  <c r="BM91" i="14" a="1"/>
  <c r="BM91" i="14" s="1"/>
  <c r="G250" i="14"/>
  <c r="G558" i="14"/>
  <c r="G173" i="14"/>
  <c r="AA250" i="14"/>
  <c r="AA558" i="14"/>
  <c r="AA173" i="14"/>
  <c r="AC92" i="14"/>
  <c r="AZ250" i="14"/>
  <c r="AZ558" i="14"/>
  <c r="BB92" i="14"/>
  <c r="AZ173" i="14"/>
  <c r="BA92" i="14"/>
  <c r="H93" i="14"/>
  <c r="BA559" i="14"/>
  <c r="BA251" i="14"/>
  <c r="BA174" i="14"/>
  <c r="BC93" i="14" a="1"/>
  <c r="BC93" i="14" s="1"/>
  <c r="BT559" i="14"/>
  <c r="BT174" i="14"/>
  <c r="BV93" i="14"/>
  <c r="Q560" i="14"/>
  <c r="Q252" i="14"/>
  <c r="Q175" i="14"/>
  <c r="AP560" i="14"/>
  <c r="AP252" i="14"/>
  <c r="AP175" i="14"/>
  <c r="AQ94" i="14"/>
  <c r="C95" i="14"/>
  <c r="D95" i="14" s="1"/>
  <c r="W253" i="14"/>
  <c r="W176" i="14"/>
  <c r="Y95" i="14" a="1"/>
  <c r="Y95" i="14" s="1"/>
  <c r="W561" i="14"/>
  <c r="AP561" i="14"/>
  <c r="AP253" i="14"/>
  <c r="AP176" i="14"/>
  <c r="BB561" i="14"/>
  <c r="BB253" i="14"/>
  <c r="BB176" i="14"/>
  <c r="BO561" i="14"/>
  <c r="BO253" i="14"/>
  <c r="BQ95" i="14"/>
  <c r="BO176" i="14"/>
  <c r="BP95" i="14"/>
  <c r="C96" i="14"/>
  <c r="AV562" i="14"/>
  <c r="AV177" i="14"/>
  <c r="AV254" i="14"/>
  <c r="AX96" i="14" a="1"/>
  <c r="AX96" i="14" s="1"/>
  <c r="BO254" i="14"/>
  <c r="BO177" i="14"/>
  <c r="BQ96" i="14"/>
  <c r="L178" i="14"/>
  <c r="N97" i="14"/>
  <c r="AC563" i="14"/>
  <c r="AC255" i="14"/>
  <c r="AK563" i="14"/>
  <c r="AM97" i="14"/>
  <c r="AK178" i="14"/>
  <c r="AL97" i="14"/>
  <c r="BE563" i="14"/>
  <c r="BG97" i="14"/>
  <c r="BE255" i="14"/>
  <c r="BE178" i="14"/>
  <c r="BF97" i="14"/>
  <c r="BP563" i="14"/>
  <c r="BP255" i="14"/>
  <c r="BP178" i="14"/>
  <c r="BR97" i="14" a="1"/>
  <c r="BR97" i="14" s="1"/>
  <c r="M98" i="14"/>
  <c r="R99" i="14"/>
  <c r="AL565" i="14"/>
  <c r="AL257" i="14"/>
  <c r="AL180" i="14"/>
  <c r="AN99" i="14" a="1"/>
  <c r="AN99" i="14" s="1"/>
  <c r="C100" i="14"/>
  <c r="AQ100" i="14"/>
  <c r="H101" i="14"/>
  <c r="AB567" i="14"/>
  <c r="AB259" i="14"/>
  <c r="AB182" i="14"/>
  <c r="AD101" i="14" a="1"/>
  <c r="AD101" i="14" s="1"/>
  <c r="AU567" i="14"/>
  <c r="AU259" i="14"/>
  <c r="AW101" i="14"/>
  <c r="BO567" i="14"/>
  <c r="BO259" i="14"/>
  <c r="BQ101" i="14"/>
  <c r="L568" i="14"/>
  <c r="AF568" i="14"/>
  <c r="AF260" i="14"/>
  <c r="AH102" i="14"/>
  <c r="BK568" i="14"/>
  <c r="BK183" i="14"/>
  <c r="BK260" i="14"/>
  <c r="BM102" i="14" a="1"/>
  <c r="BM102" i="14" s="1"/>
  <c r="H103" i="14"/>
  <c r="AB261" i="14"/>
  <c r="AB569" i="14"/>
  <c r="AB184" i="14"/>
  <c r="AD103" i="14" a="1"/>
  <c r="AD103" i="14" s="1"/>
  <c r="AU569" i="14"/>
  <c r="AU261" i="14"/>
  <c r="AW103" i="14"/>
  <c r="BG569" i="14"/>
  <c r="BG261" i="14"/>
  <c r="BT569" i="14"/>
  <c r="BV103" i="14"/>
  <c r="BT261" i="14"/>
  <c r="BU103" i="14"/>
  <c r="Q262" i="14"/>
  <c r="Q570" i="14"/>
  <c r="S104" i="14"/>
  <c r="R104" i="14"/>
  <c r="AB570" i="14"/>
  <c r="AB262" i="14"/>
  <c r="AB185" i="14"/>
  <c r="AD104" i="14" a="1"/>
  <c r="AD104" i="14" s="1"/>
  <c r="AU570" i="14"/>
  <c r="AU262" i="14"/>
  <c r="AU185" i="14"/>
  <c r="AW104" i="14"/>
  <c r="BG570" i="14"/>
  <c r="BG262" i="14"/>
  <c r="BG185" i="14"/>
  <c r="BL570" i="14"/>
  <c r="BL262" i="14"/>
  <c r="BT262" i="14"/>
  <c r="BT570" i="14"/>
  <c r="BV104" i="14"/>
  <c r="BT185" i="14"/>
  <c r="BU104" i="14"/>
  <c r="S105" i="14"/>
  <c r="Q571" i="14"/>
  <c r="Q186" i="14"/>
  <c r="R105" i="14"/>
  <c r="AU571" i="14"/>
  <c r="AU263" i="14"/>
  <c r="AW105" i="14"/>
  <c r="BG571" i="14"/>
  <c r="BG263" i="14"/>
  <c r="BL571" i="14"/>
  <c r="BL263" i="14"/>
  <c r="BL186" i="14"/>
  <c r="BT263" i="14"/>
  <c r="BV105" i="14"/>
  <c r="BU105" i="14"/>
  <c r="Q572" i="14"/>
  <c r="Q264" i="14"/>
  <c r="S106" i="14"/>
  <c r="R106" i="14"/>
  <c r="AU572" i="14"/>
  <c r="AU264" i="14"/>
  <c r="AU187" i="14"/>
  <c r="AW106" i="14"/>
  <c r="BG264" i="14"/>
  <c r="BG572" i="14"/>
  <c r="BG187" i="14"/>
  <c r="BL572" i="14"/>
  <c r="BL264" i="14"/>
  <c r="BT572" i="14"/>
  <c r="BV106" i="14"/>
  <c r="BT187" i="14"/>
  <c r="BU106" i="14"/>
  <c r="Q573" i="14"/>
  <c r="Q265" i="14"/>
  <c r="S107" i="14"/>
  <c r="Q188" i="14"/>
  <c r="R107" i="14"/>
  <c r="AU573" i="14"/>
  <c r="AU265" i="14"/>
  <c r="AW107" i="14"/>
  <c r="BG573" i="14"/>
  <c r="BG265" i="14"/>
  <c r="BT573" i="14"/>
  <c r="BV107" i="14"/>
  <c r="BT265" i="14"/>
  <c r="BU107" i="14"/>
  <c r="Q574" i="14"/>
  <c r="S108" i="14"/>
  <c r="R108" i="14"/>
  <c r="AU574" i="14"/>
  <c r="AU266" i="14"/>
  <c r="AU189" i="14"/>
  <c r="AW108" i="14"/>
  <c r="BT574" i="14"/>
  <c r="BT266" i="14"/>
  <c r="BV108" i="14"/>
  <c r="BT189" i="14"/>
  <c r="BU108" i="14"/>
  <c r="H575" i="14"/>
  <c r="H267" i="14"/>
  <c r="H190" i="14"/>
  <c r="J109" i="14" a="1"/>
  <c r="J109" i="14" s="1"/>
  <c r="AG575" i="14"/>
  <c r="AG267" i="14"/>
  <c r="AG190" i="14"/>
  <c r="AI109" i="14" a="1"/>
  <c r="AI109" i="14" s="1"/>
  <c r="AZ575" i="14"/>
  <c r="BB109" i="14"/>
  <c r="AZ267" i="14"/>
  <c r="BA109" i="14"/>
  <c r="BK575" i="14"/>
  <c r="BK267" i="14"/>
  <c r="BK190" i="14"/>
  <c r="BM109" i="14" a="1"/>
  <c r="BM109" i="14" s="1"/>
  <c r="G653" i="14"/>
  <c r="G345" i="14"/>
  <c r="M576" i="14"/>
  <c r="M268" i="14"/>
  <c r="M191" i="14"/>
  <c r="O110" i="14" a="1"/>
  <c r="O110" i="14" s="1"/>
  <c r="AF576" i="14"/>
  <c r="AF268" i="14"/>
  <c r="AH110" i="14"/>
  <c r="BP576" i="14"/>
  <c r="BP268" i="14"/>
  <c r="BP191" i="14"/>
  <c r="BR110" i="14" a="1"/>
  <c r="BR110" i="14" s="1"/>
  <c r="E577" i="14"/>
  <c r="E269" i="14"/>
  <c r="E192" i="14"/>
  <c r="L577" i="14"/>
  <c r="L269" i="14"/>
  <c r="L192" i="14"/>
  <c r="N111" i="14"/>
  <c r="X577" i="14"/>
  <c r="X269" i="14"/>
  <c r="X192" i="14"/>
  <c r="AK577" i="14"/>
  <c r="AK269" i="14"/>
  <c r="AM111" i="14"/>
  <c r="AK192" i="14"/>
  <c r="AL111" i="14"/>
  <c r="AV577" i="14"/>
  <c r="AV269" i="14"/>
  <c r="AV192" i="14"/>
  <c r="AX111" i="14" a="1"/>
  <c r="AX111" i="14" s="1"/>
  <c r="BO577" i="14"/>
  <c r="BQ111" i="14"/>
  <c r="I578" i="14"/>
  <c r="I270" i="14"/>
  <c r="I193" i="14"/>
  <c r="Q578" i="14"/>
  <c r="Q270" i="14"/>
  <c r="Q193" i="14"/>
  <c r="S112" i="14"/>
  <c r="R112" i="14"/>
  <c r="AD112" i="14" a="1"/>
  <c r="AD112" i="14" s="1"/>
  <c r="BJ578" i="14"/>
  <c r="BJ270" i="14"/>
  <c r="BJ193" i="14"/>
  <c r="BL112" i="14"/>
  <c r="BV578" i="14"/>
  <c r="BV270" i="14"/>
  <c r="BV193" i="14"/>
  <c r="D579" i="14"/>
  <c r="D194" i="14"/>
  <c r="D271" i="14"/>
  <c r="L579" i="14"/>
  <c r="L271" i="14"/>
  <c r="N113" i="14"/>
  <c r="M113" i="14"/>
  <c r="W579" i="14"/>
  <c r="W271" i="14"/>
  <c r="W194" i="14"/>
  <c r="Y113" i="14" a="1"/>
  <c r="Y113" i="14" s="1"/>
  <c r="BA579" i="14"/>
  <c r="BA271" i="14"/>
  <c r="BA194" i="14"/>
  <c r="BC113" i="14" a="1"/>
  <c r="BC113" i="14" s="1"/>
  <c r="C580" i="14"/>
  <c r="C272" i="14"/>
  <c r="C195" i="14"/>
  <c r="E114" i="14" a="1"/>
  <c r="E114" i="14" s="1"/>
  <c r="V580" i="14"/>
  <c r="V272" i="14"/>
  <c r="V195" i="14"/>
  <c r="X114" i="14"/>
  <c r="AV580" i="14"/>
  <c r="AV272" i="14"/>
  <c r="AV195" i="14"/>
  <c r="AX114" i="14" a="1"/>
  <c r="AX114" i="14" s="1"/>
  <c r="BO657" i="14"/>
  <c r="BO349" i="14"/>
  <c r="BU580" i="14"/>
  <c r="BU272" i="14"/>
  <c r="BU195" i="14"/>
  <c r="BW114" i="14" a="1"/>
  <c r="BW114" i="14" s="1"/>
  <c r="Q581" i="14"/>
  <c r="Q273" i="14"/>
  <c r="S115" i="14"/>
  <c r="AC581" i="14"/>
  <c r="AC196" i="14"/>
  <c r="AC273" i="14"/>
  <c r="AR273" i="14"/>
  <c r="AR196" i="14"/>
  <c r="AR350" i="14" s="1"/>
  <c r="AZ581" i="14"/>
  <c r="AZ273" i="14"/>
  <c r="AZ196" i="14"/>
  <c r="BB115" i="14"/>
  <c r="BA115" i="14"/>
  <c r="BK273" i="14"/>
  <c r="BK581" i="14"/>
  <c r="BK196" i="14"/>
  <c r="BM115" i="14" a="1"/>
  <c r="BM115" i="14" s="1"/>
  <c r="M582" i="14"/>
  <c r="M274" i="14"/>
  <c r="M197" i="14"/>
  <c r="O116" i="14" a="1"/>
  <c r="O116" i="14" s="1"/>
  <c r="AF582" i="14"/>
  <c r="AH116" i="14"/>
  <c r="AU582" i="14"/>
  <c r="AU274" i="14"/>
  <c r="AW116" i="14"/>
  <c r="AV116" i="14"/>
  <c r="C583" i="14"/>
  <c r="C275" i="14"/>
  <c r="C198" i="14"/>
  <c r="E117" i="14" a="1"/>
  <c r="E117" i="14" s="1"/>
  <c r="W198" i="14"/>
  <c r="BE583" i="14"/>
  <c r="BE275" i="14"/>
  <c r="BE198" i="14"/>
  <c r="BG117" i="14"/>
  <c r="B584" i="14"/>
  <c r="B276" i="14"/>
  <c r="B199" i="14"/>
  <c r="D118" i="14"/>
  <c r="V584" i="14"/>
  <c r="V276" i="14"/>
  <c r="V199" i="14"/>
  <c r="X118" i="14"/>
  <c r="AW584" i="14"/>
  <c r="AW199" i="14"/>
  <c r="AW276" i="14"/>
  <c r="BE584" i="14"/>
  <c r="BG118" i="14"/>
  <c r="BE199" i="14"/>
  <c r="BF118" i="14"/>
  <c r="B277" i="14"/>
  <c r="D119" i="14"/>
  <c r="B200" i="14"/>
  <c r="C119" i="14"/>
  <c r="I585" i="14"/>
  <c r="I200" i="14"/>
  <c r="V585" i="14"/>
  <c r="X119" i="14"/>
  <c r="V200" i="14"/>
  <c r="W119" i="14"/>
  <c r="AC585" i="14"/>
  <c r="AC200" i="14"/>
  <c r="AC277" i="14"/>
  <c r="AR277" i="14"/>
  <c r="AR200" i="14"/>
  <c r="AR354" i="14" s="1"/>
  <c r="AZ585" i="14"/>
  <c r="AZ277" i="14"/>
  <c r="AZ200" i="14"/>
  <c r="BB119" i="14"/>
  <c r="BA119" i="14"/>
  <c r="BK585" i="14"/>
  <c r="BK277" i="14"/>
  <c r="BK200" i="14"/>
  <c r="BM119" i="14" a="1"/>
  <c r="BM119" i="14" s="1"/>
  <c r="L120" i="14"/>
  <c r="AZ120" i="14"/>
  <c r="X140" i="14"/>
  <c r="AK602" i="14"/>
  <c r="AK294" i="14"/>
  <c r="AC141" i="14"/>
  <c r="AZ605" i="14"/>
  <c r="AZ297" i="14"/>
  <c r="Q606" i="14"/>
  <c r="Q298" i="14"/>
  <c r="BE606" i="14"/>
  <c r="BE298" i="14"/>
  <c r="AF609" i="14"/>
  <c r="AF301" i="14"/>
  <c r="BT609" i="14"/>
  <c r="BT301" i="14"/>
  <c r="AK610" i="14"/>
  <c r="AK302" i="14"/>
  <c r="B611" i="14"/>
  <c r="B303" i="14"/>
  <c r="Q614" i="14"/>
  <c r="Q306" i="14"/>
  <c r="BE614" i="14"/>
  <c r="BE306" i="14"/>
  <c r="V615" i="14"/>
  <c r="V307" i="14"/>
  <c r="BJ615" i="14"/>
  <c r="BJ307" i="14"/>
  <c r="AK618" i="14"/>
  <c r="AK310" i="14"/>
  <c r="AP619" i="14"/>
  <c r="AP311" i="14"/>
  <c r="Q622" i="14"/>
  <c r="Q314" i="14"/>
  <c r="BE622" i="14"/>
  <c r="BE314" i="14"/>
  <c r="V623" i="14"/>
  <c r="V315" i="14"/>
  <c r="AF625" i="14"/>
  <c r="AF317" i="14"/>
  <c r="AK626" i="14"/>
  <c r="AK318" i="14"/>
  <c r="AZ629" i="14"/>
  <c r="AZ321" i="14"/>
  <c r="Q630" i="14"/>
  <c r="Q322" i="14"/>
  <c r="BE630" i="14"/>
  <c r="BE322" i="14"/>
  <c r="AF633" i="14"/>
  <c r="AF325" i="14"/>
  <c r="BT633" i="14"/>
  <c r="BT325" i="14"/>
  <c r="AK634" i="14"/>
  <c r="AK326" i="14"/>
  <c r="L637" i="14"/>
  <c r="L329" i="14"/>
  <c r="AZ637" i="14"/>
  <c r="AZ329" i="14"/>
  <c r="V639" i="14"/>
  <c r="V331" i="14"/>
  <c r="BJ639" i="14"/>
  <c r="BJ331" i="14"/>
  <c r="AF641" i="14"/>
  <c r="AF333" i="14"/>
  <c r="BT641" i="14"/>
  <c r="BT333" i="14"/>
  <c r="AK642" i="14"/>
  <c r="AK334" i="14"/>
  <c r="B643" i="14"/>
  <c r="B335" i="14"/>
  <c r="AP643" i="14"/>
  <c r="AP335" i="14"/>
  <c r="AZ182" i="14"/>
  <c r="Q183" i="14"/>
  <c r="AU184" i="14"/>
  <c r="L185" i="14"/>
  <c r="BJ647" i="14"/>
  <c r="BJ339" i="14"/>
  <c r="AA648" i="14"/>
  <c r="AA340" i="14"/>
  <c r="BG186" i="14"/>
  <c r="BT186" i="14"/>
  <c r="X187" i="14"/>
  <c r="AK187" i="14"/>
  <c r="BO188" i="14"/>
  <c r="AF189" i="14"/>
  <c r="G652" i="14"/>
  <c r="G344" i="14"/>
  <c r="AZ190" i="14"/>
  <c r="D191" i="14"/>
  <c r="Q191" i="14"/>
  <c r="BL191" i="14"/>
  <c r="AU192" i="14"/>
  <c r="BO192" i="14"/>
  <c r="L193" i="14"/>
  <c r="AF193" i="14"/>
  <c r="AU193" i="14"/>
  <c r="BO193" i="14"/>
  <c r="L194" i="14"/>
  <c r="AF194" i="14"/>
  <c r="BR194" i="14"/>
  <c r="BE658" i="14"/>
  <c r="BE350" i="14"/>
  <c r="B659" i="14"/>
  <c r="B351" i="14"/>
  <c r="V660" i="14"/>
  <c r="V352" i="14"/>
  <c r="AU200" i="14"/>
  <c r="BO200" i="14"/>
  <c r="N205" i="14"/>
  <c r="AH205" i="14"/>
  <c r="BB205" i="14"/>
  <c r="H206" i="14"/>
  <c r="AB206" i="14"/>
  <c r="AV206" i="14"/>
  <c r="H207" i="14"/>
  <c r="AB207" i="14"/>
  <c r="L208" i="14"/>
  <c r="AF208" i="14"/>
  <c r="AZ208" i="14"/>
  <c r="BT208" i="14"/>
  <c r="N209" i="14"/>
  <c r="AH209" i="14"/>
  <c r="L212" i="14"/>
  <c r="AF212" i="14"/>
  <c r="AZ212" i="14"/>
  <c r="BT212" i="14"/>
  <c r="BV213" i="14"/>
  <c r="AV215" i="14"/>
  <c r="N217" i="14"/>
  <c r="AH217" i="14"/>
  <c r="BB217" i="14"/>
  <c r="AB218" i="14"/>
  <c r="AV218" i="14"/>
  <c r="H219" i="14"/>
  <c r="AB219" i="14"/>
  <c r="AV219" i="14"/>
  <c r="BV229" i="14"/>
  <c r="BP230" i="14"/>
  <c r="BP231" i="14"/>
  <c r="BP234" i="14"/>
  <c r="BP235" i="14"/>
  <c r="BB237" i="14"/>
  <c r="BB241" i="14"/>
  <c r="BV241" i="14"/>
  <c r="AV242" i="14"/>
  <c r="AV243" i="14"/>
  <c r="BP243" i="14"/>
  <c r="BJ244" i="14"/>
  <c r="BG245" i="14"/>
  <c r="BK246" i="14"/>
  <c r="AK247" i="14"/>
  <c r="AM249" i="14"/>
  <c r="BE251" i="14"/>
  <c r="V252" i="14"/>
  <c r="Q259" i="14"/>
  <c r="AV259" i="14"/>
  <c r="AC262" i="14"/>
  <c r="AC263" i="14"/>
  <c r="L264" i="14"/>
  <c r="BO265" i="14"/>
  <c r="AC267" i="14"/>
  <c r="L268" i="14"/>
  <c r="BG269" i="14"/>
  <c r="AK270" i="14"/>
  <c r="G271" i="14"/>
  <c r="BQ272" i="14"/>
  <c r="AK274" i="14"/>
  <c r="BC274" i="14"/>
  <c r="G275" i="14"/>
  <c r="BG277" i="14"/>
  <c r="BE291" i="14"/>
  <c r="BT293" i="14"/>
  <c r="AK295" i="14"/>
  <c r="B347" i="14"/>
  <c r="AW512" i="14"/>
  <c r="I513" i="14"/>
  <c r="BQ517" i="14"/>
  <c r="I520" i="14"/>
  <c r="AC525" i="14"/>
  <c r="BE527" i="14"/>
  <c r="Q535" i="14"/>
  <c r="AK539" i="14"/>
  <c r="BE543" i="14"/>
  <c r="Q551" i="14"/>
  <c r="AK555" i="14"/>
  <c r="BE559" i="14"/>
  <c r="AW560" i="14"/>
  <c r="L563" i="14"/>
  <c r="BB564" i="14"/>
  <c r="L567" i="14"/>
  <c r="AF574" i="14"/>
  <c r="BU583" i="14"/>
  <c r="AK619" i="14"/>
  <c r="C516" i="14"/>
  <c r="C208" i="14"/>
  <c r="S516" i="14"/>
  <c r="S208" i="14"/>
  <c r="W516" i="14"/>
  <c r="W208" i="14"/>
  <c r="AM516" i="14"/>
  <c r="AM208" i="14"/>
  <c r="AQ516" i="14"/>
  <c r="AQ208" i="14"/>
  <c r="L517" i="14"/>
  <c r="L209" i="14"/>
  <c r="AF517" i="14"/>
  <c r="AF209" i="14"/>
  <c r="AZ517" i="14"/>
  <c r="AZ209" i="14"/>
  <c r="BT517" i="14"/>
  <c r="BT209" i="14"/>
  <c r="Q518" i="14"/>
  <c r="Q210" i="14"/>
  <c r="AK518" i="14"/>
  <c r="AK210" i="14"/>
  <c r="BE518" i="14"/>
  <c r="BE210" i="14"/>
  <c r="L521" i="14"/>
  <c r="L213" i="14"/>
  <c r="AF521" i="14"/>
  <c r="AF213" i="14"/>
  <c r="AZ521" i="14"/>
  <c r="AZ213" i="14"/>
  <c r="BT521" i="14"/>
  <c r="BT213" i="14"/>
  <c r="Q522" i="14"/>
  <c r="Q214" i="14"/>
  <c r="AK522" i="14"/>
  <c r="AK214" i="14"/>
  <c r="BE522" i="14"/>
  <c r="BE214" i="14"/>
  <c r="L525" i="14"/>
  <c r="L217" i="14"/>
  <c r="AF525" i="14"/>
  <c r="AF217" i="14"/>
  <c r="AZ525" i="14"/>
  <c r="AZ217" i="14"/>
  <c r="BT525" i="14"/>
  <c r="BT217" i="14"/>
  <c r="Q526" i="14"/>
  <c r="Q218" i="14"/>
  <c r="AK526" i="14"/>
  <c r="AK218" i="14"/>
  <c r="BE526" i="14"/>
  <c r="BE218" i="14"/>
  <c r="L529" i="14"/>
  <c r="L221" i="14"/>
  <c r="AF529" i="14"/>
  <c r="AF221" i="14"/>
  <c r="AZ529" i="14"/>
  <c r="AZ221" i="14"/>
  <c r="BT529" i="14"/>
  <c r="BT221" i="14"/>
  <c r="Q530" i="14"/>
  <c r="Q222" i="14"/>
  <c r="AK530" i="14"/>
  <c r="AK222" i="14"/>
  <c r="BE530" i="14"/>
  <c r="BE222" i="14"/>
  <c r="L533" i="14"/>
  <c r="L225" i="14"/>
  <c r="AF533" i="14"/>
  <c r="AF225" i="14"/>
  <c r="AZ533" i="14"/>
  <c r="AZ225" i="14"/>
  <c r="BT533" i="14"/>
  <c r="BT225" i="14"/>
  <c r="Q534" i="14"/>
  <c r="Q226" i="14"/>
  <c r="AK534" i="14"/>
  <c r="AK226" i="14"/>
  <c r="BE534" i="14"/>
  <c r="BE226" i="14"/>
  <c r="L537" i="14"/>
  <c r="L229" i="14"/>
  <c r="AF537" i="14"/>
  <c r="AF229" i="14"/>
  <c r="AZ537" i="14"/>
  <c r="AZ229" i="14"/>
  <c r="BT537" i="14"/>
  <c r="BT229" i="14"/>
  <c r="Q538" i="14"/>
  <c r="Q230" i="14"/>
  <c r="AK538" i="14"/>
  <c r="AK230" i="14"/>
  <c r="BE538" i="14"/>
  <c r="BE230" i="14"/>
  <c r="L541" i="14"/>
  <c r="L233" i="14"/>
  <c r="AF541" i="14"/>
  <c r="AF233" i="14"/>
  <c r="AZ541" i="14"/>
  <c r="AZ233" i="14"/>
  <c r="BT541" i="14"/>
  <c r="BT233" i="14"/>
  <c r="Q542" i="14"/>
  <c r="Q234" i="14"/>
  <c r="AK542" i="14"/>
  <c r="AK234" i="14"/>
  <c r="BE542" i="14"/>
  <c r="BE234" i="14"/>
  <c r="L545" i="14"/>
  <c r="L237" i="14"/>
  <c r="AF545" i="14"/>
  <c r="AF237" i="14"/>
  <c r="AZ545" i="14"/>
  <c r="AZ237" i="14"/>
  <c r="BT545" i="14"/>
  <c r="BT237" i="14"/>
  <c r="Q546" i="14"/>
  <c r="Q238" i="14"/>
  <c r="AK546" i="14"/>
  <c r="AK238" i="14"/>
  <c r="BE546" i="14"/>
  <c r="BE238" i="14"/>
  <c r="L549" i="14"/>
  <c r="L241" i="14"/>
  <c r="AF549" i="14"/>
  <c r="AF241" i="14"/>
  <c r="AZ549" i="14"/>
  <c r="AZ241" i="14"/>
  <c r="BT549" i="14"/>
  <c r="BT241" i="14"/>
  <c r="Q550" i="14"/>
  <c r="Q242" i="14"/>
  <c r="AK550" i="14"/>
  <c r="AK242" i="14"/>
  <c r="BE550" i="14"/>
  <c r="BE242" i="14"/>
  <c r="Q246" i="14"/>
  <c r="Q554" i="14"/>
  <c r="AK246" i="14"/>
  <c r="AK554" i="14"/>
  <c r="BE246" i="14"/>
  <c r="BE554" i="14"/>
  <c r="B555" i="14"/>
  <c r="B247" i="14"/>
  <c r="V555" i="14"/>
  <c r="V247" i="14"/>
  <c r="AP555" i="14"/>
  <c r="AP247" i="14"/>
  <c r="BJ555" i="14"/>
  <c r="BJ247" i="14"/>
  <c r="Q250" i="14"/>
  <c r="Q558" i="14"/>
  <c r="AK250" i="14"/>
  <c r="AK558" i="14"/>
  <c r="BE250" i="14"/>
  <c r="BE558" i="14"/>
  <c r="B559" i="14"/>
  <c r="B251" i="14"/>
  <c r="V559" i="14"/>
  <c r="V251" i="14"/>
  <c r="AP559" i="14"/>
  <c r="AP251" i="14"/>
  <c r="BJ559" i="14"/>
  <c r="BJ251" i="14"/>
  <c r="Q254" i="14"/>
  <c r="Q562" i="14"/>
  <c r="AK254" i="14"/>
  <c r="AK562" i="14"/>
  <c r="BE254" i="14"/>
  <c r="BE562" i="14"/>
  <c r="B563" i="14"/>
  <c r="B255" i="14"/>
  <c r="V563" i="14"/>
  <c r="V255" i="14"/>
  <c r="AP563" i="14"/>
  <c r="AP255" i="14"/>
  <c r="BJ563" i="14"/>
  <c r="BJ255" i="14"/>
  <c r="Q258" i="14"/>
  <c r="Q566" i="14"/>
  <c r="AK258" i="14"/>
  <c r="AK566" i="14"/>
  <c r="BE258" i="14"/>
  <c r="BE566" i="14"/>
  <c r="B567" i="14"/>
  <c r="B259" i="14"/>
  <c r="V567" i="14"/>
  <c r="V259" i="14"/>
  <c r="B568" i="14"/>
  <c r="B260" i="14"/>
  <c r="V568" i="14"/>
  <c r="V260" i="14"/>
  <c r="BE569" i="14"/>
  <c r="BE261" i="14"/>
  <c r="B570" i="14"/>
  <c r="B262" i="14"/>
  <c r="V570" i="14"/>
  <c r="V262" i="14"/>
  <c r="BE570" i="14"/>
  <c r="BE262" i="14"/>
  <c r="B571" i="14"/>
  <c r="B263" i="14"/>
  <c r="V571" i="14"/>
  <c r="V263" i="14"/>
  <c r="B572" i="14"/>
  <c r="B264" i="14"/>
  <c r="V572" i="14"/>
  <c r="V264" i="14"/>
  <c r="BE573" i="14"/>
  <c r="BE265" i="14"/>
  <c r="B574" i="14"/>
  <c r="B266" i="14"/>
  <c r="V574" i="14"/>
  <c r="V266" i="14"/>
  <c r="BE575" i="14"/>
  <c r="BE267" i="14"/>
  <c r="B576" i="14"/>
  <c r="B268" i="14"/>
  <c r="V576" i="14"/>
  <c r="V268" i="14"/>
  <c r="BE577" i="14"/>
  <c r="BE269" i="14"/>
  <c r="B578" i="14"/>
  <c r="B270" i="14"/>
  <c r="V578" i="14"/>
  <c r="V270" i="14"/>
  <c r="AZ578" i="14"/>
  <c r="AZ270" i="14"/>
  <c r="BT578" i="14"/>
  <c r="BT270" i="14"/>
  <c r="Q579" i="14"/>
  <c r="Q271" i="14"/>
  <c r="AK579" i="14"/>
  <c r="AK271" i="14"/>
  <c r="BE581" i="14"/>
  <c r="BE273" i="14"/>
  <c r="B582" i="14"/>
  <c r="B274" i="14"/>
  <c r="V582" i="14"/>
  <c r="V274" i="14"/>
  <c r="AZ582" i="14"/>
  <c r="AZ274" i="14"/>
  <c r="BT582" i="14"/>
  <c r="BT274" i="14"/>
  <c r="Q583" i="14"/>
  <c r="Q275" i="14"/>
  <c r="AK583" i="14"/>
  <c r="AK275" i="14"/>
  <c r="BE585" i="14"/>
  <c r="BE277" i="14"/>
  <c r="C123" i="14"/>
  <c r="C589" i="14" s="1"/>
  <c r="W123" i="14"/>
  <c r="W589" i="14" s="1"/>
  <c r="AQ123" i="14"/>
  <c r="AQ589" i="14" s="1"/>
  <c r="H124" i="14"/>
  <c r="H590" i="14" s="1"/>
  <c r="AB124" i="14"/>
  <c r="AB590" i="14" s="1"/>
  <c r="M125" i="14"/>
  <c r="M591" i="14" s="1"/>
  <c r="AG125" i="14"/>
  <c r="AG591" i="14" s="1"/>
  <c r="R126" i="14"/>
  <c r="R592" i="14" s="1"/>
  <c r="AL126" i="14"/>
  <c r="AL592" i="14" s="1"/>
  <c r="C127" i="14"/>
  <c r="C281" i="14" s="1"/>
  <c r="W127" i="14"/>
  <c r="W281" i="14" s="1"/>
  <c r="AQ127" i="14"/>
  <c r="AQ281" i="14" s="1"/>
  <c r="H128" i="14"/>
  <c r="H282" i="14" s="1"/>
  <c r="AB128" i="14"/>
  <c r="AB282" i="14" s="1"/>
  <c r="M129" i="14"/>
  <c r="M283" i="14" s="1"/>
  <c r="AG129" i="14"/>
  <c r="AG283" i="14" s="1"/>
  <c r="C131" i="14"/>
  <c r="W131" i="14"/>
  <c r="AQ131" i="14"/>
  <c r="BF137" i="14"/>
  <c r="BK138" i="14"/>
  <c r="BJ182" i="14"/>
  <c r="G183" i="14"/>
  <c r="AA183" i="14"/>
  <c r="G185" i="14"/>
  <c r="BJ186" i="14"/>
  <c r="G187" i="14"/>
  <c r="AA187" i="14"/>
  <c r="AZ193" i="14"/>
  <c r="BT193" i="14"/>
  <c r="Q194" i="14"/>
  <c r="AK194" i="14"/>
  <c r="AZ197" i="14"/>
  <c r="BT197" i="14"/>
  <c r="Q198" i="14"/>
  <c r="AK198" i="14"/>
  <c r="B211" i="14"/>
  <c r="V211" i="14"/>
  <c r="AP211" i="14"/>
  <c r="BJ211" i="14"/>
  <c r="B215" i="14"/>
  <c r="V215" i="14"/>
  <c r="AP215" i="14"/>
  <c r="BJ215" i="14"/>
  <c r="AW217" i="14"/>
  <c r="B219" i="14"/>
  <c r="V219" i="14"/>
  <c r="AP219" i="14"/>
  <c r="BJ219" i="14"/>
  <c r="B223" i="14"/>
  <c r="V223" i="14"/>
  <c r="AP223" i="14"/>
  <c r="BJ223" i="14"/>
  <c r="B227" i="14"/>
  <c r="V227" i="14"/>
  <c r="AP227" i="14"/>
  <c r="BJ227" i="14"/>
  <c r="B231" i="14"/>
  <c r="V231" i="14"/>
  <c r="AP231" i="14"/>
  <c r="BJ231" i="14"/>
  <c r="B235" i="14"/>
  <c r="V235" i="14"/>
  <c r="AP235" i="14"/>
  <c r="BJ235" i="14"/>
  <c r="B239" i="14"/>
  <c r="V239" i="14"/>
  <c r="AP239" i="14"/>
  <c r="BJ239" i="14"/>
  <c r="B243" i="14"/>
  <c r="V243" i="14"/>
  <c r="AP243" i="14"/>
  <c r="BJ243" i="14"/>
  <c r="AA244" i="14"/>
  <c r="BO244" i="14"/>
  <c r="L245" i="14"/>
  <c r="AZ245" i="14"/>
  <c r="G248" i="14"/>
  <c r="AU248" i="14"/>
  <c r="AF249" i="14"/>
  <c r="BT249" i="14"/>
  <c r="AA252" i="14"/>
  <c r="BO252" i="14"/>
  <c r="L253" i="14"/>
  <c r="AZ253" i="14"/>
  <c r="G256" i="14"/>
  <c r="AU256" i="14"/>
  <c r="AF257" i="14"/>
  <c r="BT257" i="14"/>
  <c r="AA261" i="14"/>
  <c r="AA265" i="14"/>
  <c r="G267" i="14"/>
  <c r="B269" i="14"/>
  <c r="AU271" i="14"/>
  <c r="L272" i="14"/>
  <c r="BJ272" i="14"/>
  <c r="AA273" i="14"/>
  <c r="AU275" i="14"/>
  <c r="L276" i="14"/>
  <c r="BJ276" i="14"/>
  <c r="AA277" i="14"/>
  <c r="G570" i="14"/>
  <c r="AF584" i="14"/>
  <c r="Q521" i="14"/>
  <c r="Q213" i="14"/>
  <c r="AK521" i="14"/>
  <c r="AK213" i="14"/>
  <c r="BA213" i="14"/>
  <c r="BA521" i="14"/>
  <c r="BE521" i="14"/>
  <c r="BE213" i="14"/>
  <c r="BU213" i="14"/>
  <c r="BU521" i="14"/>
  <c r="AV524" i="14"/>
  <c r="AV216" i="14"/>
  <c r="AV139" i="14"/>
  <c r="BP524" i="14"/>
  <c r="BP216" i="14"/>
  <c r="BP139" i="14"/>
  <c r="Q525" i="14"/>
  <c r="Q217" i="14"/>
  <c r="AK525" i="14"/>
  <c r="AK217" i="14"/>
  <c r="BA217" i="14"/>
  <c r="BA525" i="14"/>
  <c r="BA140" i="14"/>
  <c r="BE525" i="14"/>
  <c r="BE217" i="14"/>
  <c r="BF526" i="14"/>
  <c r="BF141" i="14"/>
  <c r="C527" i="14"/>
  <c r="C142" i="14"/>
  <c r="W527" i="14"/>
  <c r="W142" i="14"/>
  <c r="AQ527" i="14"/>
  <c r="AQ142" i="14"/>
  <c r="BK527" i="14"/>
  <c r="BK142" i="14"/>
  <c r="H62" i="14"/>
  <c r="AB62" i="14"/>
  <c r="AV62" i="14"/>
  <c r="BP62" i="14"/>
  <c r="Q529" i="14"/>
  <c r="Q221" i="14"/>
  <c r="AK529" i="14"/>
  <c r="AK221" i="14"/>
  <c r="BE529" i="14"/>
  <c r="BE221" i="14"/>
  <c r="H66" i="14"/>
  <c r="AB66" i="14"/>
  <c r="AV66" i="14"/>
  <c r="BP66" i="14"/>
  <c r="Q533" i="14"/>
  <c r="Q225" i="14"/>
  <c r="AK533" i="14"/>
  <c r="AK225" i="14"/>
  <c r="BE533" i="14"/>
  <c r="BE225" i="14"/>
  <c r="H70" i="14"/>
  <c r="AB70" i="14"/>
  <c r="AV70" i="14"/>
  <c r="BP70" i="14"/>
  <c r="Q537" i="14"/>
  <c r="Q229" i="14"/>
  <c r="AK537" i="14"/>
  <c r="AK229" i="14"/>
  <c r="BE537" i="14"/>
  <c r="BE229" i="14"/>
  <c r="H74" i="14"/>
  <c r="AB74" i="14"/>
  <c r="AV74" i="14"/>
  <c r="Q541" i="14"/>
  <c r="Q233" i="14"/>
  <c r="AK541" i="14"/>
  <c r="AK233" i="14"/>
  <c r="BE541" i="14"/>
  <c r="BE233" i="14"/>
  <c r="BU233" i="14"/>
  <c r="BU541" i="14"/>
  <c r="BU156" i="14"/>
  <c r="BK543" i="14"/>
  <c r="BK158" i="14"/>
  <c r="H78" i="14"/>
  <c r="AB78" i="14"/>
  <c r="AV78" i="14"/>
  <c r="BP544" i="14"/>
  <c r="BP236" i="14"/>
  <c r="BP159" i="14"/>
  <c r="Q545" i="14"/>
  <c r="Q237" i="14"/>
  <c r="AK545" i="14"/>
  <c r="AK237" i="14"/>
  <c r="BE545" i="14"/>
  <c r="BE237" i="14"/>
  <c r="BF161" i="14"/>
  <c r="H82" i="14"/>
  <c r="AB82" i="14"/>
  <c r="Q549" i="14"/>
  <c r="Q241" i="14"/>
  <c r="AG241" i="14"/>
  <c r="AG549" i="14"/>
  <c r="AG164" i="14"/>
  <c r="AK549" i="14"/>
  <c r="AK241" i="14"/>
  <c r="BE549" i="14"/>
  <c r="BE241" i="14"/>
  <c r="BU241" i="14"/>
  <c r="BU549" i="14"/>
  <c r="BU164" i="14"/>
  <c r="C85" i="14"/>
  <c r="W85" i="14"/>
  <c r="AQ85" i="14"/>
  <c r="H86" i="14"/>
  <c r="AB86" i="14"/>
  <c r="AF552" i="14"/>
  <c r="AF244" i="14"/>
  <c r="AV552" i="14"/>
  <c r="AV167" i="14"/>
  <c r="AZ552" i="14"/>
  <c r="AZ244" i="14"/>
  <c r="BT552" i="14"/>
  <c r="BT244" i="14"/>
  <c r="AG245" i="14"/>
  <c r="AG553" i="14"/>
  <c r="AG168" i="14"/>
  <c r="BA245" i="14"/>
  <c r="BA553" i="14"/>
  <c r="BA168" i="14"/>
  <c r="BU245" i="14"/>
  <c r="BU553" i="14"/>
  <c r="BU168" i="14"/>
  <c r="C89" i="14"/>
  <c r="G555" i="14"/>
  <c r="G247" i="14"/>
  <c r="W89" i="14"/>
  <c r="AA555" i="14"/>
  <c r="AA247" i="14"/>
  <c r="AQ89" i="14"/>
  <c r="AU555" i="14"/>
  <c r="AU247" i="14"/>
  <c r="BK555" i="14"/>
  <c r="BK170" i="14"/>
  <c r="BO555" i="14"/>
  <c r="BO247" i="14"/>
  <c r="H90" i="14"/>
  <c r="L556" i="14"/>
  <c r="L248" i="14"/>
  <c r="AF556" i="14"/>
  <c r="AF248" i="14"/>
  <c r="AV556" i="14"/>
  <c r="AV171" i="14"/>
  <c r="AZ556" i="14"/>
  <c r="AZ248" i="14"/>
  <c r="BP556" i="14"/>
  <c r="BP171" i="14"/>
  <c r="BT556" i="14"/>
  <c r="BT248" i="14"/>
  <c r="BA249" i="14"/>
  <c r="BA557" i="14"/>
  <c r="BA172" i="14"/>
  <c r="BU249" i="14"/>
  <c r="BU557" i="14"/>
  <c r="BU172" i="14"/>
  <c r="BF558" i="14"/>
  <c r="BF250" i="14"/>
  <c r="BF173" i="14"/>
  <c r="C93" i="14"/>
  <c r="G559" i="14"/>
  <c r="G251" i="14"/>
  <c r="W559" i="14"/>
  <c r="W174" i="14"/>
  <c r="AA559" i="14"/>
  <c r="AA251" i="14"/>
  <c r="AQ93" i="14"/>
  <c r="AU559" i="14"/>
  <c r="AU251" i="14"/>
  <c r="BK559" i="14"/>
  <c r="BK174" i="14"/>
  <c r="BO559" i="14"/>
  <c r="BO251" i="14"/>
  <c r="H94" i="14"/>
  <c r="L560" i="14"/>
  <c r="L252" i="14"/>
  <c r="AF560" i="14"/>
  <c r="AF252" i="14"/>
  <c r="AZ560" i="14"/>
  <c r="AZ252" i="14"/>
  <c r="BP560" i="14"/>
  <c r="BP175" i="14"/>
  <c r="BT560" i="14"/>
  <c r="BT252" i="14"/>
  <c r="AG253" i="14"/>
  <c r="AG561" i="14"/>
  <c r="AG176" i="14"/>
  <c r="BU253" i="14"/>
  <c r="BU561" i="14"/>
  <c r="BU176" i="14"/>
  <c r="V254" i="14"/>
  <c r="V562" i="14"/>
  <c r="AL562" i="14"/>
  <c r="AL254" i="14"/>
  <c r="AL177" i="14"/>
  <c r="AP562" i="14"/>
  <c r="AP254" i="14"/>
  <c r="BJ562" i="14"/>
  <c r="BJ254" i="14"/>
  <c r="C97" i="14"/>
  <c r="G563" i="14"/>
  <c r="G255" i="14"/>
  <c r="AA563" i="14"/>
  <c r="AA255" i="14"/>
  <c r="AQ97" i="14"/>
  <c r="AU563" i="14"/>
  <c r="AU255" i="14"/>
  <c r="BO563" i="14"/>
  <c r="BO255" i="14"/>
  <c r="H98" i="14"/>
  <c r="L564" i="14"/>
  <c r="L256" i="14"/>
  <c r="AB98" i="14"/>
  <c r="AF564" i="14"/>
  <c r="AF256" i="14"/>
  <c r="AV98" i="14"/>
  <c r="AZ564" i="14"/>
  <c r="AZ256" i="14"/>
  <c r="BP98" i="14"/>
  <c r="BT564" i="14"/>
  <c r="BT256" i="14"/>
  <c r="M99" i="14"/>
  <c r="AG99" i="14"/>
  <c r="BA99" i="14"/>
  <c r="BU99" i="14"/>
  <c r="B566" i="14"/>
  <c r="B258" i="14"/>
  <c r="R100" i="14"/>
  <c r="V566" i="14"/>
  <c r="V258" i="14"/>
  <c r="AL100" i="14"/>
  <c r="AP566" i="14"/>
  <c r="AP258" i="14"/>
  <c r="BF100" i="14"/>
  <c r="BJ566" i="14"/>
  <c r="BJ258" i="14"/>
  <c r="C101" i="14"/>
  <c r="G567" i="14"/>
  <c r="G259" i="14"/>
  <c r="W101" i="14"/>
  <c r="AA567" i="14"/>
  <c r="AA259" i="14"/>
  <c r="BF101" i="14"/>
  <c r="C102" i="14"/>
  <c r="W102" i="14"/>
  <c r="BF102" i="14"/>
  <c r="BJ568" i="14"/>
  <c r="BJ260" i="14"/>
  <c r="C103" i="14"/>
  <c r="W103" i="14"/>
  <c r="BJ569" i="14"/>
  <c r="BJ261" i="14"/>
  <c r="C104" i="14"/>
  <c r="W570" i="14"/>
  <c r="W185" i="14"/>
  <c r="AA262" i="14"/>
  <c r="AA570" i="14"/>
  <c r="C105" i="14"/>
  <c r="G571" i="14"/>
  <c r="G263" i="14"/>
  <c r="AA571" i="14"/>
  <c r="AA263" i="14"/>
  <c r="BF571" i="14"/>
  <c r="BF263" i="14"/>
  <c r="BF186" i="14"/>
  <c r="C106" i="14"/>
  <c r="BF572" i="14"/>
  <c r="BF187" i="14"/>
  <c r="BJ572" i="14"/>
  <c r="BJ264" i="14"/>
  <c r="C107" i="14"/>
  <c r="W265" i="14"/>
  <c r="W573" i="14"/>
  <c r="W188" i="14"/>
  <c r="BJ573" i="14"/>
  <c r="BJ265" i="14"/>
  <c r="C108" i="14"/>
  <c r="G574" i="14"/>
  <c r="G266" i="14"/>
  <c r="W574" i="14"/>
  <c r="W266" i="14"/>
  <c r="W189" i="14"/>
  <c r="AA574" i="14"/>
  <c r="AA266" i="14"/>
  <c r="BF266" i="14"/>
  <c r="BF189" i="14"/>
  <c r="C575" i="14"/>
  <c r="C267" i="14"/>
  <c r="C190" i="14"/>
  <c r="W575" i="14"/>
  <c r="W267" i="14"/>
  <c r="W190" i="14"/>
  <c r="BF575" i="14"/>
  <c r="BF267" i="14"/>
  <c r="BF190" i="14"/>
  <c r="BJ575" i="14"/>
  <c r="BJ267" i="14"/>
  <c r="G576" i="14"/>
  <c r="G268" i="14"/>
  <c r="W576" i="14"/>
  <c r="W268" i="14"/>
  <c r="W191" i="14"/>
  <c r="AA576" i="14"/>
  <c r="AA268" i="14"/>
  <c r="BF576" i="14"/>
  <c r="BF268" i="14"/>
  <c r="BF191" i="14"/>
  <c r="C577" i="14"/>
  <c r="C269" i="14"/>
  <c r="C192" i="14"/>
  <c r="BF577" i="14"/>
  <c r="BF269" i="14"/>
  <c r="BF192" i="14"/>
  <c r="BJ577" i="14"/>
  <c r="BJ269" i="14"/>
  <c r="C578" i="14"/>
  <c r="C270" i="14"/>
  <c r="C193" i="14"/>
  <c r="G578" i="14"/>
  <c r="G270" i="14"/>
  <c r="AA578" i="14"/>
  <c r="AA270" i="14"/>
  <c r="BU578" i="14"/>
  <c r="BU270" i="14"/>
  <c r="BU193" i="14"/>
  <c r="R579" i="14"/>
  <c r="R271" i="14"/>
  <c r="R194" i="14"/>
  <c r="AR271" i="14"/>
  <c r="AR194" i="14"/>
  <c r="AR348" i="14" s="1"/>
  <c r="AV579" i="14"/>
  <c r="AV271" i="14"/>
  <c r="AV194" i="14"/>
  <c r="BP579" i="14"/>
  <c r="BP271" i="14"/>
  <c r="BP194" i="14"/>
  <c r="M580" i="14"/>
  <c r="M272" i="14"/>
  <c r="M195" i="14"/>
  <c r="AU580" i="14"/>
  <c r="AU272" i="14"/>
  <c r="BK195" i="14"/>
  <c r="BO580" i="14"/>
  <c r="BO272" i="14"/>
  <c r="L581" i="14"/>
  <c r="L273" i="14"/>
  <c r="AB273" i="14"/>
  <c r="AB581" i="14"/>
  <c r="AB196" i="14"/>
  <c r="AF581" i="14"/>
  <c r="AF273" i="14"/>
  <c r="BF581" i="14"/>
  <c r="BF273" i="14"/>
  <c r="BF196" i="14"/>
  <c r="BJ581" i="14"/>
  <c r="BJ273" i="14"/>
  <c r="G582" i="14"/>
  <c r="G274" i="14"/>
  <c r="AA582" i="14"/>
  <c r="AA274" i="14"/>
  <c r="BA274" i="14"/>
  <c r="BA582" i="14"/>
  <c r="BA197" i="14"/>
  <c r="BU116" i="14"/>
  <c r="R117" i="14"/>
  <c r="AL117" i="14"/>
  <c r="AR275" i="14"/>
  <c r="AR198" i="14"/>
  <c r="AR352" i="14" s="1"/>
  <c r="AV117" i="14"/>
  <c r="BP117" i="14"/>
  <c r="M118" i="14"/>
  <c r="AG118" i="14"/>
  <c r="AU584" i="14"/>
  <c r="AU276" i="14"/>
  <c r="BK118" i="14"/>
  <c r="BO584" i="14"/>
  <c r="BO276" i="14"/>
  <c r="H119" i="14"/>
  <c r="L585" i="14"/>
  <c r="L277" i="14"/>
  <c r="AB119" i="14"/>
  <c r="AF585" i="14"/>
  <c r="AF277" i="14"/>
  <c r="BJ585" i="14"/>
  <c r="BJ277" i="14"/>
  <c r="G120" i="14"/>
  <c r="AA120" i="14"/>
  <c r="AU120" i="14"/>
  <c r="BO120" i="14"/>
  <c r="S123" i="14"/>
  <c r="S589" i="14" s="1"/>
  <c r="AM123" i="14"/>
  <c r="AM589" i="14" s="1"/>
  <c r="D124" i="14"/>
  <c r="D590" i="14" s="1"/>
  <c r="X124" i="14"/>
  <c r="X590" i="14" s="1"/>
  <c r="AR124" i="14"/>
  <c r="AR590" i="14" s="1"/>
  <c r="S127" i="14"/>
  <c r="S281" i="14" s="1"/>
  <c r="AM127" i="14"/>
  <c r="AM281" i="14" s="1"/>
  <c r="S131" i="14"/>
  <c r="AM131" i="14"/>
  <c r="AW140" i="14"/>
  <c r="BE182" i="14"/>
  <c r="B183" i="14"/>
  <c r="V183" i="14"/>
  <c r="BE184" i="14"/>
  <c r="B185" i="14"/>
  <c r="V185" i="14"/>
  <c r="BE186" i="14"/>
  <c r="B187" i="14"/>
  <c r="V187" i="14"/>
  <c r="BE188" i="14"/>
  <c r="B189" i="14"/>
  <c r="V189" i="14"/>
  <c r="BE190" i="14"/>
  <c r="B191" i="14"/>
  <c r="V191" i="14"/>
  <c r="BJ192" i="14"/>
  <c r="G193" i="14"/>
  <c r="AA193" i="14"/>
  <c r="AU194" i="14"/>
  <c r="BO194" i="14"/>
  <c r="L195" i="14"/>
  <c r="AF195" i="14"/>
  <c r="BJ196" i="14"/>
  <c r="G197" i="14"/>
  <c r="AA197" i="14"/>
  <c r="AU198" i="14"/>
  <c r="BO198" i="14"/>
  <c r="L199" i="14"/>
  <c r="BJ200" i="14"/>
  <c r="G208" i="14"/>
  <c r="AA208" i="14"/>
  <c r="AU208" i="14"/>
  <c r="BO208" i="14"/>
  <c r="G212" i="14"/>
  <c r="AA212" i="14"/>
  <c r="AU212" i="14"/>
  <c r="BO212" i="14"/>
  <c r="BK215" i="14"/>
  <c r="G216" i="14"/>
  <c r="AA216" i="14"/>
  <c r="AU216" i="14"/>
  <c r="BO216" i="14"/>
  <c r="C219" i="14"/>
  <c r="W219" i="14"/>
  <c r="AQ219" i="14"/>
  <c r="BK219" i="14"/>
  <c r="G220" i="14"/>
  <c r="AA220" i="14"/>
  <c r="AU220" i="14"/>
  <c r="BO220" i="14"/>
  <c r="G224" i="14"/>
  <c r="AA224" i="14"/>
  <c r="AU224" i="14"/>
  <c r="BO224" i="14"/>
  <c r="G228" i="14"/>
  <c r="AA228" i="14"/>
  <c r="AU228" i="14"/>
  <c r="BO228" i="14"/>
  <c r="G232" i="14"/>
  <c r="AA232" i="14"/>
  <c r="AU232" i="14"/>
  <c r="BO232" i="14"/>
  <c r="BK235" i="14"/>
  <c r="G236" i="14"/>
  <c r="AA236" i="14"/>
  <c r="AU236" i="14"/>
  <c r="BO236" i="14"/>
  <c r="G240" i="14"/>
  <c r="AA240" i="14"/>
  <c r="AU240" i="14"/>
  <c r="BO240" i="14"/>
  <c r="G244" i="14"/>
  <c r="Q245" i="14"/>
  <c r="BE245" i="14"/>
  <c r="AV248" i="14"/>
  <c r="AK249" i="14"/>
  <c r="BP252" i="14"/>
  <c r="Q253" i="14"/>
  <c r="BE253" i="14"/>
  <c r="AK257" i="14"/>
  <c r="BE259" i="14"/>
  <c r="G260" i="14"/>
  <c r="B261" i="14"/>
  <c r="W262" i="14"/>
  <c r="BE263" i="14"/>
  <c r="G264" i="14"/>
  <c r="B265" i="14"/>
  <c r="G269" i="14"/>
  <c r="B271" i="14"/>
  <c r="AZ271" i="14"/>
  <c r="Q272" i="14"/>
  <c r="B275" i="14"/>
  <c r="AZ275" i="14"/>
  <c r="Q276" i="14"/>
  <c r="V522" i="14"/>
  <c r="BJ522" i="14"/>
  <c r="B526" i="14"/>
  <c r="AP526" i="14"/>
  <c r="V530" i="14"/>
  <c r="BJ530" i="14"/>
  <c r="B534" i="14"/>
  <c r="AP534" i="14"/>
  <c r="V538" i="14"/>
  <c r="BJ538" i="14"/>
  <c r="B542" i="14"/>
  <c r="AP542" i="14"/>
  <c r="V546" i="14"/>
  <c r="BJ546" i="14"/>
  <c r="B550" i="14"/>
  <c r="AP550" i="14"/>
  <c r="V554" i="14"/>
  <c r="BJ554" i="14"/>
  <c r="B558" i="14"/>
  <c r="AP558" i="14"/>
  <c r="BJ570" i="14"/>
  <c r="AC192" i="14" l="1"/>
  <c r="AC252" i="14"/>
  <c r="BB321" i="14"/>
  <c r="AZ305" i="14"/>
  <c r="BE345" i="14"/>
  <c r="BV565" i="14"/>
  <c r="AU609" i="14"/>
  <c r="BL254" i="14"/>
  <c r="AM318" i="14"/>
  <c r="AH317" i="14"/>
  <c r="BV160" i="14"/>
  <c r="AV573" i="14"/>
  <c r="B312" i="14"/>
  <c r="AC332" i="14"/>
  <c r="AF353" i="14"/>
  <c r="BV140" i="14"/>
  <c r="BV525" i="14"/>
  <c r="BE347" i="14"/>
  <c r="BA515" i="14"/>
  <c r="BK250" i="14"/>
  <c r="AL157" i="14"/>
  <c r="BR81" i="14" a="1"/>
  <c r="BR81" i="14" s="1"/>
  <c r="BR239" i="14" s="1"/>
  <c r="M277" i="14"/>
  <c r="AV265" i="14"/>
  <c r="AH167" i="14"/>
  <c r="AH629" i="14" s="1"/>
  <c r="AH213" i="14"/>
  <c r="AM580" i="14"/>
  <c r="AG200" i="14"/>
  <c r="AG662" i="14" s="1"/>
  <c r="BL178" i="14"/>
  <c r="AB193" i="14"/>
  <c r="AB655" i="14" s="1"/>
  <c r="BG229" i="14"/>
  <c r="BG614" i="14"/>
  <c r="AD93" i="14" a="1"/>
  <c r="AD93" i="14" s="1"/>
  <c r="AD559" i="14" s="1"/>
  <c r="BL562" i="14"/>
  <c r="AB251" i="14"/>
  <c r="G304" i="14"/>
  <c r="BE642" i="14"/>
  <c r="AP627" i="14"/>
  <c r="AC175" i="14"/>
  <c r="AV133" i="14"/>
  <c r="AV595" i="14" s="1"/>
  <c r="AW251" i="14"/>
  <c r="BV180" i="14"/>
  <c r="BV642" i="14" s="1"/>
  <c r="D527" i="14"/>
  <c r="AW559" i="14"/>
  <c r="AP320" i="14"/>
  <c r="X174" i="14"/>
  <c r="AK635" i="14"/>
  <c r="AZ660" i="14"/>
  <c r="AA350" i="14"/>
  <c r="AV123" i="14"/>
  <c r="AV589" i="14" s="1"/>
  <c r="BW45" i="14" a="1"/>
  <c r="BW45" i="14" s="1"/>
  <c r="BW515" i="14" s="1"/>
  <c r="BO325" i="14"/>
  <c r="G613" i="14"/>
  <c r="BG538" i="14"/>
  <c r="N580" i="14"/>
  <c r="BP206" i="14"/>
  <c r="BF562" i="14"/>
  <c r="BF208" i="14"/>
  <c r="N195" i="14"/>
  <c r="AP327" i="14"/>
  <c r="AV131" i="14"/>
  <c r="R179" i="14"/>
  <c r="AV208" i="14"/>
  <c r="BK254" i="14"/>
  <c r="R256" i="14"/>
  <c r="BF177" i="14"/>
  <c r="BF639" i="14" s="1"/>
  <c r="B603" i="14"/>
  <c r="BF131" i="14"/>
  <c r="BF593" i="14" s="1"/>
  <c r="B352" i="14"/>
  <c r="AC269" i="14"/>
  <c r="BF254" i="14"/>
  <c r="BL246" i="14"/>
  <c r="AM272" i="14"/>
  <c r="BL554" i="14"/>
  <c r="B348" i="14"/>
  <c r="AL194" i="14"/>
  <c r="AL271" i="14"/>
  <c r="BK537" i="14"/>
  <c r="X251" i="14"/>
  <c r="BG318" i="14"/>
  <c r="BB583" i="14"/>
  <c r="BK272" i="14"/>
  <c r="AL542" i="14"/>
  <c r="L305" i="14"/>
  <c r="AH521" i="14"/>
  <c r="BK580" i="14"/>
  <c r="AV211" i="14"/>
  <c r="BB526" i="14"/>
  <c r="BP162" i="14"/>
  <c r="AN75" i="14" a="1"/>
  <c r="AN75" i="14" s="1"/>
  <c r="AN233" i="14" s="1"/>
  <c r="BP547" i="14"/>
  <c r="BH95" i="14" a="1"/>
  <c r="BH95" i="14" s="1"/>
  <c r="BH561" i="14" s="1"/>
  <c r="BO289" i="14"/>
  <c r="BF143" i="14"/>
  <c r="BF605" i="14" s="1"/>
  <c r="BR89" i="14" a="1"/>
  <c r="BR89" i="14" s="1"/>
  <c r="BR555" i="14" s="1"/>
  <c r="BA124" i="14"/>
  <c r="BA590" i="14" s="1"/>
  <c r="BF220" i="14"/>
  <c r="Y100" i="14" a="1"/>
  <c r="Y100" i="14" s="1"/>
  <c r="Y566" i="14" s="1"/>
  <c r="BP170" i="14"/>
  <c r="BP632" i="14" s="1"/>
  <c r="BG602" i="14"/>
  <c r="W258" i="14"/>
  <c r="BP247" i="14"/>
  <c r="W181" i="14"/>
  <c r="W643" i="14" s="1"/>
  <c r="AR142" i="14"/>
  <c r="AR296" i="14" s="1"/>
  <c r="BF569" i="14"/>
  <c r="AW170" i="14"/>
  <c r="AW632" i="14" s="1"/>
  <c r="AP300" i="14"/>
  <c r="AR527" i="14"/>
  <c r="BU160" i="14"/>
  <c r="BU622" i="14" s="1"/>
  <c r="BV136" i="14"/>
  <c r="BV598" i="14" s="1"/>
  <c r="I190" i="14"/>
  <c r="AU641" i="14"/>
  <c r="AP616" i="14"/>
  <c r="BV123" i="14"/>
  <c r="BV589" i="14" s="1"/>
  <c r="BU515" i="14"/>
  <c r="I196" i="14"/>
  <c r="AB255" i="14"/>
  <c r="BC45" i="14" a="1"/>
  <c r="BC45" i="14" s="1"/>
  <c r="BC126" i="14" s="1"/>
  <c r="BC592" i="14" s="1"/>
  <c r="AW271" i="14"/>
  <c r="BV564" i="14"/>
  <c r="I581" i="14"/>
  <c r="BU545" i="14"/>
  <c r="AW194" i="14"/>
  <c r="G313" i="14"/>
  <c r="AX107" i="14" a="1"/>
  <c r="AX107" i="14" s="1"/>
  <c r="AX573" i="14" s="1"/>
  <c r="BU237" i="14"/>
  <c r="BL516" i="14"/>
  <c r="BG246" i="14"/>
  <c r="BP562" i="14"/>
  <c r="N581" i="14"/>
  <c r="N196" i="14"/>
  <c r="N658" i="14" s="1"/>
  <c r="BK264" i="14"/>
  <c r="AL579" i="14"/>
  <c r="BB552" i="14"/>
  <c r="BV545" i="14"/>
  <c r="BP177" i="14"/>
  <c r="BP639" i="14" s="1"/>
  <c r="L638" i="14"/>
  <c r="BK187" i="14"/>
  <c r="BK649" i="14" s="1"/>
  <c r="BM96" i="14" a="1"/>
  <c r="BM96" i="14" s="1"/>
  <c r="BM562" i="14" s="1"/>
  <c r="BF513" i="14"/>
  <c r="AV204" i="14"/>
  <c r="B616" i="14"/>
  <c r="AD106" i="14" a="1"/>
  <c r="AD106" i="14" s="1"/>
  <c r="BB244" i="14"/>
  <c r="AG23" i="14"/>
  <c r="BV175" i="14"/>
  <c r="BV637" i="14" s="1"/>
  <c r="AP620" i="14"/>
  <c r="BK572" i="14"/>
  <c r="BK177" i="14"/>
  <c r="BK331" i="14" s="1"/>
  <c r="AV518" i="14"/>
  <c r="AM176" i="14"/>
  <c r="AM638" i="14" s="1"/>
  <c r="AB187" i="14"/>
  <c r="AB649" i="14" s="1"/>
  <c r="BU132" i="14"/>
  <c r="BU594" i="14" s="1"/>
  <c r="AG26" i="14"/>
  <c r="AG56" i="14" s="1"/>
  <c r="AG522" i="14" s="1"/>
  <c r="I64" i="14"/>
  <c r="I530" i="14" s="1"/>
  <c r="BP232" i="14"/>
  <c r="AB264" i="14"/>
  <c r="BU517" i="14"/>
  <c r="BG153" i="14"/>
  <c r="BG307" i="14" s="1"/>
  <c r="BR96" i="14" a="1"/>
  <c r="BR96" i="14" s="1"/>
  <c r="BR254" i="14" s="1"/>
  <c r="BP540" i="14"/>
  <c r="AI119" i="14" a="1"/>
  <c r="AI119" i="14" s="1"/>
  <c r="AI585" i="14" s="1"/>
  <c r="BL211" i="14"/>
  <c r="BT625" i="14"/>
  <c r="AB270" i="14"/>
  <c r="BT305" i="14"/>
  <c r="AH176" i="14"/>
  <c r="BF125" i="14"/>
  <c r="BF591" i="14" s="1"/>
  <c r="BR48" i="14" a="1"/>
  <c r="BR48" i="14" s="1"/>
  <c r="AW126" i="14"/>
  <c r="AW592" i="14" s="1"/>
  <c r="AA597" i="14"/>
  <c r="BG126" i="14"/>
  <c r="BG592" i="14" s="1"/>
  <c r="BP214" i="14"/>
  <c r="H562" i="14"/>
  <c r="BF528" i="14"/>
  <c r="BV164" i="14"/>
  <c r="BV318" i="14" s="1"/>
  <c r="BQ178" i="14"/>
  <c r="BQ640" i="14" s="1"/>
  <c r="AH253" i="14"/>
  <c r="BF514" i="14"/>
  <c r="BG206" i="14"/>
  <c r="BP137" i="14"/>
  <c r="BP599" i="14" s="1"/>
  <c r="W557" i="14"/>
  <c r="AH164" i="14"/>
  <c r="AH626" i="14" s="1"/>
  <c r="W172" i="14"/>
  <c r="W634" i="14" s="1"/>
  <c r="V299" i="14"/>
  <c r="AH549" i="14"/>
  <c r="BR53" i="14" a="1"/>
  <c r="BR53" i="14" s="1"/>
  <c r="BR519" i="14" s="1"/>
  <c r="Q334" i="14"/>
  <c r="BV124" i="14"/>
  <c r="BV590" i="14" s="1"/>
  <c r="W249" i="14"/>
  <c r="BP134" i="14"/>
  <c r="BP288" i="14" s="1"/>
  <c r="AG132" i="14"/>
  <c r="AG286" i="14" s="1"/>
  <c r="AA297" i="14"/>
  <c r="BO333" i="14"/>
  <c r="AV584" i="14"/>
  <c r="AW275" i="14"/>
  <c r="AL160" i="14"/>
  <c r="AG517" i="14"/>
  <c r="AW198" i="14"/>
  <c r="AL237" i="14"/>
  <c r="BJ296" i="14"/>
  <c r="BA205" i="14"/>
  <c r="BV560" i="14"/>
  <c r="BO605" i="14"/>
  <c r="I267" i="14"/>
  <c r="AX93" i="14" a="1"/>
  <c r="AX93" i="14" s="1"/>
  <c r="AX251" i="14" s="1"/>
  <c r="B316" i="14"/>
  <c r="AV174" i="14"/>
  <c r="AV636" i="14" s="1"/>
  <c r="AM253" i="14"/>
  <c r="BE649" i="14"/>
  <c r="W274" i="14"/>
  <c r="M132" i="14"/>
  <c r="M594" i="14" s="1"/>
  <c r="AL541" i="14"/>
  <c r="BL563" i="14"/>
  <c r="AV251" i="14"/>
  <c r="BH59" i="14" a="1"/>
  <c r="BH59" i="14" s="1"/>
  <c r="BH525" i="14" s="1"/>
  <c r="BW98" i="14" a="1"/>
  <c r="BW98" i="14" s="1"/>
  <c r="BW256" i="14" s="1"/>
  <c r="AG179" i="14"/>
  <c r="AG641" i="14" s="1"/>
  <c r="H254" i="14"/>
  <c r="AG564" i="14"/>
  <c r="BE330" i="14"/>
  <c r="W582" i="14"/>
  <c r="AG249" i="14"/>
  <c r="BF246" i="14"/>
  <c r="N200" i="14"/>
  <c r="M517" i="14"/>
  <c r="BJ353" i="14"/>
  <c r="BF140" i="14"/>
  <c r="AG277" i="14"/>
  <c r="AL165" i="14"/>
  <c r="AG557" i="14"/>
  <c r="AM558" i="14"/>
  <c r="BG165" i="14"/>
  <c r="BU131" i="14"/>
  <c r="BU593" i="14" s="1"/>
  <c r="BF217" i="14"/>
  <c r="AL246" i="14"/>
  <c r="BU140" i="14"/>
  <c r="BU294" i="14" s="1"/>
  <c r="BG189" i="14"/>
  <c r="BG651" i="14" s="1"/>
  <c r="BG242" i="14"/>
  <c r="BW54" i="14" a="1"/>
  <c r="BW54" i="14" s="1"/>
  <c r="BW212" i="14" s="1"/>
  <c r="BU208" i="14"/>
  <c r="V332" i="14"/>
  <c r="R196" i="14"/>
  <c r="R658" i="14" s="1"/>
  <c r="BQ126" i="14"/>
  <c r="BQ592" i="14" s="1"/>
  <c r="BV216" i="14"/>
  <c r="BF554" i="14"/>
  <c r="C197" i="14"/>
  <c r="C659" i="14" s="1"/>
  <c r="BU525" i="14"/>
  <c r="BG266" i="14"/>
  <c r="BU135" i="14"/>
  <c r="BU597" i="14" s="1"/>
  <c r="R581" i="14"/>
  <c r="BL519" i="14"/>
  <c r="H177" i="14"/>
  <c r="AG172" i="14"/>
  <c r="C274" i="14"/>
  <c r="BU217" i="14"/>
  <c r="BU212" i="14"/>
  <c r="BL131" i="14"/>
  <c r="D142" i="14"/>
  <c r="R273" i="14"/>
  <c r="BG258" i="14"/>
  <c r="BF169" i="14"/>
  <c r="BF323" i="14" s="1"/>
  <c r="C582" i="14"/>
  <c r="BF261" i="14"/>
  <c r="BA198" i="14"/>
  <c r="BA352" i="14" s="1"/>
  <c r="BU179" i="14"/>
  <c r="BU333" i="14" s="1"/>
  <c r="BJ619" i="14"/>
  <c r="X258" i="14"/>
  <c r="V319" i="14"/>
  <c r="BP522" i="14"/>
  <c r="BK152" i="14"/>
  <c r="BK614" i="14" s="1"/>
  <c r="AL169" i="14"/>
  <c r="AL631" i="14" s="1"/>
  <c r="BQ276" i="14"/>
  <c r="BE659" i="14"/>
  <c r="BQ199" i="14"/>
  <c r="BQ353" i="14" s="1"/>
  <c r="BU564" i="14"/>
  <c r="X566" i="14"/>
  <c r="BV256" i="14"/>
  <c r="BJ337" i="14"/>
  <c r="BG177" i="14"/>
  <c r="BG331" i="14" s="1"/>
  <c r="AW552" i="14"/>
  <c r="BC117" i="14" a="1"/>
  <c r="BC117" i="14" s="1"/>
  <c r="I130" i="14"/>
  <c r="I284" i="14" s="1"/>
  <c r="BG181" i="14"/>
  <c r="BV305" i="14"/>
  <c r="BK229" i="14"/>
  <c r="BC98" i="14" a="1"/>
  <c r="BC98" i="14" s="1"/>
  <c r="BC179" i="14" s="1"/>
  <c r="BG254" i="14"/>
  <c r="AL554" i="14"/>
  <c r="BF538" i="14"/>
  <c r="BP211" i="14"/>
  <c r="BL276" i="14"/>
  <c r="BA179" i="14"/>
  <c r="BA641" i="14" s="1"/>
  <c r="AW516" i="14"/>
  <c r="BP142" i="14"/>
  <c r="BP296" i="14" s="1"/>
  <c r="BJ343" i="14"/>
  <c r="BA583" i="14"/>
  <c r="BJ620" i="14"/>
  <c r="G289" i="14"/>
  <c r="BG210" i="14"/>
  <c r="BA227" i="14"/>
  <c r="G605" i="14"/>
  <c r="BP244" i="14"/>
  <c r="BL199" i="14"/>
  <c r="BL661" i="14" s="1"/>
  <c r="BA564" i="14"/>
  <c r="AM180" i="14"/>
  <c r="AM642" i="14" s="1"/>
  <c r="BV135" i="14"/>
  <c r="BV597" i="14" s="1"/>
  <c r="AW131" i="14"/>
  <c r="AW593" i="14" s="1"/>
  <c r="AU320" i="14"/>
  <c r="BL158" i="14"/>
  <c r="AM233" i="14"/>
  <c r="BP527" i="14"/>
  <c r="BG133" i="14"/>
  <c r="L337" i="14"/>
  <c r="BA150" i="14"/>
  <c r="BG273" i="14"/>
  <c r="BP210" i="14"/>
  <c r="AI98" i="14" a="1"/>
  <c r="AI98" i="14" s="1"/>
  <c r="AI564" i="14" s="1"/>
  <c r="BW86" i="14" a="1"/>
  <c r="BW86" i="14" s="1"/>
  <c r="BW167" i="14" s="1"/>
  <c r="AA354" i="14"/>
  <c r="BV212" i="14"/>
  <c r="G320" i="14"/>
  <c r="BL235" i="14"/>
  <c r="AM541" i="14"/>
  <c r="AL156" i="14"/>
  <c r="AL618" i="14" s="1"/>
  <c r="BA535" i="14"/>
  <c r="BH76" i="14" a="1"/>
  <c r="BH76" i="14" s="1"/>
  <c r="BH234" i="14" s="1"/>
  <c r="W197" i="14"/>
  <c r="W351" i="14" s="1"/>
  <c r="BG169" i="14"/>
  <c r="BG631" i="14" s="1"/>
  <c r="AA344" i="14"/>
  <c r="BU167" i="14"/>
  <c r="BU629" i="14" s="1"/>
  <c r="AN79" i="14" a="1"/>
  <c r="AN79" i="14" s="1"/>
  <c r="AN545" i="14" s="1"/>
  <c r="AM310" i="14"/>
  <c r="BK134" i="14"/>
  <c r="BK596" i="14" s="1"/>
  <c r="BF132" i="14"/>
  <c r="BA131" i="14"/>
  <c r="BA593" i="14" s="1"/>
  <c r="B331" i="14"/>
  <c r="AC72" i="14"/>
  <c r="BO305" i="14"/>
  <c r="BR114" i="14" a="1"/>
  <c r="BR114" i="14" s="1"/>
  <c r="BR580" i="14" s="1"/>
  <c r="AU304" i="14"/>
  <c r="X582" i="14"/>
  <c r="BK571" i="14"/>
  <c r="BF176" i="14"/>
  <c r="AV555" i="14"/>
  <c r="AW127" i="14"/>
  <c r="AW281" i="14" s="1"/>
  <c r="BM101" i="14" a="1"/>
  <c r="BM101" i="14" s="1"/>
  <c r="BM259" i="14" s="1"/>
  <c r="AU309" i="14"/>
  <c r="BL568" i="14"/>
  <c r="I108" i="14"/>
  <c r="I574" i="14" s="1"/>
  <c r="AB230" i="14"/>
  <c r="N136" i="14"/>
  <c r="N598" i="14" s="1"/>
  <c r="BF157" i="14"/>
  <c r="BF619" i="14" s="1"/>
  <c r="B338" i="14"/>
  <c r="L313" i="14"/>
  <c r="AL557" i="14"/>
  <c r="AI86" i="14" a="1"/>
  <c r="AI86" i="14" s="1"/>
  <c r="AI552" i="14" s="1"/>
  <c r="BK211" i="14"/>
  <c r="BF209" i="14"/>
  <c r="BA208" i="14"/>
  <c r="D99" i="14"/>
  <c r="D565" i="14" s="1"/>
  <c r="AR136" i="14"/>
  <c r="AR598" i="14" s="1"/>
  <c r="BP195" i="14"/>
  <c r="X197" i="14"/>
  <c r="X659" i="14" s="1"/>
  <c r="BF253" i="14"/>
  <c r="BW78" i="14" a="1"/>
  <c r="BW78" i="14" s="1"/>
  <c r="BK182" i="14"/>
  <c r="BL260" i="14"/>
  <c r="BC86" i="14" a="1"/>
  <c r="BC86" i="14" s="1"/>
  <c r="BC244" i="14" s="1"/>
  <c r="BB123" i="14"/>
  <c r="BB589" i="14" s="1"/>
  <c r="H189" i="14"/>
  <c r="H343" i="14" s="1"/>
  <c r="AR214" i="14"/>
  <c r="AB153" i="14"/>
  <c r="AB615" i="14" s="1"/>
  <c r="N521" i="14"/>
  <c r="AI93" i="14" a="1"/>
  <c r="AI93" i="14" s="1"/>
  <c r="AI251" i="14" s="1"/>
  <c r="AG167" i="14"/>
  <c r="AG629" i="14" s="1"/>
  <c r="BK519" i="14"/>
  <c r="BG217" i="14"/>
  <c r="AR521" i="14"/>
  <c r="BP272" i="14"/>
  <c r="AU300" i="14"/>
  <c r="BU159" i="14"/>
  <c r="BU621" i="14" s="1"/>
  <c r="BW58" i="14" a="1"/>
  <c r="BW58" i="14" s="1"/>
  <c r="BW524" i="14" s="1"/>
  <c r="BB197" i="14"/>
  <c r="BB351" i="14" s="1"/>
  <c r="BA244" i="14"/>
  <c r="BB131" i="14"/>
  <c r="BB593" i="14" s="1"/>
  <c r="H266" i="14"/>
  <c r="AR137" i="14"/>
  <c r="AR599" i="14" s="1"/>
  <c r="H222" i="14"/>
  <c r="BP219" i="14"/>
  <c r="AG174" i="14"/>
  <c r="AG552" i="14"/>
  <c r="BA132" i="14"/>
  <c r="BG525" i="14"/>
  <c r="BB175" i="14"/>
  <c r="BB637" i="14" s="1"/>
  <c r="BG241" i="14"/>
  <c r="BU236" i="14"/>
  <c r="BU139" i="14"/>
  <c r="AW167" i="14"/>
  <c r="BO321" i="14"/>
  <c r="BB274" i="14"/>
  <c r="BA167" i="14"/>
  <c r="BA629" i="14" s="1"/>
  <c r="BB208" i="14"/>
  <c r="H145" i="14"/>
  <c r="H607" i="14" s="1"/>
  <c r="B311" i="14"/>
  <c r="AH272" i="14"/>
  <c r="AG251" i="14"/>
  <c r="BA517" i="14"/>
  <c r="M23" i="14"/>
  <c r="M27" i="14" s="1"/>
  <c r="M57" i="14" s="1"/>
  <c r="AK657" i="14"/>
  <c r="AA329" i="14"/>
  <c r="BR111" i="14" a="1"/>
  <c r="BR111" i="14" s="1"/>
  <c r="BR577" i="14" s="1"/>
  <c r="BG549" i="14"/>
  <c r="AU296" i="14"/>
  <c r="O119" i="14" a="1"/>
  <c r="O119" i="14" s="1"/>
  <c r="O585" i="14" s="1"/>
  <c r="AD97" i="14" a="1"/>
  <c r="AD97" i="14" s="1"/>
  <c r="AD563" i="14" s="1"/>
  <c r="BU216" i="14"/>
  <c r="AF305" i="14"/>
  <c r="BL331" i="14"/>
  <c r="AH195" i="14"/>
  <c r="AH657" i="14" s="1"/>
  <c r="M26" i="14"/>
  <c r="M56" i="14" s="1"/>
  <c r="BP192" i="14"/>
  <c r="BP346" i="14" s="1"/>
  <c r="AC179" i="14"/>
  <c r="M200" i="14"/>
  <c r="S195" i="14"/>
  <c r="S657" i="14" s="1"/>
  <c r="AB178" i="14"/>
  <c r="AB640" i="14" s="1"/>
  <c r="AH137" i="14"/>
  <c r="BO285" i="14"/>
  <c r="AH552" i="14"/>
  <c r="AM53" i="14"/>
  <c r="AM211" i="14" s="1"/>
  <c r="BK566" i="14"/>
  <c r="BV156" i="14"/>
  <c r="BV618" i="14" s="1"/>
  <c r="BV228" i="14"/>
  <c r="BC90" i="14" a="1"/>
  <c r="BC90" i="14" s="1"/>
  <c r="BC171" i="14" s="1"/>
  <c r="Q349" i="14"/>
  <c r="BP269" i="14"/>
  <c r="AC256" i="14"/>
  <c r="AI115" i="14" a="1"/>
  <c r="AI115" i="14" s="1"/>
  <c r="AI581" i="14" s="1"/>
  <c r="BM107" i="14" a="1"/>
  <c r="BM107" i="14" s="1"/>
  <c r="BM265" i="14" s="1"/>
  <c r="AH522" i="14"/>
  <c r="W571" i="14"/>
  <c r="I126" i="14"/>
  <c r="I592" i="14" s="1"/>
  <c r="BA171" i="14"/>
  <c r="BA633" i="14" s="1"/>
  <c r="AG196" i="14"/>
  <c r="AG658" i="14" s="1"/>
  <c r="BK188" i="14"/>
  <c r="BK342" i="14" s="1"/>
  <c r="AM257" i="14"/>
  <c r="X76" i="14"/>
  <c r="X234" i="14" s="1"/>
  <c r="BB213" i="14"/>
  <c r="AL249" i="14"/>
  <c r="BP167" i="14"/>
  <c r="BP629" i="14" s="1"/>
  <c r="B346" i="14"/>
  <c r="AL558" i="14"/>
  <c r="BT309" i="14"/>
  <c r="BF180" i="14"/>
  <c r="BA556" i="14"/>
  <c r="AP316" i="14"/>
  <c r="BQ255" i="14"/>
  <c r="AG273" i="14"/>
  <c r="BK265" i="14"/>
  <c r="W542" i="14"/>
  <c r="C180" i="14"/>
  <c r="C642" i="14" s="1"/>
  <c r="BB136" i="14"/>
  <c r="BB598" i="14" s="1"/>
  <c r="AR80" i="14"/>
  <c r="AR546" i="14" s="1"/>
  <c r="BM100" i="14" a="1"/>
  <c r="BM100" i="14" s="1"/>
  <c r="BM181" i="14" s="1"/>
  <c r="AN91" i="14" a="1"/>
  <c r="AN91" i="14" s="1"/>
  <c r="AN249" i="14" s="1"/>
  <c r="BP512" i="14"/>
  <c r="AV247" i="14"/>
  <c r="BF570" i="14"/>
  <c r="BP548" i="14"/>
  <c r="AL250" i="14"/>
  <c r="W178" i="14"/>
  <c r="W640" i="14" s="1"/>
  <c r="BF257" i="14"/>
  <c r="BP133" i="14"/>
  <c r="BP595" i="14" s="1"/>
  <c r="BG581" i="14"/>
  <c r="G342" i="14"/>
  <c r="BQ167" i="14"/>
  <c r="BQ629" i="14" s="1"/>
  <c r="AA285" i="14"/>
  <c r="BG350" i="14"/>
  <c r="BB560" i="14"/>
  <c r="W234" i="14"/>
  <c r="C257" i="14"/>
  <c r="AQ546" i="14"/>
  <c r="BU552" i="14"/>
  <c r="BM105" i="14" a="1"/>
  <c r="BM105" i="14" s="1"/>
  <c r="BM571" i="14" s="1"/>
  <c r="BF542" i="14"/>
  <c r="BP163" i="14"/>
  <c r="BP625" i="14" s="1"/>
  <c r="BF188" i="14"/>
  <c r="BF650" i="14" s="1"/>
  <c r="AV175" i="14"/>
  <c r="AV637" i="14" s="1"/>
  <c r="AL161" i="14"/>
  <c r="AL623" i="14" s="1"/>
  <c r="AF309" i="14"/>
  <c r="BF565" i="14"/>
  <c r="AF351" i="14"/>
  <c r="AC261" i="14"/>
  <c r="AC556" i="14"/>
  <c r="AM169" i="14"/>
  <c r="AM631" i="14" s="1"/>
  <c r="BQ552" i="14"/>
  <c r="BH71" i="14" a="1"/>
  <c r="BH71" i="14" s="1"/>
  <c r="BH537" i="14" s="1"/>
  <c r="AC171" i="14"/>
  <c r="AC633" i="14" s="1"/>
  <c r="BO329" i="14"/>
  <c r="BJ304" i="14"/>
  <c r="BR57" i="14" a="1"/>
  <c r="BR57" i="14" s="1"/>
  <c r="BR215" i="14" s="1"/>
  <c r="AQ238" i="14"/>
  <c r="AM214" i="14"/>
  <c r="G316" i="14"/>
  <c r="AX89" i="14" a="1"/>
  <c r="AX89" i="14" s="1"/>
  <c r="BK258" i="14"/>
  <c r="BV233" i="14"/>
  <c r="V619" i="14"/>
  <c r="AC184" i="14"/>
  <c r="BP552" i="14"/>
  <c r="BF573" i="14"/>
  <c r="BH125" i="14"/>
  <c r="BH591" i="14" s="1"/>
  <c r="AR295" i="14"/>
  <c r="AM246" i="14"/>
  <c r="BF152" i="14"/>
  <c r="BF614" i="14" s="1"/>
  <c r="N125" i="14"/>
  <c r="N591" i="14" s="1"/>
  <c r="BP138" i="14"/>
  <c r="BP600" i="14" s="1"/>
  <c r="AM71" i="14"/>
  <c r="AM537" i="14" s="1"/>
  <c r="AM137" i="14"/>
  <c r="AM291" i="14" s="1"/>
  <c r="X335" i="14"/>
  <c r="BF185" i="14"/>
  <c r="BF647" i="14" s="1"/>
  <c r="BF262" i="14"/>
  <c r="BP240" i="14"/>
  <c r="AL173" i="14"/>
  <c r="AL635" i="14" s="1"/>
  <c r="C191" i="14"/>
  <c r="C653" i="14" s="1"/>
  <c r="BF265" i="14"/>
  <c r="L321" i="14"/>
  <c r="L297" i="14"/>
  <c r="BF135" i="14"/>
  <c r="BF597" i="14" s="1"/>
  <c r="BE343" i="14"/>
  <c r="BL166" i="14"/>
  <c r="AU305" i="14"/>
  <c r="AX118" i="14" a="1"/>
  <c r="AX118" i="14" s="1"/>
  <c r="BF229" i="14"/>
  <c r="BE337" i="14"/>
  <c r="AP299" i="14"/>
  <c r="BP127" i="14"/>
  <c r="BP281" i="14" s="1"/>
  <c r="AW328" i="14"/>
  <c r="BP523" i="14"/>
  <c r="AL152" i="14"/>
  <c r="AL306" i="14" s="1"/>
  <c r="AM173" i="14"/>
  <c r="AM635" i="14" s="1"/>
  <c r="BF212" i="14"/>
  <c r="W132" i="14"/>
  <c r="W594" i="14" s="1"/>
  <c r="AU325" i="14"/>
  <c r="BL243" i="14"/>
  <c r="AV199" i="14"/>
  <c r="AV661" i="14" s="1"/>
  <c r="BG346" i="14"/>
  <c r="AL229" i="14"/>
  <c r="BM93" i="14" a="1"/>
  <c r="BM93" i="14" s="1"/>
  <c r="BM251" i="14" s="1"/>
  <c r="BK186" i="14"/>
  <c r="BK648" i="14" s="1"/>
  <c r="BV536" i="14"/>
  <c r="C268" i="14"/>
  <c r="C576" i="14"/>
  <c r="BF184" i="14"/>
  <c r="BF646" i="14" s="1"/>
  <c r="BP155" i="14"/>
  <c r="BP617" i="14" s="1"/>
  <c r="BF520" i="14"/>
  <c r="W209" i="14"/>
  <c r="BB198" i="14"/>
  <c r="BB352" i="14" s="1"/>
  <c r="BB141" i="14"/>
  <c r="AX271" i="14"/>
  <c r="AX579" i="14"/>
  <c r="BW160" i="14"/>
  <c r="BW622" i="14" s="1"/>
  <c r="BW545" i="14"/>
  <c r="BH581" i="14"/>
  <c r="BR236" i="14"/>
  <c r="BR159" i="14"/>
  <c r="BR621" i="14" s="1"/>
  <c r="BH196" i="14"/>
  <c r="BH350" i="14" s="1"/>
  <c r="BW233" i="14"/>
  <c r="BW156" i="14"/>
  <c r="BW618" i="14" s="1"/>
  <c r="BM134" i="14"/>
  <c r="BM288" i="14" s="1"/>
  <c r="BM523" i="14"/>
  <c r="AN194" i="14"/>
  <c r="AN348" i="14" s="1"/>
  <c r="BH177" i="14"/>
  <c r="BH639" i="14" s="1"/>
  <c r="AN558" i="14"/>
  <c r="BH254" i="14"/>
  <c r="AD196" i="14"/>
  <c r="AD350" i="14" s="1"/>
  <c r="E274" i="14"/>
  <c r="BR552" i="14"/>
  <c r="BR252" i="14"/>
  <c r="AX212" i="14"/>
  <c r="BM138" i="14"/>
  <c r="BM600" i="14" s="1"/>
  <c r="AX135" i="14"/>
  <c r="AX289" i="14" s="1"/>
  <c r="BR167" i="14"/>
  <c r="BR321" i="14" s="1"/>
  <c r="E197" i="14"/>
  <c r="E659" i="14" s="1"/>
  <c r="BH570" i="14"/>
  <c r="BM195" i="14"/>
  <c r="BM657" i="14" s="1"/>
  <c r="BM272" i="14"/>
  <c r="AN579" i="14"/>
  <c r="O272" i="14"/>
  <c r="BC549" i="14"/>
  <c r="AI561" i="14"/>
  <c r="Y266" i="14"/>
  <c r="BH262" i="14"/>
  <c r="Y189" i="14"/>
  <c r="Y651" i="14" s="1"/>
  <c r="BR560" i="14"/>
  <c r="BW140" i="14"/>
  <c r="BW602" i="14" s="1"/>
  <c r="BH188" i="14"/>
  <c r="BH650" i="14" s="1"/>
  <c r="BH265" i="14"/>
  <c r="BQ142" i="14"/>
  <c r="BQ527" i="14"/>
  <c r="BQ219" i="14"/>
  <c r="BT348" i="14"/>
  <c r="BL573" i="14"/>
  <c r="AH556" i="14"/>
  <c r="BJ624" i="14"/>
  <c r="BL200" i="14"/>
  <c r="BL662" i="14" s="1"/>
  <c r="N277" i="14"/>
  <c r="W562" i="14"/>
  <c r="AV240" i="14"/>
  <c r="AZ313" i="14"/>
  <c r="AB571" i="14"/>
  <c r="BL581" i="14"/>
  <c r="AW272" i="14"/>
  <c r="BB180" i="14"/>
  <c r="BB642" i="14" s="1"/>
  <c r="AI116" i="14" a="1"/>
  <c r="AI116" i="14" s="1"/>
  <c r="AI582" i="14" s="1"/>
  <c r="AV134" i="14"/>
  <c r="AV596" i="14" s="1"/>
  <c r="C209" i="14"/>
  <c r="AW195" i="14"/>
  <c r="AM206" i="14"/>
  <c r="BJ600" i="14"/>
  <c r="AG197" i="14"/>
  <c r="X576" i="14"/>
  <c r="AH196" i="14"/>
  <c r="AH658" i="14" s="1"/>
  <c r="G346" i="14"/>
  <c r="AG274" i="14"/>
  <c r="AQ558" i="14"/>
  <c r="BG526" i="14"/>
  <c r="BK239" i="14"/>
  <c r="W269" i="14"/>
  <c r="BA237" i="14"/>
  <c r="AP295" i="14"/>
  <c r="BL188" i="14"/>
  <c r="BL650" i="14" s="1"/>
  <c r="BU174" i="14"/>
  <c r="BU636" i="14" s="1"/>
  <c r="BT642" i="14"/>
  <c r="AK638" i="14"/>
  <c r="BF197" i="14"/>
  <c r="BF351" i="14" s="1"/>
  <c r="BA236" i="14"/>
  <c r="BG521" i="14"/>
  <c r="V320" i="14"/>
  <c r="AZ602" i="14"/>
  <c r="AM209" i="14"/>
  <c r="AD581" i="14"/>
  <c r="AN254" i="14"/>
  <c r="BR212" i="14"/>
  <c r="AN562" i="14"/>
  <c r="O195" i="14"/>
  <c r="O657" i="14" s="1"/>
  <c r="AI176" i="14"/>
  <c r="AI330" i="14" s="1"/>
  <c r="BR135" i="14"/>
  <c r="BR597" i="14" s="1"/>
  <c r="BC193" i="14"/>
  <c r="BC655" i="14" s="1"/>
  <c r="BH192" i="14"/>
  <c r="BH654" i="14" s="1"/>
  <c r="BW249" i="14"/>
  <c r="BH269" i="14"/>
  <c r="BW557" i="14"/>
  <c r="BH267" i="14"/>
  <c r="BC253" i="14"/>
  <c r="E270" i="14"/>
  <c r="BW525" i="14"/>
  <c r="BH190" i="14"/>
  <c r="BH652" i="14" s="1"/>
  <c r="E193" i="14"/>
  <c r="E655" i="14" s="1"/>
  <c r="BM130" i="14"/>
  <c r="BM284" i="14" s="1"/>
  <c r="BM166" i="14"/>
  <c r="BM628" i="14" s="1"/>
  <c r="E268" i="14"/>
  <c r="E576" i="14"/>
  <c r="Y190" i="14"/>
  <c r="Y652" i="14" s="1"/>
  <c r="BR155" i="14"/>
  <c r="BR309" i="14" s="1"/>
  <c r="E345" i="14"/>
  <c r="BW253" i="14"/>
  <c r="BR540" i="14"/>
  <c r="BW561" i="14"/>
  <c r="AI164" i="14"/>
  <c r="AI626" i="14" s="1"/>
  <c r="AI549" i="14"/>
  <c r="Y570" i="14"/>
  <c r="Y185" i="14"/>
  <c r="Y647" i="14" s="1"/>
  <c r="BR216" i="14"/>
  <c r="Y267" i="14"/>
  <c r="BM543" i="14"/>
  <c r="BR139" i="14"/>
  <c r="BR601" i="14" s="1"/>
  <c r="BM158" i="14"/>
  <c r="BM620" i="14" s="1"/>
  <c r="Y197" i="14"/>
  <c r="Y659" i="14" s="1"/>
  <c r="Y188" i="14"/>
  <c r="Y650" i="14" s="1"/>
  <c r="BH250" i="14"/>
  <c r="Y274" i="14"/>
  <c r="E190" i="14"/>
  <c r="E652" i="14" s="1"/>
  <c r="BM519" i="14"/>
  <c r="Y265" i="14"/>
  <c r="AN169" i="14"/>
  <c r="AN631" i="14" s="1"/>
  <c r="E267" i="14"/>
  <c r="BH173" i="14"/>
  <c r="BH635" i="14" s="1"/>
  <c r="AN157" i="14"/>
  <c r="AN619" i="14" s="1"/>
  <c r="BH184" i="14"/>
  <c r="BH338" i="14" s="1"/>
  <c r="AN554" i="14"/>
  <c r="AN234" i="14"/>
  <c r="BH261" i="14"/>
  <c r="BW134" i="14"/>
  <c r="BW596" i="14" s="1"/>
  <c r="AN173" i="14"/>
  <c r="AN635" i="14" s="1"/>
  <c r="BW211" i="14"/>
  <c r="BH186" i="14"/>
  <c r="BH648" i="14" s="1"/>
  <c r="Y193" i="14"/>
  <c r="Y655" i="14" s="1"/>
  <c r="BH218" i="14"/>
  <c r="BH526" i="14"/>
  <c r="BH263" i="14"/>
  <c r="AI172" i="14"/>
  <c r="AI634" i="14" s="1"/>
  <c r="AI249" i="14"/>
  <c r="AX167" i="14"/>
  <c r="AX629" i="14" s="1"/>
  <c r="BW164" i="14"/>
  <c r="BW318" i="14" s="1"/>
  <c r="BC140" i="14"/>
  <c r="BC294" i="14" s="1"/>
  <c r="AX244" i="14"/>
  <c r="BW549" i="14"/>
  <c r="BC525" i="14"/>
  <c r="BH169" i="14"/>
  <c r="BH631" i="14" s="1"/>
  <c r="BH246" i="14"/>
  <c r="BH520" i="14"/>
  <c r="BR163" i="14"/>
  <c r="BR317" i="14" s="1"/>
  <c r="BH212" i="14"/>
  <c r="BR548" i="14"/>
  <c r="BH572" i="14"/>
  <c r="BW537" i="14"/>
  <c r="Y192" i="14"/>
  <c r="Y654" i="14" s="1"/>
  <c r="X653" i="14"/>
  <c r="X345" i="14"/>
  <c r="Q330" i="14"/>
  <c r="BA253" i="14"/>
  <c r="BA160" i="14"/>
  <c r="BA622" i="14" s="1"/>
  <c r="V323" i="14"/>
  <c r="BJ607" i="14"/>
  <c r="AH585" i="14"/>
  <c r="BL569" i="14"/>
  <c r="Y96" i="14" a="1"/>
  <c r="Y96" i="14" s="1"/>
  <c r="Y562" i="14" s="1"/>
  <c r="C132" i="14"/>
  <c r="C594" i="14" s="1"/>
  <c r="BP516" i="14"/>
  <c r="BE634" i="14"/>
  <c r="BJ627" i="14"/>
  <c r="BG160" i="14"/>
  <c r="BL196" i="14"/>
  <c r="BL658" i="14" s="1"/>
  <c r="AI580" i="14"/>
  <c r="AG171" i="14"/>
  <c r="AG633" i="14" s="1"/>
  <c r="V344" i="14"/>
  <c r="AX240" i="14"/>
  <c r="V316" i="14"/>
  <c r="AC268" i="14"/>
  <c r="BG213" i="14"/>
  <c r="Y264" i="14"/>
  <c r="V347" i="14"/>
  <c r="AZ601" i="14"/>
  <c r="BL190" i="14"/>
  <c r="BL652" i="14" s="1"/>
  <c r="BV132" i="14"/>
  <c r="BV594" i="14" s="1"/>
  <c r="BA130" i="14"/>
  <c r="BA284" i="14" s="1"/>
  <c r="X268" i="14"/>
  <c r="W264" i="14"/>
  <c r="BK162" i="14"/>
  <c r="BK624" i="14" s="1"/>
  <c r="BU229" i="14"/>
  <c r="AV163" i="14"/>
  <c r="AV625" i="14" s="1"/>
  <c r="BA545" i="14"/>
  <c r="BV205" i="14"/>
  <c r="Y117" i="14" a="1"/>
  <c r="Y117" i="14" s="1"/>
  <c r="Y275" i="14" s="1"/>
  <c r="W177" i="14"/>
  <c r="W331" i="14" s="1"/>
  <c r="BM92" i="14" a="1"/>
  <c r="BM92" i="14" s="1"/>
  <c r="BM558" i="14" s="1"/>
  <c r="BW152" i="14"/>
  <c r="BW614" i="14" s="1"/>
  <c r="BC176" i="14"/>
  <c r="BC330" i="14" s="1"/>
  <c r="AG556" i="14"/>
  <c r="BM104" i="14" a="1"/>
  <c r="BM104" i="14" s="1"/>
  <c r="BM570" i="14" s="1"/>
  <c r="BM551" i="14"/>
  <c r="BL267" i="14"/>
  <c r="BV517" i="14"/>
  <c r="BA207" i="14"/>
  <c r="Y187" i="14"/>
  <c r="Y649" i="14" s="1"/>
  <c r="AL238" i="14"/>
  <c r="AN80" i="14" a="1"/>
  <c r="AN80" i="14" s="1"/>
  <c r="H196" i="14"/>
  <c r="H658" i="14" s="1"/>
  <c r="BA193" i="14"/>
  <c r="BA655" i="14" s="1"/>
  <c r="BK178" i="14"/>
  <c r="BK640" i="14" s="1"/>
  <c r="BK166" i="14"/>
  <c r="BK628" i="14" s="1"/>
  <c r="AV548" i="14"/>
  <c r="B292" i="14"/>
  <c r="AW255" i="14"/>
  <c r="AI195" i="14"/>
  <c r="AI657" i="14" s="1"/>
  <c r="W275" i="14"/>
  <c r="AH581" i="14"/>
  <c r="BC578" i="14"/>
  <c r="BK558" i="14"/>
  <c r="BV524" i="14"/>
  <c r="BM162" i="14"/>
  <c r="BM624" i="14" s="1"/>
  <c r="AA305" i="14"/>
  <c r="BL558" i="14"/>
  <c r="BB517" i="14"/>
  <c r="AC174" i="14"/>
  <c r="AC636" i="14" s="1"/>
  <c r="L293" i="14"/>
  <c r="B291" i="14"/>
  <c r="AM276" i="14"/>
  <c r="BK185" i="14"/>
  <c r="BK647" i="14" s="1"/>
  <c r="AM165" i="14"/>
  <c r="AM627" i="14" s="1"/>
  <c r="BV293" i="14"/>
  <c r="BO291" i="14"/>
  <c r="AM132" i="14"/>
  <c r="AM594" i="14" s="1"/>
  <c r="AC126" i="14"/>
  <c r="AC592" i="14" s="1"/>
  <c r="D76" i="14"/>
  <c r="D542" i="14" s="1"/>
  <c r="X138" i="14"/>
  <c r="X600" i="14" s="1"/>
  <c r="AG195" i="14"/>
  <c r="AG657" i="14" s="1"/>
  <c r="BA270" i="14"/>
  <c r="BK563" i="14"/>
  <c r="BK551" i="14"/>
  <c r="BU152" i="14"/>
  <c r="BU306" i="14" s="1"/>
  <c r="B319" i="14"/>
  <c r="BJ315" i="14"/>
  <c r="BM239" i="14"/>
  <c r="AA338" i="14"/>
  <c r="AM199" i="14"/>
  <c r="AM661" i="14" s="1"/>
  <c r="BM103" i="14" a="1"/>
  <c r="BM103" i="14" s="1"/>
  <c r="BM569" i="14" s="1"/>
  <c r="AM242" i="14"/>
  <c r="AX163" i="14"/>
  <c r="AX317" i="14" s="1"/>
  <c r="C542" i="14"/>
  <c r="X215" i="14"/>
  <c r="BK243" i="14"/>
  <c r="AG272" i="14"/>
  <c r="BA578" i="14"/>
  <c r="W187" i="14"/>
  <c r="W649" i="14" s="1"/>
  <c r="BU537" i="14"/>
  <c r="AP303" i="14"/>
  <c r="AM245" i="14"/>
  <c r="BF133" i="14"/>
  <c r="BF595" i="14" s="1"/>
  <c r="V303" i="14"/>
  <c r="BC160" i="14"/>
  <c r="BC622" i="14" s="1"/>
  <c r="X184" i="14"/>
  <c r="X646" i="14" s="1"/>
  <c r="BV131" i="14"/>
  <c r="BV593" i="14" s="1"/>
  <c r="G312" i="14"/>
  <c r="BK184" i="14"/>
  <c r="BK646" i="14" s="1"/>
  <c r="L317" i="14"/>
  <c r="BG237" i="14"/>
  <c r="C234" i="14"/>
  <c r="BL184" i="14"/>
  <c r="AM553" i="14"/>
  <c r="BF518" i="14"/>
  <c r="BP131" i="14"/>
  <c r="BP285" i="14" s="1"/>
  <c r="AR132" i="14"/>
  <c r="AR594" i="14" s="1"/>
  <c r="BC545" i="14"/>
  <c r="X261" i="14"/>
  <c r="AI90" i="14" a="1"/>
  <c r="AI90" i="14" s="1"/>
  <c r="AI556" i="14" s="1"/>
  <c r="BV208" i="14"/>
  <c r="AU308" i="14"/>
  <c r="AZ330" i="14"/>
  <c r="AA325" i="14"/>
  <c r="AU321" i="14"/>
  <c r="AC576" i="14"/>
  <c r="BK569" i="14"/>
  <c r="BL327" i="14"/>
  <c r="AM322" i="14"/>
  <c r="BM97" i="14" a="1"/>
  <c r="BM97" i="14" s="1"/>
  <c r="AG580" i="14"/>
  <c r="BA176" i="14"/>
  <c r="BA638" i="14" s="1"/>
  <c r="B327" i="14"/>
  <c r="BJ323" i="14"/>
  <c r="W572" i="14"/>
  <c r="BA561" i="14"/>
  <c r="BK547" i="14"/>
  <c r="AC251" i="14"/>
  <c r="AH200" i="14"/>
  <c r="AH662" i="14" s="1"/>
  <c r="AR517" i="14"/>
  <c r="X53" i="14"/>
  <c r="AW178" i="14"/>
  <c r="AW640" i="14" s="1"/>
  <c r="BF230" i="14"/>
  <c r="BH72" i="14" a="1"/>
  <c r="BH72" i="14" s="1"/>
  <c r="AK278" i="14"/>
  <c r="AW247" i="14"/>
  <c r="AA586" i="14"/>
  <c r="BF242" i="14"/>
  <c r="BH84" i="14" a="1"/>
  <c r="BH84" i="14" s="1"/>
  <c r="AB248" i="14"/>
  <c r="AD90" i="14" a="1"/>
  <c r="AD90" i="14" s="1"/>
  <c r="AA620" i="14"/>
  <c r="AA312" i="14"/>
  <c r="BF238" i="14"/>
  <c r="BH80" i="14" a="1"/>
  <c r="BH80" i="14" s="1"/>
  <c r="BF200" i="14"/>
  <c r="BF662" i="14" s="1"/>
  <c r="AB175" i="14"/>
  <c r="AB637" i="14" s="1"/>
  <c r="AA278" i="14"/>
  <c r="BF277" i="14"/>
  <c r="AB560" i="14"/>
  <c r="BA241" i="14"/>
  <c r="AB265" i="14"/>
  <c r="AB186" i="14"/>
  <c r="AB648" i="14" s="1"/>
  <c r="X563" i="14"/>
  <c r="BA560" i="14"/>
  <c r="AZ586" i="14"/>
  <c r="B631" i="14"/>
  <c r="BH585" i="14"/>
  <c r="BC78" i="14" a="1"/>
  <c r="BC78" i="14" s="1"/>
  <c r="BC544" i="14" s="1"/>
  <c r="AZ656" i="14"/>
  <c r="B608" i="14"/>
  <c r="BH187" i="14"/>
  <c r="BH649" i="14" s="1"/>
  <c r="AD560" i="14"/>
  <c r="G321" i="14"/>
  <c r="AB170" i="14"/>
  <c r="AB632" i="14" s="1"/>
  <c r="B623" i="14"/>
  <c r="BV553" i="14"/>
  <c r="AU278" i="14"/>
  <c r="AU586" i="14"/>
  <c r="AH633" i="14"/>
  <c r="G593" i="14"/>
  <c r="BR45" i="14" a="1"/>
  <c r="BR45" i="14" s="1"/>
  <c r="BR515" i="14" s="1"/>
  <c r="AH329" i="14"/>
  <c r="X137" i="14"/>
  <c r="X291" i="14" s="1"/>
  <c r="BG141" i="14"/>
  <c r="BG295" i="14" s="1"/>
  <c r="AV252" i="14"/>
  <c r="AX94" i="14" a="1"/>
  <c r="AX94" i="14" s="1"/>
  <c r="B320" i="14"/>
  <c r="B628" i="14"/>
  <c r="BO624" i="14"/>
  <c r="BO316" i="14"/>
  <c r="G600" i="14"/>
  <c r="G292" i="14"/>
  <c r="E27" i="14"/>
  <c r="D53" i="14"/>
  <c r="BG561" i="14"/>
  <c r="BG176" i="14"/>
  <c r="BG253" i="14"/>
  <c r="AF586" i="14"/>
  <c r="BF585" i="14"/>
  <c r="W192" i="14"/>
  <c r="W654" i="14" s="1"/>
  <c r="BH116" i="14" a="1"/>
  <c r="BH116" i="14" s="1"/>
  <c r="BH274" i="14" s="1"/>
  <c r="AB573" i="14"/>
  <c r="AB263" i="14"/>
  <c r="B278" i="14"/>
  <c r="BC164" i="14"/>
  <c r="BC626" i="14" s="1"/>
  <c r="BA159" i="14"/>
  <c r="BA621" i="14" s="1"/>
  <c r="BW93" i="14" a="1"/>
  <c r="BW93" i="14" s="1"/>
  <c r="BW251" i="14" s="1"/>
  <c r="G278" i="14"/>
  <c r="AB247" i="14"/>
  <c r="X522" i="14"/>
  <c r="I577" i="14"/>
  <c r="I269" i="14"/>
  <c r="I192" i="14"/>
  <c r="W263" i="14"/>
  <c r="Y105" i="14" a="1"/>
  <c r="Y105" i="14" s="1"/>
  <c r="BK247" i="14"/>
  <c r="BM89" i="14" a="1"/>
  <c r="BM89" i="14" s="1"/>
  <c r="AA616" i="14"/>
  <c r="AA308" i="14"/>
  <c r="V659" i="14"/>
  <c r="V351" i="14"/>
  <c r="BO628" i="14"/>
  <c r="BO320" i="14"/>
  <c r="AA608" i="14"/>
  <c r="AA300" i="14"/>
  <c r="N129" i="14"/>
  <c r="N283" i="14" s="1"/>
  <c r="N206" i="14"/>
  <c r="W255" i="14"/>
  <c r="Y97" i="14" a="1"/>
  <c r="Y97" i="14" s="1"/>
  <c r="W577" i="14"/>
  <c r="AB171" i="14"/>
  <c r="AB633" i="14" s="1"/>
  <c r="BF546" i="14"/>
  <c r="AZ278" i="14"/>
  <c r="BF274" i="14"/>
  <c r="AD108" i="14" a="1"/>
  <c r="AD108" i="14" s="1"/>
  <c r="AD189" i="14" s="1"/>
  <c r="AH248" i="14"/>
  <c r="BT330" i="14"/>
  <c r="Y269" i="14"/>
  <c r="BB257" i="14"/>
  <c r="BU251" i="14"/>
  <c r="D71" i="14"/>
  <c r="AR133" i="14"/>
  <c r="AR595" i="14" s="1"/>
  <c r="S132" i="14"/>
  <c r="S286" i="14" s="1"/>
  <c r="BK129" i="14"/>
  <c r="BK283" i="14" s="1"/>
  <c r="BL242" i="14"/>
  <c r="S580" i="14"/>
  <c r="AP278" i="14"/>
  <c r="Q278" i="14"/>
  <c r="AP292" i="14"/>
  <c r="L301" i="14"/>
  <c r="Y270" i="14"/>
  <c r="V596" i="14"/>
  <c r="L334" i="14"/>
  <c r="AZ326" i="14"/>
  <c r="BL277" i="14"/>
  <c r="BK124" i="14"/>
  <c r="BK590" i="14" s="1"/>
  <c r="AQ250" i="14"/>
  <c r="C537" i="14"/>
  <c r="W251" i="14"/>
  <c r="Y93" i="14" a="1"/>
  <c r="Y93" i="14" s="1"/>
  <c r="BP248" i="14"/>
  <c r="BR90" i="14" a="1"/>
  <c r="BR90" i="14" s="1"/>
  <c r="AL242" i="14"/>
  <c r="AN84" i="14" a="1"/>
  <c r="AN84" i="14" s="1"/>
  <c r="BO612" i="14"/>
  <c r="BO304" i="14"/>
  <c r="AA604" i="14"/>
  <c r="AA296" i="14"/>
  <c r="BU136" i="14"/>
  <c r="BW55" i="14" a="1"/>
  <c r="BW55" i="14" s="1"/>
  <c r="AA644" i="14"/>
  <c r="AA336" i="14"/>
  <c r="W193" i="14"/>
  <c r="AB556" i="14"/>
  <c r="L586" i="14"/>
  <c r="AF278" i="14"/>
  <c r="AB189" i="14"/>
  <c r="AB651" i="14" s="1"/>
  <c r="AQ132" i="14"/>
  <c r="AQ594" i="14" s="1"/>
  <c r="BT586" i="14"/>
  <c r="AR518" i="14"/>
  <c r="BO309" i="14"/>
  <c r="BO278" i="14"/>
  <c r="G354" i="14"/>
  <c r="V312" i="14"/>
  <c r="AR92" i="14"/>
  <c r="AR250" i="14" s="1"/>
  <c r="C152" i="14"/>
  <c r="C614" i="14" s="1"/>
  <c r="H581" i="14"/>
  <c r="J115" i="14" a="1"/>
  <c r="J115" i="14" s="1"/>
  <c r="BE662" i="14"/>
  <c r="BE354" i="14"/>
  <c r="AA632" i="14"/>
  <c r="AA324" i="14"/>
  <c r="W270" i="14"/>
  <c r="BF165" i="14"/>
  <c r="L278" i="14"/>
  <c r="D270" i="14"/>
  <c r="AB574" i="14"/>
  <c r="BC94" i="14" a="1"/>
  <c r="BC94" i="14" s="1"/>
  <c r="BC252" i="14" s="1"/>
  <c r="AH560" i="14"/>
  <c r="AQ517" i="14"/>
  <c r="L309" i="14"/>
  <c r="AP288" i="14"/>
  <c r="AM210" i="14"/>
  <c r="BT326" i="14"/>
  <c r="BL165" i="14"/>
  <c r="BL627" i="14" s="1"/>
  <c r="AU313" i="14"/>
  <c r="BT278" i="14"/>
  <c r="B288" i="14"/>
  <c r="AA628" i="14"/>
  <c r="AA320" i="14"/>
  <c r="AA624" i="14"/>
  <c r="AA316" i="14"/>
  <c r="AA636" i="14"/>
  <c r="AA328" i="14"/>
  <c r="AR53" i="14"/>
  <c r="AS27" i="14"/>
  <c r="AR57" i="14" s="1"/>
  <c r="BO604" i="14"/>
  <c r="BO296" i="14"/>
  <c r="W578" i="14"/>
  <c r="BF550" i="14"/>
  <c r="BA164" i="14"/>
  <c r="Q586" i="14"/>
  <c r="V342" i="14"/>
  <c r="D193" i="14"/>
  <c r="D655" i="14" s="1"/>
  <c r="AD107" i="14" a="1"/>
  <c r="AD107" i="14" s="1"/>
  <c r="AD188" i="14" s="1"/>
  <c r="BA252" i="14"/>
  <c r="AH252" i="14"/>
  <c r="BH200" i="14"/>
  <c r="BH662" i="14" s="1"/>
  <c r="G317" i="14"/>
  <c r="AD175" i="14"/>
  <c r="AD637" i="14" s="1"/>
  <c r="AM133" i="14"/>
  <c r="AM595" i="14" s="1"/>
  <c r="AK586" i="14"/>
  <c r="G586" i="14"/>
  <c r="BV168" i="14"/>
  <c r="BV630" i="14" s="1"/>
  <c r="BO620" i="14"/>
  <c r="BO312" i="14"/>
  <c r="AA612" i="14"/>
  <c r="AA304" i="14"/>
  <c r="BO616" i="14"/>
  <c r="BO308" i="14"/>
  <c r="BO608" i="14"/>
  <c r="BO300" i="14"/>
  <c r="BF574" i="14"/>
  <c r="BH108" i="14" a="1"/>
  <c r="BH108" i="14" s="1"/>
  <c r="N53" i="14"/>
  <c r="O27" i="14"/>
  <c r="N57" i="14" s="1"/>
  <c r="AB252" i="14"/>
  <c r="BA549" i="14"/>
  <c r="X178" i="14"/>
  <c r="X640" i="14" s="1"/>
  <c r="BL546" i="14"/>
  <c r="BL161" i="14"/>
  <c r="AF601" i="14"/>
  <c r="AF293" i="14"/>
  <c r="BB534" i="14"/>
  <c r="BB149" i="14"/>
  <c r="BB226" i="14"/>
  <c r="AH530" i="14"/>
  <c r="AH145" i="14"/>
  <c r="AH222" i="14"/>
  <c r="D564" i="14"/>
  <c r="D256" i="14"/>
  <c r="D179" i="14"/>
  <c r="AC546" i="14"/>
  <c r="AC238" i="14"/>
  <c r="AC161" i="14"/>
  <c r="AM535" i="14"/>
  <c r="AM227" i="14"/>
  <c r="AM150" i="14"/>
  <c r="AW533" i="14"/>
  <c r="AW148" i="14"/>
  <c r="AW225" i="14"/>
  <c r="AC529" i="14"/>
  <c r="AC144" i="14"/>
  <c r="AC221" i="14"/>
  <c r="N538" i="14"/>
  <c r="N153" i="14"/>
  <c r="N230" i="14"/>
  <c r="AR244" i="14"/>
  <c r="AR552" i="14"/>
  <c r="AR167" i="14"/>
  <c r="I249" i="14"/>
  <c r="I557" i="14"/>
  <c r="I172" i="14"/>
  <c r="N543" i="14"/>
  <c r="N235" i="14"/>
  <c r="N158" i="14"/>
  <c r="AW152" i="14"/>
  <c r="AW229" i="14"/>
  <c r="AW537" i="14"/>
  <c r="S535" i="14"/>
  <c r="S227" i="14"/>
  <c r="S150" i="14"/>
  <c r="AW546" i="14"/>
  <c r="AW238" i="14"/>
  <c r="AW161" i="14"/>
  <c r="S543" i="14"/>
  <c r="S235" i="14"/>
  <c r="S158" i="14"/>
  <c r="N569" i="14"/>
  <c r="N261" i="14"/>
  <c r="N184" i="14"/>
  <c r="AR180" i="14"/>
  <c r="AR257" i="14"/>
  <c r="AR565" i="14"/>
  <c r="AR557" i="14"/>
  <c r="AR172" i="14"/>
  <c r="AR249" i="14"/>
  <c r="N550" i="14"/>
  <c r="N165" i="14"/>
  <c r="N242" i="14"/>
  <c r="Q660" i="14"/>
  <c r="Q352" i="14"/>
  <c r="G649" i="14"/>
  <c r="G341" i="14"/>
  <c r="BU573" i="14"/>
  <c r="BU265" i="14"/>
  <c r="BU188" i="14"/>
  <c r="BW107" i="14" a="1"/>
  <c r="BW107" i="14" s="1"/>
  <c r="R573" i="14"/>
  <c r="R265" i="14"/>
  <c r="R188" i="14"/>
  <c r="T107" i="14" a="1"/>
  <c r="T107" i="14" s="1"/>
  <c r="S571" i="14"/>
  <c r="S263" i="14"/>
  <c r="S186" i="14"/>
  <c r="BG647" i="14"/>
  <c r="BG339" i="14"/>
  <c r="S570" i="14"/>
  <c r="S262" i="14"/>
  <c r="S185" i="14"/>
  <c r="BM568" i="14"/>
  <c r="BM260" i="14"/>
  <c r="BM183" i="14"/>
  <c r="AQ566" i="14"/>
  <c r="AQ181" i="14"/>
  <c r="AQ258" i="14"/>
  <c r="AR100" i="14"/>
  <c r="BE640" i="14"/>
  <c r="BE332" i="14"/>
  <c r="AR561" i="14"/>
  <c r="AR253" i="14"/>
  <c r="AR176" i="14"/>
  <c r="AQ560" i="14"/>
  <c r="AQ252" i="14"/>
  <c r="AQ175" i="14"/>
  <c r="BK635" i="14"/>
  <c r="BK327" i="14"/>
  <c r="AL634" i="14"/>
  <c r="AL326" i="14"/>
  <c r="AA634" i="14"/>
  <c r="AA326" i="14"/>
  <c r="M556" i="14"/>
  <c r="M171" i="14"/>
  <c r="M248" i="14"/>
  <c r="N90" i="14"/>
  <c r="AM555" i="14"/>
  <c r="AM247" i="14"/>
  <c r="AM170" i="14"/>
  <c r="AB554" i="14"/>
  <c r="AB169" i="14"/>
  <c r="AB246" i="14"/>
  <c r="AW245" i="14"/>
  <c r="AW168" i="14"/>
  <c r="AW553" i="14"/>
  <c r="X553" i="14"/>
  <c r="X168" i="14"/>
  <c r="X245" i="14"/>
  <c r="BG551" i="14"/>
  <c r="BG243" i="14"/>
  <c r="BG166" i="14"/>
  <c r="BV550" i="14"/>
  <c r="BV165" i="14"/>
  <c r="BV242" i="14"/>
  <c r="BF626" i="14"/>
  <c r="BF318" i="14"/>
  <c r="X549" i="14"/>
  <c r="X164" i="14"/>
  <c r="X241" i="14"/>
  <c r="D549" i="14"/>
  <c r="D241" i="14"/>
  <c r="D164" i="14"/>
  <c r="BG547" i="14"/>
  <c r="BG239" i="14"/>
  <c r="BG162" i="14"/>
  <c r="BW539" i="14"/>
  <c r="BW231" i="14"/>
  <c r="BW154" i="14"/>
  <c r="AR602" i="14"/>
  <c r="AR294" i="14"/>
  <c r="AA660" i="14"/>
  <c r="AA352" i="14"/>
  <c r="BE656" i="14"/>
  <c r="BE348" i="14"/>
  <c r="BT653" i="14"/>
  <c r="BT345" i="14"/>
  <c r="BG653" i="14"/>
  <c r="BG345" i="14"/>
  <c r="AH651" i="14"/>
  <c r="AH343" i="14"/>
  <c r="BP570" i="14"/>
  <c r="BP185" i="14"/>
  <c r="BP262" i="14"/>
  <c r="BR104" i="14" a="1"/>
  <c r="BR104" i="14" s="1"/>
  <c r="AU645" i="14"/>
  <c r="AU337" i="14"/>
  <c r="AC566" i="14"/>
  <c r="AC181" i="14"/>
  <c r="AC258" i="14"/>
  <c r="X565" i="14"/>
  <c r="X257" i="14"/>
  <c r="X180" i="14"/>
  <c r="S564" i="14"/>
  <c r="S256" i="14"/>
  <c r="S179" i="14"/>
  <c r="I253" i="14"/>
  <c r="I176" i="14"/>
  <c r="I561" i="14"/>
  <c r="BC630" i="14"/>
  <c r="BC322" i="14"/>
  <c r="BA551" i="14"/>
  <c r="BA166" i="14"/>
  <c r="BA243" i="14"/>
  <c r="BC85" i="14" a="1"/>
  <c r="BC85" i="14" s="1"/>
  <c r="W237" i="14"/>
  <c r="W160" i="14"/>
  <c r="W545" i="14"/>
  <c r="BR543" i="14"/>
  <c r="BR235" i="14"/>
  <c r="BR158" i="14"/>
  <c r="BE620" i="14"/>
  <c r="BE312" i="14"/>
  <c r="BV542" i="14"/>
  <c r="BV157" i="14"/>
  <c r="BV234" i="14"/>
  <c r="R541" i="14"/>
  <c r="R233" i="14"/>
  <c r="R156" i="14"/>
  <c r="S75" i="14"/>
  <c r="BV538" i="14"/>
  <c r="BV153" i="14"/>
  <c r="BV230" i="14"/>
  <c r="W225" i="14"/>
  <c r="W148" i="14"/>
  <c r="W533" i="14"/>
  <c r="W221" i="14"/>
  <c r="W144" i="14"/>
  <c r="W529" i="14"/>
  <c r="AV522" i="14"/>
  <c r="AV137" i="14"/>
  <c r="AV214" i="14"/>
  <c r="S207" i="14"/>
  <c r="S130" i="14"/>
  <c r="S284" i="14" s="1"/>
  <c r="BA204" i="14"/>
  <c r="BA127" i="14"/>
  <c r="BA281" i="14" s="1"/>
  <c r="AP586" i="14"/>
  <c r="C217" i="14"/>
  <c r="C140" i="14"/>
  <c r="C525" i="14"/>
  <c r="AG518" i="14"/>
  <c r="AG210" i="14"/>
  <c r="AG133" i="14"/>
  <c r="AK593" i="14"/>
  <c r="AK285" i="14"/>
  <c r="BG662" i="14"/>
  <c r="BG354" i="14"/>
  <c r="E584" i="14"/>
  <c r="E199" i="14"/>
  <c r="E276" i="14"/>
  <c r="X660" i="14"/>
  <c r="X352" i="14"/>
  <c r="J582" i="14"/>
  <c r="J274" i="14"/>
  <c r="J197" i="14"/>
  <c r="AW656" i="14"/>
  <c r="AW348" i="14"/>
  <c r="X655" i="14"/>
  <c r="X347" i="14"/>
  <c r="O577" i="14"/>
  <c r="O269" i="14"/>
  <c r="O192" i="14"/>
  <c r="AD575" i="14"/>
  <c r="AD267" i="14"/>
  <c r="AD190" i="14"/>
  <c r="AV651" i="14"/>
  <c r="AV343" i="14"/>
  <c r="X650" i="14"/>
  <c r="X342" i="14"/>
  <c r="AX569" i="14"/>
  <c r="AX261" i="14"/>
  <c r="AX184" i="14"/>
  <c r="M568" i="14"/>
  <c r="M183" i="14"/>
  <c r="M260" i="14"/>
  <c r="AZ643" i="14"/>
  <c r="AZ335" i="14"/>
  <c r="AW565" i="14"/>
  <c r="AW257" i="14"/>
  <c r="AW180" i="14"/>
  <c r="G642" i="14"/>
  <c r="G334" i="14"/>
  <c r="BB563" i="14"/>
  <c r="BB255" i="14"/>
  <c r="BB178" i="14"/>
  <c r="R561" i="14"/>
  <c r="R253" i="14"/>
  <c r="R176" i="14"/>
  <c r="S95" i="14"/>
  <c r="S559" i="14"/>
  <c r="S251" i="14"/>
  <c r="S174" i="14"/>
  <c r="D248" i="14"/>
  <c r="D556" i="14"/>
  <c r="D171" i="14"/>
  <c r="AF632" i="14"/>
  <c r="AF324" i="14"/>
  <c r="AI630" i="14"/>
  <c r="AI322" i="14"/>
  <c r="BB551" i="14"/>
  <c r="BB243" i="14"/>
  <c r="BB166" i="14"/>
  <c r="AB543" i="14"/>
  <c r="AB158" i="14"/>
  <c r="AB235" i="14"/>
  <c r="AC77" i="14"/>
  <c r="AC542" i="14"/>
  <c r="AC234" i="14"/>
  <c r="AC157" i="14"/>
  <c r="BK233" i="14"/>
  <c r="BK156" i="14"/>
  <c r="BK541" i="14"/>
  <c r="H539" i="14"/>
  <c r="H154" i="14"/>
  <c r="H231" i="14"/>
  <c r="I73" i="14"/>
  <c r="BJ614" i="14"/>
  <c r="BJ306" i="14"/>
  <c r="B614" i="14"/>
  <c r="B306" i="14"/>
  <c r="BJ610" i="14"/>
  <c r="BJ302" i="14"/>
  <c r="BO607" i="14"/>
  <c r="BO299" i="14"/>
  <c r="BJ606" i="14"/>
  <c r="BJ298" i="14"/>
  <c r="BE605" i="14"/>
  <c r="BE297" i="14"/>
  <c r="AI525" i="14"/>
  <c r="AI140" i="14"/>
  <c r="AI217" i="14"/>
  <c r="AW597" i="14"/>
  <c r="AW289" i="14"/>
  <c r="BG204" i="14"/>
  <c r="BG127" i="14"/>
  <c r="BG281" i="14" s="1"/>
  <c r="BJ656" i="14"/>
  <c r="BJ348" i="14"/>
  <c r="AC652" i="14"/>
  <c r="AC344" i="14"/>
  <c r="BB325" i="14"/>
  <c r="BB633" i="14"/>
  <c r="BV629" i="14"/>
  <c r="BV321" i="14"/>
  <c r="BL603" i="14"/>
  <c r="BL295" i="14"/>
  <c r="AP601" i="14"/>
  <c r="AP293" i="14"/>
  <c r="BO598" i="14"/>
  <c r="BO290" i="14"/>
  <c r="AF597" i="14"/>
  <c r="AF289" i="14"/>
  <c r="AA596" i="14"/>
  <c r="AA288" i="14"/>
  <c r="V595" i="14"/>
  <c r="V287" i="14"/>
  <c r="BE594" i="14"/>
  <c r="BE286" i="14"/>
  <c r="L593" i="14"/>
  <c r="L285" i="14"/>
  <c r="BJ589" i="14"/>
  <c r="BJ201" i="14"/>
  <c r="S661" i="14"/>
  <c r="S353" i="14"/>
  <c r="AK659" i="14"/>
  <c r="AK351" i="14"/>
  <c r="I658" i="14"/>
  <c r="I350" i="14"/>
  <c r="B657" i="14"/>
  <c r="B349" i="14"/>
  <c r="BP578" i="14"/>
  <c r="BP270" i="14"/>
  <c r="BP193" i="14"/>
  <c r="BR112" i="14" a="1"/>
  <c r="BR112" i="14" s="1"/>
  <c r="BV577" i="14"/>
  <c r="BV192" i="14"/>
  <c r="BV269" i="14"/>
  <c r="AW577" i="14"/>
  <c r="AW192" i="14"/>
  <c r="AW269" i="14"/>
  <c r="D654" i="14"/>
  <c r="D346" i="14"/>
  <c r="BO653" i="14"/>
  <c r="BO345" i="14"/>
  <c r="AM576" i="14"/>
  <c r="AM268" i="14"/>
  <c r="AM191" i="14"/>
  <c r="AH575" i="14"/>
  <c r="AH267" i="14"/>
  <c r="AH190" i="14"/>
  <c r="BA574" i="14"/>
  <c r="BA266" i="14"/>
  <c r="BA189" i="14"/>
  <c r="BC108" i="14" a="1"/>
  <c r="BC108" i="14" s="1"/>
  <c r="BA573" i="14"/>
  <c r="BA265" i="14"/>
  <c r="BA188" i="14"/>
  <c r="BC107" i="14" a="1"/>
  <c r="BC107" i="14" s="1"/>
  <c r="BB571" i="14"/>
  <c r="BB263" i="14"/>
  <c r="BB186" i="14"/>
  <c r="BA570" i="14"/>
  <c r="BA262" i="14"/>
  <c r="BA185" i="14"/>
  <c r="BC104" i="14" a="1"/>
  <c r="BC104" i="14" s="1"/>
  <c r="BA261" i="14"/>
  <c r="BA184" i="14"/>
  <c r="BA569" i="14"/>
  <c r="BC103" i="14" a="1"/>
  <c r="BC103" i="14" s="1"/>
  <c r="S260" i="14"/>
  <c r="S568" i="14"/>
  <c r="S183" i="14"/>
  <c r="BV567" i="14"/>
  <c r="BV259" i="14"/>
  <c r="BV182" i="14"/>
  <c r="BA567" i="14"/>
  <c r="BA259" i="14"/>
  <c r="BA182" i="14"/>
  <c r="BC101" i="14" a="1"/>
  <c r="BC101" i="14" s="1"/>
  <c r="AG567" i="14"/>
  <c r="AG259" i="14"/>
  <c r="AG182" i="14"/>
  <c r="AI101" i="14" a="1"/>
  <c r="AI101" i="14" s="1"/>
  <c r="R563" i="14"/>
  <c r="R178" i="14"/>
  <c r="R255" i="14"/>
  <c r="AW253" i="14"/>
  <c r="AW176" i="14"/>
  <c r="AW561" i="14"/>
  <c r="X561" i="14"/>
  <c r="X176" i="14"/>
  <c r="X253" i="14"/>
  <c r="BR637" i="14"/>
  <c r="BR329" i="14"/>
  <c r="D252" i="14"/>
  <c r="D560" i="14"/>
  <c r="D175" i="14"/>
  <c r="M559" i="14"/>
  <c r="M251" i="14"/>
  <c r="M174" i="14"/>
  <c r="BJ633" i="14"/>
  <c r="BJ325" i="14"/>
  <c r="AX247" i="14"/>
  <c r="AX555" i="14"/>
  <c r="AX170" i="14"/>
  <c r="AD247" i="14"/>
  <c r="AD555" i="14"/>
  <c r="AD170" i="14"/>
  <c r="AZ631" i="14"/>
  <c r="AZ323" i="14"/>
  <c r="AA631" i="14"/>
  <c r="AA323" i="14"/>
  <c r="AL630" i="14"/>
  <c r="AL322" i="14"/>
  <c r="H553" i="14"/>
  <c r="H245" i="14"/>
  <c r="H168" i="14"/>
  <c r="AV628" i="14"/>
  <c r="AV320" i="14"/>
  <c r="AZ627" i="14"/>
  <c r="AZ319" i="14"/>
  <c r="AA627" i="14"/>
  <c r="AA319" i="14"/>
  <c r="G627" i="14"/>
  <c r="G319" i="14"/>
  <c r="AC164" i="14"/>
  <c r="AC241" i="14"/>
  <c r="AC549" i="14"/>
  <c r="G626" i="14"/>
  <c r="G318" i="14"/>
  <c r="R545" i="14"/>
  <c r="R237" i="14"/>
  <c r="R160" i="14"/>
  <c r="S79" i="14"/>
  <c r="V621" i="14"/>
  <c r="V313" i="14"/>
  <c r="BB543" i="14"/>
  <c r="BB235" i="14"/>
  <c r="BB158" i="14"/>
  <c r="BU532" i="14"/>
  <c r="BU224" i="14"/>
  <c r="BU147" i="14"/>
  <c r="BV66" i="14"/>
  <c r="BK145" i="14"/>
  <c r="BK222" i="14"/>
  <c r="BL64" i="14"/>
  <c r="BK530" i="14"/>
  <c r="BF529" i="14"/>
  <c r="BF221" i="14"/>
  <c r="BF144" i="14"/>
  <c r="BG63" i="14"/>
  <c r="BG527" i="14"/>
  <c r="BG219" i="14"/>
  <c r="BG142" i="14"/>
  <c r="AH527" i="14"/>
  <c r="AH219" i="14"/>
  <c r="AH142" i="14"/>
  <c r="BQ521" i="14"/>
  <c r="BQ136" i="14"/>
  <c r="BQ213" i="14"/>
  <c r="BA518" i="14"/>
  <c r="BA210" i="14"/>
  <c r="BA133" i="14"/>
  <c r="AH593" i="14"/>
  <c r="AH285" i="14"/>
  <c r="BU207" i="14"/>
  <c r="BU130" i="14"/>
  <c r="BU284" i="14" s="1"/>
  <c r="BW49" i="14" a="1"/>
  <c r="BW49" i="14" s="1"/>
  <c r="BG207" i="14"/>
  <c r="BG130" i="14"/>
  <c r="BG284" i="14" s="1"/>
  <c r="BQ128" i="14"/>
  <c r="BQ282" i="14" s="1"/>
  <c r="BQ205" i="14"/>
  <c r="BM126" i="14"/>
  <c r="BM592" i="14" s="1"/>
  <c r="BM515" i="14"/>
  <c r="X514" i="14"/>
  <c r="X125" i="14"/>
  <c r="X591" i="14" s="1"/>
  <c r="BG512" i="14"/>
  <c r="BG123" i="14"/>
  <c r="BG589" i="14" s="1"/>
  <c r="M598" i="14"/>
  <c r="M290" i="14"/>
  <c r="V278" i="14"/>
  <c r="AC650" i="14"/>
  <c r="AC342" i="14"/>
  <c r="AV585" i="14"/>
  <c r="AV277" i="14"/>
  <c r="AV200" i="14"/>
  <c r="AX119" i="14" a="1"/>
  <c r="AX119" i="14" s="1"/>
  <c r="AD582" i="14"/>
  <c r="AD274" i="14"/>
  <c r="AD197" i="14"/>
  <c r="D581" i="14"/>
  <c r="D196" i="14"/>
  <c r="D273" i="14"/>
  <c r="AV578" i="14"/>
  <c r="AV270" i="14"/>
  <c r="AV193" i="14"/>
  <c r="AX112" i="14" a="1"/>
  <c r="AX112" i="14" s="1"/>
  <c r="J577" i="14"/>
  <c r="J269" i="14"/>
  <c r="J192" i="14"/>
  <c r="BQ575" i="14"/>
  <c r="BQ267" i="14"/>
  <c r="BQ190" i="14"/>
  <c r="AH573" i="14"/>
  <c r="AH265" i="14"/>
  <c r="AH188" i="14"/>
  <c r="AH264" i="14"/>
  <c r="AH572" i="14"/>
  <c r="AH187" i="14"/>
  <c r="BO643" i="14"/>
  <c r="BO335" i="14"/>
  <c r="AR248" i="14"/>
  <c r="AR556" i="14"/>
  <c r="AR171" i="14"/>
  <c r="L631" i="14"/>
  <c r="L323" i="14"/>
  <c r="BJ630" i="14"/>
  <c r="BJ322" i="14"/>
  <c r="Q629" i="14"/>
  <c r="Q321" i="14"/>
  <c r="AF627" i="14"/>
  <c r="AF319" i="14"/>
  <c r="AW625" i="14"/>
  <c r="AW317" i="14"/>
  <c r="Q625" i="14"/>
  <c r="Q317" i="14"/>
  <c r="AR540" i="14"/>
  <c r="AR232" i="14"/>
  <c r="AR155" i="14"/>
  <c r="S539" i="14"/>
  <c r="S231" i="14"/>
  <c r="S154" i="14"/>
  <c r="BP534" i="14"/>
  <c r="BP149" i="14"/>
  <c r="BP226" i="14"/>
  <c r="BU527" i="14"/>
  <c r="BU142" i="14"/>
  <c r="BU219" i="14"/>
  <c r="M229" i="14"/>
  <c r="M537" i="14"/>
  <c r="M152" i="14"/>
  <c r="N71" i="14"/>
  <c r="Y526" i="14"/>
  <c r="Y218" i="14"/>
  <c r="Y141" i="14"/>
  <c r="BP205" i="14"/>
  <c r="BP128" i="14"/>
  <c r="BP282" i="14" s="1"/>
  <c r="AV205" i="14"/>
  <c r="AV128" i="14"/>
  <c r="AV282" i="14" s="1"/>
  <c r="AW514" i="14"/>
  <c r="AW125" i="14"/>
  <c r="AW591" i="14" s="1"/>
  <c r="BE201" i="14"/>
  <c r="AK589" i="14"/>
  <c r="AK201" i="14"/>
  <c r="AW585" i="14"/>
  <c r="AW200" i="14"/>
  <c r="AW277" i="14"/>
  <c r="BT658" i="14"/>
  <c r="BT350" i="14"/>
  <c r="BK655" i="14"/>
  <c r="BK347" i="14"/>
  <c r="BM576" i="14"/>
  <c r="BM268" i="14"/>
  <c r="BM191" i="14"/>
  <c r="J268" i="14"/>
  <c r="J191" i="14"/>
  <c r="J576" i="14"/>
  <c r="Q652" i="14"/>
  <c r="Q344" i="14"/>
  <c r="S569" i="14"/>
  <c r="S261" i="14"/>
  <c r="S184" i="14"/>
  <c r="BW560" i="14"/>
  <c r="BW175" i="14"/>
  <c r="BW252" i="14"/>
  <c r="BV558" i="14"/>
  <c r="BV173" i="14"/>
  <c r="BV250" i="14"/>
  <c r="AU635" i="14"/>
  <c r="AU327" i="14"/>
  <c r="BF634" i="14"/>
  <c r="BF326" i="14"/>
  <c r="BO630" i="14"/>
  <c r="BO322" i="14"/>
  <c r="AP630" i="14"/>
  <c r="AP322" i="14"/>
  <c r="N551" i="14"/>
  <c r="N243" i="14"/>
  <c r="N166" i="14"/>
  <c r="AP626" i="14"/>
  <c r="AP318" i="14"/>
  <c r="N547" i="14"/>
  <c r="N239" i="14"/>
  <c r="N162" i="14"/>
  <c r="BA542" i="14"/>
  <c r="BA157" i="14"/>
  <c r="BA234" i="14"/>
  <c r="BC76" i="14" a="1"/>
  <c r="BC76" i="14" s="1"/>
  <c r="C233" i="14"/>
  <c r="C156" i="14"/>
  <c r="C541" i="14"/>
  <c r="BE613" i="14"/>
  <c r="BE305" i="14"/>
  <c r="Q613" i="14"/>
  <c r="Q305" i="14"/>
  <c r="AU611" i="14"/>
  <c r="AU303" i="14"/>
  <c r="AA611" i="14"/>
  <c r="AA303" i="14"/>
  <c r="V610" i="14"/>
  <c r="V302" i="14"/>
  <c r="AK609" i="14"/>
  <c r="AK301" i="14"/>
  <c r="AA607" i="14"/>
  <c r="AA299" i="14"/>
  <c r="B606" i="14"/>
  <c r="B298" i="14"/>
  <c r="Q605" i="14"/>
  <c r="Q297" i="14"/>
  <c r="R527" i="14"/>
  <c r="R142" i="14"/>
  <c r="R219" i="14"/>
  <c r="R534" i="14"/>
  <c r="R149" i="14"/>
  <c r="S68" i="14"/>
  <c r="R226" i="14"/>
  <c r="AI524" i="14"/>
  <c r="AI216" i="14"/>
  <c r="AI139" i="14"/>
  <c r="S601" i="14"/>
  <c r="S293" i="14"/>
  <c r="AB521" i="14"/>
  <c r="AB213" i="14"/>
  <c r="AB136" i="14"/>
  <c r="AL53" i="14"/>
  <c r="AL24" i="14"/>
  <c r="AL27" i="14"/>
  <c r="AL57" i="14" s="1"/>
  <c r="AC595" i="14"/>
  <c r="AC287" i="14"/>
  <c r="AB660" i="14"/>
  <c r="AB352" i="14"/>
  <c r="AV643" i="14"/>
  <c r="AV335" i="14"/>
  <c r="BP631" i="14"/>
  <c r="BP323" i="14"/>
  <c r="AB551" i="14"/>
  <c r="AB166" i="14"/>
  <c r="AB243" i="14"/>
  <c r="AC85" i="14"/>
  <c r="H651" i="14"/>
  <c r="X542" i="14"/>
  <c r="X157" i="14"/>
  <c r="W619" i="14"/>
  <c r="W311" i="14"/>
  <c r="W602" i="14"/>
  <c r="W294" i="14"/>
  <c r="AH595" i="14"/>
  <c r="AH287" i="14"/>
  <c r="BP650" i="14"/>
  <c r="BP342" i="14"/>
  <c r="W169" i="14"/>
  <c r="X88" i="14"/>
  <c r="W554" i="14"/>
  <c r="W246" i="14"/>
  <c r="AM598" i="14"/>
  <c r="AM290" i="14"/>
  <c r="D597" i="14"/>
  <c r="D289" i="14"/>
  <c r="AX581" i="14"/>
  <c r="AX273" i="14"/>
  <c r="AX196" i="14"/>
  <c r="BH579" i="14"/>
  <c r="BH271" i="14"/>
  <c r="BH194" i="14"/>
  <c r="BR574" i="14"/>
  <c r="BR266" i="14"/>
  <c r="BR189" i="14"/>
  <c r="AI570" i="14"/>
  <c r="AI262" i="14"/>
  <c r="AI185" i="14"/>
  <c r="BC547" i="14"/>
  <c r="BC239" i="14"/>
  <c r="BC162" i="14"/>
  <c r="AD602" i="14"/>
  <c r="AD294" i="14"/>
  <c r="G659" i="14"/>
  <c r="G351" i="14"/>
  <c r="BJ654" i="14"/>
  <c r="BJ346" i="14"/>
  <c r="BE646" i="14"/>
  <c r="BE338" i="14"/>
  <c r="AL275" i="14"/>
  <c r="AL583" i="14"/>
  <c r="AL198" i="14"/>
  <c r="AN117" i="14" a="1"/>
  <c r="AN117" i="14" s="1"/>
  <c r="BK657" i="14"/>
  <c r="BK349" i="14"/>
  <c r="M657" i="14"/>
  <c r="M349" i="14"/>
  <c r="W651" i="14"/>
  <c r="W343" i="14"/>
  <c r="W648" i="14"/>
  <c r="W340" i="14"/>
  <c r="C570" i="14"/>
  <c r="C185" i="14"/>
  <c r="C262" i="14"/>
  <c r="D104" i="14"/>
  <c r="C568" i="14"/>
  <c r="C260" i="14"/>
  <c r="C183" i="14"/>
  <c r="D102" i="14"/>
  <c r="W567" i="14"/>
  <c r="W182" i="14"/>
  <c r="W259" i="14"/>
  <c r="Y101" i="14" a="1"/>
  <c r="Y101" i="14" s="1"/>
  <c r="R566" i="14"/>
  <c r="R258" i="14"/>
  <c r="R181" i="14"/>
  <c r="S100" i="14"/>
  <c r="BA565" i="14"/>
  <c r="BA257" i="14"/>
  <c r="BA180" i="14"/>
  <c r="BC99" i="14" a="1"/>
  <c r="BC99" i="14" s="1"/>
  <c r="AV564" i="14"/>
  <c r="AV179" i="14"/>
  <c r="AV256" i="14"/>
  <c r="AX98" i="14" a="1"/>
  <c r="AX98" i="14" s="1"/>
  <c r="BP637" i="14"/>
  <c r="BP329" i="14"/>
  <c r="H556" i="14"/>
  <c r="H171" i="14"/>
  <c r="H248" i="14"/>
  <c r="I90" i="14"/>
  <c r="H552" i="14"/>
  <c r="H244" i="14"/>
  <c r="H167" i="14"/>
  <c r="I86" i="14"/>
  <c r="H536" i="14"/>
  <c r="H228" i="14"/>
  <c r="H151" i="14"/>
  <c r="I70" i="14"/>
  <c r="H528" i="14"/>
  <c r="H220" i="14"/>
  <c r="H143" i="14"/>
  <c r="I62" i="14"/>
  <c r="BA602" i="14"/>
  <c r="BA294" i="14"/>
  <c r="BT659" i="14"/>
  <c r="BT351" i="14"/>
  <c r="BJ648" i="14"/>
  <c r="BJ340" i="14"/>
  <c r="AF656" i="14"/>
  <c r="AF348" i="14"/>
  <c r="AC654" i="14"/>
  <c r="AC346" i="14"/>
  <c r="X649" i="14"/>
  <c r="X341" i="14"/>
  <c r="L647" i="14"/>
  <c r="L339" i="14"/>
  <c r="D585" i="14"/>
  <c r="D200" i="14"/>
  <c r="D277" i="14"/>
  <c r="AW661" i="14"/>
  <c r="AW353" i="14"/>
  <c r="M659" i="14"/>
  <c r="M351" i="14"/>
  <c r="BK658" i="14"/>
  <c r="BK350" i="14"/>
  <c r="BW580" i="14"/>
  <c r="BW272" i="14"/>
  <c r="BW195" i="14"/>
  <c r="X580" i="14"/>
  <c r="X195" i="14"/>
  <c r="X272" i="14"/>
  <c r="BL578" i="14"/>
  <c r="BL193" i="14"/>
  <c r="BL270" i="14"/>
  <c r="Q655" i="14"/>
  <c r="Q347" i="14"/>
  <c r="E654" i="14"/>
  <c r="E346" i="14"/>
  <c r="BM575" i="14"/>
  <c r="BM267" i="14"/>
  <c r="BM190" i="14"/>
  <c r="AI575" i="14"/>
  <c r="AI267" i="14"/>
  <c r="AI190" i="14"/>
  <c r="BU574" i="14"/>
  <c r="BU266" i="14"/>
  <c r="BU189" i="14"/>
  <c r="BW108" i="14" a="1"/>
  <c r="BW108" i="14" s="1"/>
  <c r="AW574" i="14"/>
  <c r="AW189" i="14"/>
  <c r="AW266" i="14"/>
  <c r="R266" i="14"/>
  <c r="R574" i="14"/>
  <c r="R189" i="14"/>
  <c r="T108" i="14" a="1"/>
  <c r="T108" i="14" s="1"/>
  <c r="Q650" i="14"/>
  <c r="Q342" i="14"/>
  <c r="AD571" i="14"/>
  <c r="AD263" i="14"/>
  <c r="AD186" i="14"/>
  <c r="BB638" i="14"/>
  <c r="BB330" i="14"/>
  <c r="I558" i="14"/>
  <c r="I250" i="14"/>
  <c r="I173" i="14"/>
  <c r="BK634" i="14"/>
  <c r="BK326" i="14"/>
  <c r="G634" i="14"/>
  <c r="G326" i="14"/>
  <c r="BG248" i="14"/>
  <c r="BG556" i="14"/>
  <c r="BG171" i="14"/>
  <c r="BT631" i="14"/>
  <c r="BT323" i="14"/>
  <c r="AH630" i="14"/>
  <c r="AH322" i="14"/>
  <c r="B630" i="14"/>
  <c r="B322" i="14"/>
  <c r="AM551" i="14"/>
  <c r="AM243" i="14"/>
  <c r="AM166" i="14"/>
  <c r="BU546" i="14"/>
  <c r="BU161" i="14"/>
  <c r="BU238" i="14"/>
  <c r="BW80" i="14" a="1"/>
  <c r="BW80" i="14" s="1"/>
  <c r="H546" i="14"/>
  <c r="H161" i="14"/>
  <c r="H238" i="14"/>
  <c r="BE621" i="14"/>
  <c r="BE313" i="14"/>
  <c r="Q313" i="14"/>
  <c r="Q621" i="14"/>
  <c r="BA620" i="14"/>
  <c r="BA312" i="14"/>
  <c r="BR542" i="14"/>
  <c r="BR234" i="14"/>
  <c r="BR157" i="14"/>
  <c r="AR541" i="14"/>
  <c r="AR233" i="14"/>
  <c r="AR156" i="14"/>
  <c r="D75" i="14"/>
  <c r="AG539" i="14"/>
  <c r="AG154" i="14"/>
  <c r="AG231" i="14"/>
  <c r="AU614" i="14"/>
  <c r="AU306" i="14"/>
  <c r="BK536" i="14"/>
  <c r="BK228" i="14"/>
  <c r="BK151" i="14"/>
  <c r="W536" i="14"/>
  <c r="W228" i="14"/>
  <c r="W151" i="14"/>
  <c r="C536" i="14"/>
  <c r="C228" i="14"/>
  <c r="C151" i="14"/>
  <c r="Q612" i="14"/>
  <c r="Q304" i="14"/>
  <c r="AG534" i="14"/>
  <c r="AG149" i="14"/>
  <c r="AG226" i="14"/>
  <c r="AB533" i="14"/>
  <c r="AB225" i="14"/>
  <c r="AB148" i="14"/>
  <c r="BL532" i="14"/>
  <c r="BL224" i="14"/>
  <c r="BL147" i="14"/>
  <c r="X532" i="14"/>
  <c r="X224" i="14"/>
  <c r="X147" i="14"/>
  <c r="AM531" i="14"/>
  <c r="AM223" i="14"/>
  <c r="AM146" i="14"/>
  <c r="BB530" i="14"/>
  <c r="BB145" i="14"/>
  <c r="BB222" i="14"/>
  <c r="AF607" i="14"/>
  <c r="AF299" i="14"/>
  <c r="AW144" i="14"/>
  <c r="AW221" i="14"/>
  <c r="AW529" i="14"/>
  <c r="H529" i="14"/>
  <c r="H221" i="14"/>
  <c r="H144" i="14"/>
  <c r="AQ528" i="14"/>
  <c r="AQ220" i="14"/>
  <c r="AQ143" i="14"/>
  <c r="W531" i="14"/>
  <c r="W146" i="14"/>
  <c r="W223" i="14"/>
  <c r="X65" i="14"/>
  <c r="D528" i="14"/>
  <c r="D220" i="14"/>
  <c r="D143" i="14"/>
  <c r="BB527" i="14"/>
  <c r="BB219" i="14"/>
  <c r="BB142" i="14"/>
  <c r="BT603" i="14"/>
  <c r="BT295" i="14"/>
  <c r="AI526" i="14"/>
  <c r="AI218" i="14"/>
  <c r="AI141" i="14"/>
  <c r="BE601" i="14"/>
  <c r="BE293" i="14"/>
  <c r="BM522" i="14"/>
  <c r="BM214" i="14"/>
  <c r="BM137" i="14"/>
  <c r="BL597" i="14"/>
  <c r="BL289" i="14"/>
  <c r="D602" i="14"/>
  <c r="D294" i="14"/>
  <c r="BU660" i="14"/>
  <c r="BU352" i="14"/>
  <c r="R274" i="14"/>
  <c r="R197" i="14"/>
  <c r="R582" i="14"/>
  <c r="T116" i="14" a="1"/>
  <c r="T116" i="14" s="1"/>
  <c r="BV656" i="14"/>
  <c r="BV348" i="14"/>
  <c r="BF655" i="14"/>
  <c r="BF347" i="14"/>
  <c r="AU643" i="14"/>
  <c r="AU335" i="14"/>
  <c r="BJ642" i="14"/>
  <c r="BJ334" i="14"/>
  <c r="B642" i="14"/>
  <c r="B334" i="14"/>
  <c r="AZ639" i="14"/>
  <c r="AZ331" i="14"/>
  <c r="BK253" i="14"/>
  <c r="BK176" i="14"/>
  <c r="BM95" i="14" a="1"/>
  <c r="BM95" i="14" s="1"/>
  <c r="BK561" i="14"/>
  <c r="BB634" i="14"/>
  <c r="BB326" i="14"/>
  <c r="S248" i="14"/>
  <c r="S556" i="14"/>
  <c r="S171" i="14"/>
  <c r="BA555" i="14"/>
  <c r="BA247" i="14"/>
  <c r="BA170" i="14"/>
  <c r="BC89" i="14" a="1"/>
  <c r="BC89" i="14" s="1"/>
  <c r="AG546" i="14"/>
  <c r="AG161" i="14"/>
  <c r="AG238" i="14"/>
  <c r="C237" i="14"/>
  <c r="C160" i="14"/>
  <c r="C545" i="14"/>
  <c r="BP620" i="14"/>
  <c r="BP312" i="14"/>
  <c r="BF618" i="14"/>
  <c r="BF310" i="14"/>
  <c r="W540" i="14"/>
  <c r="W232" i="14"/>
  <c r="W155" i="14"/>
  <c r="AM539" i="14"/>
  <c r="AM231" i="14"/>
  <c r="AM154" i="14"/>
  <c r="W229" i="14"/>
  <c r="W152" i="14"/>
  <c r="W537" i="14"/>
  <c r="BF532" i="14"/>
  <c r="BF224" i="14"/>
  <c r="BF147" i="14"/>
  <c r="AL528" i="14"/>
  <c r="AL220" i="14"/>
  <c r="AL143" i="14"/>
  <c r="X604" i="14"/>
  <c r="X296" i="14"/>
  <c r="AV521" i="14"/>
  <c r="AV213" i="14"/>
  <c r="AV136" i="14"/>
  <c r="D207" i="14"/>
  <c r="D130" i="14"/>
  <c r="D284" i="14" s="1"/>
  <c r="BB584" i="14"/>
  <c r="BB276" i="14"/>
  <c r="BB199" i="14"/>
  <c r="H659" i="14"/>
  <c r="H351" i="14"/>
  <c r="BP657" i="14"/>
  <c r="BP349" i="14"/>
  <c r="BW579" i="14"/>
  <c r="BW271" i="14"/>
  <c r="BW194" i="14"/>
  <c r="M654" i="14"/>
  <c r="M346" i="14"/>
  <c r="AB652" i="14"/>
  <c r="AB344" i="14"/>
  <c r="AM265" i="14"/>
  <c r="AM188" i="14"/>
  <c r="AM573" i="14"/>
  <c r="BU568" i="14"/>
  <c r="BU260" i="14"/>
  <c r="BU183" i="14"/>
  <c r="BW102" i="14" a="1"/>
  <c r="BW102" i="14" s="1"/>
  <c r="R567" i="14"/>
  <c r="R182" i="14"/>
  <c r="T101" i="14" a="1"/>
  <c r="T101" i="14" s="1"/>
  <c r="R259" i="14"/>
  <c r="BB566" i="14"/>
  <c r="BB258" i="14"/>
  <c r="BB181" i="14"/>
  <c r="I565" i="14"/>
  <c r="I257" i="14"/>
  <c r="I180" i="14"/>
  <c r="BK564" i="14"/>
  <c r="BK256" i="14"/>
  <c r="BK179" i="14"/>
  <c r="BM98" i="14" a="1"/>
  <c r="BM98" i="14" s="1"/>
  <c r="AG562" i="14"/>
  <c r="AG254" i="14"/>
  <c r="AG177" i="14"/>
  <c r="AI96" i="14" a="1"/>
  <c r="AI96" i="14" s="1"/>
  <c r="H558" i="14"/>
  <c r="H173" i="14"/>
  <c r="H250" i="14"/>
  <c r="W552" i="14"/>
  <c r="W244" i="14"/>
  <c r="W167" i="14"/>
  <c r="BO623" i="14"/>
  <c r="BO315" i="14"/>
  <c r="Y653" i="14"/>
  <c r="Y345" i="14"/>
  <c r="AZ650" i="14"/>
  <c r="AZ342" i="14"/>
  <c r="BO648" i="14"/>
  <c r="BO340" i="14"/>
  <c r="AM330" i="14"/>
  <c r="BQ636" i="14"/>
  <c r="BQ328" i="14"/>
  <c r="X603" i="14"/>
  <c r="X295" i="14"/>
  <c r="V601" i="14"/>
  <c r="V293" i="14"/>
  <c r="BJ597" i="14"/>
  <c r="BJ289" i="14"/>
  <c r="BE596" i="14"/>
  <c r="BE288" i="14"/>
  <c r="L595" i="14"/>
  <c r="L287" i="14"/>
  <c r="G594" i="14"/>
  <c r="G286" i="14"/>
  <c r="B593" i="14"/>
  <c r="B285" i="14"/>
  <c r="BP585" i="14"/>
  <c r="BP277" i="14"/>
  <c r="BP200" i="14"/>
  <c r="BR119" i="14" a="1"/>
  <c r="BR119" i="14" s="1"/>
  <c r="AC584" i="14"/>
  <c r="AC276" i="14"/>
  <c r="AC199" i="14"/>
  <c r="H584" i="14"/>
  <c r="H276" i="14"/>
  <c r="H199" i="14"/>
  <c r="J118" i="14" a="1"/>
  <c r="J118" i="14" s="1"/>
  <c r="BK274" i="14"/>
  <c r="BK197" i="14"/>
  <c r="BM116" i="14" a="1"/>
  <c r="BM116" i="14" s="1"/>
  <c r="BK582" i="14"/>
  <c r="W581" i="14"/>
  <c r="W273" i="14"/>
  <c r="W196" i="14"/>
  <c r="Y115" i="14" a="1"/>
  <c r="Y115" i="14" s="1"/>
  <c r="BQ578" i="14"/>
  <c r="BQ193" i="14"/>
  <c r="BQ270" i="14"/>
  <c r="BT654" i="14"/>
  <c r="BT346" i="14"/>
  <c r="S577" i="14"/>
  <c r="S269" i="14"/>
  <c r="S192" i="14"/>
  <c r="N576" i="14"/>
  <c r="N268" i="14"/>
  <c r="N191" i="14"/>
  <c r="AG574" i="14"/>
  <c r="AG266" i="14"/>
  <c r="AG189" i="14"/>
  <c r="AI108" i="14" a="1"/>
  <c r="AI108" i="14" s="1"/>
  <c r="BM572" i="14"/>
  <c r="BM264" i="14"/>
  <c r="BM187" i="14"/>
  <c r="BA572" i="14"/>
  <c r="BA264" i="14"/>
  <c r="BA187" i="14"/>
  <c r="BC106" i="14" a="1"/>
  <c r="BC106" i="14" s="1"/>
  <c r="AZ647" i="14"/>
  <c r="AZ339" i="14"/>
  <c r="BP568" i="14"/>
  <c r="BP260" i="14"/>
  <c r="BP183" i="14"/>
  <c r="BR102" i="14" a="1"/>
  <c r="BR102" i="14" s="1"/>
  <c r="BB567" i="14"/>
  <c r="BB259" i="14"/>
  <c r="BB182" i="14"/>
  <c r="BF564" i="14"/>
  <c r="BF256" i="14"/>
  <c r="BF179" i="14"/>
  <c r="BH98" i="14" a="1"/>
  <c r="BH98" i="14" s="1"/>
  <c r="Q640" i="14"/>
  <c r="Q332" i="14"/>
  <c r="AB177" i="14"/>
  <c r="AB562" i="14"/>
  <c r="AD96" i="14" a="1"/>
  <c r="AD96" i="14" s="1"/>
  <c r="AB254" i="14"/>
  <c r="V638" i="14"/>
  <c r="V330" i="14"/>
  <c r="B638" i="14"/>
  <c r="B330" i="14"/>
  <c r="AG558" i="14"/>
  <c r="AG250" i="14"/>
  <c r="AG173" i="14"/>
  <c r="AI92" i="14" a="1"/>
  <c r="AI92" i="14" s="1"/>
  <c r="AB547" i="14"/>
  <c r="AB162" i="14"/>
  <c r="AB239" i="14"/>
  <c r="AC81" i="14"/>
  <c r="AL622" i="14"/>
  <c r="AL314" i="14"/>
  <c r="X544" i="14"/>
  <c r="X236" i="14"/>
  <c r="X159" i="14"/>
  <c r="BK512" i="14"/>
  <c r="BK123" i="14"/>
  <c r="BK589" i="14" s="1"/>
  <c r="BE586" i="14"/>
  <c r="AQ241" i="14"/>
  <c r="AQ164" i="14"/>
  <c r="AQ549" i="14"/>
  <c r="BT624" i="14"/>
  <c r="BT316" i="14"/>
  <c r="I538" i="14"/>
  <c r="I230" i="14"/>
  <c r="I153" i="14"/>
  <c r="AQ225" i="14"/>
  <c r="AQ148" i="14"/>
  <c r="AQ533" i="14"/>
  <c r="M249" i="14"/>
  <c r="M557" i="14"/>
  <c r="M172" i="14"/>
  <c r="N91" i="14"/>
  <c r="BO602" i="14"/>
  <c r="BO294" i="14"/>
  <c r="BB602" i="14"/>
  <c r="BB294" i="14"/>
  <c r="BL600" i="14"/>
  <c r="BL292" i="14"/>
  <c r="AX206" i="14"/>
  <c r="AX129" i="14"/>
  <c r="AX283" i="14" s="1"/>
  <c r="AC648" i="14"/>
  <c r="AC340" i="14"/>
  <c r="G599" i="14"/>
  <c r="G291" i="14"/>
  <c r="AA201" i="14"/>
  <c r="BU585" i="14"/>
  <c r="BU277" i="14"/>
  <c r="BU200" i="14"/>
  <c r="BW119" i="14" a="1"/>
  <c r="BW119" i="14" s="1"/>
  <c r="Y584" i="14"/>
  <c r="Y276" i="14"/>
  <c r="Y199" i="14"/>
  <c r="AG583" i="14"/>
  <c r="AG275" i="14"/>
  <c r="AG198" i="14"/>
  <c r="AI117" i="14" a="1"/>
  <c r="AI117" i="14" s="1"/>
  <c r="D660" i="14"/>
  <c r="D352" i="14"/>
  <c r="Y580" i="14"/>
  <c r="Y272" i="14"/>
  <c r="Y195" i="14"/>
  <c r="AF654" i="14"/>
  <c r="AF346" i="14"/>
  <c r="AG653" i="14"/>
  <c r="AG345" i="14"/>
  <c r="BH647" i="14"/>
  <c r="BH339" i="14"/>
  <c r="BA568" i="14"/>
  <c r="BA260" i="14"/>
  <c r="BA183" i="14"/>
  <c r="BC102" i="14" a="1"/>
  <c r="BC102" i="14" s="1"/>
  <c r="BU566" i="14"/>
  <c r="BU258" i="14"/>
  <c r="BU181" i="14"/>
  <c r="BW100" i="14" a="1"/>
  <c r="BW100" i="14" s="1"/>
  <c r="AR564" i="14"/>
  <c r="AR256" i="14"/>
  <c r="AR179" i="14"/>
  <c r="B641" i="14"/>
  <c r="B333" i="14"/>
  <c r="R560" i="14"/>
  <c r="R252" i="14"/>
  <c r="R175" i="14"/>
  <c r="AB635" i="14"/>
  <c r="AB327" i="14"/>
  <c r="BQ245" i="14"/>
  <c r="BQ553" i="14"/>
  <c r="BQ168" i="14"/>
  <c r="BO626" i="14"/>
  <c r="BO318" i="14"/>
  <c r="C548" i="14"/>
  <c r="C240" i="14"/>
  <c r="C163" i="14"/>
  <c r="AG540" i="14"/>
  <c r="AG232" i="14"/>
  <c r="AG155" i="14"/>
  <c r="AH74" i="14"/>
  <c r="L615" i="14"/>
  <c r="L307" i="14"/>
  <c r="AF612" i="14"/>
  <c r="AF304" i="14"/>
  <c r="BT608" i="14"/>
  <c r="BT300" i="14"/>
  <c r="AF608" i="14"/>
  <c r="AF300" i="14"/>
  <c r="BU221" i="14"/>
  <c r="BU529" i="14"/>
  <c r="BU144" i="14"/>
  <c r="BV63" i="14"/>
  <c r="R538" i="14"/>
  <c r="R153" i="14"/>
  <c r="S72" i="14"/>
  <c r="R230" i="14"/>
  <c r="AD526" i="14"/>
  <c r="AD218" i="14"/>
  <c r="AD141" i="14"/>
  <c r="AG601" i="14"/>
  <c r="AG293" i="14"/>
  <c r="X595" i="14"/>
  <c r="X287" i="14"/>
  <c r="AV542" i="14"/>
  <c r="AV157" i="14"/>
  <c r="AV234" i="14"/>
  <c r="BV595" i="14"/>
  <c r="BV287" i="14"/>
  <c r="BR558" i="14"/>
  <c r="BR250" i="14"/>
  <c r="BR173" i="14"/>
  <c r="BW247" i="14"/>
  <c r="BW555" i="14"/>
  <c r="BW170" i="14"/>
  <c r="BM545" i="14"/>
  <c r="BM237" i="14"/>
  <c r="BM160" i="14"/>
  <c r="C610" i="14"/>
  <c r="C302" i="14"/>
  <c r="B201" i="14"/>
  <c r="BF656" i="14"/>
  <c r="BF348" i="14"/>
  <c r="S294" i="14"/>
  <c r="S602" i="14"/>
  <c r="S523" i="14"/>
  <c r="S215" i="14"/>
  <c r="S138" i="14"/>
  <c r="BJ658" i="14"/>
  <c r="BJ350" i="14"/>
  <c r="V653" i="14"/>
  <c r="V345" i="14"/>
  <c r="BE648" i="14"/>
  <c r="BE340" i="14"/>
  <c r="AB585" i="14"/>
  <c r="AB277" i="14"/>
  <c r="AB200" i="14"/>
  <c r="AD119" i="14" a="1"/>
  <c r="AD119" i="14" s="1"/>
  <c r="R275" i="14"/>
  <c r="R583" i="14"/>
  <c r="R198" i="14"/>
  <c r="T117" i="14" a="1"/>
  <c r="T117" i="14" s="1"/>
  <c r="W653" i="14"/>
  <c r="W345" i="14"/>
  <c r="C652" i="14"/>
  <c r="C344" i="14"/>
  <c r="AL566" i="14"/>
  <c r="AL258" i="14"/>
  <c r="AL181" i="14"/>
  <c r="AN100" i="14" a="1"/>
  <c r="AN100" i="14" s="1"/>
  <c r="AG565" i="14"/>
  <c r="AG257" i="14"/>
  <c r="AG180" i="14"/>
  <c r="AI99" i="14" a="1"/>
  <c r="AI99" i="14" s="1"/>
  <c r="BP564" i="14"/>
  <c r="BP179" i="14"/>
  <c r="BP256" i="14"/>
  <c r="BR98" i="14" a="1"/>
  <c r="BR98" i="14" s="1"/>
  <c r="BU638" i="14"/>
  <c r="BU330" i="14"/>
  <c r="BU634" i="14"/>
  <c r="BU326" i="14"/>
  <c r="C555" i="14"/>
  <c r="C170" i="14"/>
  <c r="C247" i="14"/>
  <c r="D89" i="14"/>
  <c r="AL311" i="14"/>
  <c r="AL619" i="14"/>
  <c r="AB532" i="14"/>
  <c r="AB224" i="14"/>
  <c r="AB147" i="14"/>
  <c r="AC66" i="14"/>
  <c r="W604" i="14"/>
  <c r="W296" i="14"/>
  <c r="G647" i="14"/>
  <c r="G339" i="14"/>
  <c r="BO662" i="14"/>
  <c r="BO354" i="14"/>
  <c r="L656" i="14"/>
  <c r="L348" i="14"/>
  <c r="L655" i="14"/>
  <c r="L347" i="14"/>
  <c r="D653" i="14"/>
  <c r="D345" i="14"/>
  <c r="AF651" i="14"/>
  <c r="AF343" i="14"/>
  <c r="BT648" i="14"/>
  <c r="BT340" i="14"/>
  <c r="AC603" i="14"/>
  <c r="AC295" i="14"/>
  <c r="BM585" i="14"/>
  <c r="BM277" i="14"/>
  <c r="BM200" i="14"/>
  <c r="BA585" i="14"/>
  <c r="BA277" i="14"/>
  <c r="BA200" i="14"/>
  <c r="BC119" i="14" a="1"/>
  <c r="BC119" i="14" s="1"/>
  <c r="W585" i="14"/>
  <c r="W277" i="14"/>
  <c r="W200" i="14"/>
  <c r="Y119" i="14" a="1"/>
  <c r="Y119" i="14" s="1"/>
  <c r="BG584" i="14"/>
  <c r="BG199" i="14"/>
  <c r="BG276" i="14"/>
  <c r="AZ658" i="14"/>
  <c r="AZ350" i="14"/>
  <c r="AC658" i="14"/>
  <c r="AC350" i="14"/>
  <c r="BU657" i="14"/>
  <c r="BU349" i="14"/>
  <c r="V657" i="14"/>
  <c r="V349" i="14"/>
  <c r="BV655" i="14"/>
  <c r="BV347" i="14"/>
  <c r="BJ655" i="14"/>
  <c r="BJ347" i="14"/>
  <c r="BQ577" i="14"/>
  <c r="BQ192" i="14"/>
  <c r="BQ269" i="14"/>
  <c r="X654" i="14"/>
  <c r="X346" i="14"/>
  <c r="L654" i="14"/>
  <c r="L346" i="14"/>
  <c r="BK652" i="14"/>
  <c r="BK344" i="14"/>
  <c r="AG652" i="14"/>
  <c r="AG344" i="14"/>
  <c r="H652" i="14"/>
  <c r="H344" i="14"/>
  <c r="BT651" i="14"/>
  <c r="BT343" i="14"/>
  <c r="AU651" i="14"/>
  <c r="AU343" i="14"/>
  <c r="S574" i="14"/>
  <c r="S266" i="14"/>
  <c r="S189" i="14"/>
  <c r="BV573" i="14"/>
  <c r="BV265" i="14"/>
  <c r="BV188" i="14"/>
  <c r="S265" i="14"/>
  <c r="S573" i="14"/>
  <c r="S188" i="14"/>
  <c r="BT649" i="14"/>
  <c r="BT341" i="14"/>
  <c r="AW264" i="14"/>
  <c r="AW572" i="14"/>
  <c r="AW187" i="14"/>
  <c r="AD572" i="14"/>
  <c r="AD264" i="14"/>
  <c r="AD187" i="14"/>
  <c r="R572" i="14"/>
  <c r="R187" i="14"/>
  <c r="R264" i="14"/>
  <c r="T106" i="14" a="1"/>
  <c r="T106" i="14" s="1"/>
  <c r="BU571" i="14"/>
  <c r="BU263" i="14"/>
  <c r="BU186" i="14"/>
  <c r="BW105" i="14" a="1"/>
  <c r="BW105" i="14" s="1"/>
  <c r="AW571" i="14"/>
  <c r="AW186" i="14"/>
  <c r="AW263" i="14"/>
  <c r="Q648" i="14"/>
  <c r="Q340" i="14"/>
  <c r="BT647" i="14"/>
  <c r="BT339" i="14"/>
  <c r="BK645" i="14"/>
  <c r="BK337" i="14"/>
  <c r="BK643" i="14"/>
  <c r="BK335" i="14"/>
  <c r="BH565" i="14"/>
  <c r="BH257" i="14"/>
  <c r="BH180" i="14"/>
  <c r="AN565" i="14"/>
  <c r="AN257" i="14"/>
  <c r="AN180" i="14"/>
  <c r="R565" i="14"/>
  <c r="R257" i="14"/>
  <c r="R180" i="14"/>
  <c r="S99" i="14"/>
  <c r="M564" i="14"/>
  <c r="M179" i="14"/>
  <c r="N98" i="14"/>
  <c r="M256" i="14"/>
  <c r="BG563" i="14"/>
  <c r="BG255" i="14"/>
  <c r="BG178" i="14"/>
  <c r="AM563" i="14"/>
  <c r="AM255" i="14"/>
  <c r="AM178" i="14"/>
  <c r="BQ562" i="14"/>
  <c r="BQ254" i="14"/>
  <c r="BQ177" i="14"/>
  <c r="AV639" i="14"/>
  <c r="AV331" i="14"/>
  <c r="BQ253" i="14"/>
  <c r="BQ561" i="14"/>
  <c r="BQ176" i="14"/>
  <c r="BA637" i="14"/>
  <c r="BA329" i="14"/>
  <c r="AR94" i="14"/>
  <c r="S94" i="14"/>
  <c r="BV559" i="14"/>
  <c r="BV251" i="14"/>
  <c r="BV174" i="14"/>
  <c r="AZ635" i="14"/>
  <c r="AZ327" i="14"/>
  <c r="AA635" i="14"/>
  <c r="AA327" i="14"/>
  <c r="G635" i="14"/>
  <c r="G327" i="14"/>
  <c r="BE633" i="14"/>
  <c r="BE325" i="14"/>
  <c r="BE632" i="14"/>
  <c r="BE324" i="14"/>
  <c r="AL555" i="14"/>
  <c r="AL170" i="14"/>
  <c r="AL247" i="14"/>
  <c r="AN89" i="14" a="1"/>
  <c r="AN89" i="14" s="1"/>
  <c r="S555" i="14"/>
  <c r="S247" i="14"/>
  <c r="S170" i="14"/>
  <c r="BV554" i="14"/>
  <c r="BV246" i="14"/>
  <c r="BV169" i="14"/>
  <c r="AW554" i="14"/>
  <c r="AW169" i="14"/>
  <c r="AW246" i="14"/>
  <c r="BH553" i="14"/>
  <c r="BH245" i="14"/>
  <c r="BH168" i="14"/>
  <c r="AV553" i="14"/>
  <c r="AV245" i="14"/>
  <c r="AV168" i="14"/>
  <c r="AX87" i="14" a="1"/>
  <c r="AX87" i="14" s="1"/>
  <c r="M552" i="14"/>
  <c r="M244" i="14"/>
  <c r="M167" i="14"/>
  <c r="N86" i="14"/>
  <c r="BF551" i="14"/>
  <c r="BF166" i="14"/>
  <c r="BF243" i="14"/>
  <c r="BH85" i="14" a="1"/>
  <c r="BH85" i="14" s="1"/>
  <c r="BU550" i="14"/>
  <c r="BU165" i="14"/>
  <c r="BU242" i="14"/>
  <c r="BW84" i="14" a="1"/>
  <c r="BW84" i="14" s="1"/>
  <c r="AW550" i="14"/>
  <c r="AW242" i="14"/>
  <c r="AW165" i="14"/>
  <c r="H550" i="14"/>
  <c r="H165" i="14"/>
  <c r="H242" i="14"/>
  <c r="BH548" i="14"/>
  <c r="BH240" i="14"/>
  <c r="BH163" i="14"/>
  <c r="AI548" i="14"/>
  <c r="AI240" i="14"/>
  <c r="AI163" i="14"/>
  <c r="M548" i="14"/>
  <c r="M240" i="14"/>
  <c r="M163" i="14"/>
  <c r="N82" i="14"/>
  <c r="BF547" i="14"/>
  <c r="BF162" i="14"/>
  <c r="BH81" i="14" a="1"/>
  <c r="BH81" i="14" s="1"/>
  <c r="BF239" i="14"/>
  <c r="AL547" i="14"/>
  <c r="AL162" i="14"/>
  <c r="AL239" i="14"/>
  <c r="AN81" i="14" a="1"/>
  <c r="AN81" i="14" s="1"/>
  <c r="Q624" i="14"/>
  <c r="Q316" i="14"/>
  <c r="BT623" i="14"/>
  <c r="BT315" i="14"/>
  <c r="BG623" i="14"/>
  <c r="BG315" i="14"/>
  <c r="AU623" i="14"/>
  <c r="AU315" i="14"/>
  <c r="BH545" i="14"/>
  <c r="BH237" i="14"/>
  <c r="BH160" i="14"/>
  <c r="AV545" i="14"/>
  <c r="AV237" i="14"/>
  <c r="AV160" i="14"/>
  <c r="AA622" i="14"/>
  <c r="AA314" i="14"/>
  <c r="H545" i="14"/>
  <c r="H237" i="14"/>
  <c r="H160" i="14"/>
  <c r="BT620" i="14"/>
  <c r="BT312" i="14"/>
  <c r="BP619" i="14"/>
  <c r="BP311" i="14"/>
  <c r="AF619" i="14"/>
  <c r="AF311" i="14"/>
  <c r="M542" i="14"/>
  <c r="M157" i="14"/>
  <c r="M234" i="14"/>
  <c r="BJ618" i="14"/>
  <c r="BJ310" i="14"/>
  <c r="AP618" i="14"/>
  <c r="AP310" i="14"/>
  <c r="V618" i="14"/>
  <c r="V310" i="14"/>
  <c r="B618" i="14"/>
  <c r="B310" i="14"/>
  <c r="BU616" i="14"/>
  <c r="BU308" i="14"/>
  <c r="M539" i="14"/>
  <c r="M154" i="14"/>
  <c r="M231" i="14"/>
  <c r="AQ153" i="14"/>
  <c r="AQ230" i="14"/>
  <c r="AQ538" i="14"/>
  <c r="AR72" i="14"/>
  <c r="BO614" i="14"/>
  <c r="BO306" i="14"/>
  <c r="AA614" i="14"/>
  <c r="AA306" i="14"/>
  <c r="H537" i="14"/>
  <c r="H229" i="14"/>
  <c r="H152" i="14"/>
  <c r="BJ305" i="14"/>
  <c r="BJ613" i="14"/>
  <c r="AP613" i="14"/>
  <c r="AP305" i="14"/>
  <c r="V305" i="14"/>
  <c r="V613" i="14"/>
  <c r="B613" i="14"/>
  <c r="B305" i="14"/>
  <c r="BE612" i="14"/>
  <c r="BE304" i="14"/>
  <c r="AF611" i="14"/>
  <c r="AF303" i="14"/>
  <c r="M534" i="14"/>
  <c r="M149" i="14"/>
  <c r="M226" i="14"/>
  <c r="AA610" i="14"/>
  <c r="AA302" i="14"/>
  <c r="H533" i="14"/>
  <c r="H225" i="14"/>
  <c r="H148" i="14"/>
  <c r="R531" i="14"/>
  <c r="R146" i="14"/>
  <c r="R223" i="14"/>
  <c r="BU530" i="14"/>
  <c r="BU145" i="14"/>
  <c r="BU222" i="14"/>
  <c r="L607" i="14"/>
  <c r="L299" i="14"/>
  <c r="BP529" i="14"/>
  <c r="BP221" i="14"/>
  <c r="BP144" i="14"/>
  <c r="G606" i="14"/>
  <c r="G298" i="14"/>
  <c r="BK528" i="14"/>
  <c r="BK220" i="14"/>
  <c r="BK143" i="14"/>
  <c r="BK535" i="14"/>
  <c r="BK150" i="14"/>
  <c r="BK227" i="14"/>
  <c r="BL69" i="14"/>
  <c r="AP605" i="14"/>
  <c r="AP297" i="14"/>
  <c r="AQ539" i="14"/>
  <c r="AQ154" i="14"/>
  <c r="AQ231" i="14"/>
  <c r="AR73" i="14"/>
  <c r="W528" i="14"/>
  <c r="W220" i="14"/>
  <c r="W143" i="14"/>
  <c r="W535" i="14"/>
  <c r="W150" i="14"/>
  <c r="W227" i="14"/>
  <c r="X69" i="14"/>
  <c r="C531" i="14"/>
  <c r="C146" i="14"/>
  <c r="C223" i="14"/>
  <c r="D65" i="14"/>
  <c r="C547" i="14"/>
  <c r="C162" i="14"/>
  <c r="C239" i="14"/>
  <c r="D81" i="14"/>
  <c r="BL604" i="14"/>
  <c r="BL296" i="14"/>
  <c r="BA233" i="14"/>
  <c r="BA541" i="14"/>
  <c r="BA156" i="14"/>
  <c r="BB75" i="14"/>
  <c r="H604" i="14"/>
  <c r="H296" i="14"/>
  <c r="BV526" i="14"/>
  <c r="BV141" i="14"/>
  <c r="BV218" i="14"/>
  <c r="AA603" i="14"/>
  <c r="AA295" i="14"/>
  <c r="O526" i="14"/>
  <c r="O218" i="14"/>
  <c r="O141" i="14"/>
  <c r="G602" i="14"/>
  <c r="G294" i="14"/>
  <c r="BU600" i="14"/>
  <c r="BU292" i="14"/>
  <c r="AX523" i="14"/>
  <c r="AX215" i="14"/>
  <c r="AX138" i="14"/>
  <c r="BK599" i="14"/>
  <c r="BK291" i="14"/>
  <c r="BP597" i="14"/>
  <c r="BP289" i="14"/>
  <c r="BU596" i="14"/>
  <c r="BU288" i="14"/>
  <c r="BP596" i="14"/>
  <c r="BA596" i="14"/>
  <c r="BA288" i="14"/>
  <c r="C210" i="14"/>
  <c r="C133" i="14"/>
  <c r="C518" i="14"/>
  <c r="BA594" i="14"/>
  <c r="BA286" i="14"/>
  <c r="AW594" i="14"/>
  <c r="AW286" i="14"/>
  <c r="BU206" i="14"/>
  <c r="BU129" i="14"/>
  <c r="BU283" i="14" s="1"/>
  <c r="BW48" i="14" a="1"/>
  <c r="BW48" i="14" s="1"/>
  <c r="BA206" i="14"/>
  <c r="BA129" i="14"/>
  <c r="BA283" i="14" s="1"/>
  <c r="BC48" i="14" a="1"/>
  <c r="BC48" i="14" s="1"/>
  <c r="BG128" i="14"/>
  <c r="BG282" i="14" s="1"/>
  <c r="BG205" i="14"/>
  <c r="BF515" i="14"/>
  <c r="BF126" i="14"/>
  <c r="BF592" i="14" s="1"/>
  <c r="BH45" i="14" a="1"/>
  <c r="BH45" i="14" s="1"/>
  <c r="BO586" i="14"/>
  <c r="AC602" i="14"/>
  <c r="AC294" i="14"/>
  <c r="H524" i="14"/>
  <c r="H216" i="14"/>
  <c r="H139" i="14"/>
  <c r="I55" i="14"/>
  <c r="J28" i="14"/>
  <c r="I58" i="14" s="1"/>
  <c r="D594" i="14"/>
  <c r="D286" i="14"/>
  <c r="N515" i="14"/>
  <c r="N126" i="14"/>
  <c r="N592" i="14" s="1"/>
  <c r="AG598" i="14"/>
  <c r="AG290" i="14"/>
  <c r="AF660" i="14"/>
  <c r="AF352" i="14"/>
  <c r="S582" i="14"/>
  <c r="S197" i="14"/>
  <c r="S274" i="14"/>
  <c r="BQ657" i="14"/>
  <c r="BQ349" i="14"/>
  <c r="AC579" i="14"/>
  <c r="AC194" i="14"/>
  <c r="AC271" i="14"/>
  <c r="H579" i="14"/>
  <c r="H271" i="14"/>
  <c r="H194" i="14"/>
  <c r="J113" i="14" a="1"/>
  <c r="J113" i="14" s="1"/>
  <c r="BM577" i="14"/>
  <c r="BM269" i="14"/>
  <c r="BM192" i="14"/>
  <c r="AG577" i="14"/>
  <c r="AG269" i="14"/>
  <c r="AG192" i="14"/>
  <c r="AI111" i="14" a="1"/>
  <c r="AI111" i="14" s="1"/>
  <c r="X652" i="14"/>
  <c r="X344" i="14"/>
  <c r="BB562" i="14"/>
  <c r="BB177" i="14"/>
  <c r="BB254" i="14"/>
  <c r="G639" i="14"/>
  <c r="G331" i="14"/>
  <c r="AN561" i="14"/>
  <c r="AN253" i="14"/>
  <c r="AN176" i="14"/>
  <c r="H561" i="14"/>
  <c r="H253" i="14"/>
  <c r="H176" i="14"/>
  <c r="BG252" i="14"/>
  <c r="BG560" i="14"/>
  <c r="BG175" i="14"/>
  <c r="AL560" i="14"/>
  <c r="AL252" i="14"/>
  <c r="AL175" i="14"/>
  <c r="AN94" i="14" a="1"/>
  <c r="AN94" i="14" s="1"/>
  <c r="AL559" i="14"/>
  <c r="AL174" i="14"/>
  <c r="AL251" i="14"/>
  <c r="AN93" i="14" a="1"/>
  <c r="AN93" i="14" s="1"/>
  <c r="BQ558" i="14"/>
  <c r="BQ173" i="14"/>
  <c r="BQ250" i="14"/>
  <c r="AV558" i="14"/>
  <c r="AV173" i="14"/>
  <c r="AX92" i="14" a="1"/>
  <c r="AX92" i="14" s="1"/>
  <c r="AV250" i="14"/>
  <c r="BQ249" i="14"/>
  <c r="BQ172" i="14"/>
  <c r="BQ557" i="14"/>
  <c r="Q633" i="14"/>
  <c r="Q325" i="14"/>
  <c r="BT632" i="14"/>
  <c r="BT324" i="14"/>
  <c r="M555" i="14"/>
  <c r="M247" i="14"/>
  <c r="M170" i="14"/>
  <c r="BT628" i="14"/>
  <c r="BT320" i="14"/>
  <c r="BP550" i="14"/>
  <c r="BP165" i="14"/>
  <c r="BR84" i="14" a="1"/>
  <c r="BR84" i="14" s="1"/>
  <c r="BP242" i="14"/>
  <c r="BJ625" i="14"/>
  <c r="BJ317" i="14"/>
  <c r="AF315" i="14"/>
  <c r="AF623" i="14"/>
  <c r="M546" i="14"/>
  <c r="M161" i="14"/>
  <c r="M238" i="14"/>
  <c r="BJ622" i="14"/>
  <c r="BJ314" i="14"/>
  <c r="AG544" i="14"/>
  <c r="AG236" i="14"/>
  <c r="AG159" i="14"/>
  <c r="AH78" i="14"/>
  <c r="AL543" i="14"/>
  <c r="AL158" i="14"/>
  <c r="AN77" i="14" a="1"/>
  <c r="AN77" i="14" s="1"/>
  <c r="AL235" i="14"/>
  <c r="BU542" i="14"/>
  <c r="BU157" i="14"/>
  <c r="BU234" i="14"/>
  <c r="BW76" i="14" a="1"/>
  <c r="BW76" i="14" s="1"/>
  <c r="AW76" i="14"/>
  <c r="AB542" i="14"/>
  <c r="AB157" i="14"/>
  <c r="AB234" i="14"/>
  <c r="BJ309" i="14"/>
  <c r="BJ617" i="14"/>
  <c r="V309" i="14"/>
  <c r="V617" i="14"/>
  <c r="BU538" i="14"/>
  <c r="BU153" i="14"/>
  <c r="BU230" i="14"/>
  <c r="BW72" i="14" a="1"/>
  <c r="BW72" i="14" s="1"/>
  <c r="BF536" i="14"/>
  <c r="BF228" i="14"/>
  <c r="BF151" i="14"/>
  <c r="BH70" i="14" a="1"/>
  <c r="BH70" i="14" s="1"/>
  <c r="AB534" i="14"/>
  <c r="AB149" i="14"/>
  <c r="AB226" i="14"/>
  <c r="AL532" i="14"/>
  <c r="AL224" i="14"/>
  <c r="AL147" i="14"/>
  <c r="AB530" i="14"/>
  <c r="AB145" i="14"/>
  <c r="AB222" i="14"/>
  <c r="AL527" i="14"/>
  <c r="AL142" i="14"/>
  <c r="AL219" i="14"/>
  <c r="AL534" i="14"/>
  <c r="AL149" i="14"/>
  <c r="AM68" i="14"/>
  <c r="AL226" i="14"/>
  <c r="BF598" i="14"/>
  <c r="BF290" i="14"/>
  <c r="AW526" i="14"/>
  <c r="AW218" i="14"/>
  <c r="AW141" i="14"/>
  <c r="BB207" i="14"/>
  <c r="BB130" i="14"/>
  <c r="BB284" i="14" s="1"/>
  <c r="AR129" i="14"/>
  <c r="AR283" i="14" s="1"/>
  <c r="AR206" i="14"/>
  <c r="R603" i="14"/>
  <c r="R295" i="14"/>
  <c r="R521" i="14"/>
  <c r="R213" i="14"/>
  <c r="R136" i="14"/>
  <c r="AG53" i="14"/>
  <c r="AG27" i="14"/>
  <c r="AG57" i="14" s="1"/>
  <c r="AG24" i="14"/>
  <c r="AC129" i="14"/>
  <c r="AC283" i="14" s="1"/>
  <c r="AC206" i="14"/>
  <c r="BV641" i="14"/>
  <c r="BV333" i="14"/>
  <c r="BG630" i="14"/>
  <c r="BG322" i="14"/>
  <c r="I604" i="14"/>
  <c r="I296" i="14"/>
  <c r="S585" i="14"/>
  <c r="S277" i="14"/>
  <c r="S200" i="14"/>
  <c r="M583" i="14"/>
  <c r="M275" i="14"/>
  <c r="M198" i="14"/>
  <c r="O117" i="14" a="1"/>
  <c r="O117" i="14" s="1"/>
  <c r="BV659" i="14"/>
  <c r="BV351" i="14"/>
  <c r="BG659" i="14"/>
  <c r="BG351" i="14"/>
  <c r="BU656" i="14"/>
  <c r="BU348" i="14"/>
  <c r="AG579" i="14"/>
  <c r="AG271" i="14"/>
  <c r="AG194" i="14"/>
  <c r="AI113" i="14" a="1"/>
  <c r="AI113" i="14" s="1"/>
  <c r="S656" i="14"/>
  <c r="S348" i="14"/>
  <c r="BW655" i="14"/>
  <c r="BW347" i="14"/>
  <c r="AK655" i="14"/>
  <c r="AK347" i="14"/>
  <c r="N578" i="14"/>
  <c r="N193" i="14"/>
  <c r="N270" i="14"/>
  <c r="BP654" i="14"/>
  <c r="BB576" i="14"/>
  <c r="BB268" i="14"/>
  <c r="BB191" i="14"/>
  <c r="AW575" i="14"/>
  <c r="AW267" i="14"/>
  <c r="AW190" i="14"/>
  <c r="N574" i="14"/>
  <c r="N266" i="14"/>
  <c r="N189" i="14"/>
  <c r="AL572" i="14"/>
  <c r="AL187" i="14"/>
  <c r="AL264" i="14"/>
  <c r="AN106" i="14" a="1"/>
  <c r="AN106" i="14" s="1"/>
  <c r="AL571" i="14"/>
  <c r="AL186" i="14"/>
  <c r="AL263" i="14"/>
  <c r="AN105" i="14" a="1"/>
  <c r="AN105" i="14" s="1"/>
  <c r="N571" i="14"/>
  <c r="N263" i="14"/>
  <c r="N186" i="14"/>
  <c r="BQ570" i="14"/>
  <c r="BQ185" i="14"/>
  <c r="BQ262" i="14"/>
  <c r="AX570" i="14"/>
  <c r="AX262" i="14"/>
  <c r="AX185" i="14"/>
  <c r="BQ569" i="14"/>
  <c r="BQ261" i="14"/>
  <c r="BQ184" i="14"/>
  <c r="BT645" i="14"/>
  <c r="BT337" i="14"/>
  <c r="AG645" i="14"/>
  <c r="AG337" i="14"/>
  <c r="AK644" i="14"/>
  <c r="AK336" i="14"/>
  <c r="X644" i="14"/>
  <c r="X336" i="14"/>
  <c r="Q644" i="14"/>
  <c r="Q336" i="14"/>
  <c r="L643" i="14"/>
  <c r="L335" i="14"/>
  <c r="AV257" i="14"/>
  <c r="AV565" i="14"/>
  <c r="AV180" i="14"/>
  <c r="AX99" i="14" a="1"/>
  <c r="AX99" i="14" s="1"/>
  <c r="AB257" i="14"/>
  <c r="AB180" i="14"/>
  <c r="AB565" i="14"/>
  <c r="AD99" i="14" a="1"/>
  <c r="AD99" i="14" s="1"/>
  <c r="BQ641" i="14"/>
  <c r="BQ333" i="14"/>
  <c r="BJ641" i="14"/>
  <c r="BJ333" i="14"/>
  <c r="AW641" i="14"/>
  <c r="AW333" i="14"/>
  <c r="AZ640" i="14"/>
  <c r="AZ332" i="14"/>
  <c r="AF639" i="14"/>
  <c r="AF331" i="14"/>
  <c r="BV330" i="14"/>
  <c r="BV638" i="14"/>
  <c r="BJ637" i="14"/>
  <c r="BJ329" i="14"/>
  <c r="R559" i="14"/>
  <c r="R174" i="14"/>
  <c r="R251" i="14"/>
  <c r="AV557" i="14"/>
  <c r="AV249" i="14"/>
  <c r="AV172" i="14"/>
  <c r="AX91" i="14" a="1"/>
  <c r="AX91" i="14" s="1"/>
  <c r="X557" i="14"/>
  <c r="X249" i="14"/>
  <c r="X172" i="14"/>
  <c r="D557" i="14"/>
  <c r="D172" i="14"/>
  <c r="D249" i="14"/>
  <c r="BH556" i="14"/>
  <c r="BH248" i="14"/>
  <c r="BH171" i="14"/>
  <c r="C556" i="14"/>
  <c r="C248" i="14"/>
  <c r="C171" i="14"/>
  <c r="BL632" i="14"/>
  <c r="BL324" i="14"/>
  <c r="V629" i="14"/>
  <c r="V321" i="14"/>
  <c r="B629" i="14"/>
  <c r="B321" i="14"/>
  <c r="AZ628" i="14"/>
  <c r="AZ320" i="14"/>
  <c r="AF628" i="14"/>
  <c r="AF320" i="14"/>
  <c r="W548" i="14"/>
  <c r="W240" i="14"/>
  <c r="W163" i="14"/>
  <c r="AZ624" i="14"/>
  <c r="AZ316" i="14"/>
  <c r="AF624" i="14"/>
  <c r="AF316" i="14"/>
  <c r="BP545" i="14"/>
  <c r="BP237" i="14"/>
  <c r="BP160" i="14"/>
  <c r="BR79" i="14" a="1"/>
  <c r="BR79" i="14" s="1"/>
  <c r="BA540" i="14"/>
  <c r="BA232" i="14"/>
  <c r="BA155" i="14"/>
  <c r="BB74" i="14"/>
  <c r="AZ615" i="14"/>
  <c r="AZ307" i="14"/>
  <c r="AG538" i="14"/>
  <c r="AG153" i="14"/>
  <c r="AG230" i="14"/>
  <c r="D604" i="14"/>
  <c r="D296" i="14"/>
  <c r="BO603" i="14"/>
  <c r="BO295" i="14"/>
  <c r="AV603" i="14"/>
  <c r="AV295" i="14"/>
  <c r="B602" i="14"/>
  <c r="B294" i="14"/>
  <c r="BF601" i="14"/>
  <c r="BF293" i="14"/>
  <c r="M601" i="14"/>
  <c r="M293" i="14"/>
  <c r="BG523" i="14"/>
  <c r="BG215" i="14"/>
  <c r="BG138" i="14"/>
  <c r="AH597" i="14"/>
  <c r="AH289" i="14"/>
  <c r="X519" i="14"/>
  <c r="X211" i="14"/>
  <c r="X134" i="14"/>
  <c r="BL595" i="14"/>
  <c r="BL287" i="14"/>
  <c r="S287" i="14"/>
  <c r="S595" i="14"/>
  <c r="AK662" i="14"/>
  <c r="AK354" i="14"/>
  <c r="AA657" i="14"/>
  <c r="AA349" i="14"/>
  <c r="L653" i="14"/>
  <c r="L345" i="14"/>
  <c r="AK647" i="14"/>
  <c r="AK339" i="14"/>
  <c r="BQ628" i="14"/>
  <c r="BQ320" i="14"/>
  <c r="BB625" i="14"/>
  <c r="BB317" i="14"/>
  <c r="BL619" i="14"/>
  <c r="BL311" i="14"/>
  <c r="Q600" i="14"/>
  <c r="Q292" i="14"/>
  <c r="AZ597" i="14"/>
  <c r="AZ289" i="14"/>
  <c r="L597" i="14"/>
  <c r="L289" i="14"/>
  <c r="AU596" i="14"/>
  <c r="AU288" i="14"/>
  <c r="G596" i="14"/>
  <c r="G288" i="14"/>
  <c r="AP595" i="14"/>
  <c r="AP287" i="14"/>
  <c r="B595" i="14"/>
  <c r="B287" i="14"/>
  <c r="AK594" i="14"/>
  <c r="AK286" i="14"/>
  <c r="BT593" i="14"/>
  <c r="BT285" i="14"/>
  <c r="AF593" i="14"/>
  <c r="AF285" i="14"/>
  <c r="AF589" i="14"/>
  <c r="AF201" i="14"/>
  <c r="BR584" i="14"/>
  <c r="BR199" i="14"/>
  <c r="BR276" i="14"/>
  <c r="AX584" i="14"/>
  <c r="AX276" i="14"/>
  <c r="AX199" i="14"/>
  <c r="AH661" i="14"/>
  <c r="AH353" i="14"/>
  <c r="I584" i="14"/>
  <c r="I276" i="14"/>
  <c r="I199" i="14"/>
  <c r="BV660" i="14"/>
  <c r="BV352" i="14"/>
  <c r="AW660" i="14"/>
  <c r="AW352" i="14"/>
  <c r="AL274" i="14"/>
  <c r="AL582" i="14"/>
  <c r="AL197" i="14"/>
  <c r="AN116" i="14" a="1"/>
  <c r="AN116" i="14" s="1"/>
  <c r="AC659" i="14"/>
  <c r="AC351" i="14"/>
  <c r="V658" i="14"/>
  <c r="V350" i="14"/>
  <c r="BV272" i="14"/>
  <c r="BV195" i="14"/>
  <c r="BV580" i="14"/>
  <c r="AN580" i="14"/>
  <c r="AN272" i="14"/>
  <c r="AN195" i="14"/>
  <c r="AB580" i="14"/>
  <c r="AB272" i="14"/>
  <c r="AB195" i="14"/>
  <c r="AD114" i="14" a="1"/>
  <c r="AD114" i="14" s="1"/>
  <c r="AG270" i="14"/>
  <c r="AG578" i="14"/>
  <c r="AG193" i="14"/>
  <c r="AI112" i="14" a="1"/>
  <c r="AI112" i="14" s="1"/>
  <c r="AV576" i="14"/>
  <c r="AV268" i="14"/>
  <c r="AV191" i="14"/>
  <c r="AX110" i="14" a="1"/>
  <c r="AX110" i="14" s="1"/>
  <c r="BB574" i="14"/>
  <c r="BB266" i="14"/>
  <c r="BB189" i="14"/>
  <c r="AZ649" i="14"/>
  <c r="AZ341" i="14"/>
  <c r="AG572" i="14"/>
  <c r="AG187" i="14"/>
  <c r="AG264" i="14"/>
  <c r="AI106" i="14" a="1"/>
  <c r="AI106" i="14" s="1"/>
  <c r="BB570" i="14"/>
  <c r="BB262" i="14"/>
  <c r="BB185" i="14"/>
  <c r="AL568" i="14"/>
  <c r="AL183" i="14"/>
  <c r="AN102" i="14" a="1"/>
  <c r="AN102" i="14" s="1"/>
  <c r="AL260" i="14"/>
  <c r="AC645" i="14"/>
  <c r="AC337" i="14"/>
  <c r="BP181" i="14"/>
  <c r="BP258" i="14"/>
  <c r="BR100" i="14" a="1"/>
  <c r="BR100" i="14" s="1"/>
  <c r="BP566" i="14"/>
  <c r="AL564" i="14"/>
  <c r="AL256" i="14"/>
  <c r="AL179" i="14"/>
  <c r="AN98" i="14" a="1"/>
  <c r="AN98" i="14" s="1"/>
  <c r="BT639" i="14"/>
  <c r="BT331" i="14"/>
  <c r="AV561" i="14"/>
  <c r="AV253" i="14"/>
  <c r="AV176" i="14"/>
  <c r="AX95" i="14" a="1"/>
  <c r="AX95" i="14" s="1"/>
  <c r="W560" i="14"/>
  <c r="W252" i="14"/>
  <c r="W175" i="14"/>
  <c r="Y94" i="14" a="1"/>
  <c r="Y94" i="14" s="1"/>
  <c r="C560" i="14"/>
  <c r="C252" i="14"/>
  <c r="C175" i="14"/>
  <c r="BB559" i="14"/>
  <c r="BB251" i="14"/>
  <c r="BB174" i="14"/>
  <c r="AH559" i="14"/>
  <c r="AH251" i="14"/>
  <c r="AH174" i="14"/>
  <c r="AF635" i="14"/>
  <c r="AF327" i="14"/>
  <c r="M558" i="14"/>
  <c r="M250" i="14"/>
  <c r="M173" i="14"/>
  <c r="BL557" i="14"/>
  <c r="BL249" i="14"/>
  <c r="BL172" i="14"/>
  <c r="BC634" i="14"/>
  <c r="BC326" i="14"/>
  <c r="R557" i="14"/>
  <c r="R249" i="14"/>
  <c r="R172" i="14"/>
  <c r="S91" i="14"/>
  <c r="AW633" i="14"/>
  <c r="AW325" i="14"/>
  <c r="AK633" i="14"/>
  <c r="AK325" i="14"/>
  <c r="BK631" i="14"/>
  <c r="BK323" i="14"/>
  <c r="BK245" i="14"/>
  <c r="BK168" i="14"/>
  <c r="BM87" i="14" a="1"/>
  <c r="BM87" i="14" s="1"/>
  <c r="BK553" i="14"/>
  <c r="I87" i="14"/>
  <c r="BG244" i="14"/>
  <c r="BG552" i="14"/>
  <c r="BG167" i="14"/>
  <c r="R552" i="14"/>
  <c r="R244" i="14"/>
  <c r="R167" i="14"/>
  <c r="H551" i="14"/>
  <c r="H166" i="14"/>
  <c r="H243" i="14"/>
  <c r="I85" i="14"/>
  <c r="BK627" i="14"/>
  <c r="BK319" i="14"/>
  <c r="AN549" i="14"/>
  <c r="AN241" i="14"/>
  <c r="AN164" i="14"/>
  <c r="AB549" i="14"/>
  <c r="AB241" i="14"/>
  <c r="AB164" i="14"/>
  <c r="BQ625" i="14"/>
  <c r="BQ317" i="14"/>
  <c r="AL548" i="14"/>
  <c r="AL240" i="14"/>
  <c r="AL163" i="14"/>
  <c r="AN82" i="14" a="1"/>
  <c r="AN82" i="14" s="1"/>
  <c r="H547" i="14"/>
  <c r="H162" i="14"/>
  <c r="H239" i="14"/>
  <c r="I81" i="14"/>
  <c r="BA546" i="14"/>
  <c r="BA161" i="14"/>
  <c r="BA238" i="14"/>
  <c r="BC80" i="14" a="1"/>
  <c r="BC80" i="14" s="1"/>
  <c r="I80" i="14"/>
  <c r="BJ621" i="14"/>
  <c r="BJ313" i="14"/>
  <c r="AZ620" i="14"/>
  <c r="AZ312" i="14"/>
  <c r="AF620" i="14"/>
  <c r="AF312" i="14"/>
  <c r="L620" i="14"/>
  <c r="L312" i="14"/>
  <c r="AV541" i="14"/>
  <c r="AV233" i="14"/>
  <c r="AV156" i="14"/>
  <c r="AA618" i="14"/>
  <c r="AA310" i="14"/>
  <c r="H541" i="14"/>
  <c r="H233" i="14"/>
  <c r="H156" i="14"/>
  <c r="AV538" i="14"/>
  <c r="AV153" i="14"/>
  <c r="AV230" i="14"/>
  <c r="BU613" i="14"/>
  <c r="BU305" i="14"/>
  <c r="M536" i="14"/>
  <c r="M228" i="14"/>
  <c r="M151" i="14"/>
  <c r="N70" i="14"/>
  <c r="AQ149" i="14"/>
  <c r="AQ226" i="14"/>
  <c r="AQ534" i="14"/>
  <c r="AR68" i="14"/>
  <c r="AL533" i="14"/>
  <c r="AL225" i="14"/>
  <c r="AL148" i="14"/>
  <c r="AM67" i="14"/>
  <c r="AG532" i="14"/>
  <c r="AG224" i="14"/>
  <c r="AG147" i="14"/>
  <c r="AH66" i="14"/>
  <c r="AB531" i="14"/>
  <c r="AB146" i="14"/>
  <c r="AB223" i="14"/>
  <c r="AC65" i="14"/>
  <c r="W145" i="14"/>
  <c r="W222" i="14"/>
  <c r="X64" i="14"/>
  <c r="W530" i="14"/>
  <c r="R529" i="14"/>
  <c r="R221" i="14"/>
  <c r="R144" i="14"/>
  <c r="S63" i="14"/>
  <c r="M528" i="14"/>
  <c r="M220" i="14"/>
  <c r="M143" i="14"/>
  <c r="N62" i="14"/>
  <c r="BF527" i="14"/>
  <c r="BF142" i="14"/>
  <c r="BF219" i="14"/>
  <c r="BF534" i="14"/>
  <c r="BF149" i="14"/>
  <c r="BG68" i="14"/>
  <c r="BF226" i="14"/>
  <c r="AG221" i="14"/>
  <c r="AG529" i="14"/>
  <c r="AG144" i="14"/>
  <c r="AH63" i="14"/>
  <c r="AG237" i="14"/>
  <c r="AG545" i="14"/>
  <c r="AG160" i="14"/>
  <c r="AH79" i="14"/>
  <c r="M527" i="14"/>
  <c r="M142" i="14"/>
  <c r="M219" i="14"/>
  <c r="BK603" i="14"/>
  <c r="BK295" i="14"/>
  <c r="L603" i="14"/>
  <c r="L295" i="14"/>
  <c r="BU601" i="14"/>
  <c r="BU293" i="14"/>
  <c r="BJ293" i="14"/>
  <c r="BJ601" i="14"/>
  <c r="AW216" i="14"/>
  <c r="AW524" i="14"/>
  <c r="AW139" i="14"/>
  <c r="BV519" i="14"/>
  <c r="BV211" i="14"/>
  <c r="BV134" i="14"/>
  <c r="BG524" i="14"/>
  <c r="BG216" i="14"/>
  <c r="BG139" i="14"/>
  <c r="BU518" i="14"/>
  <c r="BU210" i="14"/>
  <c r="BU133" i="14"/>
  <c r="BP517" i="14"/>
  <c r="BP209" i="14"/>
  <c r="BP132" i="14"/>
  <c r="AV517" i="14"/>
  <c r="AV209" i="14"/>
  <c r="AV132" i="14"/>
  <c r="BF205" i="14"/>
  <c r="BF128" i="14"/>
  <c r="BF282" i="14" s="1"/>
  <c r="BP514" i="14"/>
  <c r="BP125" i="14"/>
  <c r="BP591" i="14" s="1"/>
  <c r="BR44" i="14" a="1"/>
  <c r="BR44" i="14" s="1"/>
  <c r="BB514" i="14"/>
  <c r="BB125" i="14"/>
  <c r="BB591" i="14" s="1"/>
  <c r="AB602" i="14"/>
  <c r="AB294" i="14"/>
  <c r="AL522" i="14"/>
  <c r="AL137" i="14"/>
  <c r="AL214" i="14"/>
  <c r="AM597" i="14"/>
  <c r="AM289" i="14"/>
  <c r="R53" i="14"/>
  <c r="R24" i="14"/>
  <c r="R27" i="14"/>
  <c r="R57" i="14" s="1"/>
  <c r="I595" i="14"/>
  <c r="I287" i="14"/>
  <c r="BQ585" i="14"/>
  <c r="BQ200" i="14"/>
  <c r="BQ277" i="14"/>
  <c r="BA584" i="14"/>
  <c r="BA276" i="14"/>
  <c r="BA199" i="14"/>
  <c r="BC118" i="14" a="1"/>
  <c r="BC118" i="14" s="1"/>
  <c r="R661" i="14"/>
  <c r="R353" i="14"/>
  <c r="G660" i="14"/>
  <c r="G352" i="14"/>
  <c r="O581" i="14"/>
  <c r="O273" i="14"/>
  <c r="O196" i="14"/>
  <c r="C581" i="14"/>
  <c r="C273" i="14"/>
  <c r="C196" i="14"/>
  <c r="E115" i="14" a="1"/>
  <c r="E115" i="14" s="1"/>
  <c r="BB580" i="14"/>
  <c r="BB272" i="14"/>
  <c r="BB195" i="14"/>
  <c r="R657" i="14"/>
  <c r="R349" i="14"/>
  <c r="I580" i="14"/>
  <c r="I272" i="14"/>
  <c r="I195" i="14"/>
  <c r="BQ656" i="14"/>
  <c r="BQ348" i="14"/>
  <c r="H654" i="14"/>
  <c r="H346" i="14"/>
  <c r="AW576" i="14"/>
  <c r="AW268" i="14"/>
  <c r="AW191" i="14"/>
  <c r="R576" i="14"/>
  <c r="R268" i="14"/>
  <c r="R191" i="14"/>
  <c r="T110" i="14" a="1"/>
  <c r="T110" i="14" s="1"/>
  <c r="AM575" i="14"/>
  <c r="AM267" i="14"/>
  <c r="AM190" i="14"/>
  <c r="L652" i="14"/>
  <c r="L344" i="14"/>
  <c r="AF648" i="14"/>
  <c r="AF340" i="14"/>
  <c r="AH569" i="14"/>
  <c r="AH184" i="14"/>
  <c r="AH261" i="14"/>
  <c r="BQ568" i="14"/>
  <c r="BQ260" i="14"/>
  <c r="BQ183" i="14"/>
  <c r="AD568" i="14"/>
  <c r="AD260" i="14"/>
  <c r="AD183" i="14"/>
  <c r="AF644" i="14"/>
  <c r="AF336" i="14"/>
  <c r="I566" i="14"/>
  <c r="I258" i="14"/>
  <c r="I181" i="14"/>
  <c r="BG564" i="14"/>
  <c r="BG256" i="14"/>
  <c r="BG179" i="14"/>
  <c r="AM564" i="14"/>
  <c r="AM256" i="14"/>
  <c r="AM179" i="14"/>
  <c r="BV563" i="14"/>
  <c r="BV255" i="14"/>
  <c r="BV178" i="14"/>
  <c r="AG563" i="14"/>
  <c r="AG255" i="14"/>
  <c r="AG178" i="14"/>
  <c r="AI97" i="14" a="1"/>
  <c r="AI97" i="14" s="1"/>
  <c r="AM639" i="14"/>
  <c r="AM331" i="14"/>
  <c r="AA639" i="14"/>
  <c r="AA331" i="14"/>
  <c r="AC253" i="14"/>
  <c r="AC561" i="14"/>
  <c r="AC176" i="14"/>
  <c r="BR251" i="14"/>
  <c r="BR559" i="14"/>
  <c r="BR174" i="14"/>
  <c r="BF559" i="14"/>
  <c r="BF174" i="14"/>
  <c r="BH93" i="14" a="1"/>
  <c r="BH93" i="14" s="1"/>
  <c r="BF251" i="14"/>
  <c r="L636" i="14"/>
  <c r="L328" i="14"/>
  <c r="AQ556" i="14"/>
  <c r="AQ248" i="14"/>
  <c r="AQ171" i="14"/>
  <c r="AG554" i="14"/>
  <c r="AG246" i="14"/>
  <c r="AG169" i="14"/>
  <c r="AI88" i="14" a="1"/>
  <c r="AI88" i="14" s="1"/>
  <c r="BJ629" i="14"/>
  <c r="BJ321" i="14"/>
  <c r="M551" i="14"/>
  <c r="M166" i="14"/>
  <c r="M243" i="14"/>
  <c r="BJ626" i="14"/>
  <c r="BJ318" i="14"/>
  <c r="BW548" i="14"/>
  <c r="BW240" i="14"/>
  <c r="BW163" i="14"/>
  <c r="AN541" i="14"/>
  <c r="BW540" i="14"/>
  <c r="BW232" i="14"/>
  <c r="BW155" i="14"/>
  <c r="AQ540" i="14"/>
  <c r="AQ232" i="14"/>
  <c r="AQ155" i="14"/>
  <c r="C540" i="14"/>
  <c r="C232" i="14"/>
  <c r="C155" i="14"/>
  <c r="R539" i="14"/>
  <c r="R154" i="14"/>
  <c r="R231" i="14"/>
  <c r="AU615" i="14"/>
  <c r="AU307" i="14"/>
  <c r="G615" i="14"/>
  <c r="G307" i="14"/>
  <c r="R536" i="14"/>
  <c r="R228" i="14"/>
  <c r="R151" i="14"/>
  <c r="R532" i="14"/>
  <c r="R224" i="14"/>
  <c r="R147" i="14"/>
  <c r="C221" i="14"/>
  <c r="C144" i="14"/>
  <c r="C529" i="14"/>
  <c r="AV604" i="14"/>
  <c r="AV296" i="14"/>
  <c r="M221" i="14"/>
  <c r="M529" i="14"/>
  <c r="M144" i="14"/>
  <c r="N63" i="14"/>
  <c r="M237" i="14"/>
  <c r="M545" i="14"/>
  <c r="M160" i="14"/>
  <c r="N79" i="14"/>
  <c r="M253" i="14"/>
  <c r="M561" i="14"/>
  <c r="M176" i="14"/>
  <c r="N95" i="14"/>
  <c r="BQ140" i="14"/>
  <c r="BQ217" i="14"/>
  <c r="BQ525" i="14"/>
  <c r="BQ600" i="14"/>
  <c r="BQ292" i="14"/>
  <c r="AL593" i="14"/>
  <c r="AL285" i="14"/>
  <c r="AG593" i="14"/>
  <c r="AG285" i="14"/>
  <c r="BR206" i="14"/>
  <c r="BR129" i="14"/>
  <c r="BR283" i="14" s="1"/>
  <c r="BL128" i="14"/>
  <c r="BL282" i="14" s="1"/>
  <c r="BL205" i="14"/>
  <c r="BU514" i="14"/>
  <c r="BU125" i="14"/>
  <c r="BU591" i="14" s="1"/>
  <c r="BW44" i="14" a="1"/>
  <c r="BW44" i="14" s="1"/>
  <c r="BA514" i="14"/>
  <c r="BA125" i="14"/>
  <c r="BA591" i="14" s="1"/>
  <c r="BC44" i="14" a="1"/>
  <c r="BC44" i="14" s="1"/>
  <c r="AC521" i="14"/>
  <c r="AC136" i="14"/>
  <c r="AC213" i="14"/>
  <c r="I129" i="14"/>
  <c r="I283" i="14" s="1"/>
  <c r="I206" i="14"/>
  <c r="L649" i="14"/>
  <c r="L341" i="14"/>
  <c r="BQ632" i="14"/>
  <c r="BQ324" i="14"/>
  <c r="BO201" i="14"/>
  <c r="AU201" i="14"/>
  <c r="BV585" i="14"/>
  <c r="BV200" i="14"/>
  <c r="BV277" i="14"/>
  <c r="BV584" i="14"/>
  <c r="BV276" i="14"/>
  <c r="BV199" i="14"/>
  <c r="W661" i="14"/>
  <c r="W353" i="14"/>
  <c r="BF660" i="14"/>
  <c r="BF352" i="14"/>
  <c r="AH198" i="14"/>
  <c r="AH583" i="14"/>
  <c r="AH275" i="14"/>
  <c r="BU273" i="14"/>
  <c r="BU581" i="14"/>
  <c r="BU196" i="14"/>
  <c r="BW115" i="14" a="1"/>
  <c r="BW115" i="14" s="1"/>
  <c r="BE657" i="14"/>
  <c r="BE349" i="14"/>
  <c r="W657" i="14"/>
  <c r="W349" i="14"/>
  <c r="BL579" i="14"/>
  <c r="BL271" i="14"/>
  <c r="BL194" i="14"/>
  <c r="X656" i="14"/>
  <c r="X348" i="14"/>
  <c r="AV650" i="14"/>
  <c r="AV342" i="14"/>
  <c r="BQ264" i="14"/>
  <c r="BQ572" i="14"/>
  <c r="BQ187" i="14"/>
  <c r="AX572" i="14"/>
  <c r="AX264" i="14"/>
  <c r="AX187" i="14"/>
  <c r="AC649" i="14"/>
  <c r="AC341" i="14"/>
  <c r="AX263" i="14"/>
  <c r="AX571" i="14"/>
  <c r="AX186" i="14"/>
  <c r="AK646" i="14"/>
  <c r="AK338" i="14"/>
  <c r="R261" i="14"/>
  <c r="R569" i="14"/>
  <c r="R184" i="14"/>
  <c r="T103" i="14" a="1"/>
  <c r="T103" i="14" s="1"/>
  <c r="AZ645" i="14"/>
  <c r="AZ337" i="14"/>
  <c r="AX567" i="14"/>
  <c r="AX259" i="14"/>
  <c r="AX182" i="14"/>
  <c r="BT643" i="14"/>
  <c r="BT335" i="14"/>
  <c r="BG643" i="14"/>
  <c r="BG335" i="14"/>
  <c r="AF643" i="14"/>
  <c r="AF335" i="14"/>
  <c r="BP257" i="14"/>
  <c r="BP180" i="14"/>
  <c r="BP565" i="14"/>
  <c r="BR99" i="14" a="1"/>
  <c r="BR99" i="14" s="1"/>
  <c r="AH563" i="14"/>
  <c r="AH255" i="14"/>
  <c r="AH178" i="14"/>
  <c r="M563" i="14"/>
  <c r="M255" i="14"/>
  <c r="M178" i="14"/>
  <c r="M562" i="14"/>
  <c r="M254" i="14"/>
  <c r="M177" i="14"/>
  <c r="AK637" i="14"/>
  <c r="AK329" i="14"/>
  <c r="BU558" i="14"/>
  <c r="BU250" i="14"/>
  <c r="BU173" i="14"/>
  <c r="BW92" i="14" a="1"/>
  <c r="BW92" i="14" s="1"/>
  <c r="W556" i="14"/>
  <c r="W248" i="14"/>
  <c r="W171" i="14"/>
  <c r="L632" i="14"/>
  <c r="L324" i="14"/>
  <c r="L628" i="14"/>
  <c r="L320" i="14"/>
  <c r="BQ164" i="14"/>
  <c r="BQ241" i="14"/>
  <c r="BQ549" i="14"/>
  <c r="AP625" i="14"/>
  <c r="AP317" i="14"/>
  <c r="B625" i="14"/>
  <c r="B317" i="14"/>
  <c r="L624" i="14"/>
  <c r="L316" i="14"/>
  <c r="BB622" i="14"/>
  <c r="BB314" i="14"/>
  <c r="AN544" i="14"/>
  <c r="AN159" i="14"/>
  <c r="AN236" i="14"/>
  <c r="BW543" i="14"/>
  <c r="BW235" i="14"/>
  <c r="BW158" i="14"/>
  <c r="AV543" i="14"/>
  <c r="AV158" i="14"/>
  <c r="AV235" i="14"/>
  <c r="AW77" i="14"/>
  <c r="BB542" i="14"/>
  <c r="BB157" i="14"/>
  <c r="BB234" i="14"/>
  <c r="AV539" i="14"/>
  <c r="AV154" i="14"/>
  <c r="AV231" i="14"/>
  <c r="AW73" i="14"/>
  <c r="BU225" i="14"/>
  <c r="BU533" i="14"/>
  <c r="BU148" i="14"/>
  <c r="BV67" i="14"/>
  <c r="BA604" i="14"/>
  <c r="BA296" i="14"/>
  <c r="S61" i="14"/>
  <c r="R542" i="14"/>
  <c r="R157" i="14"/>
  <c r="S76" i="14"/>
  <c r="R234" i="14"/>
  <c r="R558" i="14"/>
  <c r="R250" i="14"/>
  <c r="R173" i="14"/>
  <c r="S92" i="14"/>
  <c r="BH603" i="14"/>
  <c r="BH295" i="14"/>
  <c r="AB603" i="14"/>
  <c r="AB295" i="14"/>
  <c r="I523" i="14"/>
  <c r="I215" i="14"/>
  <c r="I138" i="14"/>
  <c r="BU522" i="14"/>
  <c r="BU214" i="14"/>
  <c r="BU137" i="14"/>
  <c r="BW56" i="14" a="1"/>
  <c r="BW56" i="14" s="1"/>
  <c r="AW596" i="14"/>
  <c r="AW288" i="14"/>
  <c r="N594" i="14"/>
  <c r="N286" i="14"/>
  <c r="AM515" i="14"/>
  <c r="AM126" i="14"/>
  <c r="AM592" i="14" s="1"/>
  <c r="M602" i="14"/>
  <c r="M294" i="14"/>
  <c r="AC522" i="14"/>
  <c r="AC137" i="14"/>
  <c r="AC214" i="14"/>
  <c r="AQ214" i="14"/>
  <c r="AQ522" i="14"/>
  <c r="AQ137" i="14"/>
  <c r="C53" i="14"/>
  <c r="C24" i="14"/>
  <c r="C30" i="14"/>
  <c r="C60" i="14" s="1"/>
  <c r="C27" i="14"/>
  <c r="C57" i="14" s="1"/>
  <c r="H52" i="14"/>
  <c r="H23" i="14"/>
  <c r="H26" i="14"/>
  <c r="H56" i="14" s="1"/>
  <c r="H29" i="14"/>
  <c r="H59" i="14" s="1"/>
  <c r="AD579" i="14"/>
  <c r="AD271" i="14"/>
  <c r="AD194" i="14"/>
  <c r="O573" i="14"/>
  <c r="O265" i="14"/>
  <c r="O188" i="14"/>
  <c r="BM565" i="14"/>
  <c r="BM180" i="14"/>
  <c r="BM257" i="14"/>
  <c r="BC563" i="14"/>
  <c r="BC255" i="14"/>
  <c r="BC178" i="14"/>
  <c r="BQ535" i="14"/>
  <c r="BQ227" i="14"/>
  <c r="BQ150" i="14"/>
  <c r="BL534" i="14"/>
  <c r="BL226" i="14"/>
  <c r="BL149" i="14"/>
  <c r="BK611" i="14"/>
  <c r="BK303" i="14"/>
  <c r="R601" i="14"/>
  <c r="R293" i="14"/>
  <c r="N595" i="14"/>
  <c r="N287" i="14"/>
  <c r="AL595" i="14"/>
  <c r="AL287" i="14"/>
  <c r="R595" i="14"/>
  <c r="R287" i="14"/>
  <c r="AB7" i="14"/>
  <c r="BH597" i="14"/>
  <c r="BH289" i="14"/>
  <c r="R641" i="14"/>
  <c r="R333" i="14"/>
  <c r="R633" i="14"/>
  <c r="R325" i="14"/>
  <c r="BU632" i="14"/>
  <c r="BU324" i="14"/>
  <c r="AC604" i="14"/>
  <c r="AC296" i="14"/>
  <c r="AM602" i="14"/>
  <c r="AM294" i="14"/>
  <c r="AC601" i="14"/>
  <c r="AC293" i="14"/>
  <c r="AX568" i="14"/>
  <c r="AX260" i="14"/>
  <c r="AX183" i="14"/>
  <c r="BK622" i="14"/>
  <c r="BK314" i="14"/>
  <c r="AL536" i="14"/>
  <c r="AL228" i="14"/>
  <c r="AL151" i="14"/>
  <c r="AR597" i="14"/>
  <c r="AR289" i="14"/>
  <c r="AH519" i="14"/>
  <c r="AH211" i="14"/>
  <c r="AH134" i="14"/>
  <c r="AG647" i="14"/>
  <c r="AG339" i="14"/>
  <c r="Y565" i="14"/>
  <c r="Y257" i="14"/>
  <c r="Y180" i="14"/>
  <c r="BH560" i="14"/>
  <c r="BH175" i="14"/>
  <c r="BH252" i="14"/>
  <c r="BA624" i="14"/>
  <c r="BA316" i="14"/>
  <c r="BP603" i="14"/>
  <c r="BP295" i="14"/>
  <c r="W598" i="14"/>
  <c r="W290" i="14"/>
  <c r="AM603" i="14"/>
  <c r="AM295" i="14"/>
  <c r="BJ662" i="14"/>
  <c r="BJ354" i="14"/>
  <c r="AA659" i="14"/>
  <c r="AA351" i="14"/>
  <c r="L657" i="14"/>
  <c r="L349" i="14"/>
  <c r="G655" i="14"/>
  <c r="G347" i="14"/>
  <c r="BE652" i="14"/>
  <c r="BE344" i="14"/>
  <c r="V649" i="14"/>
  <c r="V341" i="14"/>
  <c r="B647" i="14"/>
  <c r="B339" i="14"/>
  <c r="BE644" i="14"/>
  <c r="BE336" i="14"/>
  <c r="BK584" i="14"/>
  <c r="BK276" i="14"/>
  <c r="BK199" i="14"/>
  <c r="BM118" i="14" a="1"/>
  <c r="BM118" i="14" s="1"/>
  <c r="M276" i="14"/>
  <c r="M584" i="14"/>
  <c r="M199" i="14"/>
  <c r="O118" i="14" a="1"/>
  <c r="O118" i="14" s="1"/>
  <c r="BA659" i="14"/>
  <c r="BA351" i="14"/>
  <c r="AB658" i="14"/>
  <c r="AB350" i="14"/>
  <c r="BP656" i="14"/>
  <c r="BP348" i="14"/>
  <c r="AL656" i="14"/>
  <c r="AL348" i="14"/>
  <c r="BF654" i="14"/>
  <c r="BF346" i="14"/>
  <c r="BF652" i="14"/>
  <c r="BF344" i="14"/>
  <c r="W650" i="14"/>
  <c r="W342" i="14"/>
  <c r="BF648" i="14"/>
  <c r="BF340" i="14"/>
  <c r="C569" i="14"/>
  <c r="C261" i="14"/>
  <c r="C184" i="14"/>
  <c r="D103" i="14"/>
  <c r="W568" i="14"/>
  <c r="W260" i="14"/>
  <c r="W183" i="14"/>
  <c r="Y102" i="14" a="1"/>
  <c r="Y102" i="14" s="1"/>
  <c r="C567" i="14"/>
  <c r="C182" i="14"/>
  <c r="D101" i="14"/>
  <c r="C259" i="14"/>
  <c r="BU565" i="14"/>
  <c r="BU257" i="14"/>
  <c r="BU180" i="14"/>
  <c r="BW99" i="14" a="1"/>
  <c r="BW99" i="14" s="1"/>
  <c r="AB564" i="14"/>
  <c r="AB179" i="14"/>
  <c r="AD98" i="14" a="1"/>
  <c r="AD98" i="14" s="1"/>
  <c r="AB256" i="14"/>
  <c r="AG638" i="14"/>
  <c r="AG330" i="14"/>
  <c r="BK636" i="14"/>
  <c r="BK328" i="14"/>
  <c r="AQ559" i="14"/>
  <c r="AQ174" i="14"/>
  <c r="AQ251" i="14"/>
  <c r="AR93" i="14"/>
  <c r="BF635" i="14"/>
  <c r="BF327" i="14"/>
  <c r="AG634" i="14"/>
  <c r="AG326" i="14"/>
  <c r="BK632" i="14"/>
  <c r="BK324" i="14"/>
  <c r="AQ555" i="14"/>
  <c r="AQ170" i="14"/>
  <c r="AQ247" i="14"/>
  <c r="AR89" i="14"/>
  <c r="BA630" i="14"/>
  <c r="BA322" i="14"/>
  <c r="AV629" i="14"/>
  <c r="AV321" i="14"/>
  <c r="AB552" i="14"/>
  <c r="AB167" i="14"/>
  <c r="AB244" i="14"/>
  <c r="AC86" i="14"/>
  <c r="AQ551" i="14"/>
  <c r="AQ166" i="14"/>
  <c r="AQ243" i="14"/>
  <c r="AR85" i="14"/>
  <c r="BA626" i="14"/>
  <c r="BA318" i="14"/>
  <c r="AB548" i="14"/>
  <c r="AB240" i="14"/>
  <c r="AB163" i="14"/>
  <c r="AC82" i="14"/>
  <c r="BF623" i="14"/>
  <c r="BF315" i="14"/>
  <c r="BP621" i="14"/>
  <c r="BP313" i="14"/>
  <c r="AB544" i="14"/>
  <c r="AB236" i="14"/>
  <c r="AB159" i="14"/>
  <c r="AC78" i="14"/>
  <c r="BU618" i="14"/>
  <c r="BU310" i="14"/>
  <c r="AV540" i="14"/>
  <c r="AV232" i="14"/>
  <c r="AV155" i="14"/>
  <c r="AW74" i="14"/>
  <c r="AB536" i="14"/>
  <c r="AB228" i="14"/>
  <c r="AB151" i="14"/>
  <c r="AC70" i="14"/>
  <c r="BP532" i="14"/>
  <c r="BP224" i="14"/>
  <c r="BP147" i="14"/>
  <c r="BQ66" i="14"/>
  <c r="AB528" i="14"/>
  <c r="AB220" i="14"/>
  <c r="AB143" i="14"/>
  <c r="AC62" i="14"/>
  <c r="AQ604" i="14"/>
  <c r="AQ296" i="14"/>
  <c r="C604" i="14"/>
  <c r="C296" i="14"/>
  <c r="BP601" i="14"/>
  <c r="BP293" i="14"/>
  <c r="Q656" i="14"/>
  <c r="Q348" i="14"/>
  <c r="G645" i="14"/>
  <c r="G337" i="14"/>
  <c r="AQ593" i="14"/>
  <c r="AQ285" i="14"/>
  <c r="AX656" i="14"/>
  <c r="AX348" i="14"/>
  <c r="AU655" i="14"/>
  <c r="AU347" i="14"/>
  <c r="AU654" i="14"/>
  <c r="AU346" i="14"/>
  <c r="BL653" i="14"/>
  <c r="BL345" i="14"/>
  <c r="AK649" i="14"/>
  <c r="AK341" i="14"/>
  <c r="AC646" i="14"/>
  <c r="AC338" i="14"/>
  <c r="Q645" i="14"/>
  <c r="Q337" i="14"/>
  <c r="AZ662" i="14"/>
  <c r="AZ354" i="14"/>
  <c r="AC662" i="14"/>
  <c r="AC354" i="14"/>
  <c r="X585" i="14"/>
  <c r="X200" i="14"/>
  <c r="X277" i="14"/>
  <c r="B662" i="14"/>
  <c r="B354" i="14"/>
  <c r="BF276" i="14"/>
  <c r="BF584" i="14"/>
  <c r="BF199" i="14"/>
  <c r="BH118" i="14" a="1"/>
  <c r="BH118" i="14" s="1"/>
  <c r="V661" i="14"/>
  <c r="V353" i="14"/>
  <c r="B661" i="14"/>
  <c r="B353" i="14"/>
  <c r="BE660" i="14"/>
  <c r="BE352" i="14"/>
  <c r="W660" i="14"/>
  <c r="W352" i="14"/>
  <c r="C660" i="14"/>
  <c r="C352" i="14"/>
  <c r="AW582" i="14"/>
  <c r="AW197" i="14"/>
  <c r="AW274" i="14"/>
  <c r="O582" i="14"/>
  <c r="O274" i="14"/>
  <c r="O197" i="14"/>
  <c r="BM581" i="14"/>
  <c r="BM273" i="14"/>
  <c r="BM196" i="14"/>
  <c r="BA273" i="14"/>
  <c r="BA196" i="14"/>
  <c r="BA581" i="14"/>
  <c r="BC115" i="14" a="1"/>
  <c r="BC115" i="14" s="1"/>
  <c r="S581" i="14"/>
  <c r="S273" i="14"/>
  <c r="S196" i="14"/>
  <c r="AV657" i="14"/>
  <c r="AV349" i="14"/>
  <c r="AM657" i="14"/>
  <c r="AM349" i="14"/>
  <c r="C657" i="14"/>
  <c r="C349" i="14"/>
  <c r="BA656" i="14"/>
  <c r="BA348" i="14"/>
  <c r="W656" i="14"/>
  <c r="W348" i="14"/>
  <c r="N579" i="14"/>
  <c r="N194" i="14"/>
  <c r="N271" i="14"/>
  <c r="D656" i="14"/>
  <c r="D348" i="14"/>
  <c r="AB347" i="14"/>
  <c r="S578" i="14"/>
  <c r="S193" i="14"/>
  <c r="S270" i="14"/>
  <c r="I655" i="14"/>
  <c r="I347" i="14"/>
  <c r="AV654" i="14"/>
  <c r="AV346" i="14"/>
  <c r="AK654" i="14"/>
  <c r="AK346" i="14"/>
  <c r="BR576" i="14"/>
  <c r="BR191" i="14"/>
  <c r="BR268" i="14"/>
  <c r="AH576" i="14"/>
  <c r="AH268" i="14"/>
  <c r="AH191" i="14"/>
  <c r="M653" i="14"/>
  <c r="M345" i="14"/>
  <c r="AU647" i="14"/>
  <c r="AU339" i="14"/>
  <c r="AB647" i="14"/>
  <c r="AB339" i="14"/>
  <c r="AW569" i="14"/>
  <c r="AW261" i="14"/>
  <c r="AW184" i="14"/>
  <c r="AB646" i="14"/>
  <c r="AB338" i="14"/>
  <c r="AH568" i="14"/>
  <c r="AH260" i="14"/>
  <c r="AH183" i="14"/>
  <c r="AW567" i="14"/>
  <c r="AW182" i="14"/>
  <c r="AW259" i="14"/>
  <c r="AB644" i="14"/>
  <c r="AB336" i="14"/>
  <c r="BP640" i="14"/>
  <c r="BP332" i="14"/>
  <c r="AL563" i="14"/>
  <c r="AL178" i="14"/>
  <c r="AN97" i="14" a="1"/>
  <c r="AN97" i="14" s="1"/>
  <c r="AL255" i="14"/>
  <c r="N563" i="14"/>
  <c r="N255" i="14"/>
  <c r="N178" i="14"/>
  <c r="AX562" i="14"/>
  <c r="AX254" i="14"/>
  <c r="AX177" i="14"/>
  <c r="BP561" i="14"/>
  <c r="BP253" i="14"/>
  <c r="BP176" i="14"/>
  <c r="BR95" i="14" a="1"/>
  <c r="BR95" i="14" s="1"/>
  <c r="Y561" i="14"/>
  <c r="Y253" i="14"/>
  <c r="Y176" i="14"/>
  <c r="BC251" i="14"/>
  <c r="BC559" i="14"/>
  <c r="BC174" i="14"/>
  <c r="H559" i="14"/>
  <c r="H251" i="14"/>
  <c r="H174" i="14"/>
  <c r="I93" i="14"/>
  <c r="BM557" i="14"/>
  <c r="BM249" i="14"/>
  <c r="BM172" i="14"/>
  <c r="H557" i="14"/>
  <c r="H249" i="14"/>
  <c r="H172" i="14"/>
  <c r="AN556" i="14"/>
  <c r="AN248" i="14"/>
  <c r="AN171" i="14"/>
  <c r="BG555" i="14"/>
  <c r="BG247" i="14"/>
  <c r="BG170" i="14"/>
  <c r="Q632" i="14"/>
  <c r="Q324" i="14"/>
  <c r="BU554" i="14"/>
  <c r="BU246" i="14"/>
  <c r="BU169" i="14"/>
  <c r="BW88" i="14" a="1"/>
  <c r="BW88" i="14" s="1"/>
  <c r="D553" i="14"/>
  <c r="D245" i="14"/>
  <c r="D168" i="14"/>
  <c r="BF629" i="14"/>
  <c r="BF321" i="14"/>
  <c r="BP628" i="14"/>
  <c r="BP320" i="14"/>
  <c r="AK628" i="14"/>
  <c r="AK320" i="14"/>
  <c r="Q628" i="14"/>
  <c r="Q320" i="14"/>
  <c r="AU626" i="14"/>
  <c r="AU318" i="14"/>
  <c r="BP624" i="14"/>
  <c r="BP316" i="14"/>
  <c r="AM547" i="14"/>
  <c r="AM239" i="14"/>
  <c r="AM162" i="14"/>
  <c r="AB546" i="14"/>
  <c r="AB161" i="14"/>
  <c r="AB238" i="14"/>
  <c r="AW160" i="14"/>
  <c r="AW237" i="14"/>
  <c r="AW545" i="14"/>
  <c r="I160" i="14"/>
  <c r="I237" i="14"/>
  <c r="I545" i="14"/>
  <c r="BG544" i="14"/>
  <c r="BG236" i="14"/>
  <c r="BG159" i="14"/>
  <c r="AM544" i="14"/>
  <c r="AM236" i="14"/>
  <c r="AM159" i="14"/>
  <c r="S544" i="14"/>
  <c r="S236" i="14"/>
  <c r="S159" i="14"/>
  <c r="BV543" i="14"/>
  <c r="BV235" i="14"/>
  <c r="BV158" i="14"/>
  <c r="M543" i="14"/>
  <c r="M158" i="14"/>
  <c r="M235" i="14"/>
  <c r="AQ157" i="14"/>
  <c r="AQ234" i="14"/>
  <c r="AR76" i="14"/>
  <c r="AQ542" i="14"/>
  <c r="N542" i="14"/>
  <c r="N157" i="14"/>
  <c r="N234" i="14"/>
  <c r="BF617" i="14"/>
  <c r="BF309" i="14"/>
  <c r="AL617" i="14"/>
  <c r="AL309" i="14"/>
  <c r="BA539" i="14"/>
  <c r="BA154" i="14"/>
  <c r="BA231" i="14"/>
  <c r="BP615" i="14"/>
  <c r="BP307" i="14"/>
  <c r="C153" i="14"/>
  <c r="C230" i="14"/>
  <c r="C538" i="14"/>
  <c r="D72" i="14"/>
  <c r="AV537" i="14"/>
  <c r="AV229" i="14"/>
  <c r="AV152" i="14"/>
  <c r="I152" i="14"/>
  <c r="I229" i="14"/>
  <c r="I537" i="14"/>
  <c r="AL535" i="14"/>
  <c r="AL150" i="14"/>
  <c r="AL227" i="14"/>
  <c r="R535" i="14"/>
  <c r="R150" i="14"/>
  <c r="R227" i="14"/>
  <c r="BT611" i="14"/>
  <c r="BT303" i="14"/>
  <c r="BA534" i="14"/>
  <c r="BA149" i="14"/>
  <c r="BA226" i="14"/>
  <c r="N534" i="14"/>
  <c r="N149" i="14"/>
  <c r="N226" i="14"/>
  <c r="BO610" i="14"/>
  <c r="BO302" i="14"/>
  <c r="AV533" i="14"/>
  <c r="AV225" i="14"/>
  <c r="AV148" i="14"/>
  <c r="I533" i="14"/>
  <c r="I148" i="14"/>
  <c r="I225" i="14"/>
  <c r="BJ301" i="14"/>
  <c r="BJ609" i="14"/>
  <c r="AP609" i="14"/>
  <c r="AP301" i="14"/>
  <c r="V301" i="14"/>
  <c r="V609" i="14"/>
  <c r="B609" i="14"/>
  <c r="B301" i="14"/>
  <c r="BE608" i="14"/>
  <c r="BE300" i="14"/>
  <c r="AK608" i="14"/>
  <c r="AK300" i="14"/>
  <c r="S531" i="14"/>
  <c r="S223" i="14"/>
  <c r="S146" i="14"/>
  <c r="BV530" i="14"/>
  <c r="BV145" i="14"/>
  <c r="BV222" i="14"/>
  <c r="AZ607" i="14"/>
  <c r="AZ299" i="14"/>
  <c r="AG530" i="14"/>
  <c r="AG145" i="14"/>
  <c r="AG222" i="14"/>
  <c r="BQ529" i="14"/>
  <c r="BQ144" i="14"/>
  <c r="BQ221" i="14"/>
  <c r="AU606" i="14"/>
  <c r="AU298" i="14"/>
  <c r="AB529" i="14"/>
  <c r="AB221" i="14"/>
  <c r="AB144" i="14"/>
  <c r="BL528" i="14"/>
  <c r="BL220" i="14"/>
  <c r="BL143" i="14"/>
  <c r="AQ531" i="14"/>
  <c r="AQ146" i="14"/>
  <c r="AQ223" i="14"/>
  <c r="AR65" i="14"/>
  <c r="AQ547" i="14"/>
  <c r="AQ162" i="14"/>
  <c r="AQ239" i="14"/>
  <c r="AR81" i="14"/>
  <c r="X528" i="14"/>
  <c r="X220" i="14"/>
  <c r="X143" i="14"/>
  <c r="W543" i="14"/>
  <c r="W158" i="14"/>
  <c r="W235" i="14"/>
  <c r="X77" i="14"/>
  <c r="B605" i="14"/>
  <c r="B297" i="14"/>
  <c r="C539" i="14"/>
  <c r="C154" i="14"/>
  <c r="C231" i="14"/>
  <c r="D73" i="14"/>
  <c r="BA225" i="14"/>
  <c r="BA533" i="14"/>
  <c r="BA148" i="14"/>
  <c r="BB67" i="14"/>
  <c r="BU526" i="14"/>
  <c r="BU141" i="14"/>
  <c r="BU218" i="14"/>
  <c r="BW60" i="14" a="1"/>
  <c r="BW60" i="14" s="1"/>
  <c r="AN526" i="14"/>
  <c r="AN218" i="14"/>
  <c r="AN141" i="14"/>
  <c r="BM525" i="14"/>
  <c r="BM140" i="14"/>
  <c r="BM217" i="14"/>
  <c r="AU602" i="14"/>
  <c r="AU294" i="14"/>
  <c r="N602" i="14"/>
  <c r="N294" i="14"/>
  <c r="AX601" i="14"/>
  <c r="AX293" i="14"/>
  <c r="BA522" i="14"/>
  <c r="BA214" i="14"/>
  <c r="BA137" i="14"/>
  <c r="D522" i="14"/>
  <c r="D137" i="14"/>
  <c r="D214" i="14"/>
  <c r="BA597" i="14"/>
  <c r="BA289" i="14"/>
  <c r="BB595" i="14"/>
  <c r="BB287" i="14"/>
  <c r="AQ210" i="14"/>
  <c r="AQ133" i="14"/>
  <c r="AQ518" i="14"/>
  <c r="BK594" i="14"/>
  <c r="BK286" i="14"/>
  <c r="AR593" i="14"/>
  <c r="AR285" i="14"/>
  <c r="H593" i="14"/>
  <c r="H285" i="14"/>
  <c r="BH207" i="14"/>
  <c r="BH130" i="14"/>
  <c r="BH284" i="14" s="1"/>
  <c r="BQ129" i="14"/>
  <c r="BQ283" i="14" s="1"/>
  <c r="BQ206" i="14"/>
  <c r="AW129" i="14"/>
  <c r="AW283" i="14" s="1"/>
  <c r="AW206" i="14"/>
  <c r="BV515" i="14"/>
  <c r="BV126" i="14"/>
  <c r="BV592" i="14" s="1"/>
  <c r="BB515" i="14"/>
  <c r="BB126" i="14"/>
  <c r="BB592" i="14" s="1"/>
  <c r="BL514" i="14"/>
  <c r="BL125" i="14"/>
  <c r="BL591" i="14" s="1"/>
  <c r="BU512" i="14"/>
  <c r="BU123" i="14"/>
  <c r="BU589" i="14" s="1"/>
  <c r="BF512" i="14"/>
  <c r="BF123" i="14"/>
  <c r="BF589" i="14" s="1"/>
  <c r="AG603" i="14"/>
  <c r="AG295" i="14"/>
  <c r="AL521" i="14"/>
  <c r="AL213" i="14"/>
  <c r="AL136" i="14"/>
  <c r="M522" i="14"/>
  <c r="M214" i="14"/>
  <c r="M137" i="14"/>
  <c r="X594" i="14"/>
  <c r="X286" i="14"/>
  <c r="AH515" i="14"/>
  <c r="AH126" i="14"/>
  <c r="AH592" i="14" s="1"/>
  <c r="BO659" i="14"/>
  <c r="BO351" i="14"/>
  <c r="AU658" i="14"/>
  <c r="AU350" i="14"/>
  <c r="BW583" i="14"/>
  <c r="BW275" i="14"/>
  <c r="BW198" i="14"/>
  <c r="AB653" i="14"/>
  <c r="AB345" i="14"/>
  <c r="M570" i="14"/>
  <c r="M262" i="14"/>
  <c r="M185" i="14"/>
  <c r="AW566" i="14"/>
  <c r="AW258" i="14"/>
  <c r="AW181" i="14"/>
  <c r="BL565" i="14"/>
  <c r="BL257" i="14"/>
  <c r="BL180" i="14"/>
  <c r="BA562" i="14"/>
  <c r="BA254" i="14"/>
  <c r="BA177" i="14"/>
  <c r="BC96" i="14" a="1"/>
  <c r="BC96" i="14" s="1"/>
  <c r="BP557" i="14"/>
  <c r="BP249" i="14"/>
  <c r="BP172" i="14"/>
  <c r="BR91" i="14" a="1"/>
  <c r="BR91" i="14" s="1"/>
  <c r="BV551" i="14"/>
  <c r="BV243" i="14"/>
  <c r="BV166" i="14"/>
  <c r="R549" i="14"/>
  <c r="R241" i="14"/>
  <c r="R164" i="14"/>
  <c r="S83" i="14"/>
  <c r="BP546" i="14"/>
  <c r="BP161" i="14"/>
  <c r="BR80" i="14" a="1"/>
  <c r="BR80" i="14" s="1"/>
  <c r="BP238" i="14"/>
  <c r="N546" i="14"/>
  <c r="N161" i="14"/>
  <c r="N238" i="14"/>
  <c r="AM543" i="14"/>
  <c r="AM235" i="14"/>
  <c r="AM158" i="14"/>
  <c r="BH541" i="14"/>
  <c r="BH233" i="14"/>
  <c r="BH156" i="14"/>
  <c r="BE616" i="14"/>
  <c r="BE308" i="14"/>
  <c r="AK616" i="14"/>
  <c r="AK308" i="14"/>
  <c r="AA615" i="14"/>
  <c r="AA307" i="14"/>
  <c r="M535" i="14"/>
  <c r="M150" i="14"/>
  <c r="M227" i="14"/>
  <c r="BP530" i="14"/>
  <c r="BP145" i="14"/>
  <c r="BP222" i="14"/>
  <c r="AM527" i="14"/>
  <c r="AM219" i="14"/>
  <c r="AM142" i="14"/>
  <c r="N601" i="14"/>
  <c r="N293" i="14"/>
  <c r="AM660" i="14"/>
  <c r="AM352" i="14"/>
  <c r="AL578" i="14"/>
  <c r="AL270" i="14"/>
  <c r="AL193" i="14"/>
  <c r="AN112" i="14" a="1"/>
  <c r="AN112" i="14" s="1"/>
  <c r="BA576" i="14"/>
  <c r="BA268" i="14"/>
  <c r="BA191" i="14"/>
  <c r="BC110" i="14" a="1"/>
  <c r="BC110" i="14" s="1"/>
  <c r="BV575" i="14"/>
  <c r="BV190" i="14"/>
  <c r="BV267" i="14"/>
  <c r="D652" i="14"/>
  <c r="D344" i="14"/>
  <c r="BO651" i="14"/>
  <c r="BO343" i="14"/>
  <c r="AK650" i="14"/>
  <c r="AK342" i="14"/>
  <c r="L650" i="14"/>
  <c r="L342" i="14"/>
  <c r="AI568" i="14"/>
  <c r="AI260" i="14"/>
  <c r="AI183" i="14"/>
  <c r="AM567" i="14"/>
  <c r="AM259" i="14"/>
  <c r="AM182" i="14"/>
  <c r="AM643" i="14"/>
  <c r="AM335" i="14"/>
  <c r="AC565" i="14"/>
  <c r="AC257" i="14"/>
  <c r="AC180" i="14"/>
  <c r="AW249" i="14"/>
  <c r="AW557" i="14"/>
  <c r="AW172" i="14"/>
  <c r="BB555" i="14"/>
  <c r="BB247" i="14"/>
  <c r="BB170" i="14"/>
  <c r="BO631" i="14"/>
  <c r="BO323" i="14"/>
  <c r="AQ552" i="14"/>
  <c r="AQ244" i="14"/>
  <c r="AQ167" i="14"/>
  <c r="AH551" i="14"/>
  <c r="AH243" i="14"/>
  <c r="AH166" i="14"/>
  <c r="BQ550" i="14"/>
  <c r="BQ242" i="14"/>
  <c r="BQ165" i="14"/>
  <c r="AX550" i="14"/>
  <c r="AX242" i="14"/>
  <c r="AX165" i="14"/>
  <c r="BC548" i="14"/>
  <c r="BC240" i="14"/>
  <c r="BC163" i="14"/>
  <c r="X548" i="14"/>
  <c r="X240" i="14"/>
  <c r="X163" i="14"/>
  <c r="BB547" i="14"/>
  <c r="BB239" i="14"/>
  <c r="BB162" i="14"/>
  <c r="AH547" i="14"/>
  <c r="AH239" i="14"/>
  <c r="AH162" i="14"/>
  <c r="BQ546" i="14"/>
  <c r="BQ238" i="14"/>
  <c r="BQ161" i="14"/>
  <c r="AV546" i="14"/>
  <c r="AV161" i="14"/>
  <c r="AV238" i="14"/>
  <c r="BQ545" i="14"/>
  <c r="BQ160" i="14"/>
  <c r="BQ237" i="14"/>
  <c r="AP622" i="14"/>
  <c r="AP314" i="14"/>
  <c r="B622" i="14"/>
  <c r="B314" i="14"/>
  <c r="BF621" i="14"/>
  <c r="BF313" i="14"/>
  <c r="BK619" i="14"/>
  <c r="BK311" i="14"/>
  <c r="I542" i="14"/>
  <c r="I234" i="14"/>
  <c r="I157" i="14"/>
  <c r="BR539" i="14"/>
  <c r="BR231" i="14"/>
  <c r="BR154" i="14"/>
  <c r="AH538" i="14"/>
  <c r="AH153" i="14"/>
  <c r="AH230" i="14"/>
  <c r="V614" i="14"/>
  <c r="V306" i="14"/>
  <c r="AK613" i="14"/>
  <c r="AK305" i="14"/>
  <c r="G611" i="14"/>
  <c r="G303" i="14"/>
  <c r="B610" i="14"/>
  <c r="B302" i="14"/>
  <c r="G607" i="14"/>
  <c r="G299" i="14"/>
  <c r="AP606" i="14"/>
  <c r="AP298" i="14"/>
  <c r="V606" i="14"/>
  <c r="V298" i="14"/>
  <c r="AB604" i="14"/>
  <c r="AB296" i="14"/>
  <c r="D595" i="14"/>
  <c r="D287" i="14"/>
  <c r="Q651" i="14"/>
  <c r="Q343" i="14"/>
  <c r="AF649" i="14"/>
  <c r="AF341" i="14"/>
  <c r="AC644" i="14"/>
  <c r="AC336" i="14"/>
  <c r="B601" i="14"/>
  <c r="B293" i="14"/>
  <c r="BT597" i="14"/>
  <c r="BT289" i="14"/>
  <c r="BO596" i="14"/>
  <c r="BO288" i="14"/>
  <c r="BJ595" i="14"/>
  <c r="BJ287" i="14"/>
  <c r="Q594" i="14"/>
  <c r="Q286" i="14"/>
  <c r="AZ593" i="14"/>
  <c r="AZ285" i="14"/>
  <c r="AB584" i="14"/>
  <c r="AB276" i="14"/>
  <c r="AB199" i="14"/>
  <c r="AD118" i="14" a="1"/>
  <c r="AD118" i="14" s="1"/>
  <c r="BL583" i="14"/>
  <c r="BL275" i="14"/>
  <c r="BL198" i="14"/>
  <c r="H275" i="14"/>
  <c r="H583" i="14"/>
  <c r="H198" i="14"/>
  <c r="J117" i="14" a="1"/>
  <c r="J117" i="14" s="1"/>
  <c r="BP581" i="14"/>
  <c r="BP273" i="14"/>
  <c r="BP196" i="14"/>
  <c r="BR115" i="14" a="1"/>
  <c r="BR115" i="14" s="1"/>
  <c r="E579" i="14"/>
  <c r="E271" i="14"/>
  <c r="E194" i="14"/>
  <c r="H655" i="14"/>
  <c r="H347" i="14"/>
  <c r="AB654" i="14"/>
  <c r="AB346" i="14"/>
  <c r="Q654" i="14"/>
  <c r="Q346" i="14"/>
  <c r="BM574" i="14"/>
  <c r="BM266" i="14"/>
  <c r="BM189" i="14"/>
  <c r="H573" i="14"/>
  <c r="H265" i="14"/>
  <c r="H188" i="14"/>
  <c r="I107" i="14"/>
  <c r="H571" i="14"/>
  <c r="H263" i="14"/>
  <c r="H186" i="14"/>
  <c r="I105" i="14"/>
  <c r="M569" i="14"/>
  <c r="M261" i="14"/>
  <c r="M184" i="14"/>
  <c r="AQ565" i="14"/>
  <c r="AQ257" i="14"/>
  <c r="AQ180" i="14"/>
  <c r="AX255" i="14"/>
  <c r="AX563" i="14"/>
  <c r="AX178" i="14"/>
  <c r="BG639" i="14"/>
  <c r="AU639" i="14"/>
  <c r="AU331" i="14"/>
  <c r="D561" i="14"/>
  <c r="D253" i="14"/>
  <c r="D176" i="14"/>
  <c r="AG637" i="14"/>
  <c r="AG329" i="14"/>
  <c r="X252" i="14"/>
  <c r="X560" i="14"/>
  <c r="X175" i="14"/>
  <c r="N558" i="14"/>
  <c r="N250" i="14"/>
  <c r="N173" i="14"/>
  <c r="H555" i="14"/>
  <c r="H247" i="14"/>
  <c r="H170" i="14"/>
  <c r="I89" i="14"/>
  <c r="G631" i="14"/>
  <c r="G323" i="14"/>
  <c r="AA630" i="14"/>
  <c r="AA322" i="14"/>
  <c r="BG548" i="14"/>
  <c r="BG240" i="14"/>
  <c r="BG163" i="14"/>
  <c r="BU547" i="14"/>
  <c r="BU162" i="14"/>
  <c r="BU239" i="14"/>
  <c r="BW81" i="14" a="1"/>
  <c r="BW81" i="14" s="1"/>
  <c r="BB546" i="14"/>
  <c r="BB161" i="14"/>
  <c r="BB238" i="14"/>
  <c r="AP621" i="14"/>
  <c r="AP313" i="14"/>
  <c r="B621" i="14"/>
  <c r="B313" i="14"/>
  <c r="AH543" i="14"/>
  <c r="AH235" i="14"/>
  <c r="AH158" i="14"/>
  <c r="BQ542" i="14"/>
  <c r="BQ234" i="14"/>
  <c r="BQ157" i="14"/>
  <c r="BO618" i="14"/>
  <c r="BO310" i="14"/>
  <c r="AW541" i="14"/>
  <c r="AW156" i="14"/>
  <c r="AW233" i="14"/>
  <c r="I541" i="14"/>
  <c r="I156" i="14"/>
  <c r="I233" i="14"/>
  <c r="BE617" i="14"/>
  <c r="BE309" i="14"/>
  <c r="AK617" i="14"/>
  <c r="AK309" i="14"/>
  <c r="Q617" i="14"/>
  <c r="Q309" i="14"/>
  <c r="BO615" i="14"/>
  <c r="BO307" i="14"/>
  <c r="R537" i="14"/>
  <c r="R229" i="14"/>
  <c r="R152" i="14"/>
  <c r="S71" i="14"/>
  <c r="AB535" i="14"/>
  <c r="AB150" i="14"/>
  <c r="AB227" i="14"/>
  <c r="AC69" i="14"/>
  <c r="C149" i="14"/>
  <c r="C226" i="14"/>
  <c r="D68" i="14"/>
  <c r="C534" i="14"/>
  <c r="BP531" i="14"/>
  <c r="BP146" i="14"/>
  <c r="BP223" i="14"/>
  <c r="BQ65" i="14"/>
  <c r="BA528" i="14"/>
  <c r="BA220" i="14"/>
  <c r="BA143" i="14"/>
  <c r="BB62" i="14"/>
  <c r="AG229" i="14"/>
  <c r="AG537" i="14"/>
  <c r="AG152" i="14"/>
  <c r="AH71" i="14"/>
  <c r="AZ603" i="14"/>
  <c r="AZ295" i="14"/>
  <c r="BJ602" i="14"/>
  <c r="BJ294" i="14"/>
  <c r="BA523" i="14"/>
  <c r="BA215" i="14"/>
  <c r="BC57" i="14" a="1"/>
  <c r="BC57" i="14" s="1"/>
  <c r="BA138" i="14"/>
  <c r="BG290" i="14"/>
  <c r="BG598" i="14"/>
  <c r="BB603" i="14"/>
  <c r="BB295" i="14"/>
  <c r="X601" i="14"/>
  <c r="X293" i="14"/>
  <c r="S521" i="14"/>
  <c r="S136" i="14"/>
  <c r="S213" i="14"/>
  <c r="W214" i="14"/>
  <c r="W137" i="14"/>
  <c r="W522" i="14"/>
  <c r="BO646" i="14"/>
  <c r="BO338" i="14"/>
  <c r="R585" i="14"/>
  <c r="R277" i="14"/>
  <c r="R200" i="14"/>
  <c r="T119" i="14" a="1"/>
  <c r="T119" i="14" s="1"/>
  <c r="AL661" i="14"/>
  <c r="AL353" i="14"/>
  <c r="BL582" i="14"/>
  <c r="BL197" i="14"/>
  <c r="BL274" i="14"/>
  <c r="I351" i="14"/>
  <c r="I659" i="14"/>
  <c r="BL657" i="14"/>
  <c r="BL349" i="14"/>
  <c r="BB577" i="14"/>
  <c r="BB192" i="14"/>
  <c r="BB269" i="14"/>
  <c r="S576" i="14"/>
  <c r="S268" i="14"/>
  <c r="S191" i="14"/>
  <c r="AL575" i="14"/>
  <c r="AL267" i="14"/>
  <c r="AL190" i="14"/>
  <c r="AN109" i="14" a="1"/>
  <c r="AN109" i="14" s="1"/>
  <c r="BP571" i="14"/>
  <c r="BP186" i="14"/>
  <c r="BR105" i="14" a="1"/>
  <c r="BR105" i="14" s="1"/>
  <c r="BP263" i="14"/>
  <c r="N567" i="14"/>
  <c r="N259" i="14"/>
  <c r="N182" i="14"/>
  <c r="AB561" i="14"/>
  <c r="AB253" i="14"/>
  <c r="AB176" i="14"/>
  <c r="AD95" i="14" a="1"/>
  <c r="AD95" i="14" s="1"/>
  <c r="BG559" i="14"/>
  <c r="BG251" i="14"/>
  <c r="BG174" i="14"/>
  <c r="AH554" i="14"/>
  <c r="AH246" i="14"/>
  <c r="AH169" i="14"/>
  <c r="R553" i="14"/>
  <c r="R245" i="14"/>
  <c r="R168" i="14"/>
  <c r="S87" i="14"/>
  <c r="AK629" i="14"/>
  <c r="AK321" i="14"/>
  <c r="M550" i="14"/>
  <c r="M165" i="14"/>
  <c r="M242" i="14"/>
  <c r="AK625" i="14"/>
  <c r="AK317" i="14"/>
  <c r="R543" i="14"/>
  <c r="R158" i="14"/>
  <c r="R235" i="14"/>
  <c r="D540" i="14"/>
  <c r="D232" i="14"/>
  <c r="D155" i="14"/>
  <c r="AG531" i="14"/>
  <c r="AG146" i="14"/>
  <c r="AG223" i="14"/>
  <c r="N527" i="14"/>
  <c r="N219" i="14"/>
  <c r="N142" i="14"/>
  <c r="M245" i="14"/>
  <c r="M553" i="14"/>
  <c r="M168" i="14"/>
  <c r="N87" i="14"/>
  <c r="BP525" i="14"/>
  <c r="BP217" i="14"/>
  <c r="BP140" i="14"/>
  <c r="BR59" i="14" a="1"/>
  <c r="BR59" i="14" s="1"/>
  <c r="BA601" i="14"/>
  <c r="BA293" i="14"/>
  <c r="BB523" i="14"/>
  <c r="BB215" i="14"/>
  <c r="BB138" i="14"/>
  <c r="AH598" i="14"/>
  <c r="AH290" i="14"/>
  <c r="X593" i="14"/>
  <c r="X285" i="14"/>
  <c r="BU204" i="14"/>
  <c r="BU127" i="14"/>
  <c r="BU281" i="14" s="1"/>
  <c r="BQ514" i="14"/>
  <c r="BQ125" i="14"/>
  <c r="BQ591" i="14" s="1"/>
  <c r="D514" i="14"/>
  <c r="D125" i="14"/>
  <c r="D591" i="14" s="1"/>
  <c r="AH599" i="14"/>
  <c r="AH291" i="14"/>
  <c r="D521" i="14"/>
  <c r="D136" i="14"/>
  <c r="D213" i="14"/>
  <c r="AK651" i="14"/>
  <c r="AK343" i="14"/>
  <c r="BQ197" i="14"/>
  <c r="BQ582" i="14"/>
  <c r="BQ274" i="14"/>
  <c r="AM581" i="14"/>
  <c r="AM273" i="14"/>
  <c r="AM196" i="14"/>
  <c r="I579" i="14"/>
  <c r="I194" i="14"/>
  <c r="I271" i="14"/>
  <c r="AH577" i="14"/>
  <c r="AH269" i="14"/>
  <c r="AH192" i="14"/>
  <c r="AI576" i="14"/>
  <c r="AI268" i="14"/>
  <c r="AI191" i="14"/>
  <c r="AM570" i="14"/>
  <c r="AM262" i="14"/>
  <c r="AM185" i="14"/>
  <c r="BP644" i="14"/>
  <c r="BP336" i="14"/>
  <c r="BQ565" i="14"/>
  <c r="BQ257" i="14"/>
  <c r="BQ180" i="14"/>
  <c r="AP641" i="14"/>
  <c r="AP333" i="14"/>
  <c r="V641" i="14"/>
  <c r="V333" i="14"/>
  <c r="C564" i="14"/>
  <c r="C256" i="14"/>
  <c r="C179" i="14"/>
  <c r="BL640" i="14"/>
  <c r="BL332" i="14"/>
  <c r="N562" i="14"/>
  <c r="N177" i="14"/>
  <c r="N254" i="14"/>
  <c r="BJ638" i="14"/>
  <c r="BJ330" i="14"/>
  <c r="X248" i="14"/>
  <c r="X556" i="14"/>
  <c r="X171" i="14"/>
  <c r="BB630" i="14"/>
  <c r="BB322" i="14"/>
  <c r="BP549" i="14"/>
  <c r="BP241" i="14"/>
  <c r="BP164" i="14"/>
  <c r="BR83" i="14" a="1"/>
  <c r="BR83" i="14" s="1"/>
  <c r="C241" i="14"/>
  <c r="C164" i="14"/>
  <c r="C549" i="14"/>
  <c r="X79" i="14"/>
  <c r="BU620" i="14"/>
  <c r="BU312" i="14"/>
  <c r="M538" i="14"/>
  <c r="M153" i="14"/>
  <c r="M230" i="14"/>
  <c r="AP614" i="14"/>
  <c r="AP306" i="14"/>
  <c r="BO611" i="14"/>
  <c r="BO303" i="14"/>
  <c r="AP610" i="14"/>
  <c r="AP302" i="14"/>
  <c r="BE609" i="14"/>
  <c r="BE301" i="14"/>
  <c r="Q609" i="14"/>
  <c r="Q301" i="14"/>
  <c r="AU607" i="14"/>
  <c r="AU299" i="14"/>
  <c r="AK605" i="14"/>
  <c r="AK297" i="14"/>
  <c r="R550" i="14"/>
  <c r="R165" i="14"/>
  <c r="S84" i="14"/>
  <c r="R242" i="14"/>
  <c r="AP602" i="14"/>
  <c r="AP294" i="14"/>
  <c r="BQ597" i="14"/>
  <c r="BQ289" i="14"/>
  <c r="BQ596" i="14"/>
  <c r="BQ288" i="14"/>
  <c r="AH594" i="14"/>
  <c r="AH286" i="14"/>
  <c r="AB52" i="14"/>
  <c r="AB26" i="14"/>
  <c r="AB56" i="14" s="1"/>
  <c r="AB23" i="14"/>
  <c r="AL602" i="14"/>
  <c r="AL294" i="14"/>
  <c r="R602" i="14"/>
  <c r="R294" i="14"/>
  <c r="AN524" i="14"/>
  <c r="AN139" i="14"/>
  <c r="AN216" i="14"/>
  <c r="AD601" i="14"/>
  <c r="AD293" i="14"/>
  <c r="AG632" i="14"/>
  <c r="AG324" i="14"/>
  <c r="AQ602" i="14"/>
  <c r="AQ294" i="14"/>
  <c r="S599" i="14"/>
  <c r="S291" i="14"/>
  <c r="S519" i="14"/>
  <c r="S211" i="14"/>
  <c r="S134" i="14"/>
  <c r="L661" i="14"/>
  <c r="L353" i="14"/>
  <c r="BO656" i="14"/>
  <c r="BO348" i="14"/>
  <c r="V651" i="14"/>
  <c r="V343" i="14"/>
  <c r="B649" i="14"/>
  <c r="B341" i="14"/>
  <c r="AW602" i="14"/>
  <c r="AW294" i="14"/>
  <c r="H585" i="14"/>
  <c r="H277" i="14"/>
  <c r="H200" i="14"/>
  <c r="J119" i="14" a="1"/>
  <c r="J119" i="14" s="1"/>
  <c r="BP583" i="14"/>
  <c r="BP275" i="14"/>
  <c r="BP198" i="14"/>
  <c r="BR117" i="14" a="1"/>
  <c r="BR117" i="14" s="1"/>
  <c r="BF653" i="14"/>
  <c r="BF345" i="14"/>
  <c r="BF651" i="14"/>
  <c r="BF343" i="14"/>
  <c r="C571" i="14"/>
  <c r="C186" i="14"/>
  <c r="C263" i="14"/>
  <c r="D105" i="14"/>
  <c r="C563" i="14"/>
  <c r="C178" i="14"/>
  <c r="C255" i="14"/>
  <c r="D97" i="14"/>
  <c r="AL639" i="14"/>
  <c r="AL331" i="14"/>
  <c r="H560" i="14"/>
  <c r="H175" i="14"/>
  <c r="I94" i="14"/>
  <c r="H252" i="14"/>
  <c r="BA634" i="14"/>
  <c r="BA326" i="14"/>
  <c r="BP633" i="14"/>
  <c r="BP325" i="14"/>
  <c r="AV633" i="14"/>
  <c r="AV325" i="14"/>
  <c r="BU630" i="14"/>
  <c r="BU322" i="14"/>
  <c r="W551" i="14"/>
  <c r="W166" i="14"/>
  <c r="W243" i="14"/>
  <c r="X85" i="14"/>
  <c r="AL627" i="14"/>
  <c r="AL319" i="14"/>
  <c r="AG626" i="14"/>
  <c r="AG318" i="14"/>
  <c r="H548" i="14"/>
  <c r="H240" i="14"/>
  <c r="H163" i="14"/>
  <c r="I82" i="14"/>
  <c r="H544" i="14"/>
  <c r="H236" i="14"/>
  <c r="H159" i="14"/>
  <c r="I78" i="14"/>
  <c r="AB540" i="14"/>
  <c r="AB232" i="14"/>
  <c r="AB155" i="14"/>
  <c r="AC74" i="14"/>
  <c r="AV532" i="14"/>
  <c r="AV224" i="14"/>
  <c r="AV147" i="14"/>
  <c r="AW66" i="14"/>
  <c r="BT655" i="14"/>
  <c r="BT347" i="14"/>
  <c r="BJ644" i="14"/>
  <c r="BJ336" i="14"/>
  <c r="W593" i="14"/>
  <c r="W285" i="14"/>
  <c r="AF655" i="14"/>
  <c r="AF347" i="14"/>
  <c r="Q653" i="14"/>
  <c r="Q345" i="14"/>
  <c r="AZ644" i="14"/>
  <c r="AZ336" i="14"/>
  <c r="I662" i="14"/>
  <c r="I354" i="14"/>
  <c r="BE661" i="14"/>
  <c r="BE353" i="14"/>
  <c r="BB581" i="14"/>
  <c r="BB196" i="14"/>
  <c r="BB273" i="14"/>
  <c r="AM577" i="14"/>
  <c r="AM269" i="14"/>
  <c r="AM192" i="14"/>
  <c r="N577" i="14"/>
  <c r="N192" i="14"/>
  <c r="N269" i="14"/>
  <c r="BP653" i="14"/>
  <c r="BP345" i="14"/>
  <c r="BA575" i="14"/>
  <c r="BA267" i="14"/>
  <c r="BA190" i="14"/>
  <c r="BC109" i="14" a="1"/>
  <c r="BC109" i="14" s="1"/>
  <c r="J575" i="14"/>
  <c r="J267" i="14"/>
  <c r="J190" i="14"/>
  <c r="AW265" i="14"/>
  <c r="AW573" i="14"/>
  <c r="AW188" i="14"/>
  <c r="AB650" i="14"/>
  <c r="AB342" i="14"/>
  <c r="BU572" i="14"/>
  <c r="BU264" i="14"/>
  <c r="BU187" i="14"/>
  <c r="BW106" i="14" a="1"/>
  <c r="BW106" i="14" s="1"/>
  <c r="BL648" i="14"/>
  <c r="BL340" i="14"/>
  <c r="R571" i="14"/>
  <c r="R186" i="14"/>
  <c r="T105" i="14" a="1"/>
  <c r="T105" i="14" s="1"/>
  <c r="R263" i="14"/>
  <c r="BU570" i="14"/>
  <c r="BU262" i="14"/>
  <c r="BU185" i="14"/>
  <c r="BW104" i="14" a="1"/>
  <c r="BW104" i="14" s="1"/>
  <c r="BV569" i="14"/>
  <c r="BV261" i="14"/>
  <c r="BV184" i="14"/>
  <c r="BQ567" i="14"/>
  <c r="BQ259" i="14"/>
  <c r="BQ182" i="14"/>
  <c r="C566" i="14"/>
  <c r="C181" i="14"/>
  <c r="C258" i="14"/>
  <c r="D100" i="14"/>
  <c r="AK640" i="14"/>
  <c r="AK332" i="14"/>
  <c r="L640" i="14"/>
  <c r="L332" i="14"/>
  <c r="BO638" i="14"/>
  <c r="BO330" i="14"/>
  <c r="AP638" i="14"/>
  <c r="AP330" i="14"/>
  <c r="W638" i="14"/>
  <c r="W330" i="14"/>
  <c r="AP637" i="14"/>
  <c r="AP329" i="14"/>
  <c r="BA636" i="14"/>
  <c r="BA328" i="14"/>
  <c r="AG636" i="14"/>
  <c r="AG328" i="14"/>
  <c r="BA558" i="14"/>
  <c r="BA250" i="14"/>
  <c r="BA173" i="14"/>
  <c r="BC92" i="14" a="1"/>
  <c r="BC92" i="14" s="1"/>
  <c r="AC558" i="14"/>
  <c r="AC173" i="14"/>
  <c r="AC250" i="14"/>
  <c r="BW634" i="14"/>
  <c r="BW326" i="14"/>
  <c r="AC249" i="14"/>
  <c r="AC172" i="14"/>
  <c r="AC557" i="14"/>
  <c r="AX633" i="14"/>
  <c r="AX325" i="14"/>
  <c r="AL633" i="14"/>
  <c r="AL325" i="14"/>
  <c r="BF555" i="14"/>
  <c r="BF170" i="14"/>
  <c r="BF247" i="14"/>
  <c r="BH89" i="14" a="1"/>
  <c r="BH89" i="14" s="1"/>
  <c r="H554" i="14"/>
  <c r="H169" i="14"/>
  <c r="H246" i="14"/>
  <c r="V630" i="14"/>
  <c r="V322" i="14"/>
  <c r="S551" i="14"/>
  <c r="S243" i="14"/>
  <c r="S166" i="14"/>
  <c r="AB550" i="14"/>
  <c r="AB165" i="14"/>
  <c r="AB242" i="14"/>
  <c r="AW549" i="14"/>
  <c r="AW164" i="14"/>
  <c r="AW241" i="14"/>
  <c r="V626" i="14"/>
  <c r="V318" i="14"/>
  <c r="B626" i="14"/>
  <c r="B318" i="14"/>
  <c r="R547" i="14"/>
  <c r="R162" i="14"/>
  <c r="R239" i="14"/>
  <c r="AB545" i="14"/>
  <c r="AB237" i="14"/>
  <c r="AB160" i="14"/>
  <c r="BQ621" i="14"/>
  <c r="BQ313" i="14"/>
  <c r="AK621" i="14"/>
  <c r="AK313" i="14"/>
  <c r="AG542" i="14"/>
  <c r="AG157" i="14"/>
  <c r="AG234" i="14"/>
  <c r="BL75" i="14"/>
  <c r="X541" i="14"/>
  <c r="X156" i="14"/>
  <c r="X233" i="14"/>
  <c r="BP537" i="14"/>
  <c r="BP229" i="14"/>
  <c r="BP152" i="14"/>
  <c r="AB537" i="14"/>
  <c r="AB229" i="14"/>
  <c r="AB152" i="14"/>
  <c r="AQ536" i="14"/>
  <c r="AQ228" i="14"/>
  <c r="AQ151" i="14"/>
  <c r="BF535" i="14"/>
  <c r="BF150" i="14"/>
  <c r="BF227" i="14"/>
  <c r="AK612" i="14"/>
  <c r="AK304" i="14"/>
  <c r="BV534" i="14"/>
  <c r="BV149" i="14"/>
  <c r="BV226" i="14"/>
  <c r="AZ611" i="14"/>
  <c r="AZ303" i="14"/>
  <c r="BQ148" i="14"/>
  <c r="BQ225" i="14"/>
  <c r="BQ533" i="14"/>
  <c r="AU610" i="14"/>
  <c r="AU302" i="14"/>
  <c r="AR532" i="14"/>
  <c r="AR224" i="14"/>
  <c r="AR147" i="14"/>
  <c r="D532" i="14"/>
  <c r="D224" i="14"/>
  <c r="D147" i="14"/>
  <c r="BG531" i="14"/>
  <c r="BG223" i="14"/>
  <c r="BG146" i="14"/>
  <c r="M530" i="14"/>
  <c r="M145" i="14"/>
  <c r="M222" i="14"/>
  <c r="AA606" i="14"/>
  <c r="AA298" i="14"/>
  <c r="BK531" i="14"/>
  <c r="BK146" i="14"/>
  <c r="BK223" i="14"/>
  <c r="BL65" i="14"/>
  <c r="AQ535" i="14"/>
  <c r="AQ150" i="14"/>
  <c r="AQ227" i="14"/>
  <c r="AR69" i="14"/>
  <c r="W547" i="14"/>
  <c r="W162" i="14"/>
  <c r="W239" i="14"/>
  <c r="X81" i="14"/>
  <c r="C543" i="14"/>
  <c r="C158" i="14"/>
  <c r="C235" i="14"/>
  <c r="D77" i="14"/>
  <c r="BA229" i="14"/>
  <c r="BA537" i="14"/>
  <c r="BA152" i="14"/>
  <c r="BB71" i="14"/>
  <c r="AU603" i="14"/>
  <c r="AU295" i="14"/>
  <c r="T526" i="14"/>
  <c r="T218" i="14"/>
  <c r="T141" i="14"/>
  <c r="BK602" i="14"/>
  <c r="BK294" i="14"/>
  <c r="AA602" i="14"/>
  <c r="AA294" i="14"/>
  <c r="BB522" i="14"/>
  <c r="BB137" i="14"/>
  <c r="BB214" i="14"/>
  <c r="W210" i="14"/>
  <c r="W518" i="14"/>
  <c r="W133" i="14"/>
  <c r="R517" i="14"/>
  <c r="R209" i="14"/>
  <c r="R132" i="14"/>
  <c r="AV593" i="14"/>
  <c r="AV285" i="14"/>
  <c r="R593" i="14"/>
  <c r="R285" i="14"/>
  <c r="M593" i="14"/>
  <c r="M285" i="14"/>
  <c r="BP513" i="14"/>
  <c r="BP124" i="14"/>
  <c r="BP590" i="14" s="1"/>
  <c r="AV513" i="14"/>
  <c r="AV124" i="14"/>
  <c r="AV590" i="14" s="1"/>
  <c r="BA512" i="14"/>
  <c r="BA123" i="14"/>
  <c r="BA589" i="14" s="1"/>
  <c r="V586" i="14"/>
  <c r="X521" i="14"/>
  <c r="X136" i="14"/>
  <c r="X213" i="14"/>
  <c r="M518" i="14"/>
  <c r="M210" i="14"/>
  <c r="M133" i="14"/>
  <c r="AH207" i="14"/>
  <c r="AH130" i="14"/>
  <c r="AH284" i="14" s="1"/>
  <c r="M270" i="14"/>
  <c r="M193" i="14"/>
  <c r="O112" i="14" a="1"/>
  <c r="O112" i="14" s="1"/>
  <c r="M578" i="14"/>
  <c r="BV268" i="14"/>
  <c r="BV191" i="14"/>
  <c r="BV576" i="14"/>
  <c r="AH570" i="14"/>
  <c r="AH262" i="14"/>
  <c r="AH185" i="14"/>
  <c r="AA643" i="14"/>
  <c r="AA335" i="14"/>
  <c r="V642" i="14"/>
  <c r="V334" i="14"/>
  <c r="Q641" i="14"/>
  <c r="Q333" i="14"/>
  <c r="I562" i="14"/>
  <c r="I177" i="14"/>
  <c r="I254" i="14"/>
  <c r="AM559" i="14"/>
  <c r="AM251" i="14"/>
  <c r="AM174" i="14"/>
  <c r="BO634" i="14"/>
  <c r="BO326" i="14"/>
  <c r="BV555" i="14"/>
  <c r="BV247" i="14"/>
  <c r="BV170" i="14"/>
  <c r="AG551" i="14"/>
  <c r="AG166" i="14"/>
  <c r="AG243" i="14"/>
  <c r="AI85" i="14" a="1"/>
  <c r="AI85" i="14" s="1"/>
  <c r="BK548" i="14"/>
  <c r="BK240" i="14"/>
  <c r="BK163" i="14"/>
  <c r="BM82" i="14" a="1"/>
  <c r="BM82" i="14" s="1"/>
  <c r="BL545" i="14"/>
  <c r="BL160" i="14"/>
  <c r="BL237" i="14"/>
  <c r="BG543" i="14"/>
  <c r="BG235" i="14"/>
  <c r="BG158" i="14"/>
  <c r="BK540" i="14"/>
  <c r="BK232" i="14"/>
  <c r="BK155" i="14"/>
  <c r="BG539" i="14"/>
  <c r="BG231" i="14"/>
  <c r="BG154" i="14"/>
  <c r="AV534" i="14"/>
  <c r="AV149" i="14"/>
  <c r="AV226" i="14"/>
  <c r="AV530" i="14"/>
  <c r="AV145" i="14"/>
  <c r="AV222" i="14"/>
  <c r="AL530" i="14"/>
  <c r="AL145" i="14"/>
  <c r="AM64" i="14"/>
  <c r="AL222" i="14"/>
  <c r="BQ522" i="14"/>
  <c r="BQ137" i="14"/>
  <c r="BQ214" i="14"/>
  <c r="AR515" i="14"/>
  <c r="AR126" i="14"/>
  <c r="AR592" i="14" s="1"/>
  <c r="B586" i="14"/>
  <c r="AQ601" i="14"/>
  <c r="AQ293" i="14"/>
  <c r="AC514" i="14"/>
  <c r="AC125" i="14"/>
  <c r="AC591" i="14" s="1"/>
  <c r="AK658" i="14"/>
  <c r="AK350" i="14"/>
  <c r="X639" i="14"/>
  <c r="X331" i="14"/>
  <c r="AU599" i="14"/>
  <c r="AU291" i="14"/>
  <c r="C661" i="14"/>
  <c r="C353" i="14"/>
  <c r="AW657" i="14"/>
  <c r="AW349" i="14"/>
  <c r="BB656" i="14"/>
  <c r="BB348" i="14"/>
  <c r="AM578" i="14"/>
  <c r="AM193" i="14"/>
  <c r="AM270" i="14"/>
  <c r="AZ653" i="14"/>
  <c r="AZ345" i="14"/>
  <c r="BQ573" i="14"/>
  <c r="BQ265" i="14"/>
  <c r="BQ188" i="14"/>
  <c r="AM571" i="14"/>
  <c r="AM263" i="14"/>
  <c r="AM186" i="14"/>
  <c r="AC647" i="14"/>
  <c r="AC339" i="14"/>
  <c r="AV646" i="14"/>
  <c r="AV338" i="14"/>
  <c r="BG645" i="14"/>
  <c r="BG337" i="14"/>
  <c r="AL567" i="14"/>
  <c r="AL182" i="14"/>
  <c r="AL259" i="14"/>
  <c r="AN101" i="14" a="1"/>
  <c r="AN101" i="14" s="1"/>
  <c r="M566" i="14"/>
  <c r="M258" i="14"/>
  <c r="M181" i="14"/>
  <c r="BK560" i="14"/>
  <c r="BK252" i="14"/>
  <c r="BK175" i="14"/>
  <c r="BM94" i="14" a="1"/>
  <c r="BM94" i="14" s="1"/>
  <c r="AW637" i="14"/>
  <c r="AW329" i="14"/>
  <c r="AZ632" i="14"/>
  <c r="AZ324" i="14"/>
  <c r="AV631" i="14"/>
  <c r="AV323" i="14"/>
  <c r="AP629" i="14"/>
  <c r="AP321" i="14"/>
  <c r="C552" i="14"/>
  <c r="C244" i="14"/>
  <c r="C167" i="14"/>
  <c r="BL628" i="14"/>
  <c r="BL320" i="14"/>
  <c r="BO627" i="14"/>
  <c r="BO319" i="14"/>
  <c r="AV627" i="14"/>
  <c r="AV319" i="14"/>
  <c r="BA625" i="14"/>
  <c r="BA317" i="14"/>
  <c r="W161" i="14"/>
  <c r="W238" i="14"/>
  <c r="W546" i="14"/>
  <c r="X80" i="14"/>
  <c r="BM542" i="14"/>
  <c r="BM234" i="14"/>
  <c r="BM157" i="14"/>
  <c r="AM619" i="14"/>
  <c r="AM311" i="14"/>
  <c r="AA619" i="14"/>
  <c r="AA311" i="14"/>
  <c r="G619" i="14"/>
  <c r="G311" i="14"/>
  <c r="W233" i="14"/>
  <c r="W156" i="14"/>
  <c r="W541" i="14"/>
  <c r="BP616" i="14"/>
  <c r="BP308" i="14"/>
  <c r="BA538" i="14"/>
  <c r="BA153" i="14"/>
  <c r="BA230" i="14"/>
  <c r="AZ612" i="14"/>
  <c r="AZ304" i="14"/>
  <c r="BQ526" i="14"/>
  <c r="BQ218" i="14"/>
  <c r="BQ141" i="14"/>
  <c r="AX526" i="14"/>
  <c r="AX218" i="14"/>
  <c r="AX141" i="14"/>
  <c r="O525" i="14"/>
  <c r="O140" i="14"/>
  <c r="O217" i="14"/>
  <c r="BH524" i="14"/>
  <c r="BH216" i="14"/>
  <c r="BH139" i="14"/>
  <c r="O524" i="14"/>
  <c r="O216" i="14"/>
  <c r="O139" i="14"/>
  <c r="BF523" i="14"/>
  <c r="BF138" i="14"/>
  <c r="BF215" i="14"/>
  <c r="BH57" i="14" a="1"/>
  <c r="BH57" i="14" s="1"/>
  <c r="AW522" i="14"/>
  <c r="AW137" i="14"/>
  <c r="AW214" i="14"/>
  <c r="BB597" i="14"/>
  <c r="BB289" i="14"/>
  <c r="I597" i="14"/>
  <c r="I289" i="14"/>
  <c r="BB594" i="14"/>
  <c r="BB286" i="14"/>
  <c r="BQ593" i="14"/>
  <c r="BQ285" i="14"/>
  <c r="I593" i="14"/>
  <c r="I285" i="14"/>
  <c r="BE278" i="14"/>
  <c r="BQ620" i="14"/>
  <c r="BQ312" i="14"/>
  <c r="BG618" i="14"/>
  <c r="BG310" i="14"/>
  <c r="V289" i="14"/>
  <c r="V597" i="14"/>
  <c r="Q596" i="14"/>
  <c r="Q288" i="14"/>
  <c r="AZ595" i="14"/>
  <c r="AZ287" i="14"/>
  <c r="AU594" i="14"/>
  <c r="AU286" i="14"/>
  <c r="AP593" i="14"/>
  <c r="AP285" i="14"/>
  <c r="AZ589" i="14"/>
  <c r="AZ201" i="14"/>
  <c r="BQ660" i="14"/>
  <c r="BQ352" i="14"/>
  <c r="N657" i="14"/>
  <c r="N349" i="14"/>
  <c r="C656" i="14"/>
  <c r="C348" i="14"/>
  <c r="BG655" i="14"/>
  <c r="BG347" i="14"/>
  <c r="BP575" i="14"/>
  <c r="BP267" i="14"/>
  <c r="BP190" i="14"/>
  <c r="BR109" i="14" a="1"/>
  <c r="BR109" i="14" s="1"/>
  <c r="AF652" i="14"/>
  <c r="AF344" i="14"/>
  <c r="BK651" i="14"/>
  <c r="BK343" i="14"/>
  <c r="AZ651" i="14"/>
  <c r="AZ343" i="14"/>
  <c r="BB573" i="14"/>
  <c r="BB188" i="14"/>
  <c r="BB265" i="14"/>
  <c r="BB569" i="14"/>
  <c r="BB261" i="14"/>
  <c r="BB184" i="14"/>
  <c r="M567" i="14"/>
  <c r="M259" i="14"/>
  <c r="M182" i="14"/>
  <c r="AV640" i="14"/>
  <c r="AV332" i="14"/>
  <c r="BU562" i="14"/>
  <c r="BU254" i="14"/>
  <c r="BU177" i="14"/>
  <c r="BW96" i="14" a="1"/>
  <c r="BW96" i="14" s="1"/>
  <c r="AH638" i="14"/>
  <c r="AH330" i="14"/>
  <c r="AQ249" i="14"/>
  <c r="AQ172" i="14"/>
  <c r="AQ557" i="14"/>
  <c r="BU633" i="14"/>
  <c r="BU325" i="14"/>
  <c r="BL248" i="14"/>
  <c r="BL556" i="14"/>
  <c r="BL171" i="14"/>
  <c r="AM248" i="14"/>
  <c r="AM556" i="14"/>
  <c r="AM171" i="14"/>
  <c r="AV632" i="14"/>
  <c r="AV324" i="14"/>
  <c r="BM554" i="14"/>
  <c r="BM246" i="14"/>
  <c r="BM169" i="14"/>
  <c r="BB554" i="14"/>
  <c r="BB169" i="14"/>
  <c r="BB246" i="14"/>
  <c r="AC245" i="14"/>
  <c r="AC553" i="14"/>
  <c r="AC168" i="14"/>
  <c r="G630" i="14"/>
  <c r="G322" i="14"/>
  <c r="AL552" i="14"/>
  <c r="AL244" i="14"/>
  <c r="AL167" i="14"/>
  <c r="AN86" i="14" a="1"/>
  <c r="AN86" i="14" s="1"/>
  <c r="BB550" i="14"/>
  <c r="BB165" i="14"/>
  <c r="BB242" i="14"/>
  <c r="BK241" i="14"/>
  <c r="BK164" i="14"/>
  <c r="BM83" i="14" a="1"/>
  <c r="BM83" i="14" s="1"/>
  <c r="BK549" i="14"/>
  <c r="I549" i="14"/>
  <c r="I164" i="14"/>
  <c r="I241" i="14"/>
  <c r="BE625" i="14"/>
  <c r="BE317" i="14"/>
  <c r="BK623" i="14"/>
  <c r="BK315" i="14"/>
  <c r="BW544" i="14"/>
  <c r="BW236" i="14"/>
  <c r="BW159" i="14"/>
  <c r="BK544" i="14"/>
  <c r="BK236" i="14"/>
  <c r="BK159" i="14"/>
  <c r="BM78" i="14" a="1"/>
  <c r="BM78" i="14" s="1"/>
  <c r="AR544" i="14"/>
  <c r="AR236" i="14"/>
  <c r="AR159" i="14"/>
  <c r="D544" i="14"/>
  <c r="D236" i="14"/>
  <c r="D159" i="14"/>
  <c r="BL620" i="14"/>
  <c r="BL312" i="14"/>
  <c r="BO619" i="14"/>
  <c r="BO311" i="14"/>
  <c r="BQ156" i="14"/>
  <c r="BQ233" i="14"/>
  <c r="BQ541" i="14"/>
  <c r="AB541" i="14"/>
  <c r="AB233" i="14"/>
  <c r="AB156" i="14"/>
  <c r="BQ617" i="14"/>
  <c r="BQ309" i="14"/>
  <c r="BT616" i="14"/>
  <c r="BT308" i="14"/>
  <c r="AZ616" i="14"/>
  <c r="AZ308" i="14"/>
  <c r="AF616" i="14"/>
  <c r="AF308" i="14"/>
  <c r="L616" i="14"/>
  <c r="L308" i="14"/>
  <c r="BW536" i="14"/>
  <c r="BW228" i="14"/>
  <c r="BW151" i="14"/>
  <c r="AG536" i="14"/>
  <c r="AG228" i="14"/>
  <c r="AG151" i="14"/>
  <c r="AH70" i="14"/>
  <c r="H535" i="14"/>
  <c r="H150" i="14"/>
  <c r="H227" i="14"/>
  <c r="I69" i="14"/>
  <c r="BF533" i="14"/>
  <c r="BF225" i="14"/>
  <c r="BF148" i="14"/>
  <c r="BG67" i="14"/>
  <c r="BA532" i="14"/>
  <c r="BA224" i="14"/>
  <c r="BA147" i="14"/>
  <c r="BB66" i="14"/>
  <c r="AV531" i="14"/>
  <c r="AV146" i="14"/>
  <c r="AV223" i="14"/>
  <c r="AW65" i="14"/>
  <c r="AQ145" i="14"/>
  <c r="AQ222" i="14"/>
  <c r="AQ530" i="14"/>
  <c r="AR64" i="14"/>
  <c r="AL529" i="14"/>
  <c r="AL221" i="14"/>
  <c r="AL144" i="14"/>
  <c r="AM63" i="14"/>
  <c r="AG528" i="14"/>
  <c r="AG220" i="14"/>
  <c r="AG143" i="14"/>
  <c r="AH62" i="14"/>
  <c r="BF530" i="14"/>
  <c r="BF145" i="14"/>
  <c r="BG64" i="14"/>
  <c r="BF222" i="14"/>
  <c r="AG233" i="14"/>
  <c r="AG541" i="14"/>
  <c r="AG156" i="14"/>
  <c r="AH75" i="14"/>
  <c r="BV602" i="14"/>
  <c r="BV294" i="14"/>
  <c r="BK524" i="14"/>
  <c r="BK216" i="14"/>
  <c r="BK139" i="14"/>
  <c r="BM58" i="14" a="1"/>
  <c r="BM58" i="14" s="1"/>
  <c r="BB524" i="14"/>
  <c r="BB216" i="14"/>
  <c r="BB139" i="14"/>
  <c r="Y524" i="14"/>
  <c r="Y216" i="14"/>
  <c r="Y139" i="14"/>
  <c r="BV523" i="14"/>
  <c r="BV215" i="14"/>
  <c r="BV138" i="14"/>
  <c r="BK520" i="14"/>
  <c r="BK212" i="14"/>
  <c r="BK135" i="14"/>
  <c r="BM54" i="14" a="1"/>
  <c r="BM54" i="14" s="1"/>
  <c r="BF519" i="14"/>
  <c r="BF134" i="14"/>
  <c r="BF211" i="14"/>
  <c r="BQ518" i="14"/>
  <c r="BQ133" i="14"/>
  <c r="BQ210" i="14"/>
  <c r="BL517" i="14"/>
  <c r="BL132" i="14"/>
  <c r="BL209" i="14"/>
  <c r="BG516" i="14"/>
  <c r="BG208" i="14"/>
  <c r="BG131" i="14"/>
  <c r="BP130" i="14"/>
  <c r="BP284" i="14" s="1"/>
  <c r="BR49" i="14" a="1"/>
  <c r="BR49" i="14" s="1"/>
  <c r="BP207" i="14"/>
  <c r="AV130" i="14"/>
  <c r="AV284" i="14" s="1"/>
  <c r="AX49" i="14" a="1"/>
  <c r="AX49" i="14" s="1"/>
  <c r="AV207" i="14"/>
  <c r="BH206" i="14"/>
  <c r="BH129" i="14"/>
  <c r="BH283" i="14" s="1"/>
  <c r="BK205" i="14"/>
  <c r="BK128" i="14"/>
  <c r="BK282" i="14" s="1"/>
  <c r="AW128" i="14"/>
  <c r="AW282" i="14" s="1"/>
  <c r="AW205" i="14"/>
  <c r="BV204" i="14"/>
  <c r="BV127" i="14"/>
  <c r="BV281" i="14" s="1"/>
  <c r="BB204" i="14"/>
  <c r="BB127" i="14"/>
  <c r="BB281" i="14" s="1"/>
  <c r="BV514" i="14"/>
  <c r="BV125" i="14"/>
  <c r="BV591" i="14" s="1"/>
  <c r="AR601" i="14"/>
  <c r="AR293" i="14"/>
  <c r="H521" i="14"/>
  <c r="H213" i="14"/>
  <c r="H136" i="14"/>
  <c r="AD27" i="14"/>
  <c r="AC57" i="14" s="1"/>
  <c r="AC53" i="14"/>
  <c r="BG652" i="14"/>
  <c r="BG344" i="14"/>
  <c r="AL585" i="14"/>
  <c r="AL277" i="14"/>
  <c r="AL200" i="14"/>
  <c r="AN119" i="14" a="1"/>
  <c r="AN119" i="14" s="1"/>
  <c r="T584" i="14"/>
  <c r="T276" i="14"/>
  <c r="T199" i="14"/>
  <c r="BC583" i="14"/>
  <c r="BC275" i="14"/>
  <c r="BC198" i="14"/>
  <c r="I583" i="14"/>
  <c r="I198" i="14"/>
  <c r="I275" i="14"/>
  <c r="BJ659" i="14"/>
  <c r="BJ351" i="14"/>
  <c r="AB659" i="14"/>
  <c r="AB351" i="14"/>
  <c r="AL273" i="14"/>
  <c r="AL581" i="14"/>
  <c r="AL196" i="14"/>
  <c r="AN115" i="14" a="1"/>
  <c r="AN115" i="14" s="1"/>
  <c r="T580" i="14"/>
  <c r="T272" i="14"/>
  <c r="T195" i="14"/>
  <c r="H580" i="14"/>
  <c r="H272" i="14"/>
  <c r="H195" i="14"/>
  <c r="J114" i="14" a="1"/>
  <c r="J114" i="14" s="1"/>
  <c r="AW578" i="14"/>
  <c r="AW193" i="14"/>
  <c r="AW270" i="14"/>
  <c r="AZ654" i="14"/>
  <c r="AZ346" i="14"/>
  <c r="AK652" i="14"/>
  <c r="AK344" i="14"/>
  <c r="N575" i="14"/>
  <c r="N267" i="14"/>
  <c r="N190" i="14"/>
  <c r="AF650" i="14"/>
  <c r="AF342" i="14"/>
  <c r="AH571" i="14"/>
  <c r="AH263" i="14"/>
  <c r="AH186" i="14"/>
  <c r="BP569" i="14"/>
  <c r="BP261" i="14"/>
  <c r="BP184" i="14"/>
  <c r="BR103" i="14" a="1"/>
  <c r="BR103" i="14" s="1"/>
  <c r="AH567" i="14"/>
  <c r="AH259" i="14"/>
  <c r="AH182" i="14"/>
  <c r="L644" i="14"/>
  <c r="L336" i="14"/>
  <c r="AC254" i="14"/>
  <c r="AC177" i="14"/>
  <c r="AC562" i="14"/>
  <c r="BW638" i="14"/>
  <c r="BW330" i="14"/>
  <c r="AA638" i="14"/>
  <c r="AA330" i="14"/>
  <c r="N93" i="14"/>
  <c r="N554" i="14"/>
  <c r="N169" i="14"/>
  <c r="N246" i="14"/>
  <c r="BK552" i="14"/>
  <c r="BK244" i="14"/>
  <c r="BK167" i="14"/>
  <c r="BM86" i="14" a="1"/>
  <c r="BM86" i="14" s="1"/>
  <c r="AW629" i="14"/>
  <c r="AW321" i="14"/>
  <c r="AH550" i="14"/>
  <c r="AH165" i="14"/>
  <c r="AH242" i="14"/>
  <c r="L627" i="14"/>
  <c r="L319" i="14"/>
  <c r="BL549" i="14"/>
  <c r="BL164" i="14"/>
  <c r="BL241" i="14"/>
  <c r="Q620" i="14"/>
  <c r="Q312" i="14"/>
  <c r="AW538" i="14"/>
  <c r="AW230" i="14"/>
  <c r="AW153" i="14"/>
  <c r="AQ229" i="14"/>
  <c r="AQ152" i="14"/>
  <c r="AQ537" i="14"/>
  <c r="M531" i="14"/>
  <c r="M146" i="14"/>
  <c r="M223" i="14"/>
  <c r="M233" i="14"/>
  <c r="M541" i="14"/>
  <c r="M156" i="14"/>
  <c r="N75" i="14"/>
  <c r="AS526" i="14"/>
  <c r="AS218" i="14"/>
  <c r="AS141" i="14"/>
  <c r="AB593" i="14"/>
  <c r="AB285" i="14"/>
  <c r="W601" i="14"/>
  <c r="W293" i="14"/>
  <c r="I514" i="14"/>
  <c r="I125" i="14"/>
  <c r="I591" i="14" s="1"/>
  <c r="X651" i="14"/>
  <c r="X343" i="14"/>
  <c r="G201" i="14"/>
  <c r="BH583" i="14"/>
  <c r="BH275" i="14"/>
  <c r="BH198" i="14"/>
  <c r="S660" i="14"/>
  <c r="S352" i="14"/>
  <c r="BF580" i="14"/>
  <c r="BF272" i="14"/>
  <c r="BF195" i="14"/>
  <c r="BH114" i="14" a="1"/>
  <c r="BH114" i="14" s="1"/>
  <c r="BK579" i="14"/>
  <c r="BK271" i="14"/>
  <c r="BK194" i="14"/>
  <c r="BM113" i="14" a="1"/>
  <c r="BM113" i="14" s="1"/>
  <c r="G656" i="14"/>
  <c r="G348" i="14"/>
  <c r="BK653" i="14"/>
  <c r="BK345" i="14"/>
  <c r="H653" i="14"/>
  <c r="H345" i="14"/>
  <c r="S575" i="14"/>
  <c r="S267" i="14"/>
  <c r="S190" i="14"/>
  <c r="AL266" i="14"/>
  <c r="AL574" i="14"/>
  <c r="AL189" i="14"/>
  <c r="AN108" i="14" a="1"/>
  <c r="AN108" i="14" s="1"/>
  <c r="N264" i="14"/>
  <c r="N572" i="14"/>
  <c r="N187" i="14"/>
  <c r="AL261" i="14"/>
  <c r="AL184" i="14"/>
  <c r="AL569" i="14"/>
  <c r="AN103" i="14" a="1"/>
  <c r="AN103" i="14" s="1"/>
  <c r="AG566" i="14"/>
  <c r="AG258" i="14"/>
  <c r="AG181" i="14"/>
  <c r="AI100" i="14" a="1"/>
  <c r="AI100" i="14" s="1"/>
  <c r="X564" i="14"/>
  <c r="X256" i="14"/>
  <c r="X179" i="14"/>
  <c r="BU637" i="14"/>
  <c r="BU329" i="14"/>
  <c r="AM252" i="14"/>
  <c r="AM560" i="14"/>
  <c r="AM175" i="14"/>
  <c r="N555" i="14"/>
  <c r="N247" i="14"/>
  <c r="N170" i="14"/>
  <c r="BB318" i="14"/>
  <c r="BB626" i="14"/>
  <c r="AQ548" i="14"/>
  <c r="AQ240" i="14"/>
  <c r="AQ163" i="14"/>
  <c r="BL624" i="14"/>
  <c r="BL316" i="14"/>
  <c r="V622" i="14"/>
  <c r="V314" i="14"/>
  <c r="AZ619" i="14"/>
  <c r="AZ311" i="14"/>
  <c r="BV614" i="14"/>
  <c r="BV306" i="14"/>
  <c r="BT612" i="14"/>
  <c r="BT304" i="14"/>
  <c r="L612" i="14"/>
  <c r="L304" i="14"/>
  <c r="AZ608" i="14"/>
  <c r="AZ300" i="14"/>
  <c r="L608" i="14"/>
  <c r="L300" i="14"/>
  <c r="Q604" i="14"/>
  <c r="Q296" i="14"/>
  <c r="R554" i="14"/>
  <c r="R246" i="14"/>
  <c r="R169" i="14"/>
  <c r="S88" i="14"/>
  <c r="BF602" i="14"/>
  <c r="BF294" i="14"/>
  <c r="BM521" i="14"/>
  <c r="BM136" i="14"/>
  <c r="BM213" i="14"/>
  <c r="N597" i="14"/>
  <c r="N289" i="14"/>
  <c r="I519" i="14"/>
  <c r="I211" i="14"/>
  <c r="I134" i="14"/>
  <c r="AX515" i="14"/>
  <c r="AX126" i="14"/>
  <c r="AX592" i="14" s="1"/>
  <c r="N603" i="14"/>
  <c r="N295" i="14"/>
  <c r="AM601" i="14"/>
  <c r="AM293" i="14"/>
  <c r="S597" i="14"/>
  <c r="S289" i="14"/>
  <c r="AQ53" i="14"/>
  <c r="AQ24" i="14"/>
  <c r="AQ27" i="14"/>
  <c r="AQ57" i="14" s="1"/>
  <c r="AB517" i="14"/>
  <c r="AB209" i="14"/>
  <c r="AB132" i="14"/>
  <c r="BP612" i="14"/>
  <c r="BP304" i="14"/>
  <c r="D157" i="14"/>
  <c r="D234" i="14"/>
  <c r="C619" i="14"/>
  <c r="C311" i="14"/>
  <c r="BR522" i="14"/>
  <c r="BR214" i="14"/>
  <c r="BR137" i="14"/>
  <c r="V201" i="14"/>
  <c r="BW551" i="14"/>
  <c r="BW243" i="14"/>
  <c r="BW166" i="14"/>
  <c r="BB536" i="14"/>
  <c r="BB228" i="14"/>
  <c r="BB151" i="14"/>
  <c r="AC594" i="14"/>
  <c r="AC286" i="14"/>
  <c r="AB643" i="14"/>
  <c r="AB335" i="14"/>
  <c r="BA612" i="14"/>
  <c r="BA304" i="14"/>
  <c r="H611" i="14"/>
  <c r="H303" i="14"/>
  <c r="BK606" i="14"/>
  <c r="BK298" i="14"/>
  <c r="X597" i="14"/>
  <c r="X289" i="14"/>
  <c r="AH523" i="14"/>
  <c r="AH215" i="14"/>
  <c r="AH138" i="14"/>
  <c r="AV658" i="14"/>
  <c r="AV350" i="14"/>
  <c r="BP651" i="14"/>
  <c r="BP343" i="14"/>
  <c r="BR526" i="14"/>
  <c r="BR218" i="14"/>
  <c r="BR141" i="14"/>
  <c r="BO660" i="14"/>
  <c r="BO352" i="14"/>
  <c r="AU656" i="14"/>
  <c r="AU348" i="14"/>
  <c r="B651" i="14"/>
  <c r="B343" i="14"/>
  <c r="V645" i="14"/>
  <c r="V337" i="14"/>
  <c r="AM593" i="14"/>
  <c r="AM285" i="14"/>
  <c r="AV583" i="14"/>
  <c r="AV275" i="14"/>
  <c r="AV198" i="14"/>
  <c r="AX117" i="14" a="1"/>
  <c r="AX117" i="14" s="1"/>
  <c r="BU655" i="14"/>
  <c r="BU347" i="14"/>
  <c r="W655" i="14"/>
  <c r="W347" i="14"/>
  <c r="C654" i="14"/>
  <c r="C346" i="14"/>
  <c r="C574" i="14"/>
  <c r="C266" i="14"/>
  <c r="C189" i="14"/>
  <c r="D108" i="14"/>
  <c r="BF649" i="14"/>
  <c r="BF341" i="14"/>
  <c r="BF567" i="14"/>
  <c r="BF259" i="14"/>
  <c r="BF182" i="14"/>
  <c r="BH101" i="14" a="1"/>
  <c r="BH101" i="14" s="1"/>
  <c r="AQ563" i="14"/>
  <c r="AQ178" i="14"/>
  <c r="AQ255" i="14"/>
  <c r="AR97" i="14"/>
  <c r="C551" i="14"/>
  <c r="C166" i="14"/>
  <c r="C243" i="14"/>
  <c r="D85" i="14"/>
  <c r="BK620" i="14"/>
  <c r="BK312" i="14"/>
  <c r="H540" i="14"/>
  <c r="H232" i="14"/>
  <c r="H155" i="14"/>
  <c r="I74" i="14"/>
  <c r="BP536" i="14"/>
  <c r="BP228" i="14"/>
  <c r="BP151" i="14"/>
  <c r="BQ70" i="14"/>
  <c r="BP528" i="14"/>
  <c r="BP220" i="14"/>
  <c r="BP143" i="14"/>
  <c r="BQ62" i="14"/>
  <c r="BK604" i="14"/>
  <c r="BK296" i="14"/>
  <c r="BF603" i="14"/>
  <c r="BF295" i="14"/>
  <c r="AZ659" i="14"/>
  <c r="AZ351" i="14"/>
  <c r="AZ655" i="14"/>
  <c r="AZ347" i="14"/>
  <c r="BK600" i="14"/>
  <c r="BK292" i="14"/>
  <c r="C593" i="14"/>
  <c r="C285" i="14"/>
  <c r="AU660" i="14"/>
  <c r="AU352" i="14"/>
  <c r="AF657" i="14"/>
  <c r="AF349" i="14"/>
  <c r="AA655" i="14"/>
  <c r="AA347" i="14"/>
  <c r="B653" i="14"/>
  <c r="B345" i="14"/>
  <c r="BE650" i="14"/>
  <c r="BE342" i="14"/>
  <c r="V647" i="14"/>
  <c r="V339" i="14"/>
  <c r="B645" i="14"/>
  <c r="B337" i="14"/>
  <c r="S593" i="14"/>
  <c r="S285" i="14"/>
  <c r="AG276" i="14"/>
  <c r="AG199" i="14"/>
  <c r="AG584" i="14"/>
  <c r="AI118" i="14" a="1"/>
  <c r="AI118" i="14" s="1"/>
  <c r="BU274" i="14"/>
  <c r="BU582" i="14"/>
  <c r="BU197" i="14"/>
  <c r="BW116" i="14" a="1"/>
  <c r="BW116" i="14" s="1"/>
  <c r="BF658" i="14"/>
  <c r="BF350" i="14"/>
  <c r="AV656" i="14"/>
  <c r="AV348" i="14"/>
  <c r="R656" i="14"/>
  <c r="R348" i="14"/>
  <c r="C655" i="14"/>
  <c r="C347" i="14"/>
  <c r="W652" i="14"/>
  <c r="W344" i="14"/>
  <c r="C265" i="14"/>
  <c r="C188" i="14"/>
  <c r="C573" i="14"/>
  <c r="D107" i="14"/>
  <c r="C572" i="14"/>
  <c r="C264" i="14"/>
  <c r="C187" i="14"/>
  <c r="D106" i="14"/>
  <c r="W647" i="14"/>
  <c r="W339" i="14"/>
  <c r="W569" i="14"/>
  <c r="W261" i="14"/>
  <c r="W184" i="14"/>
  <c r="Y103" i="14" a="1"/>
  <c r="Y103" i="14" s="1"/>
  <c r="BF568" i="14"/>
  <c r="BF183" i="14"/>
  <c r="BH102" i="14" a="1"/>
  <c r="BH102" i="14" s="1"/>
  <c r="BF260" i="14"/>
  <c r="BF566" i="14"/>
  <c r="BF258" i="14"/>
  <c r="BF181" i="14"/>
  <c r="BH100" i="14" a="1"/>
  <c r="BH100" i="14" s="1"/>
  <c r="M565" i="14"/>
  <c r="M257" i="14"/>
  <c r="M180" i="14"/>
  <c r="N99" i="14"/>
  <c r="H564" i="14"/>
  <c r="H179" i="14"/>
  <c r="H256" i="14"/>
  <c r="I98" i="14"/>
  <c r="W636" i="14"/>
  <c r="W328" i="14"/>
  <c r="C559" i="14"/>
  <c r="C174" i="14"/>
  <c r="C251" i="14"/>
  <c r="D93" i="14"/>
  <c r="AL327" i="14"/>
  <c r="W555" i="14"/>
  <c r="W170" i="14"/>
  <c r="X89" i="14"/>
  <c r="W247" i="14"/>
  <c r="AG630" i="14"/>
  <c r="AG322" i="14"/>
  <c r="BF627" i="14"/>
  <c r="BF319" i="14"/>
  <c r="BU626" i="14"/>
  <c r="BU318" i="14"/>
  <c r="AV544" i="14"/>
  <c r="AV236" i="14"/>
  <c r="AV159" i="14"/>
  <c r="AW78" i="14"/>
  <c r="BF615" i="14"/>
  <c r="BF307" i="14"/>
  <c r="AV536" i="14"/>
  <c r="AV228" i="14"/>
  <c r="AV151" i="14"/>
  <c r="AW70" i="14"/>
  <c r="H532" i="14"/>
  <c r="H224" i="14"/>
  <c r="H147" i="14"/>
  <c r="I66" i="14"/>
  <c r="AV528" i="14"/>
  <c r="AV220" i="14"/>
  <c r="AV143" i="14"/>
  <c r="AW62" i="14"/>
  <c r="AV601" i="14"/>
  <c r="AV293" i="14"/>
  <c r="AK660" i="14"/>
  <c r="AK352" i="14"/>
  <c r="AK656" i="14"/>
  <c r="AK348" i="14"/>
  <c r="AA649" i="14"/>
  <c r="AA341" i="14"/>
  <c r="AA645" i="14"/>
  <c r="AA337" i="14"/>
  <c r="BF599" i="14"/>
  <c r="BF291" i="14"/>
  <c r="AU662" i="14"/>
  <c r="AU354" i="14"/>
  <c r="BR656" i="14"/>
  <c r="BR348" i="14"/>
  <c r="BO655" i="14"/>
  <c r="BO347" i="14"/>
  <c r="BO654" i="14"/>
  <c r="BO346" i="14"/>
  <c r="AZ652" i="14"/>
  <c r="AZ344" i="14"/>
  <c r="BO650" i="14"/>
  <c r="BO342" i="14"/>
  <c r="BG648" i="14"/>
  <c r="BG340" i="14"/>
  <c r="AU646" i="14"/>
  <c r="AU338" i="14"/>
  <c r="BL645" i="14"/>
  <c r="BL337" i="14"/>
  <c r="X602" i="14"/>
  <c r="X294" i="14"/>
  <c r="BK662" i="14"/>
  <c r="BK354" i="14"/>
  <c r="BB585" i="14"/>
  <c r="BB200" i="14"/>
  <c r="BB277" i="14"/>
  <c r="V662" i="14"/>
  <c r="V354" i="14"/>
  <c r="N662" i="14"/>
  <c r="N354" i="14"/>
  <c r="C585" i="14"/>
  <c r="C277" i="14"/>
  <c r="C200" i="14"/>
  <c r="E119" i="14" a="1"/>
  <c r="E119" i="14" s="1"/>
  <c r="X584" i="14"/>
  <c r="X199" i="14"/>
  <c r="X276" i="14"/>
  <c r="D584" i="14"/>
  <c r="D199" i="14"/>
  <c r="D276" i="14"/>
  <c r="BG583" i="14"/>
  <c r="BG198" i="14"/>
  <c r="BG275" i="14"/>
  <c r="E583" i="14"/>
  <c r="E275" i="14"/>
  <c r="E198" i="14"/>
  <c r="AV582" i="14"/>
  <c r="AV274" i="14"/>
  <c r="AV197" i="14"/>
  <c r="AX116" i="14" a="1"/>
  <c r="AX116" i="14" s="1"/>
  <c r="AH582" i="14"/>
  <c r="AH197" i="14"/>
  <c r="AH274" i="14"/>
  <c r="AX580" i="14"/>
  <c r="AX272" i="14"/>
  <c r="AX195" i="14"/>
  <c r="AH349" i="14"/>
  <c r="E580" i="14"/>
  <c r="E195" i="14"/>
  <c r="E272" i="14"/>
  <c r="BC579" i="14"/>
  <c r="BC271" i="14"/>
  <c r="BC194" i="14"/>
  <c r="Y579" i="14"/>
  <c r="Y271" i="14"/>
  <c r="Y194" i="14"/>
  <c r="M579" i="14"/>
  <c r="M271" i="14"/>
  <c r="M194" i="14"/>
  <c r="O113" i="14" a="1"/>
  <c r="O113" i="14" s="1"/>
  <c r="AD578" i="14"/>
  <c r="AD270" i="14"/>
  <c r="AD193" i="14"/>
  <c r="R578" i="14"/>
  <c r="R270" i="14"/>
  <c r="R193" i="14"/>
  <c r="T112" i="14" a="1"/>
  <c r="T112" i="14" s="1"/>
  <c r="AX577" i="14"/>
  <c r="AX269" i="14"/>
  <c r="AX192" i="14"/>
  <c r="AL269" i="14"/>
  <c r="AL577" i="14"/>
  <c r="AL192" i="14"/>
  <c r="AN111" i="14" a="1"/>
  <c r="AN111" i="14" s="1"/>
  <c r="O576" i="14"/>
  <c r="O268" i="14"/>
  <c r="O191" i="14"/>
  <c r="BB575" i="14"/>
  <c r="BB267" i="14"/>
  <c r="BB190" i="14"/>
  <c r="BV574" i="14"/>
  <c r="BV266" i="14"/>
  <c r="BV189" i="14"/>
  <c r="BV572" i="14"/>
  <c r="BV264" i="14"/>
  <c r="BV187" i="14"/>
  <c r="BG649" i="14"/>
  <c r="BG341" i="14"/>
  <c r="AU649" i="14"/>
  <c r="AU341" i="14"/>
  <c r="S572" i="14"/>
  <c r="S264" i="14"/>
  <c r="S187" i="14"/>
  <c r="BV571" i="14"/>
  <c r="BV263" i="14"/>
  <c r="BV186" i="14"/>
  <c r="BV570" i="14"/>
  <c r="BV185" i="14"/>
  <c r="BV262" i="14"/>
  <c r="AW570" i="14"/>
  <c r="AW262" i="14"/>
  <c r="AW185" i="14"/>
  <c r="AD570" i="14"/>
  <c r="AD262" i="14"/>
  <c r="AD185" i="14"/>
  <c r="R570" i="14"/>
  <c r="R185" i="14"/>
  <c r="R262" i="14"/>
  <c r="T104" i="14" a="1"/>
  <c r="T104" i="14" s="1"/>
  <c r="BU261" i="14"/>
  <c r="BU569" i="14"/>
  <c r="BU184" i="14"/>
  <c r="BW103" i="14" a="1"/>
  <c r="BW103" i="14" s="1"/>
  <c r="BL646" i="14"/>
  <c r="BL338" i="14"/>
  <c r="AD569" i="14"/>
  <c r="AD261" i="14"/>
  <c r="AD184" i="14"/>
  <c r="H261" i="14"/>
  <c r="H569" i="14"/>
  <c r="H184" i="14"/>
  <c r="I103" i="14"/>
  <c r="N102" i="14"/>
  <c r="AD259" i="14"/>
  <c r="AD182" i="14"/>
  <c r="AD567" i="14"/>
  <c r="H567" i="14"/>
  <c r="H259" i="14"/>
  <c r="H182" i="14"/>
  <c r="I101" i="14"/>
  <c r="BF642" i="14"/>
  <c r="BF334" i="14"/>
  <c r="AL642" i="14"/>
  <c r="AL334" i="14"/>
  <c r="BR255" i="14"/>
  <c r="BR563" i="14"/>
  <c r="BR178" i="14"/>
  <c r="BF563" i="14"/>
  <c r="BF178" i="14"/>
  <c r="BF255" i="14"/>
  <c r="BH97" i="14" a="1"/>
  <c r="BH97" i="14" s="1"/>
  <c r="BO639" i="14"/>
  <c r="BO331" i="14"/>
  <c r="C177" i="14"/>
  <c r="C562" i="14"/>
  <c r="C254" i="14"/>
  <c r="D96" i="14"/>
  <c r="C253" i="14"/>
  <c r="C176" i="14"/>
  <c r="C561" i="14"/>
  <c r="AC637" i="14"/>
  <c r="AC329" i="14"/>
  <c r="Q637" i="14"/>
  <c r="Q329" i="14"/>
  <c r="BT636" i="14"/>
  <c r="BT328" i="14"/>
  <c r="BB558" i="14"/>
  <c r="BB250" i="14"/>
  <c r="BB173" i="14"/>
  <c r="AB557" i="14"/>
  <c r="AB249" i="14"/>
  <c r="AB172" i="14"/>
  <c r="AD91" i="14" a="1"/>
  <c r="AD91" i="14" s="1"/>
  <c r="BQ633" i="14"/>
  <c r="BQ325" i="14"/>
  <c r="AK632" i="14"/>
  <c r="AK324" i="14"/>
  <c r="R555" i="14"/>
  <c r="R170" i="14"/>
  <c r="R247" i="14"/>
  <c r="AU631" i="14"/>
  <c r="AU323" i="14"/>
  <c r="BF630" i="14"/>
  <c r="BF322" i="14"/>
  <c r="AU630" i="14"/>
  <c r="AU322" i="14"/>
  <c r="BH552" i="14"/>
  <c r="BH244" i="14"/>
  <c r="BH167" i="14"/>
  <c r="BR551" i="14"/>
  <c r="BR243" i="14"/>
  <c r="BR166" i="14"/>
  <c r="BE628" i="14"/>
  <c r="BE320" i="14"/>
  <c r="AL551" i="14"/>
  <c r="AL166" i="14"/>
  <c r="AL243" i="14"/>
  <c r="AN85" i="14" a="1"/>
  <c r="AN85" i="14" s="1"/>
  <c r="R551" i="14"/>
  <c r="R166" i="14"/>
  <c r="R243" i="14"/>
  <c r="BT627" i="14"/>
  <c r="BT319" i="14"/>
  <c r="BG627" i="14"/>
  <c r="BG319" i="14"/>
  <c r="AU627" i="14"/>
  <c r="AU319" i="14"/>
  <c r="BH549" i="14"/>
  <c r="BH241" i="14"/>
  <c r="BH164" i="14"/>
  <c r="AV549" i="14"/>
  <c r="AV241" i="14"/>
  <c r="AV164" i="14"/>
  <c r="AX83" i="14" a="1"/>
  <c r="AX83" i="14" s="1"/>
  <c r="BF625" i="14"/>
  <c r="BF317" i="14"/>
  <c r="AG625" i="14"/>
  <c r="AG317" i="14"/>
  <c r="BE624" i="14"/>
  <c r="BE316" i="14"/>
  <c r="AK624" i="14"/>
  <c r="AK316" i="14"/>
  <c r="S81" i="14"/>
  <c r="BV546" i="14"/>
  <c r="BV161" i="14"/>
  <c r="BV238" i="14"/>
  <c r="BF622" i="14"/>
  <c r="BF314" i="14"/>
  <c r="AU622" i="14"/>
  <c r="AU314" i="14"/>
  <c r="AC79" i="14"/>
  <c r="G622" i="14"/>
  <c r="G314" i="14"/>
  <c r="BC543" i="14"/>
  <c r="BC235" i="14"/>
  <c r="BC158" i="14"/>
  <c r="AG543" i="14"/>
  <c r="AG158" i="14"/>
  <c r="AG235" i="14"/>
  <c r="AH76" i="14"/>
  <c r="L619" i="14"/>
  <c r="L311" i="14"/>
  <c r="BH540" i="14"/>
  <c r="BH155" i="14"/>
  <c r="BH232" i="14"/>
  <c r="AN540" i="14"/>
  <c r="AN232" i="14"/>
  <c r="AN155" i="14"/>
  <c r="R540" i="14"/>
  <c r="R232" i="14"/>
  <c r="R155" i="14"/>
  <c r="BR538" i="14"/>
  <c r="BR230" i="14"/>
  <c r="BR153" i="14"/>
  <c r="W153" i="14"/>
  <c r="W230" i="14"/>
  <c r="W538" i="14"/>
  <c r="X72" i="14"/>
  <c r="BQ71" i="14"/>
  <c r="AC71" i="14"/>
  <c r="G614" i="14"/>
  <c r="G306" i="14"/>
  <c r="BL70" i="14"/>
  <c r="AR70" i="14"/>
  <c r="X70" i="14"/>
  <c r="D70" i="14"/>
  <c r="BG69" i="14"/>
  <c r="BU534" i="14"/>
  <c r="BU149" i="14"/>
  <c r="BU226" i="14"/>
  <c r="BW68" i="14" a="1"/>
  <c r="BW68" i="14" s="1"/>
  <c r="AH68" i="14"/>
  <c r="L611" i="14"/>
  <c r="L303" i="14"/>
  <c r="BP533" i="14"/>
  <c r="BP225" i="14"/>
  <c r="BP148" i="14"/>
  <c r="AC67" i="14"/>
  <c r="G610" i="14"/>
  <c r="G302" i="14"/>
  <c r="BK532" i="14"/>
  <c r="BK224" i="14"/>
  <c r="BK147" i="14"/>
  <c r="AQ532" i="14"/>
  <c r="AQ224" i="14"/>
  <c r="AQ147" i="14"/>
  <c r="W532" i="14"/>
  <c r="W224" i="14"/>
  <c r="W147" i="14"/>
  <c r="C532" i="14"/>
  <c r="C224" i="14"/>
  <c r="C147" i="14"/>
  <c r="BF531" i="14"/>
  <c r="BF146" i="14"/>
  <c r="BF223" i="14"/>
  <c r="AL531" i="14"/>
  <c r="AL146" i="14"/>
  <c r="AL223" i="14"/>
  <c r="Q608" i="14"/>
  <c r="Q300" i="14"/>
  <c r="BT607" i="14"/>
  <c r="BT299" i="14"/>
  <c r="BA530" i="14"/>
  <c r="BA145" i="14"/>
  <c r="BA222" i="14"/>
  <c r="N64" i="14"/>
  <c r="BO606" i="14"/>
  <c r="BO298" i="14"/>
  <c r="AV529" i="14"/>
  <c r="AV221" i="14"/>
  <c r="AV144" i="14"/>
  <c r="I63" i="14"/>
  <c r="BJ297" i="14"/>
  <c r="BJ605" i="14"/>
  <c r="BK539" i="14"/>
  <c r="BK154" i="14"/>
  <c r="BK231" i="14"/>
  <c r="BL73" i="14"/>
  <c r="AR62" i="14"/>
  <c r="AQ543" i="14"/>
  <c r="AQ158" i="14"/>
  <c r="AQ235" i="14"/>
  <c r="AR77" i="14"/>
  <c r="V297" i="14"/>
  <c r="V605" i="14"/>
  <c r="W539" i="14"/>
  <c r="W154" i="14"/>
  <c r="W231" i="14"/>
  <c r="X73" i="14"/>
  <c r="C528" i="14"/>
  <c r="C220" i="14"/>
  <c r="C143" i="14"/>
  <c r="C535" i="14"/>
  <c r="C150" i="14"/>
  <c r="C227" i="14"/>
  <c r="D69" i="14"/>
  <c r="BA221" i="14"/>
  <c r="BA529" i="14"/>
  <c r="BA144" i="14"/>
  <c r="BB63" i="14"/>
  <c r="AZ604" i="14"/>
  <c r="AZ296" i="14"/>
  <c r="AG604" i="14"/>
  <c r="AG296" i="14"/>
  <c r="G603" i="14"/>
  <c r="G295" i="14"/>
  <c r="AV525" i="14"/>
  <c r="AV217" i="14"/>
  <c r="AV140" i="14"/>
  <c r="AX59" i="14" a="1"/>
  <c r="AX59" i="14" s="1"/>
  <c r="AH602" i="14"/>
  <c r="AH294" i="14"/>
  <c r="BQ601" i="14"/>
  <c r="BQ293" i="14"/>
  <c r="BW523" i="14"/>
  <c r="BW215" i="14"/>
  <c r="BW138" i="14"/>
  <c r="AV600" i="14"/>
  <c r="AV292" i="14"/>
  <c r="BL521" i="14"/>
  <c r="BL136" i="14"/>
  <c r="BL213" i="14"/>
  <c r="BC520" i="14"/>
  <c r="BC212" i="14"/>
  <c r="BC135" i="14"/>
  <c r="AV597" i="14"/>
  <c r="AV289" i="14"/>
  <c r="BG596" i="14"/>
  <c r="BG288" i="14"/>
  <c r="BK595" i="14"/>
  <c r="BK287" i="14"/>
  <c r="BQ594" i="14"/>
  <c r="BQ286" i="14"/>
  <c r="BF594" i="14"/>
  <c r="BF286" i="14"/>
  <c r="AL517" i="14"/>
  <c r="AL209" i="14"/>
  <c r="AL132" i="14"/>
  <c r="BL593" i="14"/>
  <c r="BL285" i="14"/>
  <c r="D593" i="14"/>
  <c r="D285" i="14"/>
  <c r="BL513" i="14"/>
  <c r="BL124" i="14"/>
  <c r="BL590" i="14" s="1"/>
  <c r="BL512" i="14"/>
  <c r="BL123" i="14"/>
  <c r="BL589" i="14" s="1"/>
  <c r="M603" i="14"/>
  <c r="M295" i="14"/>
  <c r="AB601" i="14"/>
  <c r="AB293" i="14"/>
  <c r="N522" i="14"/>
  <c r="N137" i="14"/>
  <c r="N214" i="14"/>
  <c r="N207" i="14"/>
  <c r="N130" i="14"/>
  <c r="N284" i="14" s="1"/>
  <c r="L660" i="14"/>
  <c r="L352" i="14"/>
  <c r="BO658" i="14"/>
  <c r="BO350" i="14"/>
  <c r="BT652" i="14"/>
  <c r="BT344" i="14"/>
  <c r="AC583" i="14"/>
  <c r="AC198" i="14"/>
  <c r="AC275" i="14"/>
  <c r="BC659" i="14"/>
  <c r="BC351" i="14"/>
  <c r="Q659" i="14"/>
  <c r="Q351" i="14"/>
  <c r="D659" i="14"/>
  <c r="D351" i="14"/>
  <c r="BG579" i="14"/>
  <c r="BG194" i="14"/>
  <c r="BG271" i="14"/>
  <c r="AM656" i="14"/>
  <c r="AM348" i="14"/>
  <c r="AA656" i="14"/>
  <c r="AA348" i="14"/>
  <c r="BH578" i="14"/>
  <c r="BH270" i="14"/>
  <c r="BH193" i="14"/>
  <c r="AH578" i="14"/>
  <c r="AH193" i="14"/>
  <c r="AH270" i="14"/>
  <c r="BK654" i="14"/>
  <c r="BK346" i="14"/>
  <c r="BU576" i="14"/>
  <c r="BU268" i="14"/>
  <c r="BU191" i="14"/>
  <c r="BW110" i="14" a="1"/>
  <c r="BW110" i="14" s="1"/>
  <c r="AD576" i="14"/>
  <c r="AD268" i="14"/>
  <c r="AD191" i="14"/>
  <c r="I653" i="14"/>
  <c r="I345" i="14"/>
  <c r="M571" i="14"/>
  <c r="M263" i="14"/>
  <c r="M186" i="14"/>
  <c r="O105" i="14" a="1"/>
  <c r="O105" i="14" s="1"/>
  <c r="AW568" i="14"/>
  <c r="AW260" i="14"/>
  <c r="AW183" i="14"/>
  <c r="H568" i="14"/>
  <c r="H260" i="14"/>
  <c r="H183" i="14"/>
  <c r="I102" i="14"/>
  <c r="H563" i="14"/>
  <c r="H255" i="14"/>
  <c r="H178" i="14"/>
  <c r="I97" i="14"/>
  <c r="AL638" i="14"/>
  <c r="AL330" i="14"/>
  <c r="G638" i="14"/>
  <c r="G330" i="14"/>
  <c r="BQ637" i="14"/>
  <c r="BQ329" i="14"/>
  <c r="BE637" i="14"/>
  <c r="BE329" i="14"/>
  <c r="M560" i="14"/>
  <c r="M175" i="14"/>
  <c r="M252" i="14"/>
  <c r="N94" i="14"/>
  <c r="AK636" i="14"/>
  <c r="AK328" i="14"/>
  <c r="X636" i="14"/>
  <c r="X328" i="14"/>
  <c r="BO635" i="14"/>
  <c r="BO327" i="14"/>
  <c r="W173" i="14"/>
  <c r="W558" i="14"/>
  <c r="W250" i="14"/>
  <c r="X92" i="14"/>
  <c r="C249" i="14"/>
  <c r="C172" i="14"/>
  <c r="C557" i="14"/>
  <c r="AQ169" i="14"/>
  <c r="AQ554" i="14"/>
  <c r="AQ246" i="14"/>
  <c r="AR88" i="14"/>
  <c r="AQ165" i="14"/>
  <c r="AQ242" i="14"/>
  <c r="AQ550" i="14"/>
  <c r="AR84" i="14"/>
  <c r="BL548" i="14"/>
  <c r="BL240" i="14"/>
  <c r="BL163" i="14"/>
  <c r="AG547" i="14"/>
  <c r="AG162" i="14"/>
  <c r="AG239" i="14"/>
  <c r="AI81" i="14" a="1"/>
  <c r="AI81" i="14" s="1"/>
  <c r="AH80" i="14"/>
  <c r="L623" i="14"/>
  <c r="L315" i="14"/>
  <c r="BV622" i="14"/>
  <c r="BV314" i="14"/>
  <c r="AQ237" i="14"/>
  <c r="AQ160" i="14"/>
  <c r="AQ545" i="14"/>
  <c r="M544" i="14"/>
  <c r="M236" i="14"/>
  <c r="M159" i="14"/>
  <c r="N78" i="14"/>
  <c r="BF543" i="14"/>
  <c r="BF158" i="14"/>
  <c r="BH77" i="14" a="1"/>
  <c r="BH77" i="14" s="1"/>
  <c r="BF235" i="14"/>
  <c r="AK620" i="14"/>
  <c r="AK312" i="14"/>
  <c r="BT619" i="14"/>
  <c r="BT311" i="14"/>
  <c r="BG619" i="14"/>
  <c r="BG311" i="14"/>
  <c r="AU619" i="14"/>
  <c r="AU311" i="14"/>
  <c r="H542" i="14"/>
  <c r="H157" i="14"/>
  <c r="H234" i="14"/>
  <c r="BL74" i="14"/>
  <c r="X74" i="14"/>
  <c r="BF539" i="14"/>
  <c r="BF154" i="14"/>
  <c r="BH73" i="14" a="1"/>
  <c r="BH73" i="14" s="1"/>
  <c r="BF231" i="14"/>
  <c r="AL539" i="14"/>
  <c r="AL154" i="14"/>
  <c r="AL231" i="14"/>
  <c r="AN73" i="14" a="1"/>
  <c r="AN73" i="14" s="1"/>
  <c r="BT615" i="14"/>
  <c r="BT307" i="14"/>
  <c r="AC538" i="14"/>
  <c r="AC230" i="14"/>
  <c r="AC153" i="14"/>
  <c r="BU535" i="14"/>
  <c r="BU150" i="14"/>
  <c r="BU227" i="14"/>
  <c r="BW69" i="14" a="1"/>
  <c r="BW69" i="14" s="1"/>
  <c r="BK225" i="14"/>
  <c r="BK148" i="14"/>
  <c r="BK533" i="14"/>
  <c r="BA531" i="14"/>
  <c r="BA146" i="14"/>
  <c r="BA223" i="14"/>
  <c r="AQ221" i="14"/>
  <c r="AQ144" i="14"/>
  <c r="AQ529" i="14"/>
  <c r="AK604" i="14"/>
  <c r="AK296" i="14"/>
  <c r="AL538" i="14"/>
  <c r="AL153" i="14"/>
  <c r="AL230" i="14"/>
  <c r="AM72" i="14"/>
  <c r="AW136" i="14"/>
  <c r="AW213" i="14"/>
  <c r="AW521" i="14"/>
  <c r="BL204" i="14"/>
  <c r="BL127" i="14"/>
  <c r="BL281" i="14" s="1"/>
  <c r="AH641" i="14"/>
  <c r="AH333" i="14"/>
  <c r="AM634" i="14"/>
  <c r="AM326" i="14"/>
  <c r="BG622" i="14"/>
  <c r="BG314" i="14"/>
  <c r="N583" i="14"/>
  <c r="N198" i="14"/>
  <c r="N275" i="14"/>
  <c r="AW581" i="14"/>
  <c r="AW196" i="14"/>
  <c r="AW273" i="14"/>
  <c r="AH579" i="14"/>
  <c r="AH194" i="14"/>
  <c r="AH271" i="14"/>
  <c r="BU575" i="14"/>
  <c r="BU267" i="14"/>
  <c r="BU190" i="14"/>
  <c r="BW109" i="14" a="1"/>
  <c r="BW109" i="14" s="1"/>
  <c r="BQ574" i="14"/>
  <c r="BQ266" i="14"/>
  <c r="BQ189" i="14"/>
  <c r="AX574" i="14"/>
  <c r="AX266" i="14"/>
  <c r="AX189" i="14"/>
  <c r="AC651" i="14"/>
  <c r="AC343" i="14"/>
  <c r="AL573" i="14"/>
  <c r="AL265" i="14"/>
  <c r="AL188" i="14"/>
  <c r="AN107" i="14" a="1"/>
  <c r="AN107" i="14" s="1"/>
  <c r="N573" i="14"/>
  <c r="N265" i="14"/>
  <c r="N188" i="14"/>
  <c r="AM572" i="14"/>
  <c r="AM264" i="14"/>
  <c r="AM187" i="14"/>
  <c r="AK648" i="14"/>
  <c r="AK340" i="14"/>
  <c r="X648" i="14"/>
  <c r="X340" i="14"/>
  <c r="L648" i="14"/>
  <c r="L340" i="14"/>
  <c r="BO647" i="14"/>
  <c r="BO339" i="14"/>
  <c r="AV647" i="14"/>
  <c r="AV339" i="14"/>
  <c r="N104" i="14"/>
  <c r="BV260" i="14"/>
  <c r="BV568" i="14"/>
  <c r="BV183" i="14"/>
  <c r="S567" i="14"/>
  <c r="S259" i="14"/>
  <c r="S182" i="14"/>
  <c r="BA566" i="14"/>
  <c r="BA258" i="14"/>
  <c r="BA181" i="14"/>
  <c r="BC100" i="14" a="1"/>
  <c r="BC100" i="14" s="1"/>
  <c r="N100" i="14"/>
  <c r="AU642" i="14"/>
  <c r="AU334" i="14"/>
  <c r="AH642" i="14"/>
  <c r="AH334" i="14"/>
  <c r="AA642" i="14"/>
  <c r="AA334" i="14"/>
  <c r="H257" i="14"/>
  <c r="H565" i="14"/>
  <c r="H180" i="14"/>
  <c r="BL564" i="14"/>
  <c r="BL256" i="14"/>
  <c r="BL179" i="14"/>
  <c r="AC641" i="14"/>
  <c r="AC333" i="14"/>
  <c r="AH562" i="14"/>
  <c r="AH254" i="14"/>
  <c r="AH177" i="14"/>
  <c r="BL252" i="14"/>
  <c r="BL560" i="14"/>
  <c r="BL175" i="14"/>
  <c r="AB636" i="14"/>
  <c r="AB328" i="14"/>
  <c r="Q636" i="14"/>
  <c r="Q328" i="14"/>
  <c r="BG635" i="14"/>
  <c r="BG327" i="14"/>
  <c r="AU634" i="14"/>
  <c r="AU326" i="14"/>
  <c r="AH634" i="14"/>
  <c r="AH326" i="14"/>
  <c r="V634" i="14"/>
  <c r="V326" i="14"/>
  <c r="B634" i="14"/>
  <c r="B326" i="14"/>
  <c r="BF633" i="14"/>
  <c r="BF325" i="14"/>
  <c r="B633" i="14"/>
  <c r="B325" i="14"/>
  <c r="AH555" i="14"/>
  <c r="AH247" i="14"/>
  <c r="AH170" i="14"/>
  <c r="BQ554" i="14"/>
  <c r="BQ246" i="14"/>
  <c r="BQ169" i="14"/>
  <c r="AX554" i="14"/>
  <c r="AX246" i="14"/>
  <c r="AX169" i="14"/>
  <c r="C169" i="14"/>
  <c r="C554" i="14"/>
  <c r="C246" i="14"/>
  <c r="D88" i="14"/>
  <c r="C245" i="14"/>
  <c r="C168" i="14"/>
  <c r="C553" i="14"/>
  <c r="X86" i="14"/>
  <c r="D86" i="14"/>
  <c r="W165" i="14"/>
  <c r="W242" i="14"/>
  <c r="W550" i="14"/>
  <c r="X84" i="14"/>
  <c r="V625" i="14"/>
  <c r="V317" i="14"/>
  <c r="BO622" i="14"/>
  <c r="BO314" i="14"/>
  <c r="AR79" i="14"/>
  <c r="D79" i="14"/>
  <c r="BH544" i="14"/>
  <c r="BH236" i="14"/>
  <c r="BH159" i="14"/>
  <c r="R544" i="14"/>
  <c r="R236" i="14"/>
  <c r="R159" i="14"/>
  <c r="M540" i="14"/>
  <c r="M232" i="14"/>
  <c r="M155" i="14"/>
  <c r="N74" i="14"/>
  <c r="AB539" i="14"/>
  <c r="AB154" i="14"/>
  <c r="AB231" i="14"/>
  <c r="AC73" i="14"/>
  <c r="BB72" i="14"/>
  <c r="AF615" i="14"/>
  <c r="AF307" i="14"/>
  <c r="BL537" i="14"/>
  <c r="BL229" i="14"/>
  <c r="BL152" i="14"/>
  <c r="X71" i="14"/>
  <c r="D537" i="14"/>
  <c r="D152" i="14"/>
  <c r="D229" i="14"/>
  <c r="AM536" i="14"/>
  <c r="AM228" i="14"/>
  <c r="AM151" i="14"/>
  <c r="BB535" i="14"/>
  <c r="BB227" i="14"/>
  <c r="BB150" i="14"/>
  <c r="I534" i="14"/>
  <c r="I226" i="14"/>
  <c r="I149" i="14"/>
  <c r="BL67" i="14"/>
  <c r="D533" i="14"/>
  <c r="D225" i="14"/>
  <c r="D148" i="14"/>
  <c r="BQ64" i="14"/>
  <c r="BL529" i="14"/>
  <c r="BL221" i="14"/>
  <c r="BL144" i="14"/>
  <c r="AR63" i="14"/>
  <c r="X63" i="14"/>
  <c r="BG528" i="14"/>
  <c r="BG220" i="14"/>
  <c r="BG143" i="14"/>
  <c r="BL599" i="14"/>
  <c r="BL291" i="14"/>
  <c r="BG286" i="14"/>
  <c r="BG594" i="14"/>
  <c r="BM206" i="14"/>
  <c r="BM129" i="14"/>
  <c r="BM283" i="14" s="1"/>
  <c r="BT661" i="14"/>
  <c r="BT353" i="14"/>
  <c r="G657" i="14"/>
  <c r="G349" i="14"/>
  <c r="BL651" i="14"/>
  <c r="BL343" i="14"/>
  <c r="X647" i="14"/>
  <c r="X339" i="14"/>
  <c r="BB641" i="14"/>
  <c r="BB333" i="14"/>
  <c r="BG634" i="14"/>
  <c r="BG326" i="14"/>
  <c r="AK600" i="14"/>
  <c r="AK292" i="14"/>
  <c r="BT599" i="14"/>
  <c r="BT291" i="14"/>
  <c r="G598" i="14"/>
  <c r="G290" i="14"/>
  <c r="AP597" i="14"/>
  <c r="AP289" i="14"/>
  <c r="B597" i="14"/>
  <c r="B289" i="14"/>
  <c r="AK596" i="14"/>
  <c r="AK288" i="14"/>
  <c r="BT595" i="14"/>
  <c r="BT287" i="14"/>
  <c r="AF595" i="14"/>
  <c r="AF287" i="14"/>
  <c r="BO594" i="14"/>
  <c r="BO286" i="14"/>
  <c r="AA594" i="14"/>
  <c r="AA286" i="14"/>
  <c r="BJ285" i="14"/>
  <c r="BJ593" i="14"/>
  <c r="V593" i="14"/>
  <c r="V285" i="14"/>
  <c r="BT589" i="14"/>
  <c r="BT201" i="14"/>
  <c r="L589" i="14"/>
  <c r="L201" i="14"/>
  <c r="M662" i="14"/>
  <c r="M354" i="14"/>
  <c r="BP661" i="14"/>
  <c r="BP353" i="14"/>
  <c r="N661" i="14"/>
  <c r="N353" i="14"/>
  <c r="BK275" i="14"/>
  <c r="BK583" i="14"/>
  <c r="BK198" i="14"/>
  <c r="BM117" i="14" a="1"/>
  <c r="BM117" i="14" s="1"/>
  <c r="AM582" i="14"/>
  <c r="AM197" i="14"/>
  <c r="AM274" i="14"/>
  <c r="N582" i="14"/>
  <c r="N197" i="14"/>
  <c r="N274" i="14"/>
  <c r="X581" i="14"/>
  <c r="X196" i="14"/>
  <c r="X273" i="14"/>
  <c r="BA580" i="14"/>
  <c r="BA272" i="14"/>
  <c r="BA195" i="14"/>
  <c r="BC114" i="14" a="1"/>
  <c r="BC114" i="14" s="1"/>
  <c r="AL657" i="14"/>
  <c r="AL349" i="14"/>
  <c r="AC272" i="14"/>
  <c r="AC195" i="14"/>
  <c r="AC580" i="14"/>
  <c r="D580" i="14"/>
  <c r="D195" i="14"/>
  <c r="D272" i="14"/>
  <c r="BB655" i="14"/>
  <c r="BB347" i="14"/>
  <c r="J578" i="14"/>
  <c r="J270" i="14"/>
  <c r="J193" i="14"/>
  <c r="BU269" i="14"/>
  <c r="BU577" i="14"/>
  <c r="BU192" i="14"/>
  <c r="BW111" i="14" a="1"/>
  <c r="BW111" i="14" s="1"/>
  <c r="BL654" i="14"/>
  <c r="BL346" i="14"/>
  <c r="AD577" i="14"/>
  <c r="AD269" i="14"/>
  <c r="AD192" i="14"/>
  <c r="R269" i="14"/>
  <c r="R577" i="14"/>
  <c r="R192" i="14"/>
  <c r="T111" i="14" a="1"/>
  <c r="T111" i="14" s="1"/>
  <c r="BQ576" i="14"/>
  <c r="BQ268" i="14"/>
  <c r="BQ191" i="14"/>
  <c r="BH653" i="14"/>
  <c r="BH345" i="14"/>
  <c r="AL576" i="14"/>
  <c r="AL268" i="14"/>
  <c r="AL191" i="14"/>
  <c r="AN110" i="14" a="1"/>
  <c r="AN110" i="14" s="1"/>
  <c r="AC653" i="14"/>
  <c r="AC345" i="14"/>
  <c r="M575" i="14"/>
  <c r="M267" i="14"/>
  <c r="M190" i="14"/>
  <c r="O109" i="14" a="1"/>
  <c r="O109" i="14" s="1"/>
  <c r="AG573" i="14"/>
  <c r="AG265" i="14"/>
  <c r="AG188" i="14"/>
  <c r="AI107" i="14" a="1"/>
  <c r="AI107" i="14" s="1"/>
  <c r="BB572" i="14"/>
  <c r="BB264" i="14"/>
  <c r="BB187" i="14"/>
  <c r="H572" i="14"/>
  <c r="H264" i="14"/>
  <c r="H187" i="14"/>
  <c r="I106" i="14"/>
  <c r="BA571" i="14"/>
  <c r="BA263" i="14"/>
  <c r="BA186" i="14"/>
  <c r="BC105" i="14" a="1"/>
  <c r="BC105" i="14" s="1"/>
  <c r="AG571" i="14"/>
  <c r="AG263" i="14"/>
  <c r="AG186" i="14"/>
  <c r="AI105" i="14" a="1"/>
  <c r="AI105" i="14" s="1"/>
  <c r="H570" i="14"/>
  <c r="H262" i="14"/>
  <c r="H185" i="14"/>
  <c r="I104" i="14"/>
  <c r="AG569" i="14"/>
  <c r="AG261" i="14"/>
  <c r="AG184" i="14"/>
  <c r="AI103" i="14" a="1"/>
  <c r="AI103" i="14" s="1"/>
  <c r="AM260" i="14"/>
  <c r="AM568" i="14"/>
  <c r="AM183" i="14"/>
  <c r="R568" i="14"/>
  <c r="R183" i="14"/>
  <c r="R260" i="14"/>
  <c r="T102" i="14" a="1"/>
  <c r="T102" i="14" s="1"/>
  <c r="BU567" i="14"/>
  <c r="BU259" i="14"/>
  <c r="BU182" i="14"/>
  <c r="BW101" i="14" a="1"/>
  <c r="BW101" i="14" s="1"/>
  <c r="BL644" i="14"/>
  <c r="BL336" i="14"/>
  <c r="H566" i="14"/>
  <c r="H181" i="14"/>
  <c r="H258" i="14"/>
  <c r="BU563" i="14"/>
  <c r="BU255" i="14"/>
  <c r="BU178" i="14"/>
  <c r="BW97" i="14" a="1"/>
  <c r="BW97" i="14" s="1"/>
  <c r="S97" i="14"/>
  <c r="BV562" i="14"/>
  <c r="BV254" i="14"/>
  <c r="BV177" i="14"/>
  <c r="AW562" i="14"/>
  <c r="AW254" i="14"/>
  <c r="AW177" i="14"/>
  <c r="AN639" i="14"/>
  <c r="AN331" i="14"/>
  <c r="BF638" i="14"/>
  <c r="BF330" i="14"/>
  <c r="AU638" i="14"/>
  <c r="AU330" i="14"/>
  <c r="AI560" i="14"/>
  <c r="AI175" i="14"/>
  <c r="AI252" i="14"/>
  <c r="V637" i="14"/>
  <c r="V329" i="14"/>
  <c r="B637" i="14"/>
  <c r="B329" i="14"/>
  <c r="BL636" i="14"/>
  <c r="BL328" i="14"/>
  <c r="AZ636" i="14"/>
  <c r="AZ328" i="14"/>
  <c r="AF636" i="14"/>
  <c r="AF328" i="14"/>
  <c r="AH558" i="14"/>
  <c r="AH173" i="14"/>
  <c r="AH250" i="14"/>
  <c r="L635" i="14"/>
  <c r="L327" i="14"/>
  <c r="BV634" i="14"/>
  <c r="BV326" i="14"/>
  <c r="BJ634" i="14"/>
  <c r="BJ326" i="14"/>
  <c r="BW556" i="14"/>
  <c r="BW248" i="14"/>
  <c r="BW171" i="14"/>
  <c r="BK556" i="14"/>
  <c r="BK248" i="14"/>
  <c r="BK171" i="14"/>
  <c r="BM90" i="14" a="1"/>
  <c r="BM90" i="14" s="1"/>
  <c r="BA554" i="14"/>
  <c r="BA246" i="14"/>
  <c r="BA169" i="14"/>
  <c r="BC88" i="14" a="1"/>
  <c r="BC88" i="14" s="1"/>
  <c r="AC88" i="14"/>
  <c r="I88" i="14"/>
  <c r="BW630" i="14"/>
  <c r="BW322" i="14"/>
  <c r="AN553" i="14"/>
  <c r="AN245" i="14"/>
  <c r="AN168" i="14"/>
  <c r="AB553" i="14"/>
  <c r="AB245" i="14"/>
  <c r="AB168" i="14"/>
  <c r="BE629" i="14"/>
  <c r="BE321" i="14"/>
  <c r="AX551" i="14"/>
  <c r="AX243" i="14"/>
  <c r="AX166" i="14"/>
  <c r="BM550" i="14"/>
  <c r="BM242" i="14"/>
  <c r="BM165" i="14"/>
  <c r="BA550" i="14"/>
  <c r="BA165" i="14"/>
  <c r="BA242" i="14"/>
  <c r="BC84" i="14" a="1"/>
  <c r="BC84" i="14" s="1"/>
  <c r="AC84" i="14"/>
  <c r="I84" i="14"/>
  <c r="AL626" i="14"/>
  <c r="AL318" i="14"/>
  <c r="AA626" i="14"/>
  <c r="AA318" i="14"/>
  <c r="H549" i="14"/>
  <c r="H241" i="14"/>
  <c r="H164" i="14"/>
  <c r="R548" i="14"/>
  <c r="R240" i="14"/>
  <c r="R163" i="14"/>
  <c r="BM546" i="14"/>
  <c r="BM238" i="14"/>
  <c r="BM161" i="14"/>
  <c r="AZ623" i="14"/>
  <c r="AZ315" i="14"/>
  <c r="AM623" i="14"/>
  <c r="AM315" i="14"/>
  <c r="AA623" i="14"/>
  <c r="AA315" i="14"/>
  <c r="G623" i="14"/>
  <c r="G315" i="14"/>
  <c r="BL544" i="14"/>
  <c r="BL236" i="14"/>
  <c r="BL159" i="14"/>
  <c r="AQ544" i="14"/>
  <c r="AQ236" i="14"/>
  <c r="AQ159" i="14"/>
  <c r="W544" i="14"/>
  <c r="W236" i="14"/>
  <c r="W159" i="14"/>
  <c r="C544" i="14"/>
  <c r="C236" i="14"/>
  <c r="C159" i="14"/>
  <c r="BP541" i="14"/>
  <c r="BP233" i="14"/>
  <c r="BP156" i="14"/>
  <c r="BR75" i="14" a="1"/>
  <c r="BR75" i="14" s="1"/>
  <c r="AU618" i="14"/>
  <c r="AU310" i="14"/>
  <c r="AC75" i="14"/>
  <c r="G618" i="14"/>
  <c r="G310" i="14"/>
  <c r="BG540" i="14"/>
  <c r="BG232" i="14"/>
  <c r="BG155" i="14"/>
  <c r="AM540" i="14"/>
  <c r="AM232" i="14"/>
  <c r="AM155" i="14"/>
  <c r="S74" i="14"/>
  <c r="BV539" i="14"/>
  <c r="BV231" i="14"/>
  <c r="BV154" i="14"/>
  <c r="BB73" i="14"/>
  <c r="AH73" i="14"/>
  <c r="N73" i="14"/>
  <c r="BQ538" i="14"/>
  <c r="BQ230" i="14"/>
  <c r="BQ153" i="14"/>
  <c r="H538" i="14"/>
  <c r="H153" i="14"/>
  <c r="H230" i="14"/>
  <c r="AV535" i="14"/>
  <c r="AV150" i="14"/>
  <c r="AV227" i="14"/>
  <c r="AW69" i="14"/>
  <c r="W149" i="14"/>
  <c r="W226" i="14"/>
  <c r="W534" i="14"/>
  <c r="X68" i="14"/>
  <c r="R533" i="14"/>
  <c r="R225" i="14"/>
  <c r="R148" i="14"/>
  <c r="S67" i="14"/>
  <c r="M532" i="14"/>
  <c r="M224" i="14"/>
  <c r="M147" i="14"/>
  <c r="N66" i="14"/>
  <c r="H531" i="14"/>
  <c r="H146" i="14"/>
  <c r="H223" i="14"/>
  <c r="I65" i="14"/>
  <c r="C145" i="14"/>
  <c r="C222" i="14"/>
  <c r="C530" i="14"/>
  <c r="D64" i="14"/>
  <c r="BU528" i="14"/>
  <c r="BU220" i="14"/>
  <c r="BU143" i="14"/>
  <c r="BV62" i="14"/>
  <c r="BE604" i="14"/>
  <c r="BE296" i="14"/>
  <c r="AW527" i="14"/>
  <c r="AW219" i="14"/>
  <c r="AW142" i="14"/>
  <c r="AG225" i="14"/>
  <c r="AG533" i="14"/>
  <c r="AG148" i="14"/>
  <c r="AH67" i="14"/>
  <c r="AF604" i="14"/>
  <c r="AF296" i="14"/>
  <c r="BM526" i="14"/>
  <c r="BM218" i="14"/>
  <c r="BM141" i="14"/>
  <c r="BA526" i="14"/>
  <c r="BA141" i="14"/>
  <c r="BA218" i="14"/>
  <c r="BC60" i="14" a="1"/>
  <c r="BC60" i="14" s="1"/>
  <c r="AF603" i="14"/>
  <c r="AF295" i="14"/>
  <c r="BL525" i="14"/>
  <c r="BL140" i="14"/>
  <c r="BL217" i="14"/>
  <c r="BL524" i="14"/>
  <c r="BL216" i="14"/>
  <c r="BL139" i="14"/>
  <c r="BP521" i="14"/>
  <c r="BP213" i="14"/>
  <c r="BP136" i="14"/>
  <c r="BR55" i="14" a="1"/>
  <c r="BR55" i="14" s="1"/>
  <c r="BG520" i="14"/>
  <c r="BG212" i="14"/>
  <c r="BG135" i="14"/>
  <c r="BB519" i="14"/>
  <c r="BB211" i="14"/>
  <c r="BB134" i="14"/>
  <c r="AW518" i="14"/>
  <c r="AW133" i="14"/>
  <c r="AW210" i="14"/>
  <c r="BK516" i="14"/>
  <c r="BK208" i="14"/>
  <c r="BK131" i="14"/>
  <c r="AC593" i="14"/>
  <c r="AC285" i="14"/>
  <c r="BK125" i="14"/>
  <c r="BK591" i="14" s="1"/>
  <c r="BM44" i="14" a="1"/>
  <c r="BM44" i="14" s="1"/>
  <c r="BK514" i="14"/>
  <c r="AV514" i="14"/>
  <c r="AV125" i="14"/>
  <c r="AV591" i="14" s="1"/>
  <c r="AX44" i="14" a="1"/>
  <c r="AX44" i="14" s="1"/>
  <c r="BJ586" i="14"/>
  <c r="C601" i="14"/>
  <c r="C293" i="14"/>
  <c r="I56" i="14"/>
  <c r="J29" i="14"/>
  <c r="I59" i="14" s="1"/>
  <c r="W53" i="14"/>
  <c r="W27" i="14"/>
  <c r="W57" i="14" s="1"/>
  <c r="W24" i="14"/>
  <c r="BJ278" i="14"/>
  <c r="AF647" i="14"/>
  <c r="AF339" i="14"/>
  <c r="BU584" i="14"/>
  <c r="BU276" i="14"/>
  <c r="BU199" i="14"/>
  <c r="BW118" i="14" a="1"/>
  <c r="BW118" i="14" s="1"/>
  <c r="AN584" i="14"/>
  <c r="AN276" i="14"/>
  <c r="AN199" i="14"/>
  <c r="BQ581" i="14"/>
  <c r="BQ196" i="14"/>
  <c r="BQ273" i="14"/>
  <c r="M658" i="14"/>
  <c r="M350" i="14"/>
  <c r="B658" i="14"/>
  <c r="B350" i="14"/>
  <c r="BA269" i="14"/>
  <c r="BA192" i="14"/>
  <c r="BA577" i="14"/>
  <c r="BC111" i="14" a="1"/>
  <c r="BC111" i="14" s="1"/>
  <c r="AU653" i="14"/>
  <c r="AU345" i="14"/>
  <c r="AV575" i="14"/>
  <c r="AV267" i="14"/>
  <c r="AV190" i="14"/>
  <c r="AX109" i="14" a="1"/>
  <c r="AX109" i="14" s="1"/>
  <c r="M574" i="14"/>
  <c r="M266" i="14"/>
  <c r="M189" i="14"/>
  <c r="O108" i="14" a="1"/>
  <c r="O108" i="14" s="1"/>
  <c r="BP572" i="14"/>
  <c r="BP264" i="14"/>
  <c r="BP187" i="14"/>
  <c r="BR106" i="14" a="1"/>
  <c r="BR106" i="14" s="1"/>
  <c r="M572" i="14"/>
  <c r="M187" i="14"/>
  <c r="O106" i="14" a="1"/>
  <c r="O106" i="14" s="1"/>
  <c r="M264" i="14"/>
  <c r="AF646" i="14"/>
  <c r="AF338" i="14"/>
  <c r="L646" i="14"/>
  <c r="L338" i="14"/>
  <c r="BO645" i="14"/>
  <c r="BO337" i="14"/>
  <c r="AB645" i="14"/>
  <c r="AB337" i="14"/>
  <c r="BK644" i="14"/>
  <c r="BK336" i="14"/>
  <c r="BQ566" i="14"/>
  <c r="BQ181" i="14"/>
  <c r="BQ258" i="14"/>
  <c r="G643" i="14"/>
  <c r="G335" i="14"/>
  <c r="AP642" i="14"/>
  <c r="AP334" i="14"/>
  <c r="BE641" i="14"/>
  <c r="BE333" i="14"/>
  <c r="AK641" i="14"/>
  <c r="AK333" i="14"/>
  <c r="BT640" i="14"/>
  <c r="BT332" i="14"/>
  <c r="BP636" i="14"/>
  <c r="BP328" i="14"/>
  <c r="BE636" i="14"/>
  <c r="BE328" i="14"/>
  <c r="C173" i="14"/>
  <c r="C558" i="14"/>
  <c r="C250" i="14"/>
  <c r="D92" i="14"/>
  <c r="AP634" i="14"/>
  <c r="AP326" i="14"/>
  <c r="AP633" i="14"/>
  <c r="AP325" i="14"/>
  <c r="AF631" i="14"/>
  <c r="AF323" i="14"/>
  <c r="M554" i="14"/>
  <c r="M246" i="14"/>
  <c r="M169" i="14"/>
  <c r="BL553" i="14"/>
  <c r="BL168" i="14"/>
  <c r="BL245" i="14"/>
  <c r="AQ245" i="14"/>
  <c r="AQ168" i="14"/>
  <c r="AQ553" i="14"/>
  <c r="BL244" i="14"/>
  <c r="BL552" i="14"/>
  <c r="BL167" i="14"/>
  <c r="AM244" i="14"/>
  <c r="AM552" i="14"/>
  <c r="AM167" i="14"/>
  <c r="S86" i="14"/>
  <c r="AG550" i="14"/>
  <c r="AG165" i="14"/>
  <c r="AG242" i="14"/>
  <c r="AI84" i="14" a="1"/>
  <c r="AI84" i="14" s="1"/>
  <c r="BU625" i="14"/>
  <c r="BU317" i="14"/>
  <c r="AM548" i="14"/>
  <c r="AM240" i="14"/>
  <c r="AM163" i="14"/>
  <c r="S82" i="14"/>
  <c r="BV547" i="14"/>
  <c r="BV239" i="14"/>
  <c r="BV162" i="14"/>
  <c r="M547" i="14"/>
  <c r="M162" i="14"/>
  <c r="M239" i="14"/>
  <c r="BU617" i="14"/>
  <c r="BU309" i="14"/>
  <c r="AP617" i="14"/>
  <c r="AP309" i="14"/>
  <c r="B617" i="14"/>
  <c r="B309" i="14"/>
  <c r="Q616" i="14"/>
  <c r="Q308" i="14"/>
  <c r="AG535" i="14"/>
  <c r="AG150" i="14"/>
  <c r="AG227" i="14"/>
  <c r="BU531" i="14"/>
  <c r="BU146" i="14"/>
  <c r="BU223" i="14"/>
  <c r="R528" i="14"/>
  <c r="R220" i="14"/>
  <c r="R143" i="14"/>
  <c r="M225" i="14"/>
  <c r="M533" i="14"/>
  <c r="M148" i="14"/>
  <c r="N67" i="14"/>
  <c r="M241" i="14"/>
  <c r="M549" i="14"/>
  <c r="M164" i="14"/>
  <c r="N83" i="14"/>
  <c r="L604" i="14"/>
  <c r="L296" i="14"/>
  <c r="AQ603" i="14"/>
  <c r="AQ295" i="14"/>
  <c r="W603" i="14"/>
  <c r="W295" i="14"/>
  <c r="BC524" i="14"/>
  <c r="BC216" i="14"/>
  <c r="BC139" i="14"/>
  <c r="AH601" i="14"/>
  <c r="AH293" i="14"/>
  <c r="BV207" i="14"/>
  <c r="BV130" i="14"/>
  <c r="BV284" i="14" s="1"/>
  <c r="AL603" i="14"/>
  <c r="AL295" i="14"/>
  <c r="D524" i="14"/>
  <c r="D216" i="14"/>
  <c r="D139" i="14"/>
  <c r="I652" i="14"/>
  <c r="I344" i="14"/>
  <c r="Q201" i="14"/>
  <c r="BT662" i="14"/>
  <c r="BT354" i="14"/>
  <c r="AM585" i="14"/>
  <c r="AM277" i="14"/>
  <c r="AM200" i="14"/>
  <c r="BP582" i="14"/>
  <c r="BP274" i="14"/>
  <c r="BP197" i="14"/>
  <c r="BR116" i="14" a="1"/>
  <c r="BR116" i="14" s="1"/>
  <c r="AG659" i="14"/>
  <c r="AG351" i="14"/>
  <c r="BV581" i="14"/>
  <c r="BV196" i="14"/>
  <c r="BV273" i="14"/>
  <c r="T581" i="14"/>
  <c r="T273" i="14"/>
  <c r="T196" i="14"/>
  <c r="BG580" i="14"/>
  <c r="BG195" i="14"/>
  <c r="BG272" i="14"/>
  <c r="BM578" i="14"/>
  <c r="BM270" i="14"/>
  <c r="BM193" i="14"/>
  <c r="AC655" i="14"/>
  <c r="AC347" i="14"/>
  <c r="R575" i="14"/>
  <c r="R267" i="14"/>
  <c r="R190" i="14"/>
  <c r="T109" i="14" a="1"/>
  <c r="T109" i="14" s="1"/>
  <c r="AM574" i="14"/>
  <c r="AM266" i="14"/>
  <c r="AM189" i="14"/>
  <c r="BO649" i="14"/>
  <c r="BO341" i="14"/>
  <c r="AV649" i="14"/>
  <c r="AV341" i="14"/>
  <c r="BQ571" i="14"/>
  <c r="BQ263" i="14"/>
  <c r="BQ186" i="14"/>
  <c r="AV648" i="14"/>
  <c r="AV340" i="14"/>
  <c r="AL570" i="14"/>
  <c r="AL185" i="14"/>
  <c r="AN104" i="14" a="1"/>
  <c r="AN104" i="14" s="1"/>
  <c r="AL262" i="14"/>
  <c r="AM569" i="14"/>
  <c r="AM261" i="14"/>
  <c r="AM184" i="14"/>
  <c r="Q646" i="14"/>
  <c r="Q338" i="14"/>
  <c r="BB260" i="14"/>
  <c r="BB568" i="14"/>
  <c r="BB183" i="14"/>
  <c r="BR567" i="14"/>
  <c r="BR259" i="14"/>
  <c r="BR182" i="14"/>
  <c r="AV644" i="14"/>
  <c r="AV336" i="14"/>
  <c r="BV566" i="14"/>
  <c r="BV181" i="14"/>
  <c r="BV258" i="14"/>
  <c r="AH566" i="14"/>
  <c r="AH181" i="14"/>
  <c r="AH258" i="14"/>
  <c r="BO642" i="14"/>
  <c r="BO334" i="14"/>
  <c r="AQ564" i="14"/>
  <c r="AQ256" i="14"/>
  <c r="AQ179" i="14"/>
  <c r="W564" i="14"/>
  <c r="W256" i="14"/>
  <c r="W179" i="14"/>
  <c r="Y98" i="14" a="1"/>
  <c r="Y98" i="14" s="1"/>
  <c r="AF640" i="14"/>
  <c r="AF332" i="14"/>
  <c r="AQ562" i="14"/>
  <c r="AQ177" i="14"/>
  <c r="AQ254" i="14"/>
  <c r="AR96" i="14"/>
  <c r="L639" i="14"/>
  <c r="L331" i="14"/>
  <c r="BL561" i="14"/>
  <c r="BL253" i="14"/>
  <c r="BL176" i="14"/>
  <c r="AQ253" i="14"/>
  <c r="AQ176" i="14"/>
  <c r="AQ561" i="14"/>
  <c r="BT635" i="14"/>
  <c r="BT327" i="14"/>
  <c r="AW558" i="14"/>
  <c r="AW250" i="14"/>
  <c r="AW173" i="14"/>
  <c r="AD558" i="14"/>
  <c r="AD250" i="14"/>
  <c r="AD173" i="14"/>
  <c r="BH557" i="14"/>
  <c r="BH249" i="14"/>
  <c r="BH172" i="14"/>
  <c r="V633" i="14"/>
  <c r="V325" i="14"/>
  <c r="BP553" i="14"/>
  <c r="BP245" i="14"/>
  <c r="BP168" i="14"/>
  <c r="BR87" i="14" a="1"/>
  <c r="BR87" i="14" s="1"/>
  <c r="AR87" i="14"/>
  <c r="W245" i="14"/>
  <c r="W168" i="14"/>
  <c r="W553" i="14"/>
  <c r="C165" i="14"/>
  <c r="C242" i="14"/>
  <c r="D84" i="14"/>
  <c r="C550" i="14"/>
  <c r="AR83" i="14"/>
  <c r="W241" i="14"/>
  <c r="W164" i="14"/>
  <c r="W549" i="14"/>
  <c r="AR82" i="14"/>
  <c r="D82" i="14"/>
  <c r="C161" i="14"/>
  <c r="C238" i="14"/>
  <c r="C546" i="14"/>
  <c r="D80" i="14"/>
  <c r="AL621" i="14"/>
  <c r="AL313" i="14"/>
  <c r="H543" i="14"/>
  <c r="H158" i="14"/>
  <c r="H235" i="14"/>
  <c r="I77" i="14"/>
  <c r="AQ233" i="14"/>
  <c r="AQ156" i="14"/>
  <c r="AQ541" i="14"/>
  <c r="BK153" i="14"/>
  <c r="BK230" i="14"/>
  <c r="BL72" i="14"/>
  <c r="BK538" i="14"/>
  <c r="AR71" i="14"/>
  <c r="BG536" i="14"/>
  <c r="BG228" i="14"/>
  <c r="BG151" i="14"/>
  <c r="S70" i="14"/>
  <c r="BV535" i="14"/>
  <c r="BV227" i="14"/>
  <c r="BV150" i="14"/>
  <c r="AH69" i="14"/>
  <c r="N69" i="14"/>
  <c r="BQ68" i="14"/>
  <c r="AW68" i="14"/>
  <c r="AC68" i="14"/>
  <c r="AR67" i="14"/>
  <c r="X67" i="14"/>
  <c r="BG66" i="14"/>
  <c r="AM66" i="14"/>
  <c r="S66" i="14"/>
  <c r="BV65" i="14"/>
  <c r="BB65" i="14"/>
  <c r="AH65" i="14"/>
  <c r="N65" i="14"/>
  <c r="AW64" i="14"/>
  <c r="AC64" i="14"/>
  <c r="D63" i="14"/>
  <c r="AM62" i="14"/>
  <c r="S62" i="14"/>
  <c r="BV61" i="14"/>
  <c r="BT604" i="14"/>
  <c r="BT296" i="14"/>
  <c r="R530" i="14"/>
  <c r="R145" i="14"/>
  <c r="S64" i="14"/>
  <c r="R222" i="14"/>
  <c r="R546" i="14"/>
  <c r="R161" i="14"/>
  <c r="S80" i="14"/>
  <c r="R238" i="14"/>
  <c r="R562" i="14"/>
  <c r="R254" i="14"/>
  <c r="R177" i="14"/>
  <c r="S96" i="14"/>
  <c r="V602" i="14"/>
  <c r="V294" i="14"/>
  <c r="AW600" i="14"/>
  <c r="AW292" i="14"/>
  <c r="BV522" i="14"/>
  <c r="BV137" i="14"/>
  <c r="BV214" i="14"/>
  <c r="BG291" i="14"/>
  <c r="BG599" i="14"/>
  <c r="BK598" i="14"/>
  <c r="BK290" i="14"/>
  <c r="AC597" i="14"/>
  <c r="AC289" i="14"/>
  <c r="BL596" i="14"/>
  <c r="BL288" i="14"/>
  <c r="BG595" i="14"/>
  <c r="BG287" i="14"/>
  <c r="N593" i="14"/>
  <c r="N285" i="14"/>
  <c r="AH603" i="14"/>
  <c r="AH295" i="14"/>
  <c r="AG602" i="14"/>
  <c r="AG294" i="14"/>
  <c r="R522" i="14"/>
  <c r="R137" i="14"/>
  <c r="R214" i="14"/>
  <c r="C214" i="14"/>
  <c r="C522" i="14"/>
  <c r="C137" i="14"/>
  <c r="H517" i="14"/>
  <c r="H209" i="14"/>
  <c r="H132" i="14"/>
  <c r="AD583" i="14"/>
  <c r="AD275" i="14"/>
  <c r="AD198" i="14"/>
  <c r="AB656" i="14"/>
  <c r="AB348" i="14"/>
  <c r="M650" i="14"/>
  <c r="M342" i="14"/>
  <c r="AX566" i="14"/>
  <c r="AX258" i="14"/>
  <c r="AX181" i="14"/>
  <c r="BK642" i="14"/>
  <c r="BK334" i="14"/>
  <c r="BA640" i="14"/>
  <c r="BA332" i="14"/>
  <c r="BR554" i="14"/>
  <c r="BR246" i="14"/>
  <c r="BR169" i="14"/>
  <c r="AV547" i="14"/>
  <c r="AV162" i="14"/>
  <c r="AV239" i="14"/>
  <c r="AW81" i="14"/>
  <c r="AQ635" i="14"/>
  <c r="AQ327" i="14"/>
  <c r="AP201" i="14"/>
  <c r="AN525" i="14"/>
  <c r="AN217" i="14"/>
  <c r="AN140" i="14"/>
  <c r="T525" i="14"/>
  <c r="T217" i="14"/>
  <c r="T140" i="14"/>
  <c r="AL601" i="14"/>
  <c r="AL293" i="14"/>
  <c r="T524" i="14"/>
  <c r="T216" i="14"/>
  <c r="T139" i="14"/>
  <c r="AI247" i="14"/>
  <c r="AI555" i="14"/>
  <c r="AI170" i="14"/>
  <c r="AR604" i="14"/>
  <c r="AS525" i="14"/>
  <c r="AS217" i="14"/>
  <c r="AS140" i="14"/>
  <c r="Y525" i="14"/>
  <c r="Y140" i="14"/>
  <c r="Y217" i="14"/>
  <c r="AQ598" i="14"/>
  <c r="AQ290" i="14"/>
  <c r="BR573" i="14"/>
  <c r="BR265" i="14"/>
  <c r="BR188" i="14"/>
  <c r="H639" i="14"/>
  <c r="H331" i="14"/>
  <c r="BP635" i="14"/>
  <c r="BP327" i="14"/>
  <c r="BU628" i="14"/>
  <c r="BU320" i="14"/>
  <c r="BA613" i="14"/>
  <c r="BA305" i="14"/>
  <c r="BC207" i="14"/>
  <c r="BC130" i="14"/>
  <c r="BC284" i="14" s="1"/>
  <c r="S295" i="14"/>
  <c r="S603" i="14"/>
  <c r="I594" i="14"/>
  <c r="I286" i="14"/>
  <c r="AV645" i="14"/>
  <c r="AV337" i="14"/>
  <c r="AD566" i="14"/>
  <c r="AD258" i="14"/>
  <c r="AD181" i="14"/>
  <c r="AQ623" i="14"/>
  <c r="AQ315" i="14"/>
  <c r="I603" i="14"/>
  <c r="I295" i="14"/>
  <c r="W642" i="14"/>
  <c r="W334" i="14"/>
  <c r="BF637" i="14"/>
  <c r="BF329" i="14"/>
  <c r="AS601" i="14"/>
  <c r="AS293" i="14"/>
  <c r="C598" i="14"/>
  <c r="C290" i="14"/>
  <c r="AM523" i="14"/>
  <c r="AM215" i="14"/>
  <c r="AM138" i="14"/>
  <c r="AD251" i="14" l="1"/>
  <c r="BC564" i="14"/>
  <c r="BC515" i="14"/>
  <c r="BC167" i="14"/>
  <c r="BC629" i="14" s="1"/>
  <c r="BC552" i="14"/>
  <c r="AD174" i="14"/>
  <c r="AD636" i="14" s="1"/>
  <c r="BC256" i="14"/>
  <c r="BM566" i="14"/>
  <c r="BR162" i="14"/>
  <c r="BR316" i="14" s="1"/>
  <c r="BH176" i="14"/>
  <c r="BH638" i="14" s="1"/>
  <c r="BH253" i="14"/>
  <c r="BR547" i="14"/>
  <c r="BW135" i="14"/>
  <c r="BW289" i="14" s="1"/>
  <c r="BW520" i="14"/>
  <c r="BM177" i="14"/>
  <c r="BM639" i="14" s="1"/>
  <c r="BM254" i="14"/>
  <c r="BR177" i="14"/>
  <c r="BR639" i="14" s="1"/>
  <c r="BM258" i="14"/>
  <c r="BB660" i="14"/>
  <c r="BB334" i="14"/>
  <c r="BU289" i="14"/>
  <c r="AH321" i="14"/>
  <c r="AM334" i="14"/>
  <c r="AR290" i="14"/>
  <c r="BK341" i="14"/>
  <c r="BV290" i="14"/>
  <c r="AW285" i="14"/>
  <c r="X351" i="14"/>
  <c r="BA285" i="14"/>
  <c r="BQ321" i="14"/>
  <c r="BV289" i="14"/>
  <c r="AG354" i="14"/>
  <c r="BK288" i="14"/>
  <c r="AV288" i="14"/>
  <c r="BA313" i="14"/>
  <c r="H350" i="14"/>
  <c r="H299" i="14"/>
  <c r="AL315" i="14"/>
  <c r="AM599" i="14"/>
  <c r="AV328" i="14"/>
  <c r="BV329" i="14"/>
  <c r="BP324" i="14"/>
  <c r="BV285" i="14"/>
  <c r="BU602" i="14"/>
  <c r="BB290" i="14"/>
  <c r="BL350" i="14"/>
  <c r="BF285" i="14"/>
  <c r="AM287" i="14"/>
  <c r="BU286" i="14"/>
  <c r="BK639" i="14"/>
  <c r="AB341" i="14"/>
  <c r="BR247" i="14"/>
  <c r="BP604" i="14"/>
  <c r="BF297" i="14"/>
  <c r="BF331" i="14"/>
  <c r="AX188" i="14"/>
  <c r="AX342" i="14" s="1"/>
  <c r="AN156" i="14"/>
  <c r="AN310" i="14" s="1"/>
  <c r="AX265" i="14"/>
  <c r="BV334" i="14"/>
  <c r="BA325" i="14"/>
  <c r="BR523" i="14"/>
  <c r="AD178" i="14"/>
  <c r="AD332" i="14" s="1"/>
  <c r="W332" i="14"/>
  <c r="AD255" i="14"/>
  <c r="D257" i="14"/>
  <c r="BP331" i="14"/>
  <c r="D180" i="14"/>
  <c r="D642" i="14" s="1"/>
  <c r="BK650" i="14"/>
  <c r="C306" i="14"/>
  <c r="AM353" i="14"/>
  <c r="BL353" i="14"/>
  <c r="AW324" i="14"/>
  <c r="AG594" i="14"/>
  <c r="BP287" i="14"/>
  <c r="BU314" i="14"/>
  <c r="O200" i="14"/>
  <c r="O662" i="14" s="1"/>
  <c r="O277" i="14"/>
  <c r="C351" i="14"/>
  <c r="BU321" i="14"/>
  <c r="AG333" i="14"/>
  <c r="BF289" i="14"/>
  <c r="AI277" i="14"/>
  <c r="BR138" i="14"/>
  <c r="BR600" i="14" s="1"/>
  <c r="AG350" i="14"/>
  <c r="AI200" i="14"/>
  <c r="AI662" i="14" s="1"/>
  <c r="AR286" i="14"/>
  <c r="BK316" i="14"/>
  <c r="AR173" i="14"/>
  <c r="BP309" i="14"/>
  <c r="BF338" i="14"/>
  <c r="AC325" i="14"/>
  <c r="BW126" i="14"/>
  <c r="BW592" i="14" s="1"/>
  <c r="W346" i="14"/>
  <c r="AR558" i="14"/>
  <c r="AR291" i="14"/>
  <c r="BB285" i="14"/>
  <c r="AV287" i="14"/>
  <c r="BQ661" i="14"/>
  <c r="BF659" i="14"/>
  <c r="AH318" i="14"/>
  <c r="AN160" i="14"/>
  <c r="AN622" i="14" s="1"/>
  <c r="BA314" i="14"/>
  <c r="AN237" i="14"/>
  <c r="BR170" i="14"/>
  <c r="BR632" i="14" s="1"/>
  <c r="AB324" i="14"/>
  <c r="BR562" i="14"/>
  <c r="BW179" i="14"/>
  <c r="BW641" i="14" s="1"/>
  <c r="AW332" i="14"/>
  <c r="BP593" i="14"/>
  <c r="BR269" i="14"/>
  <c r="BR192" i="14"/>
  <c r="BR346" i="14" s="1"/>
  <c r="BW564" i="14"/>
  <c r="AI244" i="14"/>
  <c r="W659" i="14"/>
  <c r="AI167" i="14"/>
  <c r="AI321" i="14" s="1"/>
  <c r="BV626" i="14"/>
  <c r="W335" i="14"/>
  <c r="BM188" i="14"/>
  <c r="BM650" i="14" s="1"/>
  <c r="C345" i="14"/>
  <c r="BH140" i="14"/>
  <c r="BH602" i="14" s="1"/>
  <c r="N290" i="14"/>
  <c r="BH217" i="14"/>
  <c r="BG323" i="14"/>
  <c r="AL323" i="14"/>
  <c r="N350" i="14"/>
  <c r="BH152" i="14"/>
  <c r="BH614" i="14" s="1"/>
  <c r="BH229" i="14"/>
  <c r="BB329" i="14"/>
  <c r="BB659" i="14"/>
  <c r="BA660" i="14"/>
  <c r="Y181" i="14"/>
  <c r="Y643" i="14" s="1"/>
  <c r="BC556" i="14"/>
  <c r="Y258" i="14"/>
  <c r="BK338" i="14"/>
  <c r="BC248" i="14"/>
  <c r="AV353" i="14"/>
  <c r="BP317" i="14"/>
  <c r="AX174" i="14"/>
  <c r="AX636" i="14" s="1"/>
  <c r="BU641" i="14"/>
  <c r="AM519" i="14"/>
  <c r="AX559" i="14"/>
  <c r="BU285" i="14"/>
  <c r="AG137" i="14"/>
  <c r="AG291" i="14" s="1"/>
  <c r="AG214" i="14"/>
  <c r="BF631" i="14"/>
  <c r="I189" i="14"/>
  <c r="I651" i="14" s="1"/>
  <c r="X338" i="14"/>
  <c r="I266" i="14"/>
  <c r="BV322" i="14"/>
  <c r="BM573" i="14"/>
  <c r="AN172" i="14"/>
  <c r="AN326" i="14" s="1"/>
  <c r="BL344" i="14"/>
  <c r="AL310" i="14"/>
  <c r="AN557" i="14"/>
  <c r="BW139" i="14"/>
  <c r="BW293" i="14" s="1"/>
  <c r="BU614" i="14"/>
  <c r="AR161" i="14"/>
  <c r="AR315" i="14" s="1"/>
  <c r="BW216" i="14"/>
  <c r="BU313" i="14"/>
  <c r="AR238" i="14"/>
  <c r="BF339" i="14"/>
  <c r="BK340" i="14"/>
  <c r="BH542" i="14"/>
  <c r="BL354" i="14"/>
  <c r="AH354" i="14"/>
  <c r="AM323" i="14"/>
  <c r="AQ286" i="14"/>
  <c r="BL342" i="14"/>
  <c r="BM559" i="14"/>
  <c r="BV286" i="14"/>
  <c r="BK306" i="14"/>
  <c r="BK320" i="14"/>
  <c r="R350" i="14"/>
  <c r="I145" i="14"/>
  <c r="I607" i="14" s="1"/>
  <c r="X292" i="14"/>
  <c r="X332" i="14"/>
  <c r="AG349" i="14"/>
  <c r="I222" i="14"/>
  <c r="M24" i="14"/>
  <c r="M54" i="14" s="1"/>
  <c r="BG615" i="14"/>
  <c r="BQ332" i="14"/>
  <c r="AB340" i="14"/>
  <c r="W326" i="14"/>
  <c r="M53" i="14"/>
  <c r="M211" i="14" s="1"/>
  <c r="BL319" i="14"/>
  <c r="AB343" i="14"/>
  <c r="M286" i="14"/>
  <c r="BF311" i="14"/>
  <c r="BP291" i="14"/>
  <c r="AM152" i="14"/>
  <c r="BK332" i="14"/>
  <c r="AM229" i="14"/>
  <c r="BG343" i="14"/>
  <c r="BR134" i="14"/>
  <c r="BR596" i="14" s="1"/>
  <c r="BF342" i="14"/>
  <c r="AL614" i="14"/>
  <c r="AI273" i="14"/>
  <c r="BA347" i="14"/>
  <c r="BR211" i="14"/>
  <c r="AI196" i="14"/>
  <c r="AI658" i="14" s="1"/>
  <c r="W639" i="14"/>
  <c r="BM174" i="14"/>
  <c r="BM636" i="14" s="1"/>
  <c r="AI179" i="14"/>
  <c r="AI641" i="14" s="1"/>
  <c r="W286" i="14"/>
  <c r="BM186" i="14"/>
  <c r="BM648" i="14" s="1"/>
  <c r="BF306" i="14"/>
  <c r="AB307" i="14"/>
  <c r="BM263" i="14"/>
  <c r="BV310" i="14"/>
  <c r="S594" i="14"/>
  <c r="BW244" i="14"/>
  <c r="BW552" i="14"/>
  <c r="AR287" i="14"/>
  <c r="BM182" i="14"/>
  <c r="BM644" i="14" s="1"/>
  <c r="BM567" i="14"/>
  <c r="BR272" i="14"/>
  <c r="BA333" i="14"/>
  <c r="BR195" i="14"/>
  <c r="BR657" i="14" s="1"/>
  <c r="AI174" i="14"/>
  <c r="AI636" i="14" s="1"/>
  <c r="C334" i="14"/>
  <c r="AI559" i="14"/>
  <c r="AM327" i="14"/>
  <c r="AB332" i="14"/>
  <c r="AM286" i="14"/>
  <c r="AG321" i="14"/>
  <c r="BF287" i="14"/>
  <c r="BA330" i="14"/>
  <c r="AI256" i="14"/>
  <c r="C286" i="14"/>
  <c r="BH157" i="14"/>
  <c r="BH619" i="14" s="1"/>
  <c r="BK339" i="14"/>
  <c r="BP321" i="14"/>
  <c r="AB329" i="14"/>
  <c r="AH350" i="14"/>
  <c r="BF354" i="14"/>
  <c r="D347" i="14"/>
  <c r="BA321" i="14"/>
  <c r="S349" i="14"/>
  <c r="AM319" i="14"/>
  <c r="BP292" i="14"/>
  <c r="AC328" i="14"/>
  <c r="AM134" i="14"/>
  <c r="AM596" i="14" s="1"/>
  <c r="AV329" i="14"/>
  <c r="BH658" i="14"/>
  <c r="BW314" i="14"/>
  <c r="BW310" i="14"/>
  <c r="BR313" i="14"/>
  <c r="BM596" i="14"/>
  <c r="BW294" i="14"/>
  <c r="AN656" i="14"/>
  <c r="BH331" i="14"/>
  <c r="AX597" i="14"/>
  <c r="BM292" i="14"/>
  <c r="BR629" i="14"/>
  <c r="AD658" i="14"/>
  <c r="Y339" i="14"/>
  <c r="BW626" i="14"/>
  <c r="BH346" i="14"/>
  <c r="O349" i="14"/>
  <c r="AI638" i="14"/>
  <c r="E351" i="14"/>
  <c r="AI274" i="14"/>
  <c r="AI197" i="14"/>
  <c r="AI659" i="14" s="1"/>
  <c r="Y343" i="14"/>
  <c r="BM349" i="14"/>
  <c r="BR289" i="14"/>
  <c r="BH342" i="14"/>
  <c r="BQ604" i="14"/>
  <c r="BQ296" i="14"/>
  <c r="AG325" i="14"/>
  <c r="BG603" i="14"/>
  <c r="W341" i="14"/>
  <c r="AV317" i="14"/>
  <c r="BU328" i="14"/>
  <c r="BC347" i="14"/>
  <c r="AI318" i="14"/>
  <c r="BM320" i="14"/>
  <c r="Y344" i="14"/>
  <c r="BR617" i="14"/>
  <c r="BH340" i="14"/>
  <c r="AN311" i="14"/>
  <c r="BH344" i="14"/>
  <c r="E347" i="14"/>
  <c r="Y342" i="14"/>
  <c r="BM312" i="14"/>
  <c r="BH327" i="14"/>
  <c r="Y583" i="14"/>
  <c r="E344" i="14"/>
  <c r="AD574" i="14"/>
  <c r="BH341" i="14"/>
  <c r="Y198" i="14"/>
  <c r="Y660" i="14" s="1"/>
  <c r="AD266" i="14"/>
  <c r="BH646" i="14"/>
  <c r="Y347" i="14"/>
  <c r="AN327" i="14"/>
  <c r="BR293" i="14"/>
  <c r="Y351" i="14"/>
  <c r="BM173" i="14"/>
  <c r="BM635" i="14" s="1"/>
  <c r="BH323" i="14"/>
  <c r="BW306" i="14"/>
  <c r="BW288" i="14"/>
  <c r="BM316" i="14"/>
  <c r="AN323" i="14"/>
  <c r="Y346" i="14"/>
  <c r="Y341" i="14"/>
  <c r="AI326" i="14"/>
  <c r="BC314" i="14"/>
  <c r="BC638" i="14"/>
  <c r="AI349" i="14"/>
  <c r="Y177" i="14"/>
  <c r="Y639" i="14" s="1"/>
  <c r="BC159" i="14"/>
  <c r="BC313" i="14" s="1"/>
  <c r="Y254" i="14"/>
  <c r="BH354" i="14"/>
  <c r="BC236" i="14"/>
  <c r="BM261" i="14"/>
  <c r="BM184" i="14"/>
  <c r="BM338" i="14" s="1"/>
  <c r="AX321" i="14"/>
  <c r="AD265" i="14"/>
  <c r="AI171" i="14"/>
  <c r="AI633" i="14" s="1"/>
  <c r="AI248" i="14"/>
  <c r="AX625" i="14"/>
  <c r="BR625" i="14"/>
  <c r="BC602" i="14"/>
  <c r="BC560" i="14"/>
  <c r="AD329" i="14"/>
  <c r="BC175" i="14"/>
  <c r="BC637" i="14" s="1"/>
  <c r="AD573" i="14"/>
  <c r="BC318" i="14"/>
  <c r="BM250" i="14"/>
  <c r="BR126" i="14"/>
  <c r="BR592" i="14" s="1"/>
  <c r="BH582" i="14"/>
  <c r="BM185" i="14"/>
  <c r="BM647" i="14" s="1"/>
  <c r="BH197" i="14"/>
  <c r="BH659" i="14" s="1"/>
  <c r="BM262" i="14"/>
  <c r="BM563" i="14"/>
  <c r="BM178" i="14"/>
  <c r="BM255" i="14"/>
  <c r="AN546" i="14"/>
  <c r="AN161" i="14"/>
  <c r="AN238" i="14"/>
  <c r="BH153" i="14"/>
  <c r="BH538" i="14"/>
  <c r="BH230" i="14"/>
  <c r="BL623" i="14"/>
  <c r="BL315" i="14"/>
  <c r="X599" i="14"/>
  <c r="N519" i="14"/>
  <c r="N211" i="14"/>
  <c r="N134" i="14"/>
  <c r="BM555" i="14"/>
  <c r="BM170" i="14"/>
  <c r="BM247" i="14"/>
  <c r="E30" i="14"/>
  <c r="D60" i="14" s="1"/>
  <c r="D57" i="14"/>
  <c r="BH189" i="14"/>
  <c r="BH574" i="14"/>
  <c r="BH266" i="14"/>
  <c r="J581" i="14"/>
  <c r="J273" i="14"/>
  <c r="J196" i="14"/>
  <c r="AN550" i="14"/>
  <c r="AN242" i="14"/>
  <c r="AN165" i="14"/>
  <c r="AA663" i="14"/>
  <c r="BW521" i="14"/>
  <c r="BW136" i="14"/>
  <c r="BW213" i="14"/>
  <c r="BR556" i="14"/>
  <c r="BR248" i="14"/>
  <c r="BR171" i="14"/>
  <c r="AD248" i="14"/>
  <c r="AD171" i="14"/>
  <c r="AD556" i="14"/>
  <c r="L355" i="14"/>
  <c r="BW174" i="14"/>
  <c r="BW636" i="14" s="1"/>
  <c r="BU598" i="14"/>
  <c r="BU290" i="14"/>
  <c r="Y255" i="14"/>
  <c r="Y178" i="14"/>
  <c r="Y563" i="14"/>
  <c r="I654" i="14"/>
  <c r="I346" i="14"/>
  <c r="AB325" i="14"/>
  <c r="BW559" i="14"/>
  <c r="AR523" i="14"/>
  <c r="AR215" i="14"/>
  <c r="AR138" i="14"/>
  <c r="Y251" i="14"/>
  <c r="Y174" i="14"/>
  <c r="Y559" i="14"/>
  <c r="BG330" i="14"/>
  <c r="BG638" i="14"/>
  <c r="BH550" i="14"/>
  <c r="BH242" i="14"/>
  <c r="BH165" i="14"/>
  <c r="Y571" i="14"/>
  <c r="Y186" i="14"/>
  <c r="Y263" i="14"/>
  <c r="BE355" i="14"/>
  <c r="AR519" i="14"/>
  <c r="AR211" i="14"/>
  <c r="AR134" i="14"/>
  <c r="V663" i="14"/>
  <c r="N523" i="14"/>
  <c r="N215" i="14"/>
  <c r="N138" i="14"/>
  <c r="D211" i="14"/>
  <c r="D134" i="14"/>
  <c r="D519" i="14"/>
  <c r="AX175" i="14"/>
  <c r="AX560" i="14"/>
  <c r="AX252" i="14"/>
  <c r="BH238" i="14"/>
  <c r="BH546" i="14"/>
  <c r="BH161" i="14"/>
  <c r="M626" i="14"/>
  <c r="M318" i="14"/>
  <c r="AM625" i="14"/>
  <c r="AM317" i="14"/>
  <c r="AM613" i="14"/>
  <c r="AM305" i="14"/>
  <c r="D614" i="14"/>
  <c r="D306" i="14"/>
  <c r="BB538" i="14"/>
  <c r="BB153" i="14"/>
  <c r="BB230" i="14"/>
  <c r="AB616" i="14"/>
  <c r="AB308" i="14"/>
  <c r="M617" i="14"/>
  <c r="M309" i="14"/>
  <c r="R621" i="14"/>
  <c r="R313" i="14"/>
  <c r="AX631" i="14"/>
  <c r="AX323" i="14"/>
  <c r="BL641" i="14"/>
  <c r="BL333" i="14"/>
  <c r="BC566" i="14"/>
  <c r="BC181" i="14"/>
  <c r="BC258" i="14"/>
  <c r="N660" i="14"/>
  <c r="N352" i="14"/>
  <c r="AW598" i="14"/>
  <c r="AW290" i="14"/>
  <c r="BW535" i="14"/>
  <c r="BW227" i="14"/>
  <c r="BW150" i="14"/>
  <c r="BL540" i="14"/>
  <c r="BL232" i="14"/>
  <c r="BL155" i="14"/>
  <c r="AR554" i="14"/>
  <c r="AR246" i="14"/>
  <c r="AR169" i="14"/>
  <c r="AQ631" i="14"/>
  <c r="AQ323" i="14"/>
  <c r="BU653" i="14"/>
  <c r="BU345" i="14"/>
  <c r="AX525" i="14"/>
  <c r="AX217" i="14"/>
  <c r="AX140" i="14"/>
  <c r="D535" i="14"/>
  <c r="D227" i="14"/>
  <c r="D150" i="14"/>
  <c r="X536" i="14"/>
  <c r="X228" i="14"/>
  <c r="X151" i="14"/>
  <c r="BT355" i="14"/>
  <c r="Q355" i="14"/>
  <c r="M618" i="14"/>
  <c r="M310" i="14"/>
  <c r="BR569" i="14"/>
  <c r="BR261" i="14"/>
  <c r="BR184" i="14"/>
  <c r="AH648" i="14"/>
  <c r="AH340" i="14"/>
  <c r="H657" i="14"/>
  <c r="H349" i="14"/>
  <c r="T661" i="14"/>
  <c r="T353" i="14"/>
  <c r="AL662" i="14"/>
  <c r="AL354" i="14"/>
  <c r="AC523" i="14"/>
  <c r="AC215" i="14"/>
  <c r="AC138" i="14"/>
  <c r="AZ355" i="14"/>
  <c r="BV624" i="14"/>
  <c r="BV316" i="14"/>
  <c r="M631" i="14"/>
  <c r="M323" i="14"/>
  <c r="BC577" i="14"/>
  <c r="BC269" i="14"/>
  <c r="BC192" i="14"/>
  <c r="BE663" i="14"/>
  <c r="BK593" i="14"/>
  <c r="BK285" i="14"/>
  <c r="BB596" i="14"/>
  <c r="BB288" i="14"/>
  <c r="BL602" i="14"/>
  <c r="BL294" i="14"/>
  <c r="BC526" i="14"/>
  <c r="BC218" i="14"/>
  <c r="BC141" i="14"/>
  <c r="BM603" i="14"/>
  <c r="BM295" i="14"/>
  <c r="BU605" i="14"/>
  <c r="BU297" i="14"/>
  <c r="I531" i="14"/>
  <c r="I223" i="14"/>
  <c r="I146" i="14"/>
  <c r="R610" i="14"/>
  <c r="R302" i="14"/>
  <c r="AW535" i="14"/>
  <c r="AW227" i="14"/>
  <c r="AW150" i="14"/>
  <c r="BB539" i="14"/>
  <c r="BB231" i="14"/>
  <c r="BB154" i="14"/>
  <c r="S540" i="14"/>
  <c r="S232" i="14"/>
  <c r="S155" i="14"/>
  <c r="BG617" i="14"/>
  <c r="BG309" i="14"/>
  <c r="BR541" i="14"/>
  <c r="BR233" i="14"/>
  <c r="BR156" i="14"/>
  <c r="BL621" i="14"/>
  <c r="BL313" i="14"/>
  <c r="I550" i="14"/>
  <c r="I242" i="14"/>
  <c r="I165" i="14"/>
  <c r="BA627" i="14"/>
  <c r="BA319" i="14"/>
  <c r="AN630" i="14"/>
  <c r="AN322" i="14"/>
  <c r="BA631" i="14"/>
  <c r="BA323" i="14"/>
  <c r="BK633" i="14"/>
  <c r="BK325" i="14"/>
  <c r="S563" i="14"/>
  <c r="S255" i="14"/>
  <c r="S178" i="14"/>
  <c r="BU644" i="14"/>
  <c r="BU336" i="14"/>
  <c r="H647" i="14"/>
  <c r="H339" i="14"/>
  <c r="AG650" i="14"/>
  <c r="AG342" i="14"/>
  <c r="M652" i="14"/>
  <c r="M344" i="14"/>
  <c r="BU654" i="14"/>
  <c r="BU346" i="14"/>
  <c r="AC657" i="14"/>
  <c r="AC349" i="14"/>
  <c r="BC580" i="14"/>
  <c r="BC272" i="14"/>
  <c r="BC195" i="14"/>
  <c r="BT663" i="14"/>
  <c r="B663" i="14"/>
  <c r="AP663" i="14"/>
  <c r="BR631" i="14"/>
  <c r="BR323" i="14"/>
  <c r="M649" i="14"/>
  <c r="M341" i="14"/>
  <c r="R639" i="14"/>
  <c r="R331" i="14"/>
  <c r="S528" i="14"/>
  <c r="S220" i="14"/>
  <c r="S143" i="14"/>
  <c r="AW530" i="14"/>
  <c r="AW222" i="14"/>
  <c r="AW145" i="14"/>
  <c r="BV531" i="14"/>
  <c r="BV223" i="14"/>
  <c r="BV146" i="14"/>
  <c r="X533" i="14"/>
  <c r="X148" i="14"/>
  <c r="X225" i="14"/>
  <c r="BQ534" i="14"/>
  <c r="BQ226" i="14"/>
  <c r="BQ149" i="14"/>
  <c r="BL538" i="14"/>
  <c r="BL153" i="14"/>
  <c r="BL230" i="14"/>
  <c r="I543" i="14"/>
  <c r="I235" i="14"/>
  <c r="I158" i="14"/>
  <c r="D548" i="14"/>
  <c r="D240" i="14"/>
  <c r="D163" i="14"/>
  <c r="W626" i="14"/>
  <c r="W318" i="14"/>
  <c r="D550" i="14"/>
  <c r="D242" i="14"/>
  <c r="D165" i="14"/>
  <c r="AR553" i="14"/>
  <c r="AR245" i="14"/>
  <c r="AR168" i="14"/>
  <c r="AD635" i="14"/>
  <c r="AD327" i="14"/>
  <c r="AQ638" i="14"/>
  <c r="AQ330" i="14"/>
  <c r="BV643" i="14"/>
  <c r="BV335" i="14"/>
  <c r="BR644" i="14"/>
  <c r="BR336" i="14"/>
  <c r="AM646" i="14"/>
  <c r="AM338" i="14"/>
  <c r="AN570" i="14"/>
  <c r="AN262" i="14"/>
  <c r="AN185" i="14"/>
  <c r="AM651" i="14"/>
  <c r="AM343" i="14"/>
  <c r="R652" i="14"/>
  <c r="R344" i="14"/>
  <c r="W519" i="14"/>
  <c r="W211" i="14"/>
  <c r="W134" i="14"/>
  <c r="BG593" i="14"/>
  <c r="BG285" i="14"/>
  <c r="BK597" i="14"/>
  <c r="BK289" i="14"/>
  <c r="BM524" i="14"/>
  <c r="BM216" i="14"/>
  <c r="BM139" i="14"/>
  <c r="AH541" i="14"/>
  <c r="AH156" i="14"/>
  <c r="AH233" i="14"/>
  <c r="BF607" i="14"/>
  <c r="BF299" i="14"/>
  <c r="AG605" i="14"/>
  <c r="AG297" i="14"/>
  <c r="Y602" i="14"/>
  <c r="Y294" i="14"/>
  <c r="N533" i="14"/>
  <c r="N148" i="14"/>
  <c r="N225" i="14"/>
  <c r="X550" i="14"/>
  <c r="X242" i="14"/>
  <c r="X165" i="14"/>
  <c r="W627" i="14"/>
  <c r="W319" i="14"/>
  <c r="H642" i="14"/>
  <c r="H334" i="14"/>
  <c r="S644" i="14"/>
  <c r="S336" i="14"/>
  <c r="AL307" i="14"/>
  <c r="AL615" i="14"/>
  <c r="BH539" i="14"/>
  <c r="BH231" i="14"/>
  <c r="BH154" i="14"/>
  <c r="AH546" i="14"/>
  <c r="AH161" i="14"/>
  <c r="AH238" i="14"/>
  <c r="AR550" i="14"/>
  <c r="AR242" i="14"/>
  <c r="AR165" i="14"/>
  <c r="AQ627" i="14"/>
  <c r="AQ319" i="14"/>
  <c r="N252" i="14"/>
  <c r="N560" i="14"/>
  <c r="N175" i="14"/>
  <c r="H645" i="14"/>
  <c r="H337" i="14"/>
  <c r="AD653" i="14"/>
  <c r="AD345" i="14"/>
  <c r="BH655" i="14"/>
  <c r="BH347" i="14"/>
  <c r="BG656" i="14"/>
  <c r="BG348" i="14"/>
  <c r="M523" i="14"/>
  <c r="M215" i="14"/>
  <c r="M138" i="14"/>
  <c r="AL594" i="14"/>
  <c r="AL286" i="14"/>
  <c r="BA606" i="14"/>
  <c r="BA298" i="14"/>
  <c r="X539" i="14"/>
  <c r="X231" i="14"/>
  <c r="X154" i="14"/>
  <c r="AR543" i="14"/>
  <c r="AR235" i="14"/>
  <c r="AR158" i="14"/>
  <c r="AR528" i="14"/>
  <c r="AR220" i="14"/>
  <c r="AR143" i="14"/>
  <c r="BK616" i="14"/>
  <c r="BK308" i="14"/>
  <c r="I144" i="14"/>
  <c r="I221" i="14"/>
  <c r="I529" i="14"/>
  <c r="BP610" i="14"/>
  <c r="BP302" i="14"/>
  <c r="BU611" i="14"/>
  <c r="BU303" i="14"/>
  <c r="G663" i="14"/>
  <c r="BR615" i="14"/>
  <c r="BR307" i="14"/>
  <c r="R617" i="14"/>
  <c r="R309" i="14"/>
  <c r="AG620" i="14"/>
  <c r="AG312" i="14"/>
  <c r="AV626" i="14"/>
  <c r="AV318" i="14"/>
  <c r="AN551" i="14"/>
  <c r="AN243" i="14"/>
  <c r="AN166" i="14"/>
  <c r="BH629" i="14"/>
  <c r="BH321" i="14"/>
  <c r="AB326" i="14"/>
  <c r="AB634" i="14"/>
  <c r="BF640" i="14"/>
  <c r="BF332" i="14"/>
  <c r="H646" i="14"/>
  <c r="H338" i="14"/>
  <c r="BW569" i="14"/>
  <c r="BW261" i="14"/>
  <c r="BW184" i="14"/>
  <c r="T570" i="14"/>
  <c r="T262" i="14"/>
  <c r="T185" i="14"/>
  <c r="AD647" i="14"/>
  <c r="AD339" i="14"/>
  <c r="S649" i="14"/>
  <c r="S341" i="14"/>
  <c r="BV651" i="14"/>
  <c r="BV343" i="14"/>
  <c r="T578" i="14"/>
  <c r="T270" i="14"/>
  <c r="T193" i="14"/>
  <c r="AD655" i="14"/>
  <c r="AD347" i="14"/>
  <c r="M656" i="14"/>
  <c r="M348" i="14"/>
  <c r="AH659" i="14"/>
  <c r="AH351" i="14"/>
  <c r="BG660" i="14"/>
  <c r="BG352" i="14"/>
  <c r="H609" i="14"/>
  <c r="H301" i="14"/>
  <c r="AW228" i="14"/>
  <c r="AW151" i="14"/>
  <c r="AW536" i="14"/>
  <c r="AV621" i="14"/>
  <c r="AV313" i="14"/>
  <c r="H641" i="14"/>
  <c r="H333" i="14"/>
  <c r="M642" i="14"/>
  <c r="M334" i="14"/>
  <c r="BF643" i="14"/>
  <c r="BF335" i="14"/>
  <c r="BH568" i="14"/>
  <c r="BH260" i="14"/>
  <c r="BH183" i="14"/>
  <c r="W646" i="14"/>
  <c r="W338" i="14"/>
  <c r="BP613" i="14"/>
  <c r="BP305" i="14"/>
  <c r="I232" i="14"/>
  <c r="I540" i="14"/>
  <c r="I155" i="14"/>
  <c r="AR563" i="14"/>
  <c r="AR255" i="14"/>
  <c r="AR178" i="14"/>
  <c r="BH567" i="14"/>
  <c r="BH259" i="14"/>
  <c r="BH182" i="14"/>
  <c r="C651" i="14"/>
  <c r="C343" i="14"/>
  <c r="AH600" i="14"/>
  <c r="AH292" i="14"/>
  <c r="BR599" i="14"/>
  <c r="BR291" i="14"/>
  <c r="AQ523" i="14"/>
  <c r="AQ215" i="14"/>
  <c r="AQ138" i="14"/>
  <c r="I596" i="14"/>
  <c r="I288" i="14"/>
  <c r="AL646" i="14"/>
  <c r="AL338" i="14"/>
  <c r="BH660" i="14"/>
  <c r="BH352" i="14"/>
  <c r="AU663" i="14"/>
  <c r="BO663" i="14"/>
  <c r="AL629" i="14"/>
  <c r="AL321" i="14"/>
  <c r="AM633" i="14"/>
  <c r="AM325" i="14"/>
  <c r="BB646" i="14"/>
  <c r="BB338" i="14"/>
  <c r="AP355" i="14"/>
  <c r="BL531" i="14"/>
  <c r="BL223" i="14"/>
  <c r="BL146" i="14"/>
  <c r="AB614" i="14"/>
  <c r="AB306" i="14"/>
  <c r="C643" i="14"/>
  <c r="C335" i="14"/>
  <c r="AW650" i="14"/>
  <c r="AW342" i="14"/>
  <c r="AV609" i="14"/>
  <c r="AV301" i="14"/>
  <c r="J585" i="14"/>
  <c r="J277" i="14"/>
  <c r="J200" i="14"/>
  <c r="AB24" i="14"/>
  <c r="AB53" i="14"/>
  <c r="AB27" i="14"/>
  <c r="AB57" i="14" s="1"/>
  <c r="S550" i="14"/>
  <c r="S242" i="14"/>
  <c r="S165" i="14"/>
  <c r="BR525" i="14"/>
  <c r="BR217" i="14"/>
  <c r="BR140" i="14"/>
  <c r="AH631" i="14"/>
  <c r="AH323" i="14"/>
  <c r="T585" i="14"/>
  <c r="T277" i="14"/>
  <c r="T200" i="14"/>
  <c r="AW618" i="14"/>
  <c r="AW310" i="14"/>
  <c r="BW547" i="14"/>
  <c r="BW239" i="14"/>
  <c r="BW162" i="14"/>
  <c r="AX640" i="14"/>
  <c r="AX332" i="14"/>
  <c r="M646" i="14"/>
  <c r="M338" i="14"/>
  <c r="AD584" i="14"/>
  <c r="AD276" i="14"/>
  <c r="AD199" i="14"/>
  <c r="I619" i="14"/>
  <c r="I311" i="14"/>
  <c r="BQ622" i="14"/>
  <c r="BQ314" i="14"/>
  <c r="AV623" i="14"/>
  <c r="AV315" i="14"/>
  <c r="AN578" i="14"/>
  <c r="AN270" i="14"/>
  <c r="AN193" i="14"/>
  <c r="BP623" i="14"/>
  <c r="BP315" i="14"/>
  <c r="R626" i="14"/>
  <c r="R318" i="14"/>
  <c r="D334" i="14"/>
  <c r="C616" i="14"/>
  <c r="C308" i="14"/>
  <c r="AQ608" i="14"/>
  <c r="AQ300" i="14"/>
  <c r="BQ606" i="14"/>
  <c r="BQ298" i="14"/>
  <c r="N611" i="14"/>
  <c r="N303" i="14"/>
  <c r="I622" i="14"/>
  <c r="I314" i="14"/>
  <c r="Y638" i="14"/>
  <c r="Y330" i="14"/>
  <c r="AN255" i="14"/>
  <c r="AN563" i="14"/>
  <c r="AN178" i="14"/>
  <c r="O659" i="14"/>
  <c r="O351" i="14"/>
  <c r="AC220" i="14"/>
  <c r="AC528" i="14"/>
  <c r="AC143" i="14"/>
  <c r="AV617" i="14"/>
  <c r="AV309" i="14"/>
  <c r="AB625" i="14"/>
  <c r="AB317" i="14"/>
  <c r="AR559" i="14"/>
  <c r="AR174" i="14"/>
  <c r="AR251" i="14"/>
  <c r="AD564" i="14"/>
  <c r="AD256" i="14"/>
  <c r="AD179" i="14"/>
  <c r="BU642" i="14"/>
  <c r="BU334" i="14"/>
  <c r="Y568" i="14"/>
  <c r="Y260" i="14"/>
  <c r="Y183" i="14"/>
  <c r="I600" i="14"/>
  <c r="I292" i="14"/>
  <c r="T569" i="14"/>
  <c r="T184" i="14"/>
  <c r="T261" i="14"/>
  <c r="BW581" i="14"/>
  <c r="BW273" i="14"/>
  <c r="BW196" i="14"/>
  <c r="N561" i="14"/>
  <c r="N253" i="14"/>
  <c r="N176" i="14"/>
  <c r="M606" i="14"/>
  <c r="M298" i="14"/>
  <c r="C617" i="14"/>
  <c r="C309" i="14"/>
  <c r="AQ617" i="14"/>
  <c r="AQ309" i="14"/>
  <c r="M628" i="14"/>
  <c r="M320" i="14"/>
  <c r="AI554" i="14"/>
  <c r="AI246" i="14"/>
  <c r="AI169" i="14"/>
  <c r="BR636" i="14"/>
  <c r="BR328" i="14"/>
  <c r="BG641" i="14"/>
  <c r="BG333" i="14"/>
  <c r="BA617" i="14"/>
  <c r="BA309" i="14"/>
  <c r="BP622" i="14"/>
  <c r="BP314" i="14"/>
  <c r="W625" i="14"/>
  <c r="W317" i="14"/>
  <c r="C633" i="14"/>
  <c r="C325" i="14"/>
  <c r="X634" i="14"/>
  <c r="X326" i="14"/>
  <c r="AV634" i="14"/>
  <c r="AV326" i="14"/>
  <c r="AX647" i="14"/>
  <c r="AX339" i="14"/>
  <c r="BQ647" i="14"/>
  <c r="BQ339" i="14"/>
  <c r="AW652" i="14"/>
  <c r="AW344" i="14"/>
  <c r="M660" i="14"/>
  <c r="M352" i="14"/>
  <c r="AG523" i="14"/>
  <c r="AG215" i="14"/>
  <c r="AG138" i="14"/>
  <c r="AC547" i="14"/>
  <c r="AC239" i="14"/>
  <c r="AC162" i="14"/>
  <c r="AB639" i="14"/>
  <c r="AB331" i="14"/>
  <c r="BR568" i="14"/>
  <c r="BR260" i="14"/>
  <c r="BR183" i="14"/>
  <c r="S654" i="14"/>
  <c r="S346" i="14"/>
  <c r="Y581" i="14"/>
  <c r="Y273" i="14"/>
  <c r="Y196" i="14"/>
  <c r="J584" i="14"/>
  <c r="J199" i="14"/>
  <c r="J276" i="14"/>
  <c r="AC661" i="14"/>
  <c r="AC353" i="14"/>
  <c r="BP662" i="14"/>
  <c r="BP354" i="14"/>
  <c r="B355" i="14"/>
  <c r="AK663" i="14"/>
  <c r="AR617" i="14"/>
  <c r="AR309" i="14"/>
  <c r="BQ652" i="14"/>
  <c r="BQ344" i="14"/>
  <c r="AX585" i="14"/>
  <c r="AX277" i="14"/>
  <c r="AX200" i="14"/>
  <c r="AR629" i="14"/>
  <c r="AR321" i="14"/>
  <c r="AC606" i="14"/>
  <c r="AC298" i="14"/>
  <c r="AC315" i="14"/>
  <c r="AC623" i="14"/>
  <c r="AR530" i="14"/>
  <c r="AR222" i="14"/>
  <c r="AR145" i="14"/>
  <c r="AV608" i="14"/>
  <c r="AV300" i="14"/>
  <c r="AL299" i="14"/>
  <c r="AL607" i="14"/>
  <c r="BK625" i="14"/>
  <c r="BK317" i="14"/>
  <c r="W595" i="14"/>
  <c r="W287" i="14"/>
  <c r="D543" i="14"/>
  <c r="D235" i="14"/>
  <c r="D158" i="14"/>
  <c r="W624" i="14"/>
  <c r="W316" i="14"/>
  <c r="AR609" i="14"/>
  <c r="AR301" i="14"/>
  <c r="AQ613" i="14"/>
  <c r="AQ305" i="14"/>
  <c r="BP614" i="14"/>
  <c r="BP306" i="14"/>
  <c r="S628" i="14"/>
  <c r="S320" i="14"/>
  <c r="AD651" i="14"/>
  <c r="AD343" i="14"/>
  <c r="N654" i="14"/>
  <c r="N346" i="14"/>
  <c r="I236" i="14"/>
  <c r="I159" i="14"/>
  <c r="I544" i="14"/>
  <c r="I252" i="14"/>
  <c r="I175" i="14"/>
  <c r="I560" i="14"/>
  <c r="C648" i="14"/>
  <c r="C340" i="14"/>
  <c r="S596" i="14"/>
  <c r="S288" i="14"/>
  <c r="BP626" i="14"/>
  <c r="BP318" i="14"/>
  <c r="N639" i="14"/>
  <c r="N331" i="14"/>
  <c r="BQ642" i="14"/>
  <c r="BQ334" i="14"/>
  <c r="N553" i="14"/>
  <c r="N245" i="14"/>
  <c r="N168" i="14"/>
  <c r="D617" i="14"/>
  <c r="D309" i="14"/>
  <c r="BL659" i="14"/>
  <c r="BL351" i="14"/>
  <c r="BB528" i="14"/>
  <c r="BB220" i="14"/>
  <c r="BB143" i="14"/>
  <c r="S537" i="14"/>
  <c r="S229" i="14"/>
  <c r="S152" i="14"/>
  <c r="BG625" i="14"/>
  <c r="BG317" i="14"/>
  <c r="AQ642" i="14"/>
  <c r="AQ334" i="14"/>
  <c r="BB624" i="14"/>
  <c r="BB316" i="14"/>
  <c r="BQ627" i="14"/>
  <c r="BQ319" i="14"/>
  <c r="BB632" i="14"/>
  <c r="BB324" i="14"/>
  <c r="BC576" i="14"/>
  <c r="BC268" i="14"/>
  <c r="BC191" i="14"/>
  <c r="AM604" i="14"/>
  <c r="AM296" i="14"/>
  <c r="AM620" i="14"/>
  <c r="AM312" i="14"/>
  <c r="N623" i="14"/>
  <c r="N315" i="14"/>
  <c r="BA611" i="14"/>
  <c r="BA303" i="14"/>
  <c r="BA616" i="14"/>
  <c r="BA308" i="14"/>
  <c r="AM621" i="14"/>
  <c r="AM313" i="14"/>
  <c r="AM624" i="14"/>
  <c r="AM316" i="14"/>
  <c r="BG632" i="14"/>
  <c r="BG324" i="14"/>
  <c r="N640" i="14"/>
  <c r="N332" i="14"/>
  <c r="AW659" i="14"/>
  <c r="AW351" i="14"/>
  <c r="AQ628" i="14"/>
  <c r="AQ320" i="14"/>
  <c r="AQ632" i="14"/>
  <c r="AQ324" i="14"/>
  <c r="D567" i="14"/>
  <c r="D182" i="14"/>
  <c r="D259" i="14"/>
  <c r="D261" i="14"/>
  <c r="D569" i="14"/>
  <c r="D184" i="14"/>
  <c r="BC640" i="14"/>
  <c r="BC332" i="14"/>
  <c r="C523" i="14"/>
  <c r="C215" i="14"/>
  <c r="C138" i="14"/>
  <c r="AV620" i="14"/>
  <c r="AV312" i="14"/>
  <c r="S546" i="14"/>
  <c r="S238" i="14"/>
  <c r="S161" i="14"/>
  <c r="AM528" i="14"/>
  <c r="AM220" i="14"/>
  <c r="AM143" i="14"/>
  <c r="S532" i="14"/>
  <c r="S224" i="14"/>
  <c r="S147" i="14"/>
  <c r="AR548" i="14"/>
  <c r="AR240" i="14"/>
  <c r="AR163" i="14"/>
  <c r="BR553" i="14"/>
  <c r="BR245" i="14"/>
  <c r="BR168" i="14"/>
  <c r="BH634" i="14"/>
  <c r="BH326" i="14"/>
  <c r="AH643" i="14"/>
  <c r="AH335" i="14"/>
  <c r="AL647" i="14"/>
  <c r="AL339" i="14"/>
  <c r="BQ648" i="14"/>
  <c r="BQ340" i="14"/>
  <c r="BM655" i="14"/>
  <c r="BM347" i="14"/>
  <c r="BG657" i="14"/>
  <c r="BG349" i="14"/>
  <c r="BR582" i="14"/>
  <c r="BR274" i="14"/>
  <c r="BR197" i="14"/>
  <c r="AM662" i="14"/>
  <c r="AM354" i="14"/>
  <c r="D601" i="14"/>
  <c r="D293" i="14"/>
  <c r="BC601" i="14"/>
  <c r="BC293" i="14"/>
  <c r="M610" i="14"/>
  <c r="M302" i="14"/>
  <c r="R605" i="14"/>
  <c r="R297" i="14"/>
  <c r="AI550" i="14"/>
  <c r="AI242" i="14"/>
  <c r="AI165" i="14"/>
  <c r="S552" i="14"/>
  <c r="S244" i="14"/>
  <c r="S167" i="14"/>
  <c r="BL629" i="14"/>
  <c r="BL321" i="14"/>
  <c r="BL630" i="14"/>
  <c r="BL322" i="14"/>
  <c r="D558" i="14"/>
  <c r="D250" i="14"/>
  <c r="D173" i="14"/>
  <c r="C635" i="14"/>
  <c r="C327" i="14"/>
  <c r="BQ658" i="14"/>
  <c r="BQ350" i="14"/>
  <c r="I525" i="14"/>
  <c r="I140" i="14"/>
  <c r="I217" i="14"/>
  <c r="AW595" i="14"/>
  <c r="AW287" i="14"/>
  <c r="N532" i="14"/>
  <c r="N224" i="14"/>
  <c r="N147" i="14"/>
  <c r="BV616" i="14"/>
  <c r="BV308" i="14"/>
  <c r="AM617" i="14"/>
  <c r="AM309" i="14"/>
  <c r="AC156" i="14"/>
  <c r="AC233" i="14"/>
  <c r="AC541" i="14"/>
  <c r="BP310" i="14"/>
  <c r="BP618" i="14"/>
  <c r="C621" i="14"/>
  <c r="C313" i="14"/>
  <c r="W621" i="14"/>
  <c r="W313" i="14"/>
  <c r="AQ621" i="14"/>
  <c r="AQ313" i="14"/>
  <c r="AC550" i="14"/>
  <c r="AC242" i="14"/>
  <c r="AC165" i="14"/>
  <c r="AX628" i="14"/>
  <c r="AX320" i="14"/>
  <c r="AB630" i="14"/>
  <c r="AB322" i="14"/>
  <c r="I554" i="14"/>
  <c r="I246" i="14"/>
  <c r="I169" i="14"/>
  <c r="AH635" i="14"/>
  <c r="AH327" i="14"/>
  <c r="BV639" i="14"/>
  <c r="BV331" i="14"/>
  <c r="BW563" i="14"/>
  <c r="BW255" i="14"/>
  <c r="BW178" i="14"/>
  <c r="R645" i="14"/>
  <c r="R337" i="14"/>
  <c r="AI571" i="14"/>
  <c r="AI263" i="14"/>
  <c r="AI186" i="14"/>
  <c r="BC571" i="14"/>
  <c r="BC263" i="14"/>
  <c r="BC186" i="14"/>
  <c r="I572" i="14"/>
  <c r="I264" i="14"/>
  <c r="I187" i="14"/>
  <c r="AN576" i="14"/>
  <c r="AN268" i="14"/>
  <c r="AN191" i="14"/>
  <c r="D657" i="14"/>
  <c r="D349" i="14"/>
  <c r="BA657" i="14"/>
  <c r="BA349" i="14"/>
  <c r="AM659" i="14"/>
  <c r="AM351" i="14"/>
  <c r="BM583" i="14"/>
  <c r="BM275" i="14"/>
  <c r="BM198" i="14"/>
  <c r="BO355" i="14"/>
  <c r="X529" i="14"/>
  <c r="X221" i="14"/>
  <c r="X144" i="14"/>
  <c r="BQ530" i="14"/>
  <c r="BQ222" i="14"/>
  <c r="BQ145" i="14"/>
  <c r="BL533" i="14"/>
  <c r="BL148" i="14"/>
  <c r="BL225" i="14"/>
  <c r="BB612" i="14"/>
  <c r="BB304" i="14"/>
  <c r="AC539" i="14"/>
  <c r="AC231" i="14"/>
  <c r="AC154" i="14"/>
  <c r="D552" i="14"/>
  <c r="D244" i="14"/>
  <c r="D167" i="14"/>
  <c r="C630" i="14"/>
  <c r="C322" i="14"/>
  <c r="BA643" i="14"/>
  <c r="BA335" i="14"/>
  <c r="AM649" i="14"/>
  <c r="AM341" i="14"/>
  <c r="AN573" i="14"/>
  <c r="AN265" i="14"/>
  <c r="AN188" i="14"/>
  <c r="BW575" i="14"/>
  <c r="BW267" i="14"/>
  <c r="BW190" i="14"/>
  <c r="AW658" i="14"/>
  <c r="AW350" i="14"/>
  <c r="AM538" i="14"/>
  <c r="AM230" i="14"/>
  <c r="AM153" i="14"/>
  <c r="AL308" i="14"/>
  <c r="AL616" i="14"/>
  <c r="BF616" i="14"/>
  <c r="BF308" i="14"/>
  <c r="N544" i="14"/>
  <c r="N236" i="14"/>
  <c r="N159" i="14"/>
  <c r="AI547" i="14"/>
  <c r="AI239" i="14"/>
  <c r="AI162" i="14"/>
  <c r="BL625" i="14"/>
  <c r="BL317" i="14"/>
  <c r="X558" i="14"/>
  <c r="X250" i="14"/>
  <c r="X173" i="14"/>
  <c r="W635" i="14"/>
  <c r="W327" i="14"/>
  <c r="I563" i="14"/>
  <c r="I178" i="14"/>
  <c r="I255" i="14"/>
  <c r="AC660" i="14"/>
  <c r="AC352" i="14"/>
  <c r="BL598" i="14"/>
  <c r="BL290" i="14"/>
  <c r="BW600" i="14"/>
  <c r="BW292" i="14"/>
  <c r="AV602" i="14"/>
  <c r="AV294" i="14"/>
  <c r="C605" i="14"/>
  <c r="C297" i="14"/>
  <c r="BL539" i="14"/>
  <c r="BL231" i="14"/>
  <c r="BL154" i="14"/>
  <c r="C609" i="14"/>
  <c r="C301" i="14"/>
  <c r="W609" i="14"/>
  <c r="W301" i="14"/>
  <c r="AQ609" i="14"/>
  <c r="AQ301" i="14"/>
  <c r="BK609" i="14"/>
  <c r="BK301" i="14"/>
  <c r="AH534" i="14"/>
  <c r="AH149" i="14"/>
  <c r="AH226" i="14"/>
  <c r="AR536" i="14"/>
  <c r="AR228" i="14"/>
  <c r="AR151" i="14"/>
  <c r="AC537" i="14"/>
  <c r="AC152" i="14"/>
  <c r="AC229" i="14"/>
  <c r="AH542" i="14"/>
  <c r="AH157" i="14"/>
  <c r="AH234" i="14"/>
  <c r="BV623" i="14"/>
  <c r="BV315" i="14"/>
  <c r="R632" i="14"/>
  <c r="R324" i="14"/>
  <c r="C638" i="14"/>
  <c r="C330" i="14"/>
  <c r="I567" i="14"/>
  <c r="I259" i="14"/>
  <c r="I182" i="14"/>
  <c r="N568" i="14"/>
  <c r="N260" i="14"/>
  <c r="N183" i="14"/>
  <c r="BU646" i="14"/>
  <c r="BU338" i="14"/>
  <c r="BV648" i="14"/>
  <c r="BV340" i="14"/>
  <c r="BV649" i="14"/>
  <c r="BV341" i="14"/>
  <c r="AN577" i="14"/>
  <c r="AN192" i="14"/>
  <c r="AN269" i="14"/>
  <c r="AX654" i="14"/>
  <c r="AX346" i="14"/>
  <c r="R655" i="14"/>
  <c r="R347" i="14"/>
  <c r="E660" i="14"/>
  <c r="E352" i="14"/>
  <c r="AV613" i="14"/>
  <c r="AV305" i="14"/>
  <c r="X555" i="14"/>
  <c r="X170" i="14"/>
  <c r="X247" i="14"/>
  <c r="C636" i="14"/>
  <c r="C328" i="14"/>
  <c r="BF645" i="14"/>
  <c r="BF337" i="14"/>
  <c r="C342" i="14"/>
  <c r="C650" i="14"/>
  <c r="BW582" i="14"/>
  <c r="BW197" i="14"/>
  <c r="BW274" i="14"/>
  <c r="AI584" i="14"/>
  <c r="AI276" i="14"/>
  <c r="AI199" i="14"/>
  <c r="H617" i="14"/>
  <c r="H309" i="14"/>
  <c r="D551" i="14"/>
  <c r="D243" i="14"/>
  <c r="D166" i="14"/>
  <c r="BF644" i="14"/>
  <c r="BF336" i="14"/>
  <c r="AX583" i="14"/>
  <c r="AX275" i="14"/>
  <c r="AX198" i="14"/>
  <c r="BR603" i="14"/>
  <c r="BR295" i="14"/>
  <c r="AB594" i="14"/>
  <c r="AB286" i="14"/>
  <c r="AQ54" i="14"/>
  <c r="S554" i="14"/>
  <c r="S246" i="14"/>
  <c r="S169" i="14"/>
  <c r="AN574" i="14"/>
  <c r="AN266" i="14"/>
  <c r="AN189" i="14"/>
  <c r="S652" i="14"/>
  <c r="S344" i="14"/>
  <c r="M608" i="14"/>
  <c r="M300" i="14"/>
  <c r="AQ614" i="14"/>
  <c r="AQ306" i="14"/>
  <c r="BL626" i="14"/>
  <c r="BL318" i="14"/>
  <c r="AC639" i="14"/>
  <c r="AC331" i="14"/>
  <c r="AH644" i="14"/>
  <c r="AH336" i="14"/>
  <c r="BP646" i="14"/>
  <c r="BP338" i="14"/>
  <c r="N652" i="14"/>
  <c r="N344" i="14"/>
  <c r="AW655" i="14"/>
  <c r="AW347" i="14"/>
  <c r="BC660" i="14"/>
  <c r="BC352" i="14"/>
  <c r="BR207" i="14"/>
  <c r="BR130" i="14"/>
  <c r="BR284" i="14" s="1"/>
  <c r="BL594" i="14"/>
  <c r="BL286" i="14"/>
  <c r="BQ595" i="14"/>
  <c r="BQ287" i="14"/>
  <c r="BF596" i="14"/>
  <c r="BF288" i="14"/>
  <c r="BB601" i="14"/>
  <c r="BB293" i="14"/>
  <c r="BK601" i="14"/>
  <c r="BK293" i="14"/>
  <c r="AL606" i="14"/>
  <c r="AL298" i="14"/>
  <c r="AW531" i="14"/>
  <c r="AW223" i="14"/>
  <c r="AW146" i="14"/>
  <c r="BF610" i="14"/>
  <c r="BF302" i="14"/>
  <c r="AH536" i="14"/>
  <c r="AH228" i="14"/>
  <c r="AH151" i="14"/>
  <c r="BM549" i="14"/>
  <c r="BM241" i="14"/>
  <c r="BM164" i="14"/>
  <c r="BB627" i="14"/>
  <c r="BB319" i="14"/>
  <c r="AC630" i="14"/>
  <c r="AC322" i="14"/>
  <c r="BB631" i="14"/>
  <c r="BB323" i="14"/>
  <c r="M644" i="14"/>
  <c r="M336" i="14"/>
  <c r="BR575" i="14"/>
  <c r="BR267" i="14"/>
  <c r="BR190" i="14"/>
  <c r="AZ663" i="14"/>
  <c r="AW599" i="14"/>
  <c r="AW291" i="14"/>
  <c r="BF600" i="14"/>
  <c r="BF292" i="14"/>
  <c r="C629" i="14"/>
  <c r="C321" i="14"/>
  <c r="BK637" i="14"/>
  <c r="BK329" i="14"/>
  <c r="M643" i="14"/>
  <c r="M335" i="14"/>
  <c r="BQ650" i="14"/>
  <c r="BQ342" i="14"/>
  <c r="AM655" i="14"/>
  <c r="AM347" i="14"/>
  <c r="BG620" i="14"/>
  <c r="BG312" i="14"/>
  <c r="AG628" i="14"/>
  <c r="AG320" i="14"/>
  <c r="M595" i="14"/>
  <c r="M287" i="14"/>
  <c r="X598" i="14"/>
  <c r="X290" i="14"/>
  <c r="BB599" i="14"/>
  <c r="BB291" i="14"/>
  <c r="BA614" i="14"/>
  <c r="BA306" i="14"/>
  <c r="AQ612" i="14"/>
  <c r="AQ304" i="14"/>
  <c r="D609" i="14"/>
  <c r="D301" i="14"/>
  <c r="BF612" i="14"/>
  <c r="BF304" i="14"/>
  <c r="BH247" i="14"/>
  <c r="BH555" i="14"/>
  <c r="BH170" i="14"/>
  <c r="BC558" i="14"/>
  <c r="BC173" i="14"/>
  <c r="BC250" i="14"/>
  <c r="D566" i="14"/>
  <c r="D258" i="14"/>
  <c r="D181" i="14"/>
  <c r="BV646" i="14"/>
  <c r="BV338" i="14"/>
  <c r="BU647" i="14"/>
  <c r="BU339" i="14"/>
  <c r="T571" i="14"/>
  <c r="T263" i="14"/>
  <c r="T186" i="14"/>
  <c r="BC575" i="14"/>
  <c r="BC267" i="14"/>
  <c r="BC190" i="14"/>
  <c r="AC232" i="14"/>
  <c r="AC155" i="14"/>
  <c r="AC540" i="14"/>
  <c r="H625" i="14"/>
  <c r="H317" i="14"/>
  <c r="X551" i="14"/>
  <c r="X243" i="14"/>
  <c r="X166" i="14"/>
  <c r="BP660" i="14"/>
  <c r="BP352" i="14"/>
  <c r="H662" i="14"/>
  <c r="H354" i="14"/>
  <c r="AB522" i="14"/>
  <c r="AB137" i="14"/>
  <c r="AB214" i="14"/>
  <c r="R627" i="14"/>
  <c r="R319" i="14"/>
  <c r="C626" i="14"/>
  <c r="C318" i="14"/>
  <c r="C641" i="14"/>
  <c r="C333" i="14"/>
  <c r="AM647" i="14"/>
  <c r="AM339" i="14"/>
  <c r="AH654" i="14"/>
  <c r="AH346" i="14"/>
  <c r="I656" i="14"/>
  <c r="I348" i="14"/>
  <c r="BP602" i="14"/>
  <c r="BP294" i="14"/>
  <c r="N604" i="14"/>
  <c r="N296" i="14"/>
  <c r="R620" i="14"/>
  <c r="R312" i="14"/>
  <c r="R630" i="14"/>
  <c r="R322" i="14"/>
  <c r="R662" i="14"/>
  <c r="R354" i="14"/>
  <c r="S290" i="14"/>
  <c r="S598" i="14"/>
  <c r="BA600" i="14"/>
  <c r="BA292" i="14"/>
  <c r="BQ531" i="14"/>
  <c r="BQ223" i="14"/>
  <c r="BQ146" i="14"/>
  <c r="I618" i="14"/>
  <c r="I310" i="14"/>
  <c r="I555" i="14"/>
  <c r="I247" i="14"/>
  <c r="I170" i="14"/>
  <c r="X637" i="14"/>
  <c r="X329" i="14"/>
  <c r="H648" i="14"/>
  <c r="H340" i="14"/>
  <c r="BM651" i="14"/>
  <c r="BM343" i="14"/>
  <c r="BR581" i="14"/>
  <c r="BR273" i="14"/>
  <c r="BR196" i="14"/>
  <c r="J583" i="14"/>
  <c r="J275" i="14"/>
  <c r="J198" i="14"/>
  <c r="BL660" i="14"/>
  <c r="BL352" i="14"/>
  <c r="AB661" i="14"/>
  <c r="AB353" i="14"/>
  <c r="BR616" i="14"/>
  <c r="BR308" i="14"/>
  <c r="AH624" i="14"/>
  <c r="AH316" i="14"/>
  <c r="AX627" i="14"/>
  <c r="AX319" i="14"/>
  <c r="AW634" i="14"/>
  <c r="AW326" i="14"/>
  <c r="BA653" i="14"/>
  <c r="BA345" i="14"/>
  <c r="AL655" i="14"/>
  <c r="AL347" i="14"/>
  <c r="BP607" i="14"/>
  <c r="BP299" i="14"/>
  <c r="M612" i="14"/>
  <c r="M304" i="14"/>
  <c r="BH618" i="14"/>
  <c r="BH310" i="14"/>
  <c r="BR557" i="14"/>
  <c r="BR249" i="14"/>
  <c r="BR172" i="14"/>
  <c r="BC562" i="14"/>
  <c r="BC254" i="14"/>
  <c r="BC177" i="14"/>
  <c r="AW643" i="14"/>
  <c r="AW335" i="14"/>
  <c r="M647" i="14"/>
  <c r="M339" i="14"/>
  <c r="AQ595" i="14"/>
  <c r="AQ287" i="14"/>
  <c r="BA599" i="14"/>
  <c r="BA291" i="14"/>
  <c r="AN603" i="14"/>
  <c r="AN295" i="14"/>
  <c r="BB533" i="14"/>
  <c r="BB148" i="14"/>
  <c r="BB225" i="14"/>
  <c r="D539" i="14"/>
  <c r="D231" i="14"/>
  <c r="D154" i="14"/>
  <c r="X543" i="14"/>
  <c r="X235" i="14"/>
  <c r="X158" i="14"/>
  <c r="X605" i="14"/>
  <c r="X297" i="14"/>
  <c r="AR547" i="14"/>
  <c r="AR239" i="14"/>
  <c r="AR162" i="14"/>
  <c r="BV607" i="14"/>
  <c r="BV299" i="14"/>
  <c r="AQ619" i="14"/>
  <c r="AQ311" i="14"/>
  <c r="S621" i="14"/>
  <c r="S313" i="14"/>
  <c r="I559" i="14"/>
  <c r="I251" i="14"/>
  <c r="I174" i="14"/>
  <c r="BR561" i="14"/>
  <c r="BR253" i="14"/>
  <c r="BR176" i="14"/>
  <c r="AX639" i="14"/>
  <c r="AX331" i="14"/>
  <c r="AL640" i="14"/>
  <c r="AL332" i="14"/>
  <c r="AW644" i="14"/>
  <c r="AW336" i="14"/>
  <c r="BC581" i="14"/>
  <c r="BC273" i="14"/>
  <c r="BC196" i="14"/>
  <c r="BM658" i="14"/>
  <c r="BM350" i="14"/>
  <c r="X662" i="14"/>
  <c r="X354" i="14"/>
  <c r="AB605" i="14"/>
  <c r="AB297" i="14"/>
  <c r="BQ224" i="14"/>
  <c r="BQ147" i="14"/>
  <c r="BQ532" i="14"/>
  <c r="AB621" i="14"/>
  <c r="AB313" i="14"/>
  <c r="AB629" i="14"/>
  <c r="AB321" i="14"/>
  <c r="AB641" i="14"/>
  <c r="AB333" i="14"/>
  <c r="W645" i="14"/>
  <c r="W337" i="14"/>
  <c r="O584" i="14"/>
  <c r="O276" i="14"/>
  <c r="O199" i="14"/>
  <c r="BM584" i="14"/>
  <c r="BM276" i="14"/>
  <c r="BM199" i="14"/>
  <c r="Y642" i="14"/>
  <c r="Y334" i="14"/>
  <c r="AL613" i="14"/>
  <c r="AL305" i="14"/>
  <c r="BQ612" i="14"/>
  <c r="BQ304" i="14"/>
  <c r="AD656" i="14"/>
  <c r="AD348" i="14"/>
  <c r="H522" i="14"/>
  <c r="H137" i="14"/>
  <c r="H214" i="14"/>
  <c r="C141" i="14"/>
  <c r="C218" i="14"/>
  <c r="C526" i="14"/>
  <c r="AQ599" i="14"/>
  <c r="AQ291" i="14"/>
  <c r="AC599" i="14"/>
  <c r="AC291" i="14"/>
  <c r="BU599" i="14"/>
  <c r="BU291" i="14"/>
  <c r="S558" i="14"/>
  <c r="S250" i="14"/>
  <c r="S173" i="14"/>
  <c r="R619" i="14"/>
  <c r="R311" i="14"/>
  <c r="BV533" i="14"/>
  <c r="BV148" i="14"/>
  <c r="BV225" i="14"/>
  <c r="AW539" i="14"/>
  <c r="AW231" i="14"/>
  <c r="AW154" i="14"/>
  <c r="AW543" i="14"/>
  <c r="AW235" i="14"/>
  <c r="AW158" i="14"/>
  <c r="BW558" i="14"/>
  <c r="BW250" i="14"/>
  <c r="BW173" i="14"/>
  <c r="BR565" i="14"/>
  <c r="BR180" i="14"/>
  <c r="BR257" i="14"/>
  <c r="R646" i="14"/>
  <c r="R338" i="14"/>
  <c r="BL656" i="14"/>
  <c r="BL348" i="14"/>
  <c r="BU658" i="14"/>
  <c r="BU350" i="14"/>
  <c r="AH660" i="14"/>
  <c r="AH352" i="14"/>
  <c r="R616" i="14"/>
  <c r="R308" i="14"/>
  <c r="BW625" i="14"/>
  <c r="BW317" i="14"/>
  <c r="AG631" i="14"/>
  <c r="AG323" i="14"/>
  <c r="BH251" i="14"/>
  <c r="BH559" i="14"/>
  <c r="BH174" i="14"/>
  <c r="AM641" i="14"/>
  <c r="AM333" i="14"/>
  <c r="R54" i="14"/>
  <c r="C595" i="14"/>
  <c r="C287" i="14"/>
  <c r="AX600" i="14"/>
  <c r="AX292" i="14"/>
  <c r="D531" i="14"/>
  <c r="D223" i="14"/>
  <c r="D146" i="14"/>
  <c r="AQ616" i="14"/>
  <c r="AQ308" i="14"/>
  <c r="BP606" i="14"/>
  <c r="BP298" i="14"/>
  <c r="H614" i="14"/>
  <c r="H306" i="14"/>
  <c r="M619" i="14"/>
  <c r="M311" i="14"/>
  <c r="H627" i="14"/>
  <c r="H319" i="14"/>
  <c r="AW627" i="14"/>
  <c r="AW319" i="14"/>
  <c r="AX553" i="14"/>
  <c r="AX168" i="14"/>
  <c r="AX245" i="14"/>
  <c r="BH630" i="14"/>
  <c r="BH322" i="14"/>
  <c r="BV631" i="14"/>
  <c r="BV323" i="14"/>
  <c r="AL632" i="14"/>
  <c r="AL324" i="14"/>
  <c r="M641" i="14"/>
  <c r="M333" i="14"/>
  <c r="AW649" i="14"/>
  <c r="AW341" i="14"/>
  <c r="BV650" i="14"/>
  <c r="BV342" i="14"/>
  <c r="BG661" i="14"/>
  <c r="BG353" i="14"/>
  <c r="Y585" i="14"/>
  <c r="Y277" i="14"/>
  <c r="Y200" i="14"/>
  <c r="BC585" i="14"/>
  <c r="BC277" i="14"/>
  <c r="BC200" i="14"/>
  <c r="BM662" i="14"/>
  <c r="BM354" i="14"/>
  <c r="AC224" i="14"/>
  <c r="AC147" i="14"/>
  <c r="AC532" i="14"/>
  <c r="AG642" i="14"/>
  <c r="AG334" i="14"/>
  <c r="AL643" i="14"/>
  <c r="AL335" i="14"/>
  <c r="AG617" i="14"/>
  <c r="AG309" i="14"/>
  <c r="C625" i="14"/>
  <c r="C317" i="14"/>
  <c r="AR641" i="14"/>
  <c r="AR333" i="14"/>
  <c r="BU643" i="14"/>
  <c r="BU335" i="14"/>
  <c r="BA645" i="14"/>
  <c r="BA337" i="14"/>
  <c r="Y657" i="14"/>
  <c r="Y349" i="14"/>
  <c r="BW585" i="14"/>
  <c r="BW277" i="14"/>
  <c r="BW200" i="14"/>
  <c r="N557" i="14"/>
  <c r="N249" i="14"/>
  <c r="N172" i="14"/>
  <c r="AI602" i="14"/>
  <c r="AI294" i="14"/>
  <c r="S561" i="14"/>
  <c r="S253" i="14"/>
  <c r="S176" i="14"/>
  <c r="AQ607" i="14"/>
  <c r="AQ299" i="14"/>
  <c r="BA609" i="14"/>
  <c r="BA301" i="14"/>
  <c r="I535" i="14"/>
  <c r="I227" i="14"/>
  <c r="I150" i="14"/>
  <c r="D621" i="14"/>
  <c r="D313" i="14"/>
  <c r="AX603" i="14"/>
  <c r="AX295" i="14"/>
  <c r="W618" i="14"/>
  <c r="W310" i="14"/>
  <c r="BM619" i="14"/>
  <c r="BM311" i="14"/>
  <c r="BM560" i="14"/>
  <c r="BM252" i="14"/>
  <c r="BM175" i="14"/>
  <c r="AN259" i="14"/>
  <c r="AN567" i="14"/>
  <c r="AN182" i="14"/>
  <c r="AV607" i="14"/>
  <c r="AV299" i="14"/>
  <c r="AV611" i="14"/>
  <c r="AV303" i="14"/>
  <c r="BV653" i="14"/>
  <c r="BV345" i="14"/>
  <c r="M655" i="14"/>
  <c r="M347" i="14"/>
  <c r="R594" i="14"/>
  <c r="R286" i="14"/>
  <c r="BB537" i="14"/>
  <c r="BB152" i="14"/>
  <c r="BB229" i="14"/>
  <c r="M607" i="14"/>
  <c r="M299" i="14"/>
  <c r="BL541" i="14"/>
  <c r="BL156" i="14"/>
  <c r="BL233" i="14"/>
  <c r="AB622" i="14"/>
  <c r="AB314" i="14"/>
  <c r="BW570" i="14"/>
  <c r="BW262" i="14"/>
  <c r="BW185" i="14"/>
  <c r="D563" i="14"/>
  <c r="D255" i="14"/>
  <c r="D178" i="14"/>
  <c r="BR583" i="14"/>
  <c r="BR275" i="14"/>
  <c r="BR198" i="14"/>
  <c r="AN601" i="14"/>
  <c r="AN293" i="14"/>
  <c r="X545" i="14"/>
  <c r="X237" i="14"/>
  <c r="X160" i="14"/>
  <c r="BQ659" i="14"/>
  <c r="BQ351" i="14"/>
  <c r="D598" i="14"/>
  <c r="D290" i="14"/>
  <c r="AL652" i="14"/>
  <c r="AL344" i="14"/>
  <c r="BP608" i="14"/>
  <c r="BP300" i="14"/>
  <c r="BQ619" i="14"/>
  <c r="BQ311" i="14"/>
  <c r="I573" i="14"/>
  <c r="I265" i="14"/>
  <c r="I188" i="14"/>
  <c r="BW526" i="14"/>
  <c r="BW218" i="14"/>
  <c r="BW141" i="14"/>
  <c r="AG607" i="14"/>
  <c r="AG299" i="14"/>
  <c r="AV614" i="14"/>
  <c r="AV306" i="14"/>
  <c r="M312" i="14"/>
  <c r="M620" i="14"/>
  <c r="AW646" i="14"/>
  <c r="AW338" i="14"/>
  <c r="BM642" i="14"/>
  <c r="BM334" i="14"/>
  <c r="H525" i="14"/>
  <c r="H217" i="14"/>
  <c r="H140" i="14"/>
  <c r="BW522" i="14"/>
  <c r="BW214" i="14"/>
  <c r="BW137" i="14"/>
  <c r="S542" i="14"/>
  <c r="S234" i="14"/>
  <c r="S157" i="14"/>
  <c r="AV616" i="14"/>
  <c r="AV308" i="14"/>
  <c r="BR650" i="14"/>
  <c r="BR342" i="14"/>
  <c r="AI632" i="14"/>
  <c r="AI324" i="14"/>
  <c r="T601" i="14"/>
  <c r="T293" i="14"/>
  <c r="AN602" i="14"/>
  <c r="AN294" i="14"/>
  <c r="N531" i="14"/>
  <c r="N223" i="14"/>
  <c r="N146" i="14"/>
  <c r="AR533" i="14"/>
  <c r="AR225" i="14"/>
  <c r="AR148" i="14"/>
  <c r="N535" i="14"/>
  <c r="N227" i="14"/>
  <c r="N150" i="14"/>
  <c r="AM600" i="14"/>
  <c r="AM292" i="14"/>
  <c r="AD643" i="14"/>
  <c r="AD335" i="14"/>
  <c r="AS602" i="14"/>
  <c r="AS294" i="14"/>
  <c r="T602" i="14"/>
  <c r="T294" i="14"/>
  <c r="AV316" i="14"/>
  <c r="AV624" i="14"/>
  <c r="H594" i="14"/>
  <c r="H286" i="14"/>
  <c r="C599" i="14"/>
  <c r="C291" i="14"/>
  <c r="S562" i="14"/>
  <c r="S254" i="14"/>
  <c r="S177" i="14"/>
  <c r="R623" i="14"/>
  <c r="R315" i="14"/>
  <c r="S530" i="14"/>
  <c r="S222" i="14"/>
  <c r="S145" i="14"/>
  <c r="D529" i="14"/>
  <c r="D144" i="14"/>
  <c r="D221" i="14"/>
  <c r="AH531" i="14"/>
  <c r="AH223" i="14"/>
  <c r="AH146" i="14"/>
  <c r="AM532" i="14"/>
  <c r="AM224" i="14"/>
  <c r="AM147" i="14"/>
  <c r="AC534" i="14"/>
  <c r="AC226" i="14"/>
  <c r="AC149" i="14"/>
  <c r="AH535" i="14"/>
  <c r="AH227" i="14"/>
  <c r="AH150" i="14"/>
  <c r="S536" i="14"/>
  <c r="S228" i="14"/>
  <c r="S151" i="14"/>
  <c r="AR537" i="14"/>
  <c r="AR152" i="14"/>
  <c r="AR229" i="14"/>
  <c r="AQ618" i="14"/>
  <c r="AQ310" i="14"/>
  <c r="AR549" i="14"/>
  <c r="AR241" i="14"/>
  <c r="AR164" i="14"/>
  <c r="W630" i="14"/>
  <c r="W322" i="14"/>
  <c r="BP630" i="14"/>
  <c r="BP322" i="14"/>
  <c r="BL638" i="14"/>
  <c r="BL330" i="14"/>
  <c r="AQ639" i="14"/>
  <c r="AQ331" i="14"/>
  <c r="Y256" i="14"/>
  <c r="Y564" i="14"/>
  <c r="Y179" i="14"/>
  <c r="BP659" i="14"/>
  <c r="BP351" i="14"/>
  <c r="N549" i="14"/>
  <c r="N164" i="14"/>
  <c r="N241" i="14"/>
  <c r="BU608" i="14"/>
  <c r="BU300" i="14"/>
  <c r="AG612" i="14"/>
  <c r="AG304" i="14"/>
  <c r="M624" i="14"/>
  <c r="M316" i="14"/>
  <c r="AM629" i="14"/>
  <c r="AM321" i="14"/>
  <c r="AQ630" i="14"/>
  <c r="AQ322" i="14"/>
  <c r="BQ643" i="14"/>
  <c r="BQ335" i="14"/>
  <c r="BR572" i="14"/>
  <c r="BR264" i="14"/>
  <c r="BR187" i="14"/>
  <c r="O574" i="14"/>
  <c r="O266" i="14"/>
  <c r="O189" i="14"/>
  <c r="AX575" i="14"/>
  <c r="AX267" i="14"/>
  <c r="AX190" i="14"/>
  <c r="BA654" i="14"/>
  <c r="BA346" i="14"/>
  <c r="BW584" i="14"/>
  <c r="BW276" i="14"/>
  <c r="BW199" i="14"/>
  <c r="W54" i="14"/>
  <c r="I522" i="14"/>
  <c r="I137" i="14"/>
  <c r="I214" i="14"/>
  <c r="AX514" i="14"/>
  <c r="AX125" i="14"/>
  <c r="AX591" i="14" s="1"/>
  <c r="BM514" i="14"/>
  <c r="BM125" i="14"/>
  <c r="BM591" i="14" s="1"/>
  <c r="BR521" i="14"/>
  <c r="BR213" i="14"/>
  <c r="BR136" i="14"/>
  <c r="BL601" i="14"/>
  <c r="BL293" i="14"/>
  <c r="BA603" i="14"/>
  <c r="BA295" i="14"/>
  <c r="AH533" i="14"/>
  <c r="AH148" i="14"/>
  <c r="AH225" i="14"/>
  <c r="AW604" i="14"/>
  <c r="AW296" i="14"/>
  <c r="BV528" i="14"/>
  <c r="BV220" i="14"/>
  <c r="BV143" i="14"/>
  <c r="S533" i="14"/>
  <c r="S225" i="14"/>
  <c r="S148" i="14"/>
  <c r="N539" i="14"/>
  <c r="N231" i="14"/>
  <c r="N154" i="14"/>
  <c r="BC550" i="14"/>
  <c r="BC242" i="14"/>
  <c r="BC165" i="14"/>
  <c r="BM627" i="14"/>
  <c r="BM319" i="14"/>
  <c r="AC554" i="14"/>
  <c r="AC246" i="14"/>
  <c r="AC169" i="14"/>
  <c r="AI637" i="14"/>
  <c r="AI329" i="14"/>
  <c r="AW639" i="14"/>
  <c r="AW331" i="14"/>
  <c r="BU640" i="14"/>
  <c r="BU332" i="14"/>
  <c r="AI569" i="14"/>
  <c r="AI261" i="14"/>
  <c r="AI184" i="14"/>
  <c r="I570" i="14"/>
  <c r="I262" i="14"/>
  <c r="I185" i="14"/>
  <c r="AG648" i="14"/>
  <c r="AG340" i="14"/>
  <c r="BA648" i="14"/>
  <c r="BA340" i="14"/>
  <c r="BB649" i="14"/>
  <c r="BB341" i="14"/>
  <c r="AL653" i="14"/>
  <c r="AL345" i="14"/>
  <c r="T577" i="14"/>
  <c r="T269" i="14"/>
  <c r="T192" i="14"/>
  <c r="AD654" i="14"/>
  <c r="AD346" i="14"/>
  <c r="N659" i="14"/>
  <c r="N351" i="14"/>
  <c r="BK660" i="14"/>
  <c r="BK352" i="14"/>
  <c r="L663" i="14"/>
  <c r="BJ355" i="14"/>
  <c r="BG605" i="14"/>
  <c r="BG297" i="14"/>
  <c r="AR529" i="14"/>
  <c r="AR144" i="14"/>
  <c r="AR221" i="14"/>
  <c r="D610" i="14"/>
  <c r="D302" i="14"/>
  <c r="I611" i="14"/>
  <c r="I303" i="14"/>
  <c r="X537" i="14"/>
  <c r="X229" i="14"/>
  <c r="X152" i="14"/>
  <c r="N540" i="14"/>
  <c r="N232" i="14"/>
  <c r="N155" i="14"/>
  <c r="D545" i="14"/>
  <c r="D160" i="14"/>
  <c r="D237" i="14"/>
  <c r="X244" i="14"/>
  <c r="X552" i="14"/>
  <c r="X167" i="14"/>
  <c r="AH632" i="14"/>
  <c r="AH324" i="14"/>
  <c r="AH639" i="14"/>
  <c r="AH331" i="14"/>
  <c r="N570" i="14"/>
  <c r="N262" i="14"/>
  <c r="N185" i="14"/>
  <c r="N650" i="14"/>
  <c r="N342" i="14"/>
  <c r="AL650" i="14"/>
  <c r="AL342" i="14"/>
  <c r="BQ651" i="14"/>
  <c r="BQ343" i="14"/>
  <c r="BU652" i="14"/>
  <c r="BU344" i="14"/>
  <c r="AH656" i="14"/>
  <c r="AH348" i="14"/>
  <c r="AQ606" i="14"/>
  <c r="AQ298" i="14"/>
  <c r="BA608" i="14"/>
  <c r="BA300" i="14"/>
  <c r="BK610" i="14"/>
  <c r="BK302" i="14"/>
  <c r="BU612" i="14"/>
  <c r="BU304" i="14"/>
  <c r="AC615" i="14"/>
  <c r="AC307" i="14"/>
  <c r="BH543" i="14"/>
  <c r="BH235" i="14"/>
  <c r="BH158" i="14"/>
  <c r="AQ622" i="14"/>
  <c r="AQ314" i="14"/>
  <c r="BW629" i="14"/>
  <c r="BW321" i="14"/>
  <c r="I260" i="14"/>
  <c r="I568" i="14"/>
  <c r="I183" i="14"/>
  <c r="O571" i="14"/>
  <c r="O263" i="14"/>
  <c r="O186" i="14"/>
  <c r="AH655" i="14"/>
  <c r="AH347" i="14"/>
  <c r="C612" i="14"/>
  <c r="C304" i="14"/>
  <c r="AQ620" i="14"/>
  <c r="AQ312" i="14"/>
  <c r="AV606" i="14"/>
  <c r="AV298" i="14"/>
  <c r="BA607" i="14"/>
  <c r="BA299" i="14"/>
  <c r="AL300" i="14"/>
  <c r="AL608" i="14"/>
  <c r="BF608" i="14"/>
  <c r="BF300" i="14"/>
  <c r="AC148" i="14"/>
  <c r="AC225" i="14"/>
  <c r="AC533" i="14"/>
  <c r="BW534" i="14"/>
  <c r="BW226" i="14"/>
  <c r="BW149" i="14"/>
  <c r="BG535" i="14"/>
  <c r="BG227" i="14"/>
  <c r="BG150" i="14"/>
  <c r="BL536" i="14"/>
  <c r="BL228" i="14"/>
  <c r="BL151" i="14"/>
  <c r="BQ537" i="14"/>
  <c r="BQ152" i="14"/>
  <c r="BQ229" i="14"/>
  <c r="BC620" i="14"/>
  <c r="BC312" i="14"/>
  <c r="R628" i="14"/>
  <c r="R320" i="14"/>
  <c r="AL628" i="14"/>
  <c r="AL320" i="14"/>
  <c r="BR628" i="14"/>
  <c r="BR320" i="14"/>
  <c r="BB635" i="14"/>
  <c r="BB327" i="14"/>
  <c r="BH255" i="14"/>
  <c r="BH563" i="14"/>
  <c r="BH178" i="14"/>
  <c r="BR640" i="14"/>
  <c r="BR332" i="14"/>
  <c r="BC641" i="14"/>
  <c r="BC333" i="14"/>
  <c r="I569" i="14"/>
  <c r="I184" i="14"/>
  <c r="I261" i="14"/>
  <c r="R647" i="14"/>
  <c r="R339" i="14"/>
  <c r="O653" i="14"/>
  <c r="O345" i="14"/>
  <c r="AL654" i="14"/>
  <c r="AL346" i="14"/>
  <c r="BC656" i="14"/>
  <c r="BC348" i="14"/>
  <c r="E657" i="14"/>
  <c r="E349" i="14"/>
  <c r="AX657" i="14"/>
  <c r="AX349" i="14"/>
  <c r="AX582" i="14"/>
  <c r="AX274" i="14"/>
  <c r="AX197" i="14"/>
  <c r="X661" i="14"/>
  <c r="X353" i="14"/>
  <c r="E585" i="14"/>
  <c r="E277" i="14"/>
  <c r="E200" i="14"/>
  <c r="AW220" i="14"/>
  <c r="AW143" i="14"/>
  <c r="AW528" i="14"/>
  <c r="AW236" i="14"/>
  <c r="AW159" i="14"/>
  <c r="AW544" i="14"/>
  <c r="W632" i="14"/>
  <c r="W324" i="14"/>
  <c r="D559" i="14"/>
  <c r="D174" i="14"/>
  <c r="D251" i="14"/>
  <c r="I564" i="14"/>
  <c r="I256" i="14"/>
  <c r="I179" i="14"/>
  <c r="D572" i="14"/>
  <c r="D264" i="14"/>
  <c r="D187" i="14"/>
  <c r="BU659" i="14"/>
  <c r="BU351" i="14"/>
  <c r="BQ220" i="14"/>
  <c r="BQ528" i="14"/>
  <c r="BQ143" i="14"/>
  <c r="AQ640" i="14"/>
  <c r="AQ332" i="14"/>
  <c r="AV660" i="14"/>
  <c r="AV352" i="14"/>
  <c r="BW628" i="14"/>
  <c r="BW320" i="14"/>
  <c r="D619" i="14"/>
  <c r="D311" i="14"/>
  <c r="AQ519" i="14"/>
  <c r="AQ211" i="14"/>
  <c r="AQ134" i="14"/>
  <c r="BM598" i="14"/>
  <c r="BM290" i="14"/>
  <c r="R631" i="14"/>
  <c r="R323" i="14"/>
  <c r="AQ625" i="14"/>
  <c r="AQ317" i="14"/>
  <c r="AM637" i="14"/>
  <c r="AM329" i="14"/>
  <c r="AI566" i="14"/>
  <c r="AI258" i="14"/>
  <c r="AI181" i="14"/>
  <c r="AN569" i="14"/>
  <c r="AN261" i="14"/>
  <c r="AN184" i="14"/>
  <c r="N649" i="14"/>
  <c r="N341" i="14"/>
  <c r="AL651" i="14"/>
  <c r="AL343" i="14"/>
  <c r="BM271" i="14"/>
  <c r="BM579" i="14"/>
  <c r="BM194" i="14"/>
  <c r="BH580" i="14"/>
  <c r="BH272" i="14"/>
  <c r="BH195" i="14"/>
  <c r="N541" i="14"/>
  <c r="N156" i="14"/>
  <c r="N233" i="14"/>
  <c r="AH627" i="14"/>
  <c r="AH319" i="14"/>
  <c r="BM552" i="14"/>
  <c r="BM244" i="14"/>
  <c r="BM167" i="14"/>
  <c r="AN581" i="14"/>
  <c r="AN273" i="14"/>
  <c r="AN196" i="14"/>
  <c r="H598" i="14"/>
  <c r="H290" i="14"/>
  <c r="AX207" i="14"/>
  <c r="AX130" i="14"/>
  <c r="AX284" i="14" s="1"/>
  <c r="Y601" i="14"/>
  <c r="Y293" i="14"/>
  <c r="AG618" i="14"/>
  <c r="AG310" i="14"/>
  <c r="AH528" i="14"/>
  <c r="AH220" i="14"/>
  <c r="AH143" i="14"/>
  <c r="BB532" i="14"/>
  <c r="BB224" i="14"/>
  <c r="BB147" i="14"/>
  <c r="BW305" i="14"/>
  <c r="BW613" i="14"/>
  <c r="AB618" i="14"/>
  <c r="AB310" i="14"/>
  <c r="BM544" i="14"/>
  <c r="BM236" i="14"/>
  <c r="BM159" i="14"/>
  <c r="BW621" i="14"/>
  <c r="BW313" i="14"/>
  <c r="I626" i="14"/>
  <c r="I318" i="14"/>
  <c r="BK626" i="14"/>
  <c r="BK318" i="14"/>
  <c r="AQ634" i="14"/>
  <c r="AQ326" i="14"/>
  <c r="BW562" i="14"/>
  <c r="BW254" i="14"/>
  <c r="BW177" i="14"/>
  <c r="BP652" i="14"/>
  <c r="BP344" i="14"/>
  <c r="AU355" i="14"/>
  <c r="BH601" i="14"/>
  <c r="BH293" i="14"/>
  <c r="O602" i="14"/>
  <c r="O294" i="14"/>
  <c r="BA615" i="14"/>
  <c r="BA307" i="14"/>
  <c r="AL644" i="14"/>
  <c r="AL336" i="14"/>
  <c r="AM648" i="14"/>
  <c r="AM340" i="14"/>
  <c r="BG616" i="14"/>
  <c r="BG308" i="14"/>
  <c r="BK617" i="14"/>
  <c r="BK309" i="14"/>
  <c r="AM636" i="14"/>
  <c r="AM328" i="14"/>
  <c r="I639" i="14"/>
  <c r="I331" i="14"/>
  <c r="AH647" i="14"/>
  <c r="AH339" i="14"/>
  <c r="X547" i="14"/>
  <c r="X239" i="14"/>
  <c r="X162" i="14"/>
  <c r="BK608" i="14"/>
  <c r="BK300" i="14"/>
  <c r="BG608" i="14"/>
  <c r="BG300" i="14"/>
  <c r="X618" i="14"/>
  <c r="X310" i="14"/>
  <c r="AW626" i="14"/>
  <c r="AW318" i="14"/>
  <c r="AB627" i="14"/>
  <c r="AB319" i="14"/>
  <c r="AC634" i="14"/>
  <c r="AC326" i="14"/>
  <c r="BA635" i="14"/>
  <c r="BA327" i="14"/>
  <c r="BQ644" i="14"/>
  <c r="BQ336" i="14"/>
  <c r="R648" i="14"/>
  <c r="R340" i="14"/>
  <c r="BW572" i="14"/>
  <c r="BW264" i="14"/>
  <c r="BW187" i="14"/>
  <c r="J652" i="14"/>
  <c r="J344" i="14"/>
  <c r="BA652" i="14"/>
  <c r="BA344" i="14"/>
  <c r="AM654" i="14"/>
  <c r="AM346" i="14"/>
  <c r="BB658" i="14"/>
  <c r="BB350" i="14"/>
  <c r="H621" i="14"/>
  <c r="H313" i="14"/>
  <c r="H637" i="14"/>
  <c r="H329" i="14"/>
  <c r="D571" i="14"/>
  <c r="D186" i="14"/>
  <c r="D263" i="14"/>
  <c r="AB518" i="14"/>
  <c r="AB133" i="14"/>
  <c r="AB210" i="14"/>
  <c r="M615" i="14"/>
  <c r="M307" i="14"/>
  <c r="X633" i="14"/>
  <c r="X325" i="14"/>
  <c r="AI653" i="14"/>
  <c r="AI345" i="14"/>
  <c r="M630" i="14"/>
  <c r="M322" i="14"/>
  <c r="AG608" i="14"/>
  <c r="AG300" i="14"/>
  <c r="AD561" i="14"/>
  <c r="AD253" i="14"/>
  <c r="AD176" i="14"/>
  <c r="N644" i="14"/>
  <c r="N336" i="14"/>
  <c r="BR263" i="14"/>
  <c r="BR571" i="14"/>
  <c r="BR186" i="14"/>
  <c r="W599" i="14"/>
  <c r="W291" i="14"/>
  <c r="BC523" i="14"/>
  <c r="BC215" i="14"/>
  <c r="BC138" i="14"/>
  <c r="AH537" i="14"/>
  <c r="AH152" i="14"/>
  <c r="AH229" i="14"/>
  <c r="BA605" i="14"/>
  <c r="BA297" i="14"/>
  <c r="C611" i="14"/>
  <c r="C303" i="14"/>
  <c r="AB612" i="14"/>
  <c r="AB304" i="14"/>
  <c r="R614" i="14"/>
  <c r="R306" i="14"/>
  <c r="BB623" i="14"/>
  <c r="BB315" i="14"/>
  <c r="BU624" i="14"/>
  <c r="BU316" i="14"/>
  <c r="N635" i="14"/>
  <c r="N327" i="14"/>
  <c r="D638" i="14"/>
  <c r="D330" i="14"/>
  <c r="H650" i="14"/>
  <c r="H342" i="14"/>
  <c r="E656" i="14"/>
  <c r="E348" i="14"/>
  <c r="BP658" i="14"/>
  <c r="BP350" i="14"/>
  <c r="H660" i="14"/>
  <c r="H352" i="14"/>
  <c r="BQ623" i="14"/>
  <c r="BQ315" i="14"/>
  <c r="BC625" i="14"/>
  <c r="BC317" i="14"/>
  <c r="AC642" i="14"/>
  <c r="AC334" i="14"/>
  <c r="AI645" i="14"/>
  <c r="AI337" i="14"/>
  <c r="BV652" i="14"/>
  <c r="BV344" i="14"/>
  <c r="S549" i="14"/>
  <c r="S241" i="14"/>
  <c r="S164" i="14"/>
  <c r="BP634" i="14"/>
  <c r="BP326" i="14"/>
  <c r="BA639" i="14"/>
  <c r="BA331" i="14"/>
  <c r="BL642" i="14"/>
  <c r="BL334" i="14"/>
  <c r="BW660" i="14"/>
  <c r="BW352" i="14"/>
  <c r="D599" i="14"/>
  <c r="D291" i="14"/>
  <c r="BU603" i="14"/>
  <c r="BU295" i="14"/>
  <c r="BA610" i="14"/>
  <c r="BA302" i="14"/>
  <c r="AR531" i="14"/>
  <c r="AR223" i="14"/>
  <c r="AR146" i="14"/>
  <c r="BL605" i="14"/>
  <c r="BL297" i="14"/>
  <c r="AB606" i="14"/>
  <c r="AB298" i="14"/>
  <c r="AV610" i="14"/>
  <c r="AV302" i="14"/>
  <c r="R612" i="14"/>
  <c r="R304" i="14"/>
  <c r="AL304" i="14"/>
  <c r="AL612" i="14"/>
  <c r="I614" i="14"/>
  <c r="I306" i="14"/>
  <c r="AR542" i="14"/>
  <c r="AR234" i="14"/>
  <c r="AR157" i="14"/>
  <c r="BV620" i="14"/>
  <c r="BV312" i="14"/>
  <c r="AB623" i="14"/>
  <c r="AB315" i="14"/>
  <c r="BW554" i="14"/>
  <c r="BW169" i="14"/>
  <c r="BW246" i="14"/>
  <c r="BM634" i="14"/>
  <c r="BM326" i="14"/>
  <c r="BC636" i="14"/>
  <c r="BC328" i="14"/>
  <c r="BP638" i="14"/>
  <c r="BP330" i="14"/>
  <c r="AH653" i="14"/>
  <c r="AH345" i="14"/>
  <c r="BR653" i="14"/>
  <c r="BR345" i="14"/>
  <c r="N656" i="14"/>
  <c r="N348" i="14"/>
  <c r="S658" i="14"/>
  <c r="S350" i="14"/>
  <c r="BH584" i="14"/>
  <c r="BH276" i="14"/>
  <c r="BH199" i="14"/>
  <c r="BP609" i="14"/>
  <c r="BP301" i="14"/>
  <c r="AC228" i="14"/>
  <c r="AC536" i="14"/>
  <c r="AC151" i="14"/>
  <c r="AC240" i="14"/>
  <c r="AC163" i="14"/>
  <c r="AC548" i="14"/>
  <c r="AR551" i="14"/>
  <c r="AR243" i="14"/>
  <c r="AR166" i="14"/>
  <c r="AC244" i="14"/>
  <c r="AC552" i="14"/>
  <c r="AC167" i="14"/>
  <c r="AR555" i="14"/>
  <c r="AR247" i="14"/>
  <c r="AR170" i="14"/>
  <c r="C644" i="14"/>
  <c r="C336" i="14"/>
  <c r="C646" i="14"/>
  <c r="C338" i="14"/>
  <c r="M661" i="14"/>
  <c r="M353" i="14"/>
  <c r="BK661" i="14"/>
  <c r="BK353" i="14"/>
  <c r="AH596" i="14"/>
  <c r="AH288" i="14"/>
  <c r="AX645" i="14"/>
  <c r="AX337" i="14"/>
  <c r="AG7" i="14"/>
  <c r="C137" i="18" s="1" a="1"/>
  <c r="C137" i="18" s="1"/>
  <c r="I343" i="14"/>
  <c r="O650" i="14"/>
  <c r="O342" i="14"/>
  <c r="H24" i="14"/>
  <c r="H53" i="14"/>
  <c r="H27" i="14"/>
  <c r="H57" i="14" s="1"/>
  <c r="H30" i="14"/>
  <c r="H60" i="14" s="1"/>
  <c r="C54" i="14"/>
  <c r="BU610" i="14"/>
  <c r="BU302" i="14"/>
  <c r="BW620" i="14"/>
  <c r="BW312" i="14"/>
  <c r="AN621" i="14"/>
  <c r="AN313" i="14"/>
  <c r="BQ626" i="14"/>
  <c r="BQ318" i="14"/>
  <c r="W633" i="14"/>
  <c r="W325" i="14"/>
  <c r="BU635" i="14"/>
  <c r="BU327" i="14"/>
  <c r="AH640" i="14"/>
  <c r="AH332" i="14"/>
  <c r="AX648" i="14"/>
  <c r="AX340" i="14"/>
  <c r="BQ649" i="14"/>
  <c r="BQ341" i="14"/>
  <c r="BV661" i="14"/>
  <c r="BV353" i="14"/>
  <c r="BV662" i="14"/>
  <c r="BV354" i="14"/>
  <c r="BW514" i="14"/>
  <c r="BW125" i="14"/>
  <c r="BW591" i="14" s="1"/>
  <c r="M638" i="14"/>
  <c r="M330" i="14"/>
  <c r="N545" i="14"/>
  <c r="N160" i="14"/>
  <c r="N237" i="14"/>
  <c r="R609" i="14"/>
  <c r="R301" i="14"/>
  <c r="R613" i="14"/>
  <c r="R305" i="14"/>
  <c r="BF636" i="14"/>
  <c r="BF328" i="14"/>
  <c r="AI563" i="14"/>
  <c r="AI255" i="14"/>
  <c r="AI178" i="14"/>
  <c r="BV640" i="14"/>
  <c r="BV332" i="14"/>
  <c r="BQ645" i="14"/>
  <c r="BQ337" i="14"/>
  <c r="AH646" i="14"/>
  <c r="AH338" i="14"/>
  <c r="I657" i="14"/>
  <c r="I349" i="14"/>
  <c r="E581" i="14"/>
  <c r="E273" i="14"/>
  <c r="E196" i="14"/>
  <c r="O658" i="14"/>
  <c r="O350" i="14"/>
  <c r="R519" i="14"/>
  <c r="R134" i="14"/>
  <c r="R211" i="14"/>
  <c r="AV594" i="14"/>
  <c r="AV286" i="14"/>
  <c r="BP594" i="14"/>
  <c r="BP286" i="14"/>
  <c r="BU595" i="14"/>
  <c r="BU287" i="14"/>
  <c r="BG534" i="14"/>
  <c r="BG226" i="14"/>
  <c r="BG149" i="14"/>
  <c r="S529" i="14"/>
  <c r="S221" i="14"/>
  <c r="S144" i="14"/>
  <c r="AM533" i="14"/>
  <c r="AM225" i="14"/>
  <c r="AM148" i="14"/>
  <c r="M613" i="14"/>
  <c r="M305" i="14"/>
  <c r="AV618" i="14"/>
  <c r="AV310" i="14"/>
  <c r="BC546" i="14"/>
  <c r="BC238" i="14"/>
  <c r="BC161" i="14"/>
  <c r="I547" i="14"/>
  <c r="I239" i="14"/>
  <c r="I162" i="14"/>
  <c r="AB626" i="14"/>
  <c r="AB318" i="14"/>
  <c r="I551" i="14"/>
  <c r="I243" i="14"/>
  <c r="I166" i="14"/>
  <c r="BM553" i="14"/>
  <c r="BM245" i="14"/>
  <c r="BM168" i="14"/>
  <c r="BL634" i="14"/>
  <c r="BL326" i="14"/>
  <c r="M635" i="14"/>
  <c r="M327" i="14"/>
  <c r="BB647" i="14"/>
  <c r="BB339" i="14"/>
  <c r="AX576" i="14"/>
  <c r="AX268" i="14"/>
  <c r="AX191" i="14"/>
  <c r="AI578" i="14"/>
  <c r="AI270" i="14"/>
  <c r="AI193" i="14"/>
  <c r="AD580" i="14"/>
  <c r="AD272" i="14"/>
  <c r="AD195" i="14"/>
  <c r="AN657" i="14"/>
  <c r="AN349" i="14"/>
  <c r="BV657" i="14"/>
  <c r="BV349" i="14"/>
  <c r="AN582" i="14"/>
  <c r="AN274" i="14"/>
  <c r="AN197" i="14"/>
  <c r="I661" i="14"/>
  <c r="I353" i="14"/>
  <c r="AF355" i="14"/>
  <c r="H601" i="14"/>
  <c r="H293" i="14"/>
  <c r="BH515" i="14"/>
  <c r="BH126" i="14"/>
  <c r="BH592" i="14" s="1"/>
  <c r="G355" i="14"/>
  <c r="BW568" i="14"/>
  <c r="BW260" i="14"/>
  <c r="BW183" i="14"/>
  <c r="W614" i="14"/>
  <c r="W306" i="14"/>
  <c r="BK638" i="14"/>
  <c r="BK330" i="14"/>
  <c r="T582" i="14"/>
  <c r="T274" i="14"/>
  <c r="T197" i="14"/>
  <c r="X609" i="14"/>
  <c r="X301" i="14"/>
  <c r="AG611" i="14"/>
  <c r="AG303" i="14"/>
  <c r="AG616" i="14"/>
  <c r="AG308" i="14"/>
  <c r="T574" i="14"/>
  <c r="T266" i="14"/>
  <c r="T189" i="14"/>
  <c r="BU651" i="14"/>
  <c r="BU343" i="14"/>
  <c r="BL655" i="14"/>
  <c r="BL347" i="14"/>
  <c r="I220" i="14"/>
  <c r="I143" i="14"/>
  <c r="I528" i="14"/>
  <c r="I248" i="14"/>
  <c r="I556" i="14"/>
  <c r="I171" i="14"/>
  <c r="W644" i="14"/>
  <c r="W336" i="14"/>
  <c r="C645" i="14"/>
  <c r="C337" i="14"/>
  <c r="D570" i="14"/>
  <c r="D262" i="14"/>
  <c r="D185" i="14"/>
  <c r="AX658" i="14"/>
  <c r="AX350" i="14"/>
  <c r="X619" i="14"/>
  <c r="X311" i="14"/>
  <c r="AB628" i="14"/>
  <c r="AB320" i="14"/>
  <c r="AI293" i="14"/>
  <c r="AI601" i="14"/>
  <c r="S534" i="14"/>
  <c r="S226" i="14"/>
  <c r="S149" i="14"/>
  <c r="N628" i="14"/>
  <c r="N320" i="14"/>
  <c r="BV635" i="14"/>
  <c r="BV327" i="14"/>
  <c r="W606" i="14"/>
  <c r="W298" i="14"/>
  <c r="W610" i="14"/>
  <c r="W302" i="14"/>
  <c r="W622" i="14"/>
  <c r="W314" i="14"/>
  <c r="BC551" i="14"/>
  <c r="BC243" i="14"/>
  <c r="BC166" i="14"/>
  <c r="X642" i="14"/>
  <c r="X334" i="14"/>
  <c r="AC643" i="14"/>
  <c r="AC335" i="14"/>
  <c r="BR570" i="14"/>
  <c r="BR262" i="14"/>
  <c r="BR185" i="14"/>
  <c r="AW630" i="14"/>
  <c r="AW322" i="14"/>
  <c r="AB631" i="14"/>
  <c r="AB323" i="14"/>
  <c r="M633" i="14"/>
  <c r="M325" i="14"/>
  <c r="AQ637" i="14"/>
  <c r="AQ329" i="14"/>
  <c r="AQ643" i="14"/>
  <c r="AQ335" i="14"/>
  <c r="BB611" i="14"/>
  <c r="BB303" i="14"/>
  <c r="AD660" i="14"/>
  <c r="AD352" i="14"/>
  <c r="BV599" i="14"/>
  <c r="BV291" i="14"/>
  <c r="AW547" i="14"/>
  <c r="AW239" i="14"/>
  <c r="AW162" i="14"/>
  <c r="AX643" i="14"/>
  <c r="AX335" i="14"/>
  <c r="R599" i="14"/>
  <c r="R291" i="14"/>
  <c r="R607" i="14"/>
  <c r="R299" i="14"/>
  <c r="BV527" i="14"/>
  <c r="BV219" i="14"/>
  <c r="BV142" i="14"/>
  <c r="AC530" i="14"/>
  <c r="AC222" i="14"/>
  <c r="AC145" i="14"/>
  <c r="BB531" i="14"/>
  <c r="BB223" i="14"/>
  <c r="BB146" i="14"/>
  <c r="BG532" i="14"/>
  <c r="BG224" i="14"/>
  <c r="BG147" i="14"/>
  <c r="AW534" i="14"/>
  <c r="AW226" i="14"/>
  <c r="AW149" i="14"/>
  <c r="BV612" i="14"/>
  <c r="BV304" i="14"/>
  <c r="BG613" i="14"/>
  <c r="BG305" i="14"/>
  <c r="BK615" i="14"/>
  <c r="BK307" i="14"/>
  <c r="H620" i="14"/>
  <c r="H312" i="14"/>
  <c r="D546" i="14"/>
  <c r="D238" i="14"/>
  <c r="D161" i="14"/>
  <c r="C623" i="14"/>
  <c r="C315" i="14"/>
  <c r="C627" i="14"/>
  <c r="C319" i="14"/>
  <c r="AW635" i="14"/>
  <c r="AW327" i="14"/>
  <c r="AR562" i="14"/>
  <c r="AR254" i="14"/>
  <c r="AR177" i="14"/>
  <c r="W641" i="14"/>
  <c r="W333" i="14"/>
  <c r="AQ641" i="14"/>
  <c r="AQ333" i="14"/>
  <c r="BB645" i="14"/>
  <c r="BB337" i="14"/>
  <c r="T267" i="14"/>
  <c r="T190" i="14"/>
  <c r="T575" i="14"/>
  <c r="T658" i="14"/>
  <c r="T350" i="14"/>
  <c r="BV658" i="14"/>
  <c r="BV350" i="14"/>
  <c r="S548" i="14"/>
  <c r="S240" i="14"/>
  <c r="S163" i="14"/>
  <c r="AG627" i="14"/>
  <c r="AG319" i="14"/>
  <c r="O572" i="14"/>
  <c r="O264" i="14"/>
  <c r="O187" i="14"/>
  <c r="BP649" i="14"/>
  <c r="BP341" i="14"/>
  <c r="M651" i="14"/>
  <c r="M343" i="14"/>
  <c r="AV652" i="14"/>
  <c r="AV344" i="14"/>
  <c r="AN661" i="14"/>
  <c r="AN353" i="14"/>
  <c r="BU661" i="14"/>
  <c r="BU353" i="14"/>
  <c r="W523" i="14"/>
  <c r="W215" i="14"/>
  <c r="W138" i="14"/>
  <c r="BG597" i="14"/>
  <c r="BG289" i="14"/>
  <c r="BP598" i="14"/>
  <c r="BP290" i="14"/>
  <c r="AG610" i="14"/>
  <c r="AG302" i="14"/>
  <c r="D530" i="14"/>
  <c r="D222" i="14"/>
  <c r="D145" i="14"/>
  <c r="C607" i="14"/>
  <c r="C299" i="14"/>
  <c r="H608" i="14"/>
  <c r="H300" i="14"/>
  <c r="M609" i="14"/>
  <c r="M301" i="14"/>
  <c r="X534" i="14"/>
  <c r="X226" i="14"/>
  <c r="X149" i="14"/>
  <c r="W611" i="14"/>
  <c r="W303" i="14"/>
  <c r="AV612" i="14"/>
  <c r="AV304" i="14"/>
  <c r="H615" i="14"/>
  <c r="H307" i="14"/>
  <c r="BQ615" i="14"/>
  <c r="BQ307" i="14"/>
  <c r="AH539" i="14"/>
  <c r="AH231" i="14"/>
  <c r="AH154" i="14"/>
  <c r="BM623" i="14"/>
  <c r="BM315" i="14"/>
  <c r="R625" i="14"/>
  <c r="R317" i="14"/>
  <c r="H626" i="14"/>
  <c r="H318" i="14"/>
  <c r="BC554" i="14"/>
  <c r="BC246" i="14"/>
  <c r="BC169" i="14"/>
  <c r="BM556" i="14"/>
  <c r="BM248" i="14"/>
  <c r="BM171" i="14"/>
  <c r="BW633" i="14"/>
  <c r="BW325" i="14"/>
  <c r="H643" i="14"/>
  <c r="H335" i="14"/>
  <c r="BW259" i="14"/>
  <c r="BW182" i="14"/>
  <c r="BW567" i="14"/>
  <c r="T568" i="14"/>
  <c r="T260" i="14"/>
  <c r="T183" i="14"/>
  <c r="AM645" i="14"/>
  <c r="AM337" i="14"/>
  <c r="AG646" i="14"/>
  <c r="AG338" i="14"/>
  <c r="H649" i="14"/>
  <c r="H341" i="14"/>
  <c r="AI573" i="14"/>
  <c r="AI265" i="14"/>
  <c r="AI188" i="14"/>
  <c r="O575" i="14"/>
  <c r="O190" i="14"/>
  <c r="O267" i="14"/>
  <c r="BQ653" i="14"/>
  <c r="BQ345" i="14"/>
  <c r="R654" i="14"/>
  <c r="R346" i="14"/>
  <c r="BW577" i="14"/>
  <c r="BW269" i="14"/>
  <c r="BW192" i="14"/>
  <c r="J655" i="14"/>
  <c r="J347" i="14"/>
  <c r="X658" i="14"/>
  <c r="X350" i="14"/>
  <c r="V355" i="14"/>
  <c r="AA355" i="14"/>
  <c r="BL606" i="14"/>
  <c r="BL298" i="14"/>
  <c r="BL614" i="14"/>
  <c r="BL306" i="14"/>
  <c r="BH621" i="14"/>
  <c r="BH313" i="14"/>
  <c r="AR545" i="14"/>
  <c r="AR160" i="14"/>
  <c r="AR237" i="14"/>
  <c r="D554" i="14"/>
  <c r="D246" i="14"/>
  <c r="D169" i="14"/>
  <c r="C631" i="14"/>
  <c r="C323" i="14"/>
  <c r="BQ631" i="14"/>
  <c r="BQ323" i="14"/>
  <c r="BL637" i="14"/>
  <c r="BL329" i="14"/>
  <c r="N566" i="14"/>
  <c r="N258" i="14"/>
  <c r="N181" i="14"/>
  <c r="BV645" i="14"/>
  <c r="BV337" i="14"/>
  <c r="AX651" i="14"/>
  <c r="AX343" i="14"/>
  <c r="AN539" i="14"/>
  <c r="AN231" i="14"/>
  <c r="AN154" i="14"/>
  <c r="X540" i="14"/>
  <c r="X232" i="14"/>
  <c r="X155" i="14"/>
  <c r="H619" i="14"/>
  <c r="H311" i="14"/>
  <c r="BF620" i="14"/>
  <c r="BF312" i="14"/>
  <c r="M621" i="14"/>
  <c r="M313" i="14"/>
  <c r="AG624" i="14"/>
  <c r="AG316" i="14"/>
  <c r="C634" i="14"/>
  <c r="C326" i="14"/>
  <c r="M637" i="14"/>
  <c r="M329" i="14"/>
  <c r="H640" i="14"/>
  <c r="H332" i="14"/>
  <c r="AW645" i="14"/>
  <c r="AW337" i="14"/>
  <c r="M648" i="14"/>
  <c r="M340" i="14"/>
  <c r="BW576" i="14"/>
  <c r="BW268" i="14"/>
  <c r="BW191" i="14"/>
  <c r="N599" i="14"/>
  <c r="N291" i="14"/>
  <c r="BC597" i="14"/>
  <c r="BC289" i="14"/>
  <c r="BB529" i="14"/>
  <c r="BB144" i="14"/>
  <c r="BB221" i="14"/>
  <c r="W616" i="14"/>
  <c r="W308" i="14"/>
  <c r="N530" i="14"/>
  <c r="N145" i="14"/>
  <c r="N222" i="14"/>
  <c r="D536" i="14"/>
  <c r="D228" i="14"/>
  <c r="D151" i="14"/>
  <c r="X538" i="14"/>
  <c r="X230" i="14"/>
  <c r="X153" i="14"/>
  <c r="W615" i="14"/>
  <c r="W307" i="14"/>
  <c r="AN617" i="14"/>
  <c r="AN309" i="14"/>
  <c r="BH617" i="14"/>
  <c r="BH309" i="14"/>
  <c r="AC545" i="14"/>
  <c r="AC160" i="14"/>
  <c r="AC237" i="14"/>
  <c r="S547" i="14"/>
  <c r="S239" i="14"/>
  <c r="S162" i="14"/>
  <c r="AX549" i="14"/>
  <c r="AX241" i="14"/>
  <c r="AX164" i="14"/>
  <c r="BH626" i="14"/>
  <c r="BH318" i="14"/>
  <c r="AD557" i="14"/>
  <c r="AD249" i="14"/>
  <c r="AD172" i="14"/>
  <c r="D562" i="14"/>
  <c r="D254" i="14"/>
  <c r="D177" i="14"/>
  <c r="C639" i="14"/>
  <c r="C331" i="14"/>
  <c r="H644" i="14"/>
  <c r="H336" i="14"/>
  <c r="AD644" i="14"/>
  <c r="AD336" i="14"/>
  <c r="AD646" i="14"/>
  <c r="AD338" i="14"/>
  <c r="AW647" i="14"/>
  <c r="AW339" i="14"/>
  <c r="BV647" i="14"/>
  <c r="BV339" i="14"/>
  <c r="BB652" i="14"/>
  <c r="BB344" i="14"/>
  <c r="O579" i="14"/>
  <c r="O271" i="14"/>
  <c r="O194" i="14"/>
  <c r="Y656" i="14"/>
  <c r="Y348" i="14"/>
  <c r="AV659" i="14"/>
  <c r="AV351" i="14"/>
  <c r="D661" i="14"/>
  <c r="D353" i="14"/>
  <c r="C662" i="14"/>
  <c r="C354" i="14"/>
  <c r="BB662" i="14"/>
  <c r="BB354" i="14"/>
  <c r="AV605" i="14"/>
  <c r="AV297" i="14"/>
  <c r="I224" i="14"/>
  <c r="I532" i="14"/>
  <c r="I147" i="14"/>
  <c r="N565" i="14"/>
  <c r="N257" i="14"/>
  <c r="N180" i="14"/>
  <c r="BH566" i="14"/>
  <c r="BH181" i="14"/>
  <c r="BH258" i="14"/>
  <c r="Y569" i="14"/>
  <c r="Y261" i="14"/>
  <c r="Y184" i="14"/>
  <c r="C649" i="14"/>
  <c r="C341" i="14"/>
  <c r="D573" i="14"/>
  <c r="D265" i="14"/>
  <c r="D188" i="14"/>
  <c r="AG661" i="14"/>
  <c r="AG353" i="14"/>
  <c r="BP605" i="14"/>
  <c r="BP297" i="14"/>
  <c r="BQ228" i="14"/>
  <c r="BQ536" i="14"/>
  <c r="BQ151" i="14"/>
  <c r="C628" i="14"/>
  <c r="C320" i="14"/>
  <c r="D574" i="14"/>
  <c r="D189" i="14"/>
  <c r="D266" i="14"/>
  <c r="BB613" i="14"/>
  <c r="BB305" i="14"/>
  <c r="AR635" i="14"/>
  <c r="AR327" i="14"/>
  <c r="N632" i="14"/>
  <c r="N324" i="14"/>
  <c r="X641" i="14"/>
  <c r="X333" i="14"/>
  <c r="AG643" i="14"/>
  <c r="AG335" i="14"/>
  <c r="BK656" i="14"/>
  <c r="BK348" i="14"/>
  <c r="BF657" i="14"/>
  <c r="BF349" i="14"/>
  <c r="AS603" i="14"/>
  <c r="AS295" i="14"/>
  <c r="AW615" i="14"/>
  <c r="AW307" i="14"/>
  <c r="BK629" i="14"/>
  <c r="BK321" i="14"/>
  <c r="N631" i="14"/>
  <c r="N323" i="14"/>
  <c r="N559" i="14"/>
  <c r="N251" i="14"/>
  <c r="N174" i="14"/>
  <c r="J195" i="14"/>
  <c r="J272" i="14"/>
  <c r="J580" i="14"/>
  <c r="T657" i="14"/>
  <c r="T349" i="14"/>
  <c r="AL658" i="14"/>
  <c r="AL350" i="14"/>
  <c r="I660" i="14"/>
  <c r="I352" i="14"/>
  <c r="AN585" i="14"/>
  <c r="AN277" i="14"/>
  <c r="AN200" i="14"/>
  <c r="AC519" i="14"/>
  <c r="AC211" i="14"/>
  <c r="AC134" i="14"/>
  <c r="BM520" i="14"/>
  <c r="BM212" i="14"/>
  <c r="BM135" i="14"/>
  <c r="BV600" i="14"/>
  <c r="BV292" i="14"/>
  <c r="BG530" i="14"/>
  <c r="BG222" i="14"/>
  <c r="BG145" i="14"/>
  <c r="AM529" i="14"/>
  <c r="AM221" i="14"/>
  <c r="AM144" i="14"/>
  <c r="BG533" i="14"/>
  <c r="BG225" i="14"/>
  <c r="BG148" i="14"/>
  <c r="H612" i="14"/>
  <c r="H304" i="14"/>
  <c r="AG613" i="14"/>
  <c r="AG305" i="14"/>
  <c r="BQ618" i="14"/>
  <c r="BQ310" i="14"/>
  <c r="AR621" i="14"/>
  <c r="AR313" i="14"/>
  <c r="BK621" i="14"/>
  <c r="BK313" i="14"/>
  <c r="AN552" i="14"/>
  <c r="AN244" i="14"/>
  <c r="AN167" i="14"/>
  <c r="BM631" i="14"/>
  <c r="BM323" i="14"/>
  <c r="BL633" i="14"/>
  <c r="BL325" i="14"/>
  <c r="BU639" i="14"/>
  <c r="BU331" i="14"/>
  <c r="BB650" i="14"/>
  <c r="BB342" i="14"/>
  <c r="BH523" i="14"/>
  <c r="BH215" i="14"/>
  <c r="BH138" i="14"/>
  <c r="O601" i="14"/>
  <c r="O293" i="14"/>
  <c r="BQ603" i="14"/>
  <c r="BQ295" i="14"/>
  <c r="X546" i="14"/>
  <c r="X161" i="14"/>
  <c r="X238" i="14"/>
  <c r="W623" i="14"/>
  <c r="W315" i="14"/>
  <c r="BQ599" i="14"/>
  <c r="BQ291" i="14"/>
  <c r="AM530" i="14"/>
  <c r="AM222" i="14"/>
  <c r="AM145" i="14"/>
  <c r="BL622" i="14"/>
  <c r="BL314" i="14"/>
  <c r="BM548" i="14"/>
  <c r="BM240" i="14"/>
  <c r="BM163" i="14"/>
  <c r="AI551" i="14"/>
  <c r="AI243" i="14"/>
  <c r="AI166" i="14"/>
  <c r="BV632" i="14"/>
  <c r="BV324" i="14"/>
  <c r="O578" i="14"/>
  <c r="O270" i="14"/>
  <c r="O193" i="14"/>
  <c r="T603" i="14"/>
  <c r="T295" i="14"/>
  <c r="C620" i="14"/>
  <c r="C312" i="14"/>
  <c r="AR535" i="14"/>
  <c r="AR227" i="14"/>
  <c r="AR150" i="14"/>
  <c r="BQ610" i="14"/>
  <c r="BQ302" i="14"/>
  <c r="BV611" i="14"/>
  <c r="BV303" i="14"/>
  <c r="AG619" i="14"/>
  <c r="AG311" i="14"/>
  <c r="R624" i="14"/>
  <c r="R316" i="14"/>
  <c r="H631" i="14"/>
  <c r="H323" i="14"/>
  <c r="BF632" i="14"/>
  <c r="BF324" i="14"/>
  <c r="AC635" i="14"/>
  <c r="AC327" i="14"/>
  <c r="BU649" i="14"/>
  <c r="BU341" i="14"/>
  <c r="AW224" i="14"/>
  <c r="AW532" i="14"/>
  <c r="AW147" i="14"/>
  <c r="AB617" i="14"/>
  <c r="AB309" i="14"/>
  <c r="I240" i="14"/>
  <c r="I548" i="14"/>
  <c r="I163" i="14"/>
  <c r="W628" i="14"/>
  <c r="W320" i="14"/>
  <c r="C640" i="14"/>
  <c r="C332" i="14"/>
  <c r="BR549" i="14"/>
  <c r="BR241" i="14"/>
  <c r="BR164" i="14"/>
  <c r="AM658" i="14"/>
  <c r="AM350" i="14"/>
  <c r="BB600" i="14"/>
  <c r="BB292" i="14"/>
  <c r="M627" i="14"/>
  <c r="M319" i="14"/>
  <c r="S553" i="14"/>
  <c r="S168" i="14"/>
  <c r="S245" i="14"/>
  <c r="BG636" i="14"/>
  <c r="BG328" i="14"/>
  <c r="AB638" i="14"/>
  <c r="AB330" i="14"/>
  <c r="BP648" i="14"/>
  <c r="BP340" i="14"/>
  <c r="AN575" i="14"/>
  <c r="AN190" i="14"/>
  <c r="AN267" i="14"/>
  <c r="S653" i="14"/>
  <c r="S345" i="14"/>
  <c r="BB654" i="14"/>
  <c r="BB346" i="14"/>
  <c r="AG614" i="14"/>
  <c r="AG306" i="14"/>
  <c r="D534" i="14"/>
  <c r="D226" i="14"/>
  <c r="D149" i="14"/>
  <c r="AC535" i="14"/>
  <c r="AC227" i="14"/>
  <c r="AC150" i="14"/>
  <c r="AH620" i="14"/>
  <c r="AH312" i="14"/>
  <c r="H632" i="14"/>
  <c r="H324" i="14"/>
  <c r="I571" i="14"/>
  <c r="I263" i="14"/>
  <c r="I186" i="14"/>
  <c r="Q663" i="14"/>
  <c r="AH615" i="14"/>
  <c r="AH307" i="14"/>
  <c r="X317" i="14"/>
  <c r="X625" i="14"/>
  <c r="AH628" i="14"/>
  <c r="AH320" i="14"/>
  <c r="AQ629" i="14"/>
  <c r="AQ321" i="14"/>
  <c r="AM644" i="14"/>
  <c r="AM336" i="14"/>
  <c r="BR546" i="14"/>
  <c r="BR238" i="14"/>
  <c r="BR161" i="14"/>
  <c r="BV628" i="14"/>
  <c r="BV320" i="14"/>
  <c r="BC633" i="14"/>
  <c r="BC325" i="14"/>
  <c r="M599" i="14"/>
  <c r="M291" i="14"/>
  <c r="AL598" i="14"/>
  <c r="AL290" i="14"/>
  <c r="BM602" i="14"/>
  <c r="BM294" i="14"/>
  <c r="W620" i="14"/>
  <c r="W312" i="14"/>
  <c r="AQ624" i="14"/>
  <c r="AQ316" i="14"/>
  <c r="S608" i="14"/>
  <c r="S300" i="14"/>
  <c r="I610" i="14"/>
  <c r="I302" i="14"/>
  <c r="D538" i="14"/>
  <c r="D230" i="14"/>
  <c r="D153" i="14"/>
  <c r="C615" i="14"/>
  <c r="C307" i="14"/>
  <c r="N619" i="14"/>
  <c r="N311" i="14"/>
  <c r="BG621" i="14"/>
  <c r="BG313" i="14"/>
  <c r="AW622" i="14"/>
  <c r="AW314" i="14"/>
  <c r="D630" i="14"/>
  <c r="D322" i="14"/>
  <c r="BU631" i="14"/>
  <c r="BU323" i="14"/>
  <c r="AN633" i="14"/>
  <c r="AN325" i="14"/>
  <c r="H634" i="14"/>
  <c r="H326" i="14"/>
  <c r="H636" i="14"/>
  <c r="H328" i="14"/>
  <c r="BM643" i="14"/>
  <c r="BM335" i="14"/>
  <c r="AH645" i="14"/>
  <c r="AH337" i="14"/>
  <c r="AD650" i="14"/>
  <c r="AD342" i="14"/>
  <c r="S655" i="14"/>
  <c r="S347" i="14"/>
  <c r="BA658" i="14"/>
  <c r="BA350" i="14"/>
  <c r="BF661" i="14"/>
  <c r="BF353" i="14"/>
  <c r="AB613" i="14"/>
  <c r="AB305" i="14"/>
  <c r="AW232" i="14"/>
  <c r="AW540" i="14"/>
  <c r="AW155" i="14"/>
  <c r="AC236" i="14"/>
  <c r="AC544" i="14"/>
  <c r="AC159" i="14"/>
  <c r="AQ636" i="14"/>
  <c r="AQ328" i="14"/>
  <c r="BW565" i="14"/>
  <c r="BW257" i="14"/>
  <c r="BW180" i="14"/>
  <c r="BH637" i="14"/>
  <c r="BH329" i="14"/>
  <c r="AM614" i="14"/>
  <c r="AM306" i="14"/>
  <c r="BL611" i="14"/>
  <c r="BL303" i="14"/>
  <c r="H518" i="14"/>
  <c r="H133" i="14"/>
  <c r="H210" i="14"/>
  <c r="C519" i="14"/>
  <c r="C211" i="14"/>
  <c r="C134" i="14"/>
  <c r="R635" i="14"/>
  <c r="R327" i="14"/>
  <c r="S527" i="14"/>
  <c r="S219" i="14"/>
  <c r="S142" i="14"/>
  <c r="BB619" i="14"/>
  <c r="BB311" i="14"/>
  <c r="M639" i="14"/>
  <c r="M331" i="14"/>
  <c r="M640" i="14"/>
  <c r="M332" i="14"/>
  <c r="BP642" i="14"/>
  <c r="BP334" i="14"/>
  <c r="AX644" i="14"/>
  <c r="AX336" i="14"/>
  <c r="AX649" i="14"/>
  <c r="AX341" i="14"/>
  <c r="AC598" i="14"/>
  <c r="AC290" i="14"/>
  <c r="BC514" i="14"/>
  <c r="BC125" i="14"/>
  <c r="BC591" i="14" s="1"/>
  <c r="BQ602" i="14"/>
  <c r="BQ294" i="14"/>
  <c r="M622" i="14"/>
  <c r="M314" i="14"/>
  <c r="N529" i="14"/>
  <c r="N144" i="14"/>
  <c r="N221" i="14"/>
  <c r="C606" i="14"/>
  <c r="C298" i="14"/>
  <c r="BW309" i="14"/>
  <c r="BW617" i="14"/>
  <c r="AQ633" i="14"/>
  <c r="AQ325" i="14"/>
  <c r="AC638" i="14"/>
  <c r="AC330" i="14"/>
  <c r="AG640" i="14"/>
  <c r="AG332" i="14"/>
  <c r="BH536" i="14"/>
  <c r="BH151" i="14"/>
  <c r="BH228" i="14"/>
  <c r="BW538" i="14"/>
  <c r="BW230" i="14"/>
  <c r="BW153" i="14"/>
  <c r="AW542" i="14"/>
  <c r="AW234" i="14"/>
  <c r="AW157" i="14"/>
  <c r="M632" i="14"/>
  <c r="M324" i="14"/>
  <c r="BQ634" i="14"/>
  <c r="BQ326" i="14"/>
  <c r="AV635" i="14"/>
  <c r="AV327" i="14"/>
  <c r="AN638" i="14"/>
  <c r="AN330" i="14"/>
  <c r="BW207" i="14"/>
  <c r="BW130" i="14"/>
  <c r="BW284" i="14" s="1"/>
  <c r="AH604" i="14"/>
  <c r="AH296" i="14"/>
  <c r="BF606" i="14"/>
  <c r="BF298" i="14"/>
  <c r="BL530" i="14"/>
  <c r="BL222" i="14"/>
  <c r="BL145" i="14"/>
  <c r="BV532" i="14"/>
  <c r="BV224" i="14"/>
  <c r="BV147" i="14"/>
  <c r="S545" i="14"/>
  <c r="S237" i="14"/>
  <c r="S160" i="14"/>
  <c r="AD632" i="14"/>
  <c r="AD324" i="14"/>
  <c r="D637" i="14"/>
  <c r="D329" i="14"/>
  <c r="AG644" i="14"/>
  <c r="AG336" i="14"/>
  <c r="BA644" i="14"/>
  <c r="BA336" i="14"/>
  <c r="BC570" i="14"/>
  <c r="BC262" i="14"/>
  <c r="BC185" i="14"/>
  <c r="BB648" i="14"/>
  <c r="BB340" i="14"/>
  <c r="BP655" i="14"/>
  <c r="BP347" i="14"/>
  <c r="BJ663" i="14"/>
  <c r="D641" i="14"/>
  <c r="D333" i="14"/>
  <c r="I643" i="14"/>
  <c r="I335" i="14"/>
  <c r="AD645" i="14"/>
  <c r="AD337" i="14"/>
  <c r="T576" i="14"/>
  <c r="T268" i="14"/>
  <c r="T191" i="14"/>
  <c r="AW653" i="14"/>
  <c r="AW345" i="14"/>
  <c r="BB657" i="14"/>
  <c r="BB349" i="14"/>
  <c r="C658" i="14"/>
  <c r="C350" i="14"/>
  <c r="BC584" i="14"/>
  <c r="BC199" i="14"/>
  <c r="BC276" i="14"/>
  <c r="AL599" i="14"/>
  <c r="AL291" i="14"/>
  <c r="BR514" i="14"/>
  <c r="BR125" i="14"/>
  <c r="BR591" i="14" s="1"/>
  <c r="AW601" i="14"/>
  <c r="AW293" i="14"/>
  <c r="AH545" i="14"/>
  <c r="AH160" i="14"/>
  <c r="AH237" i="14"/>
  <c r="BF611" i="14"/>
  <c r="BF303" i="14"/>
  <c r="BF604" i="14"/>
  <c r="BF296" i="14"/>
  <c r="M605" i="14"/>
  <c r="M297" i="14"/>
  <c r="W607" i="14"/>
  <c r="W299" i="14"/>
  <c r="AB608" i="14"/>
  <c r="AB300" i="14"/>
  <c r="AG609" i="14"/>
  <c r="AG301" i="14"/>
  <c r="AR534" i="14"/>
  <c r="AR149" i="14"/>
  <c r="AR226" i="14"/>
  <c r="AQ611" i="14"/>
  <c r="AQ303" i="14"/>
  <c r="AN163" i="14"/>
  <c r="AN548" i="14"/>
  <c r="AN240" i="14"/>
  <c r="BK630" i="14"/>
  <c r="BK322" i="14"/>
  <c r="S557" i="14"/>
  <c r="S249" i="14"/>
  <c r="S172" i="14"/>
  <c r="Y560" i="14"/>
  <c r="Y252" i="14"/>
  <c r="Y175" i="14"/>
  <c r="AX561" i="14"/>
  <c r="AX176" i="14"/>
  <c r="AX253" i="14"/>
  <c r="BP643" i="14"/>
  <c r="BP335" i="14"/>
  <c r="AN183" i="14"/>
  <c r="AN568" i="14"/>
  <c r="AN260" i="14"/>
  <c r="AG649" i="14"/>
  <c r="AG341" i="14"/>
  <c r="BB651" i="14"/>
  <c r="BB343" i="14"/>
  <c r="AV653" i="14"/>
  <c r="AV345" i="14"/>
  <c r="AG655" i="14"/>
  <c r="AG347" i="14"/>
  <c r="AB657" i="14"/>
  <c r="AB349" i="14"/>
  <c r="AL659" i="14"/>
  <c r="AL351" i="14"/>
  <c r="AX661" i="14"/>
  <c r="AX353" i="14"/>
  <c r="BR661" i="14"/>
  <c r="BR353" i="14"/>
  <c r="BG600" i="14"/>
  <c r="BG292" i="14"/>
  <c r="AD565" i="14"/>
  <c r="AD180" i="14"/>
  <c r="AD257" i="14"/>
  <c r="AX565" i="14"/>
  <c r="AX257" i="14"/>
  <c r="AX180" i="14"/>
  <c r="BQ646" i="14"/>
  <c r="BQ338" i="14"/>
  <c r="AN571" i="14"/>
  <c r="AN263" i="14"/>
  <c r="AN186" i="14"/>
  <c r="AN572" i="14"/>
  <c r="AN187" i="14"/>
  <c r="AN264" i="14"/>
  <c r="N651" i="14"/>
  <c r="N343" i="14"/>
  <c r="N655" i="14"/>
  <c r="N347" i="14"/>
  <c r="AI579" i="14"/>
  <c r="AI194" i="14"/>
  <c r="AI271" i="14"/>
  <c r="AG519" i="14"/>
  <c r="AG211" i="14"/>
  <c r="AG134" i="14"/>
  <c r="AM534" i="14"/>
  <c r="AM226" i="14"/>
  <c r="AM149" i="14"/>
  <c r="AL609" i="14"/>
  <c r="AL301" i="14"/>
  <c r="BF613" i="14"/>
  <c r="BF305" i="14"/>
  <c r="BW542" i="14"/>
  <c r="BW234" i="14"/>
  <c r="BW157" i="14"/>
  <c r="AH544" i="14"/>
  <c r="AH236" i="14"/>
  <c r="AH159" i="14"/>
  <c r="M623" i="14"/>
  <c r="M315" i="14"/>
  <c r="AN251" i="14"/>
  <c r="AN559" i="14"/>
  <c r="AN174" i="14"/>
  <c r="AN560" i="14"/>
  <c r="AN252" i="14"/>
  <c r="AN175" i="14"/>
  <c r="BG637" i="14"/>
  <c r="BG329" i="14"/>
  <c r="H638" i="14"/>
  <c r="H330" i="14"/>
  <c r="J579" i="14"/>
  <c r="J271" i="14"/>
  <c r="J194" i="14"/>
  <c r="I216" i="14"/>
  <c r="I139" i="14"/>
  <c r="I524" i="14"/>
  <c r="O603" i="14"/>
  <c r="O295" i="14"/>
  <c r="BA618" i="14"/>
  <c r="BA310" i="14"/>
  <c r="C624" i="14"/>
  <c r="C316" i="14"/>
  <c r="X535" i="14"/>
  <c r="X227" i="14"/>
  <c r="X150" i="14"/>
  <c r="AR539" i="14"/>
  <c r="AR231" i="14"/>
  <c r="AR154" i="14"/>
  <c r="BL535" i="14"/>
  <c r="BL227" i="14"/>
  <c r="BL150" i="14"/>
  <c r="M611" i="14"/>
  <c r="M303" i="14"/>
  <c r="H622" i="14"/>
  <c r="H314" i="14"/>
  <c r="AN547" i="14"/>
  <c r="AN239" i="14"/>
  <c r="AN162" i="14"/>
  <c r="N548" i="14"/>
  <c r="N240" i="14"/>
  <c r="N163" i="14"/>
  <c r="BH625" i="14"/>
  <c r="BH317" i="14"/>
  <c r="BU627" i="14"/>
  <c r="BU319" i="14"/>
  <c r="BF628" i="14"/>
  <c r="BF320" i="14"/>
  <c r="M629" i="14"/>
  <c r="M321" i="14"/>
  <c r="AV630" i="14"/>
  <c r="AV322" i="14"/>
  <c r="S252" i="14"/>
  <c r="S560" i="14"/>
  <c r="S175" i="14"/>
  <c r="BQ638" i="14"/>
  <c r="BQ330" i="14"/>
  <c r="S565" i="14"/>
  <c r="S257" i="14"/>
  <c r="S180" i="14"/>
  <c r="BH642" i="14"/>
  <c r="BH334" i="14"/>
  <c r="BW571" i="14"/>
  <c r="BW263" i="14"/>
  <c r="BW186" i="14"/>
  <c r="T572" i="14"/>
  <c r="T264" i="14"/>
  <c r="T187" i="14"/>
  <c r="AD649" i="14"/>
  <c r="AD341" i="14"/>
  <c r="S650" i="14"/>
  <c r="S342" i="14"/>
  <c r="BQ654" i="14"/>
  <c r="BQ346" i="14"/>
  <c r="W662" i="14"/>
  <c r="W354" i="14"/>
  <c r="BA662" i="14"/>
  <c r="BA354" i="14"/>
  <c r="AB609" i="14"/>
  <c r="AB301" i="14"/>
  <c r="D555" i="14"/>
  <c r="D247" i="14"/>
  <c r="D170" i="14"/>
  <c r="BP641" i="14"/>
  <c r="BP333" i="14"/>
  <c r="T583" i="14"/>
  <c r="T198" i="14"/>
  <c r="T275" i="14"/>
  <c r="AD585" i="14"/>
  <c r="AD277" i="14"/>
  <c r="AD200" i="14"/>
  <c r="BM622" i="14"/>
  <c r="BM314" i="14"/>
  <c r="BR635" i="14"/>
  <c r="BR327" i="14"/>
  <c r="AD603" i="14"/>
  <c r="AD295" i="14"/>
  <c r="BQ630" i="14"/>
  <c r="BQ322" i="14"/>
  <c r="AI583" i="14"/>
  <c r="AI275" i="14"/>
  <c r="AI198" i="14"/>
  <c r="Y661" i="14"/>
  <c r="Y353" i="14"/>
  <c r="BU662" i="14"/>
  <c r="BU354" i="14"/>
  <c r="M634" i="14"/>
  <c r="M326" i="14"/>
  <c r="AQ610" i="14"/>
  <c r="AQ302" i="14"/>
  <c r="AI558" i="14"/>
  <c r="AI250" i="14"/>
  <c r="AI173" i="14"/>
  <c r="BH564" i="14"/>
  <c r="BH256" i="14"/>
  <c r="BH179" i="14"/>
  <c r="BB644" i="14"/>
  <c r="BB336" i="14"/>
  <c r="BP645" i="14"/>
  <c r="BP337" i="14"/>
  <c r="AI574" i="14"/>
  <c r="AI266" i="14"/>
  <c r="AI189" i="14"/>
  <c r="N653" i="14"/>
  <c r="N345" i="14"/>
  <c r="W658" i="14"/>
  <c r="W350" i="14"/>
  <c r="BM582" i="14"/>
  <c r="BM274" i="14"/>
  <c r="BM197" i="14"/>
  <c r="H661" i="14"/>
  <c r="H353" i="14"/>
  <c r="W629" i="14"/>
  <c r="W321" i="14"/>
  <c r="BB643" i="14"/>
  <c r="BB335" i="14"/>
  <c r="T259" i="14"/>
  <c r="T567" i="14"/>
  <c r="T182" i="14"/>
  <c r="BU645" i="14"/>
  <c r="BU337" i="14"/>
  <c r="AM650" i="14"/>
  <c r="AM342" i="14"/>
  <c r="BB661" i="14"/>
  <c r="BB353" i="14"/>
  <c r="BC247" i="14"/>
  <c r="BC555" i="14"/>
  <c r="BC170" i="14"/>
  <c r="S633" i="14"/>
  <c r="S325" i="14"/>
  <c r="BM599" i="14"/>
  <c r="BM291" i="14"/>
  <c r="D605" i="14"/>
  <c r="D297" i="14"/>
  <c r="X531" i="14"/>
  <c r="X223" i="14"/>
  <c r="X146" i="14"/>
  <c r="AM608" i="14"/>
  <c r="AM300" i="14"/>
  <c r="C613" i="14"/>
  <c r="C305" i="14"/>
  <c r="W613" i="14"/>
  <c r="W305" i="14"/>
  <c r="BK613" i="14"/>
  <c r="BK305" i="14"/>
  <c r="H623" i="14"/>
  <c r="H315" i="14"/>
  <c r="BU623" i="14"/>
  <c r="BU315" i="14"/>
  <c r="R651" i="14"/>
  <c r="R343" i="14"/>
  <c r="AW651" i="14"/>
  <c r="AW343" i="14"/>
  <c r="BW657" i="14"/>
  <c r="BW349" i="14"/>
  <c r="H605" i="14"/>
  <c r="H297" i="14"/>
  <c r="I228" i="14"/>
  <c r="I151" i="14"/>
  <c r="I536" i="14"/>
  <c r="H629" i="14"/>
  <c r="H321" i="14"/>
  <c r="AX564" i="14"/>
  <c r="AX256" i="14"/>
  <c r="AX179" i="14"/>
  <c r="BC565" i="14"/>
  <c r="BC257" i="14"/>
  <c r="BC180" i="14"/>
  <c r="S566" i="14"/>
  <c r="S258" i="14"/>
  <c r="S181" i="14"/>
  <c r="BH656" i="14"/>
  <c r="BH348" i="14"/>
  <c r="X554" i="14"/>
  <c r="X246" i="14"/>
  <c r="X169" i="14"/>
  <c r="AC551" i="14"/>
  <c r="AC243" i="14"/>
  <c r="AC166" i="14"/>
  <c r="AL523" i="14"/>
  <c r="AL138" i="14"/>
  <c r="AL215" i="14"/>
  <c r="AB598" i="14"/>
  <c r="AB290" i="14"/>
  <c r="R611" i="14"/>
  <c r="R303" i="14"/>
  <c r="R604" i="14"/>
  <c r="R296" i="14"/>
  <c r="BC542" i="14"/>
  <c r="BC234" i="14"/>
  <c r="BC157" i="14"/>
  <c r="N624" i="14"/>
  <c r="N316" i="14"/>
  <c r="S646" i="14"/>
  <c r="S338" i="14"/>
  <c r="BM653" i="14"/>
  <c r="BM345" i="14"/>
  <c r="Y603" i="14"/>
  <c r="Y295" i="14"/>
  <c r="N537" i="14"/>
  <c r="N152" i="14"/>
  <c r="N229" i="14"/>
  <c r="S616" i="14"/>
  <c r="S308" i="14"/>
  <c r="AR633" i="14"/>
  <c r="AR325" i="14"/>
  <c r="AH650" i="14"/>
  <c r="AH342" i="14"/>
  <c r="AD659" i="14"/>
  <c r="AD351" i="14"/>
  <c r="AV662" i="14"/>
  <c r="AV354" i="14"/>
  <c r="M636" i="14"/>
  <c r="M328" i="14"/>
  <c r="AW638" i="14"/>
  <c r="AW330" i="14"/>
  <c r="R640" i="14"/>
  <c r="R332" i="14"/>
  <c r="BC569" i="14"/>
  <c r="BC261" i="14"/>
  <c r="BC184" i="14"/>
  <c r="BA647" i="14"/>
  <c r="BA339" i="14"/>
  <c r="BC574" i="14"/>
  <c r="BC266" i="14"/>
  <c r="BC189" i="14"/>
  <c r="BV654" i="14"/>
  <c r="BV346" i="14"/>
  <c r="H616" i="14"/>
  <c r="H308" i="14"/>
  <c r="BK618" i="14"/>
  <c r="BK310" i="14"/>
  <c r="AB620" i="14"/>
  <c r="AB312" i="14"/>
  <c r="S636" i="14"/>
  <c r="S328" i="14"/>
  <c r="BB640" i="14"/>
  <c r="BB332" i="14"/>
  <c r="M645" i="14"/>
  <c r="M337" i="14"/>
  <c r="O654" i="14"/>
  <c r="O346" i="14"/>
  <c r="E661" i="14"/>
  <c r="E353" i="14"/>
  <c r="AK355" i="14"/>
  <c r="AV599" i="14"/>
  <c r="AV291" i="14"/>
  <c r="S541" i="14"/>
  <c r="S233" i="14"/>
  <c r="S156" i="14"/>
  <c r="S641" i="14"/>
  <c r="S333" i="14"/>
  <c r="BG624" i="14"/>
  <c r="BG316" i="14"/>
  <c r="BG628" i="14"/>
  <c r="BG320" i="14"/>
  <c r="X630" i="14"/>
  <c r="X322" i="14"/>
  <c r="N248" i="14"/>
  <c r="N556" i="14"/>
  <c r="N171" i="14"/>
  <c r="AR566" i="14"/>
  <c r="AR258" i="14"/>
  <c r="AR181" i="14"/>
  <c r="S647" i="14"/>
  <c r="S339" i="14"/>
  <c r="T573" i="14"/>
  <c r="T188" i="14"/>
  <c r="T265" i="14"/>
  <c r="BW573" i="14"/>
  <c r="BW265" i="14"/>
  <c r="BW188" i="14"/>
  <c r="N627" i="14"/>
  <c r="N319" i="14"/>
  <c r="AR634" i="14"/>
  <c r="AR326" i="14"/>
  <c r="AR642" i="14"/>
  <c r="AR334" i="14"/>
  <c r="S620" i="14"/>
  <c r="S312" i="14"/>
  <c r="AW623" i="14"/>
  <c r="AW315" i="14"/>
  <c r="S612" i="14"/>
  <c r="S304" i="14"/>
  <c r="AM612" i="14"/>
  <c r="AM304" i="14"/>
  <c r="AH607" i="14"/>
  <c r="AH299" i="14"/>
  <c r="AM652" i="14"/>
  <c r="AM344" i="14"/>
  <c r="R653" i="14"/>
  <c r="R345" i="14"/>
  <c r="BA661" i="14"/>
  <c r="BA353" i="14"/>
  <c r="BQ662" i="14"/>
  <c r="BQ354" i="14"/>
  <c r="R523" i="14"/>
  <c r="R138" i="14"/>
  <c r="R215" i="14"/>
  <c r="BV596" i="14"/>
  <c r="BV288" i="14"/>
  <c r="M604" i="14"/>
  <c r="M296" i="14"/>
  <c r="AG622" i="14"/>
  <c r="AG314" i="14"/>
  <c r="AH529" i="14"/>
  <c r="AH144" i="14"/>
  <c r="AH221" i="14"/>
  <c r="R606" i="14"/>
  <c r="R298" i="14"/>
  <c r="X530" i="14"/>
  <c r="X145" i="14"/>
  <c r="X222" i="14"/>
  <c r="AC531" i="14"/>
  <c r="AC223" i="14"/>
  <c r="AC146" i="14"/>
  <c r="AL610" i="14"/>
  <c r="AL302" i="14"/>
  <c r="N536" i="14"/>
  <c r="N228" i="14"/>
  <c r="N151" i="14"/>
  <c r="H618" i="14"/>
  <c r="H310" i="14"/>
  <c r="BA623" i="14"/>
  <c r="BA315" i="14"/>
  <c r="AL625" i="14"/>
  <c r="AL317" i="14"/>
  <c r="R629" i="14"/>
  <c r="R321" i="14"/>
  <c r="I245" i="14"/>
  <c r="I168" i="14"/>
  <c r="I553" i="14"/>
  <c r="BB636" i="14"/>
  <c r="BB328" i="14"/>
  <c r="C637" i="14"/>
  <c r="C329" i="14"/>
  <c r="W637" i="14"/>
  <c r="W329" i="14"/>
  <c r="AV638" i="14"/>
  <c r="AV330" i="14"/>
  <c r="AN564" i="14"/>
  <c r="AN179" i="14"/>
  <c r="AN256" i="14"/>
  <c r="AL645" i="14"/>
  <c r="AL337" i="14"/>
  <c r="AF663" i="14"/>
  <c r="X596" i="14"/>
  <c r="X288" i="14"/>
  <c r="AG615" i="14"/>
  <c r="AG307" i="14"/>
  <c r="BB540" i="14"/>
  <c r="BB232" i="14"/>
  <c r="BB155" i="14"/>
  <c r="BH633" i="14"/>
  <c r="BH325" i="14"/>
  <c r="D634" i="14"/>
  <c r="D326" i="14"/>
  <c r="AV642" i="14"/>
  <c r="AV334" i="14"/>
  <c r="N648" i="14"/>
  <c r="N340" i="14"/>
  <c r="AG656" i="14"/>
  <c r="AG348" i="14"/>
  <c r="AW603" i="14"/>
  <c r="AW295" i="14"/>
  <c r="AL303" i="14"/>
  <c r="AL611" i="14"/>
  <c r="AL296" i="14"/>
  <c r="AL604" i="14"/>
  <c r="AB607" i="14"/>
  <c r="AB299" i="14"/>
  <c r="AB611" i="14"/>
  <c r="AB303" i="14"/>
  <c r="BU615" i="14"/>
  <c r="BU307" i="14"/>
  <c r="AB619" i="14"/>
  <c r="AB311" i="14"/>
  <c r="AN543" i="14"/>
  <c r="AN235" i="14"/>
  <c r="AN158" i="14"/>
  <c r="BR550" i="14"/>
  <c r="BR242" i="14"/>
  <c r="BR165" i="14"/>
  <c r="AL637" i="14"/>
  <c r="AL329" i="14"/>
  <c r="BB639" i="14"/>
  <c r="BB331" i="14"/>
  <c r="AI577" i="14"/>
  <c r="AI192" i="14"/>
  <c r="AI269" i="14"/>
  <c r="BM654" i="14"/>
  <c r="BM346" i="14"/>
  <c r="H656" i="14"/>
  <c r="H348" i="14"/>
  <c r="AC656" i="14"/>
  <c r="AC348" i="14"/>
  <c r="I136" i="14"/>
  <c r="I213" i="14"/>
  <c r="I521" i="14"/>
  <c r="BW206" i="14"/>
  <c r="BW129" i="14"/>
  <c r="BW283" i="14" s="1"/>
  <c r="C608" i="14"/>
  <c r="C300" i="14"/>
  <c r="W605" i="14"/>
  <c r="W297" i="14"/>
  <c r="BK605" i="14"/>
  <c r="BK297" i="14"/>
  <c r="H610" i="14"/>
  <c r="H302" i="14"/>
  <c r="M616" i="14"/>
  <c r="M308" i="14"/>
  <c r="BH622" i="14"/>
  <c r="BH314" i="14"/>
  <c r="BH547" i="14"/>
  <c r="BH239" i="14"/>
  <c r="BH162" i="14"/>
  <c r="AI625" i="14"/>
  <c r="AI317" i="14"/>
  <c r="AW631" i="14"/>
  <c r="AW323" i="14"/>
  <c r="AN247" i="14"/>
  <c r="AN555" i="14"/>
  <c r="AN170" i="14"/>
  <c r="BV636" i="14"/>
  <c r="BV328" i="14"/>
  <c r="AR252" i="14"/>
  <c r="AR560" i="14"/>
  <c r="AR175" i="14"/>
  <c r="BQ639" i="14"/>
  <c r="BQ331" i="14"/>
  <c r="BG640" i="14"/>
  <c r="BG332" i="14"/>
  <c r="N256" i="14"/>
  <c r="N564" i="14"/>
  <c r="N179" i="14"/>
  <c r="AN642" i="14"/>
  <c r="AN334" i="14"/>
  <c r="BU648" i="14"/>
  <c r="BU340" i="14"/>
  <c r="R660" i="14"/>
  <c r="R352" i="14"/>
  <c r="AB662" i="14"/>
  <c r="AB354" i="14"/>
  <c r="BW632" i="14"/>
  <c r="BW324" i="14"/>
  <c r="S538" i="14"/>
  <c r="S230" i="14"/>
  <c r="S153" i="14"/>
  <c r="BV529" i="14"/>
  <c r="BV144" i="14"/>
  <c r="BV221" i="14"/>
  <c r="AH540" i="14"/>
  <c r="AH232" i="14"/>
  <c r="AH155" i="14"/>
  <c r="AG660" i="14"/>
  <c r="AG352" i="14"/>
  <c r="AQ626" i="14"/>
  <c r="AQ318" i="14"/>
  <c r="AG635" i="14"/>
  <c r="AG327" i="14"/>
  <c r="AD562" i="14"/>
  <c r="AD254" i="14"/>
  <c r="AD177" i="14"/>
  <c r="BF641" i="14"/>
  <c r="BF333" i="14"/>
  <c r="BC572" i="14"/>
  <c r="BC264" i="14"/>
  <c r="BC187" i="14"/>
  <c r="BM649" i="14"/>
  <c r="BM341" i="14"/>
  <c r="AG651" i="14"/>
  <c r="AG343" i="14"/>
  <c r="BQ655" i="14"/>
  <c r="BQ347" i="14"/>
  <c r="BK659" i="14"/>
  <c r="BK351" i="14"/>
  <c r="H635" i="14"/>
  <c r="H327" i="14"/>
  <c r="AI562" i="14"/>
  <c r="AI177" i="14"/>
  <c r="AI254" i="14"/>
  <c r="BM256" i="14"/>
  <c r="BM564" i="14"/>
  <c r="BM179" i="14"/>
  <c r="I642" i="14"/>
  <c r="I334" i="14"/>
  <c r="R644" i="14"/>
  <c r="R336" i="14"/>
  <c r="BW656" i="14"/>
  <c r="BW348" i="14"/>
  <c r="AV598" i="14"/>
  <c r="AV290" i="14"/>
  <c r="AM616" i="14"/>
  <c r="AM308" i="14"/>
  <c r="W617" i="14"/>
  <c r="W309" i="14"/>
  <c r="BA632" i="14"/>
  <c r="BA324" i="14"/>
  <c r="R659" i="14"/>
  <c r="R351" i="14"/>
  <c r="AI603" i="14"/>
  <c r="AI295" i="14"/>
  <c r="BB604" i="14"/>
  <c r="BB296" i="14"/>
  <c r="AQ605" i="14"/>
  <c r="AQ297" i="14"/>
  <c r="H606" i="14"/>
  <c r="H298" i="14"/>
  <c r="D541" i="14"/>
  <c r="D233" i="14"/>
  <c r="D156" i="14"/>
  <c r="BR619" i="14"/>
  <c r="BR311" i="14"/>
  <c r="I635" i="14"/>
  <c r="I327" i="14"/>
  <c r="BM652" i="14"/>
  <c r="BM344" i="14"/>
  <c r="H613" i="14"/>
  <c r="H305" i="14"/>
  <c r="BA642" i="14"/>
  <c r="BA334" i="14"/>
  <c r="Y567" i="14"/>
  <c r="Y259" i="14"/>
  <c r="Y182" i="14"/>
  <c r="D568" i="14"/>
  <c r="D260" i="14"/>
  <c r="D183" i="14"/>
  <c r="C647" i="14"/>
  <c r="C339" i="14"/>
  <c r="AN583" i="14"/>
  <c r="AN198" i="14"/>
  <c r="AN275" i="14"/>
  <c r="BC624" i="14"/>
  <c r="BC316" i="14"/>
  <c r="BR651" i="14"/>
  <c r="BR343" i="14"/>
  <c r="AL54" i="14"/>
  <c r="M614" i="14"/>
  <c r="M306" i="14"/>
  <c r="AH649" i="14"/>
  <c r="AH341" i="14"/>
  <c r="AX578" i="14"/>
  <c r="AX270" i="14"/>
  <c r="AX193" i="14"/>
  <c r="BA595" i="14"/>
  <c r="BA287" i="14"/>
  <c r="BQ598" i="14"/>
  <c r="BQ290" i="14"/>
  <c r="BG529" i="14"/>
  <c r="BG221" i="14"/>
  <c r="BG144" i="14"/>
  <c r="BU609" i="14"/>
  <c r="BU301" i="14"/>
  <c r="R622" i="14"/>
  <c r="R314" i="14"/>
  <c r="X638" i="14"/>
  <c r="X330" i="14"/>
  <c r="S645" i="14"/>
  <c r="S337" i="14"/>
  <c r="BC573" i="14"/>
  <c r="BC265" i="14"/>
  <c r="BC188" i="14"/>
  <c r="BA651" i="14"/>
  <c r="BA343" i="14"/>
  <c r="AM653" i="14"/>
  <c r="AM345" i="14"/>
  <c r="AW654" i="14"/>
  <c r="AW346" i="14"/>
  <c r="I539" i="14"/>
  <c r="I231" i="14"/>
  <c r="I154" i="14"/>
  <c r="AC543" i="14"/>
  <c r="AC235" i="14"/>
  <c r="AC158" i="14"/>
  <c r="D633" i="14"/>
  <c r="D325" i="14"/>
  <c r="R638" i="14"/>
  <c r="R330" i="14"/>
  <c r="AW642" i="14"/>
  <c r="AW334" i="14"/>
  <c r="AD652" i="14"/>
  <c r="AD344" i="14"/>
  <c r="AG595" i="14"/>
  <c r="AG287" i="14"/>
  <c r="BA320" i="14"/>
  <c r="BA628" i="14"/>
  <c r="BP647" i="14"/>
  <c r="BP339" i="14"/>
  <c r="BW616" i="14"/>
  <c r="BW308" i="14"/>
  <c r="D626" i="14"/>
  <c r="D318" i="14"/>
  <c r="X626" i="14"/>
  <c r="X318" i="14"/>
  <c r="AM632" i="14"/>
  <c r="AM324" i="14"/>
  <c r="BM645" i="14"/>
  <c r="BM337" i="14"/>
  <c r="S648" i="14"/>
  <c r="S340" i="14"/>
  <c r="R650" i="14"/>
  <c r="R342" i="14"/>
  <c r="BU650" i="14"/>
  <c r="BU342" i="14"/>
  <c r="N646" i="14"/>
  <c r="N338" i="14"/>
  <c r="AW614" i="14"/>
  <c r="AW306" i="14"/>
  <c r="I634" i="14"/>
  <c r="I326" i="14"/>
  <c r="BG601" i="14"/>
  <c r="BG293" i="14"/>
  <c r="AG606" i="14"/>
  <c r="AG298" i="14"/>
  <c r="N528" i="14"/>
  <c r="N220" i="14"/>
  <c r="N143" i="14"/>
  <c r="AH532" i="14"/>
  <c r="AH224" i="14"/>
  <c r="AH147" i="14"/>
  <c r="AV615" i="14"/>
  <c r="AV307" i="14"/>
  <c r="I546" i="14"/>
  <c r="I238" i="14"/>
  <c r="I161" i="14"/>
  <c r="H624" i="14"/>
  <c r="H316" i="14"/>
  <c r="AN626" i="14"/>
  <c r="AN318" i="14"/>
  <c r="H628" i="14"/>
  <c r="H320" i="14"/>
  <c r="BG629" i="14"/>
  <c r="BG321" i="14"/>
  <c r="R634" i="14"/>
  <c r="R326" i="14"/>
  <c r="AH636" i="14"/>
  <c r="AH328" i="14"/>
  <c r="AL641" i="14"/>
  <c r="AL333" i="14"/>
  <c r="BR566" i="14"/>
  <c r="BR258" i="14"/>
  <c r="BR181" i="14"/>
  <c r="AI572" i="14"/>
  <c r="AI264" i="14"/>
  <c r="AI187" i="14"/>
  <c r="BR545" i="14"/>
  <c r="BR237" i="14"/>
  <c r="BR160" i="14"/>
  <c r="AX557" i="14"/>
  <c r="AX249" i="14"/>
  <c r="AX172" i="14"/>
  <c r="R636" i="14"/>
  <c r="R328" i="14"/>
  <c r="AB642" i="14"/>
  <c r="AB334" i="14"/>
  <c r="AL648" i="14"/>
  <c r="AL340" i="14"/>
  <c r="AL649" i="14"/>
  <c r="AL341" i="14"/>
  <c r="BB653" i="14"/>
  <c r="BB345" i="14"/>
  <c r="O583" i="14"/>
  <c r="O275" i="14"/>
  <c r="O198" i="14"/>
  <c r="S662" i="14"/>
  <c r="S354" i="14"/>
  <c r="AG54" i="14"/>
  <c r="R598" i="14"/>
  <c r="R290" i="14"/>
  <c r="BU619" i="14"/>
  <c r="BU311" i="14"/>
  <c r="AL620" i="14"/>
  <c r="AL312" i="14"/>
  <c r="AG621" i="14"/>
  <c r="AG313" i="14"/>
  <c r="BP627" i="14"/>
  <c r="BP319" i="14"/>
  <c r="AX558" i="14"/>
  <c r="AX250" i="14"/>
  <c r="AX173" i="14"/>
  <c r="BQ635" i="14"/>
  <c r="BQ327" i="14"/>
  <c r="AL636" i="14"/>
  <c r="AL328" i="14"/>
  <c r="AG654" i="14"/>
  <c r="AG346" i="14"/>
  <c r="S659" i="14"/>
  <c r="S351" i="14"/>
  <c r="BC206" i="14"/>
  <c r="BC129" i="14"/>
  <c r="BC283" i="14" s="1"/>
  <c r="BV603" i="14"/>
  <c r="BV295" i="14"/>
  <c r="BB541" i="14"/>
  <c r="BB156" i="14"/>
  <c r="BB233" i="14"/>
  <c r="D547" i="14"/>
  <c r="D239" i="14"/>
  <c r="D162" i="14"/>
  <c r="W612" i="14"/>
  <c r="W304" i="14"/>
  <c r="BK612" i="14"/>
  <c r="BK304" i="14"/>
  <c r="BU607" i="14"/>
  <c r="BU299" i="14"/>
  <c r="R608" i="14"/>
  <c r="R300" i="14"/>
  <c r="AR538" i="14"/>
  <c r="AR230" i="14"/>
  <c r="AR153" i="14"/>
  <c r="AQ615" i="14"/>
  <c r="AQ307" i="14"/>
  <c r="AV622" i="14"/>
  <c r="AV314" i="14"/>
  <c r="AL624" i="14"/>
  <c r="AL316" i="14"/>
  <c r="BF624" i="14"/>
  <c r="BF316" i="14"/>
  <c r="M625" i="14"/>
  <c r="M317" i="14"/>
  <c r="BW550" i="14"/>
  <c r="BW242" i="14"/>
  <c r="BW165" i="14"/>
  <c r="BH551" i="14"/>
  <c r="BH243" i="14"/>
  <c r="BH166" i="14"/>
  <c r="N552" i="14"/>
  <c r="N244" i="14"/>
  <c r="N167" i="14"/>
  <c r="S632" i="14"/>
  <c r="S324" i="14"/>
  <c r="AM640" i="14"/>
  <c r="AM332" i="14"/>
  <c r="R642" i="14"/>
  <c r="R334" i="14"/>
  <c r="AW648" i="14"/>
  <c r="AW340" i="14"/>
  <c r="R649" i="14"/>
  <c r="R341" i="14"/>
  <c r="S651" i="14"/>
  <c r="S343" i="14"/>
  <c r="C632" i="14"/>
  <c r="C324" i="14"/>
  <c r="BR564" i="14"/>
  <c r="BR256" i="14"/>
  <c r="BR179" i="14"/>
  <c r="AI565" i="14"/>
  <c r="AI257" i="14"/>
  <c r="AI180" i="14"/>
  <c r="AN566" i="14"/>
  <c r="AN258" i="14"/>
  <c r="AN181" i="14"/>
  <c r="S600" i="14"/>
  <c r="S292" i="14"/>
  <c r="AV619" i="14"/>
  <c r="AV311" i="14"/>
  <c r="R615" i="14"/>
  <c r="R307" i="14"/>
  <c r="BU606" i="14"/>
  <c r="BU298" i="14"/>
  <c r="R637" i="14"/>
  <c r="R329" i="14"/>
  <c r="BW566" i="14"/>
  <c r="BW258" i="14"/>
  <c r="BW181" i="14"/>
  <c r="BC568" i="14"/>
  <c r="BC260" i="14"/>
  <c r="BC183" i="14"/>
  <c r="I615" i="14"/>
  <c r="I307" i="14"/>
  <c r="X621" i="14"/>
  <c r="X313" i="14"/>
  <c r="AB624" i="14"/>
  <c r="AB316" i="14"/>
  <c r="BA649" i="14"/>
  <c r="BA341" i="14"/>
  <c r="BR585" i="14"/>
  <c r="BR277" i="14"/>
  <c r="BR200" i="14"/>
  <c r="AG639" i="14"/>
  <c r="AG331" i="14"/>
  <c r="BK641" i="14"/>
  <c r="BK333" i="14"/>
  <c r="AL605" i="14"/>
  <c r="AL297" i="14"/>
  <c r="BF609" i="14"/>
  <c r="BF301" i="14"/>
  <c r="C622" i="14"/>
  <c r="C314" i="14"/>
  <c r="AG623" i="14"/>
  <c r="AG315" i="14"/>
  <c r="BM561" i="14"/>
  <c r="BM253" i="14"/>
  <c r="BM176" i="14"/>
  <c r="W608" i="14"/>
  <c r="W300" i="14"/>
  <c r="AW606" i="14"/>
  <c r="AW298" i="14"/>
  <c r="BB607" i="14"/>
  <c r="BB299" i="14"/>
  <c r="BL609" i="14"/>
  <c r="BL301" i="14"/>
  <c r="AB610" i="14"/>
  <c r="AB302" i="14"/>
  <c r="AR618" i="14"/>
  <c r="AR310" i="14"/>
  <c r="BW546" i="14"/>
  <c r="BW238" i="14"/>
  <c r="BW161" i="14"/>
  <c r="AM628" i="14"/>
  <c r="AM320" i="14"/>
  <c r="BG633" i="14"/>
  <c r="BG325" i="14"/>
  <c r="AD648" i="14"/>
  <c r="AD340" i="14"/>
  <c r="BW574" i="14"/>
  <c r="BW189" i="14"/>
  <c r="BW266" i="14"/>
  <c r="AI652" i="14"/>
  <c r="AI344" i="14"/>
  <c r="X657" i="14"/>
  <c r="X349" i="14"/>
  <c r="D662" i="14"/>
  <c r="D354" i="14"/>
  <c r="I244" i="14"/>
  <c r="I167" i="14"/>
  <c r="I552" i="14"/>
  <c r="H633" i="14"/>
  <c r="H325" i="14"/>
  <c r="AV641" i="14"/>
  <c r="AV333" i="14"/>
  <c r="R643" i="14"/>
  <c r="R335" i="14"/>
  <c r="AL660" i="14"/>
  <c r="AL352" i="14"/>
  <c r="AI647" i="14"/>
  <c r="AI339" i="14"/>
  <c r="W631" i="14"/>
  <c r="W323" i="14"/>
  <c r="AL519" i="14"/>
  <c r="AL134" i="14"/>
  <c r="AL211" i="14"/>
  <c r="C618" i="14"/>
  <c r="C310" i="14"/>
  <c r="BA619" i="14"/>
  <c r="BA311" i="14"/>
  <c r="BW637" i="14"/>
  <c r="BW329" i="14"/>
  <c r="J653" i="14"/>
  <c r="J345" i="14"/>
  <c r="AW662" i="14"/>
  <c r="AW354" i="14"/>
  <c r="BU604" i="14"/>
  <c r="BU296" i="14"/>
  <c r="BP611" i="14"/>
  <c r="BP303" i="14"/>
  <c r="J654" i="14"/>
  <c r="J346" i="14"/>
  <c r="AV655" i="14"/>
  <c r="AV347" i="14"/>
  <c r="D658" i="14"/>
  <c r="D350" i="14"/>
  <c r="BG604" i="14"/>
  <c r="BG296" i="14"/>
  <c r="BK607" i="14"/>
  <c r="BK299" i="14"/>
  <c r="BB620" i="14"/>
  <c r="BB312" i="14"/>
  <c r="AC626" i="14"/>
  <c r="AC318" i="14"/>
  <c r="H322" i="14"/>
  <c r="H630" i="14"/>
  <c r="AX632" i="14"/>
  <c r="AX324" i="14"/>
  <c r="AI567" i="14"/>
  <c r="AI259" i="14"/>
  <c r="AI182" i="14"/>
  <c r="BC259" i="14"/>
  <c r="BC567" i="14"/>
  <c r="BC182" i="14"/>
  <c r="BV644" i="14"/>
  <c r="BV336" i="14"/>
  <c r="BA646" i="14"/>
  <c r="BA338" i="14"/>
  <c r="BA650" i="14"/>
  <c r="BA342" i="14"/>
  <c r="AH652" i="14"/>
  <c r="AH344" i="14"/>
  <c r="BR578" i="14"/>
  <c r="BR193" i="14"/>
  <c r="BR270" i="14"/>
  <c r="AC619" i="14"/>
  <c r="AC311" i="14"/>
  <c r="BB628" i="14"/>
  <c r="BB320" i="14"/>
  <c r="AX646" i="14"/>
  <c r="AX338" i="14"/>
  <c r="J659" i="14"/>
  <c r="J351" i="14"/>
  <c r="C602" i="14"/>
  <c r="C294" i="14"/>
  <c r="BV615" i="14"/>
  <c r="BV307" i="14"/>
  <c r="R618" i="14"/>
  <c r="R310" i="14"/>
  <c r="BV619" i="14"/>
  <c r="BV311" i="14"/>
  <c r="BR620" i="14"/>
  <c r="BR312" i="14"/>
  <c r="I638" i="14"/>
  <c r="I330" i="14"/>
  <c r="BV627" i="14"/>
  <c r="BV319" i="14"/>
  <c r="AR330" i="14"/>
  <c r="AR638" i="14"/>
  <c r="N620" i="14"/>
  <c r="N312" i="14"/>
  <c r="N615" i="14"/>
  <c r="N307" i="14"/>
  <c r="AW610" i="14"/>
  <c r="AW302" i="14"/>
  <c r="BR624" i="14" l="1"/>
  <c r="BC321" i="14"/>
  <c r="AD328" i="14"/>
  <c r="BH330" i="14"/>
  <c r="BW597" i="14"/>
  <c r="O354" i="14"/>
  <c r="BM331" i="14"/>
  <c r="BM328" i="14"/>
  <c r="BR654" i="14"/>
  <c r="BH306" i="14"/>
  <c r="BM336" i="14"/>
  <c r="BR324" i="14"/>
  <c r="BR331" i="14"/>
  <c r="AN618" i="14"/>
  <c r="AD640" i="14"/>
  <c r="AN634" i="14"/>
  <c r="BM340" i="14"/>
  <c r="AX650" i="14"/>
  <c r="AN314" i="14"/>
  <c r="BM342" i="14"/>
  <c r="BR292" i="14"/>
  <c r="BW333" i="14"/>
  <c r="BR349" i="14"/>
  <c r="AG599" i="14"/>
  <c r="AI629" i="14"/>
  <c r="BR288" i="14"/>
  <c r="AX328" i="14"/>
  <c r="BW601" i="14"/>
  <c r="AI354" i="14"/>
  <c r="AR623" i="14"/>
  <c r="M134" i="14"/>
  <c r="M519" i="14"/>
  <c r="Y335" i="14"/>
  <c r="BH294" i="14"/>
  <c r="I299" i="14"/>
  <c r="AI350" i="14"/>
  <c r="AI333" i="14"/>
  <c r="AM288" i="14"/>
  <c r="BH311" i="14"/>
  <c r="AI328" i="14"/>
  <c r="AI351" i="14"/>
  <c r="BC621" i="14"/>
  <c r="BM327" i="14"/>
  <c r="Y352" i="14"/>
  <c r="BM646" i="14"/>
  <c r="Y331" i="14"/>
  <c r="BM339" i="14"/>
  <c r="BC329" i="14"/>
  <c r="AI325" i="14"/>
  <c r="BH351" i="14"/>
  <c r="BW328" i="14"/>
  <c r="AN623" i="14"/>
  <c r="AN315" i="14"/>
  <c r="BM640" i="14"/>
  <c r="BM332" i="14"/>
  <c r="BH307" i="14"/>
  <c r="BH615" i="14"/>
  <c r="Y636" i="14"/>
  <c r="Y328" i="14"/>
  <c r="BH623" i="14"/>
  <c r="BH315" i="14"/>
  <c r="BM632" i="14"/>
  <c r="BM324" i="14"/>
  <c r="N600" i="14"/>
  <c r="N292" i="14"/>
  <c r="BW290" i="14"/>
  <c r="BW598" i="14"/>
  <c r="N596" i="14"/>
  <c r="N288" i="14"/>
  <c r="AD633" i="14"/>
  <c r="AD325" i="14"/>
  <c r="BH627" i="14"/>
  <c r="BH319" i="14"/>
  <c r="AR600" i="14"/>
  <c r="AR292" i="14"/>
  <c r="Y640" i="14"/>
  <c r="Y332" i="14"/>
  <c r="AN627" i="14"/>
  <c r="AN319" i="14"/>
  <c r="BH651" i="14"/>
  <c r="BH343" i="14"/>
  <c r="AX637" i="14"/>
  <c r="AX329" i="14"/>
  <c r="AR596" i="14"/>
  <c r="AR288" i="14"/>
  <c r="BR633" i="14"/>
  <c r="BR325" i="14"/>
  <c r="D523" i="14"/>
  <c r="D138" i="14"/>
  <c r="D215" i="14"/>
  <c r="D141" i="14"/>
  <c r="D526" i="14"/>
  <c r="D218" i="14"/>
  <c r="Y340" i="14"/>
  <c r="Y648" i="14"/>
  <c r="D596" i="14"/>
  <c r="D288" i="14"/>
  <c r="J658" i="14"/>
  <c r="J350" i="14"/>
  <c r="AI644" i="14"/>
  <c r="AI336" i="14"/>
  <c r="I629" i="14"/>
  <c r="I321" i="14"/>
  <c r="BW651" i="14"/>
  <c r="BW343" i="14"/>
  <c r="BW623" i="14"/>
  <c r="BW315" i="14"/>
  <c r="AI642" i="14"/>
  <c r="AI334" i="14"/>
  <c r="BW627" i="14"/>
  <c r="BW319" i="14"/>
  <c r="AR615" i="14"/>
  <c r="AR307" i="14"/>
  <c r="AI649" i="14"/>
  <c r="AI341" i="14"/>
  <c r="AH609" i="14"/>
  <c r="AH301" i="14"/>
  <c r="I616" i="14"/>
  <c r="I308" i="14"/>
  <c r="AL520" i="14"/>
  <c r="AL212" i="14"/>
  <c r="AL135" i="14"/>
  <c r="Y644" i="14"/>
  <c r="Y336" i="14"/>
  <c r="D618" i="14"/>
  <c r="D310" i="14"/>
  <c r="AD639" i="14"/>
  <c r="AD331" i="14"/>
  <c r="N641" i="14"/>
  <c r="N333" i="14"/>
  <c r="AN632" i="14"/>
  <c r="AN324" i="14"/>
  <c r="BR627" i="14"/>
  <c r="BR319" i="14"/>
  <c r="AN620" i="14"/>
  <c r="AN312" i="14"/>
  <c r="BM638" i="14"/>
  <c r="BM330" i="14"/>
  <c r="BH628" i="14"/>
  <c r="BH320" i="14"/>
  <c r="AC620" i="14"/>
  <c r="AC312" i="14"/>
  <c r="AN660" i="14"/>
  <c r="AN352" i="14"/>
  <c r="D645" i="14"/>
  <c r="D337" i="14"/>
  <c r="BR655" i="14"/>
  <c r="BR347" i="14"/>
  <c r="BC644" i="14"/>
  <c r="BC336" i="14"/>
  <c r="BR662" i="14"/>
  <c r="BR354" i="14"/>
  <c r="AN643" i="14"/>
  <c r="AN335" i="14"/>
  <c r="AL288" i="14"/>
  <c r="AL596" i="14"/>
  <c r="BW643" i="14"/>
  <c r="BW335" i="14"/>
  <c r="N629" i="14"/>
  <c r="N321" i="14"/>
  <c r="AX635" i="14"/>
  <c r="AX327" i="14"/>
  <c r="O660" i="14"/>
  <c r="O352" i="14"/>
  <c r="BR622" i="14"/>
  <c r="BR314" i="14"/>
  <c r="I623" i="14"/>
  <c r="I315" i="14"/>
  <c r="N605" i="14"/>
  <c r="N297" i="14"/>
  <c r="N613" i="14"/>
  <c r="N305" i="14"/>
  <c r="R600" i="14"/>
  <c r="R292" i="14"/>
  <c r="BC645" i="14"/>
  <c r="BC337" i="14"/>
  <c r="BR641" i="14"/>
  <c r="BR333" i="14"/>
  <c r="D624" i="14"/>
  <c r="D316" i="14"/>
  <c r="BB618" i="14"/>
  <c r="BB310" i="14"/>
  <c r="AG520" i="14"/>
  <c r="AG212" i="14"/>
  <c r="AG135" i="14"/>
  <c r="AX634" i="14"/>
  <c r="AX326" i="14"/>
  <c r="BR643" i="14"/>
  <c r="BR335" i="14"/>
  <c r="BC650" i="14"/>
  <c r="BC342" i="14"/>
  <c r="BG606" i="14"/>
  <c r="BG298" i="14"/>
  <c r="AX655" i="14"/>
  <c r="AX347" i="14"/>
  <c r="BM641" i="14"/>
  <c r="BM333" i="14"/>
  <c r="AI639" i="14"/>
  <c r="AI331" i="14"/>
  <c r="BC649" i="14"/>
  <c r="BC341" i="14"/>
  <c r="S307" i="14"/>
  <c r="S615" i="14"/>
  <c r="AR637" i="14"/>
  <c r="AR329" i="14"/>
  <c r="I630" i="14"/>
  <c r="I322" i="14"/>
  <c r="AC608" i="14"/>
  <c r="AC300" i="14"/>
  <c r="X607" i="14"/>
  <c r="X299" i="14"/>
  <c r="BC619" i="14"/>
  <c r="BC311" i="14"/>
  <c r="X608" i="14"/>
  <c r="X300" i="14"/>
  <c r="BH641" i="14"/>
  <c r="BH333" i="14"/>
  <c r="T649" i="14"/>
  <c r="T341" i="14"/>
  <c r="S642" i="14"/>
  <c r="S334" i="14"/>
  <c r="AR616" i="14"/>
  <c r="AR308" i="14"/>
  <c r="I601" i="14"/>
  <c r="I293" i="14"/>
  <c r="AN636" i="14"/>
  <c r="AN328" i="14"/>
  <c r="BW619" i="14"/>
  <c r="BW311" i="14"/>
  <c r="AM611" i="14"/>
  <c r="AM303" i="14"/>
  <c r="AG596" i="14"/>
  <c r="AG288" i="14"/>
  <c r="AI656" i="14"/>
  <c r="AI348" i="14"/>
  <c r="AX638" i="14"/>
  <c r="AX330" i="14"/>
  <c r="S634" i="14"/>
  <c r="S326" i="14"/>
  <c r="H595" i="14"/>
  <c r="H287" i="14"/>
  <c r="AW617" i="14"/>
  <c r="AW309" i="14"/>
  <c r="BG610" i="14"/>
  <c r="BG302" i="14"/>
  <c r="BM597" i="14"/>
  <c r="BM289" i="14"/>
  <c r="J657" i="14"/>
  <c r="J349" i="14"/>
  <c r="I609" i="14"/>
  <c r="I301" i="14"/>
  <c r="AD634" i="14"/>
  <c r="AD326" i="14"/>
  <c r="AX626" i="14"/>
  <c r="AX318" i="14"/>
  <c r="N607" i="14"/>
  <c r="N299" i="14"/>
  <c r="BW653" i="14"/>
  <c r="BW345" i="14"/>
  <c r="X617" i="14"/>
  <c r="X309" i="14"/>
  <c r="AI650" i="14"/>
  <c r="AI342" i="14"/>
  <c r="T645" i="14"/>
  <c r="T337" i="14"/>
  <c r="BW644" i="14"/>
  <c r="BW336" i="14"/>
  <c r="T652" i="14"/>
  <c r="T344" i="14"/>
  <c r="AR639" i="14"/>
  <c r="AR331" i="14"/>
  <c r="BB608" i="14"/>
  <c r="BB300" i="14"/>
  <c r="BC628" i="14"/>
  <c r="BC320" i="14"/>
  <c r="AD657" i="14"/>
  <c r="AD349" i="14"/>
  <c r="H526" i="14"/>
  <c r="H141" i="14"/>
  <c r="H218" i="14"/>
  <c r="AC629" i="14"/>
  <c r="AC321" i="14"/>
  <c r="AC613" i="14"/>
  <c r="AC305" i="14"/>
  <c r="BR648" i="14"/>
  <c r="BR340" i="14"/>
  <c r="AB595" i="14"/>
  <c r="AB287" i="14"/>
  <c r="D648" i="14"/>
  <c r="D340" i="14"/>
  <c r="BW649" i="14"/>
  <c r="BW341" i="14"/>
  <c r="BW639" i="14"/>
  <c r="BW331" i="14"/>
  <c r="BB609" i="14"/>
  <c r="BB301" i="14"/>
  <c r="BM656" i="14"/>
  <c r="BM348" i="14"/>
  <c r="D649" i="14"/>
  <c r="D341" i="14"/>
  <c r="BL613" i="14"/>
  <c r="BL305" i="14"/>
  <c r="I645" i="14"/>
  <c r="I337" i="14"/>
  <c r="N647" i="14"/>
  <c r="N339" i="14"/>
  <c r="X614" i="14"/>
  <c r="X306" i="14"/>
  <c r="AI646" i="14"/>
  <c r="AI338" i="14"/>
  <c r="AC631" i="14"/>
  <c r="AC323" i="14"/>
  <c r="BV605" i="14"/>
  <c r="BV297" i="14"/>
  <c r="BR598" i="14"/>
  <c r="BR290" i="14"/>
  <c r="I599" i="14"/>
  <c r="I291" i="14"/>
  <c r="Y641" i="14"/>
  <c r="Y333" i="14"/>
  <c r="AR614" i="14"/>
  <c r="AR306" i="14"/>
  <c r="AC611" i="14"/>
  <c r="AC303" i="14"/>
  <c r="S299" i="14"/>
  <c r="S607" i="14"/>
  <c r="N608" i="14"/>
  <c r="N300" i="14"/>
  <c r="BW599" i="14"/>
  <c r="BW291" i="14"/>
  <c r="H602" i="14"/>
  <c r="H294" i="14"/>
  <c r="AN644" i="14"/>
  <c r="AN336" i="14"/>
  <c r="N634" i="14"/>
  <c r="N326" i="14"/>
  <c r="AX630" i="14"/>
  <c r="AX322" i="14"/>
  <c r="D608" i="14"/>
  <c r="D300" i="14"/>
  <c r="BH636" i="14"/>
  <c r="BH328" i="14"/>
  <c r="AW616" i="14"/>
  <c r="AW308" i="14"/>
  <c r="BV610" i="14"/>
  <c r="BV302" i="14"/>
  <c r="S635" i="14"/>
  <c r="S327" i="14"/>
  <c r="BM661" i="14"/>
  <c r="BM353" i="14"/>
  <c r="I636" i="14"/>
  <c r="I328" i="14"/>
  <c r="AR624" i="14"/>
  <c r="AR316" i="14"/>
  <c r="D616" i="14"/>
  <c r="D308" i="14"/>
  <c r="BB610" i="14"/>
  <c r="BB302" i="14"/>
  <c r="BC652" i="14"/>
  <c r="BC344" i="14"/>
  <c r="BH632" i="14"/>
  <c r="BH324" i="14"/>
  <c r="AW608" i="14"/>
  <c r="AW300" i="14"/>
  <c r="AN651" i="14"/>
  <c r="AN343" i="14"/>
  <c r="AH619" i="14"/>
  <c r="AH311" i="14"/>
  <c r="AR613" i="14"/>
  <c r="AR305" i="14"/>
  <c r="AH611" i="14"/>
  <c r="AH303" i="14"/>
  <c r="BL616" i="14"/>
  <c r="BL308" i="14"/>
  <c r="X635" i="14"/>
  <c r="X327" i="14"/>
  <c r="AI624" i="14"/>
  <c r="AI316" i="14"/>
  <c r="D629" i="14"/>
  <c r="D321" i="14"/>
  <c r="BL610" i="14"/>
  <c r="BL302" i="14"/>
  <c r="BC648" i="14"/>
  <c r="BC340" i="14"/>
  <c r="BW640" i="14"/>
  <c r="BW332" i="14"/>
  <c r="N609" i="14"/>
  <c r="N301" i="14"/>
  <c r="S609" i="14"/>
  <c r="S301" i="14"/>
  <c r="C600" i="14"/>
  <c r="C292" i="14"/>
  <c r="I637" i="14"/>
  <c r="I329" i="14"/>
  <c r="Y658" i="14"/>
  <c r="Y350" i="14"/>
  <c r="AI631" i="14"/>
  <c r="AI323" i="14"/>
  <c r="Y645" i="14"/>
  <c r="Y337" i="14"/>
  <c r="AN640" i="14"/>
  <c r="AN332" i="14"/>
  <c r="AB523" i="14"/>
  <c r="AB138" i="14"/>
  <c r="AB215" i="14"/>
  <c r="BL608" i="14"/>
  <c r="BL300" i="14"/>
  <c r="T655" i="14"/>
  <c r="T347" i="14"/>
  <c r="BW646" i="14"/>
  <c r="BW338" i="14"/>
  <c r="I606" i="14"/>
  <c r="I298" i="14"/>
  <c r="AR627" i="14"/>
  <c r="AR319" i="14"/>
  <c r="AH623" i="14"/>
  <c r="AH315" i="14"/>
  <c r="X319" i="14"/>
  <c r="X627" i="14"/>
  <c r="D627" i="14"/>
  <c r="D319" i="14"/>
  <c r="I627" i="14"/>
  <c r="I319" i="14"/>
  <c r="BC654" i="14"/>
  <c r="BC346" i="14"/>
  <c r="AR631" i="14"/>
  <c r="AR323" i="14"/>
  <c r="BC643" i="14"/>
  <c r="BC335" i="14"/>
  <c r="BB615" i="14"/>
  <c r="BB307" i="14"/>
  <c r="AH617" i="14"/>
  <c r="AH309" i="14"/>
  <c r="BV606" i="14"/>
  <c r="BV298" i="14"/>
  <c r="AH606" i="14"/>
  <c r="AH298" i="14"/>
  <c r="S310" i="14"/>
  <c r="S618" i="14"/>
  <c r="AC628" i="14"/>
  <c r="AC320" i="14"/>
  <c r="AX641" i="14"/>
  <c r="AX333" i="14"/>
  <c r="BC632" i="14"/>
  <c r="BC324" i="14"/>
  <c r="AI651" i="14"/>
  <c r="AI343" i="14"/>
  <c r="AI660" i="14"/>
  <c r="AI352" i="14"/>
  <c r="AD662" i="14"/>
  <c r="AD354" i="14"/>
  <c r="T660" i="14"/>
  <c r="T352" i="14"/>
  <c r="D632" i="14"/>
  <c r="D324" i="14"/>
  <c r="S637" i="14"/>
  <c r="S329" i="14"/>
  <c r="AN624" i="14"/>
  <c r="AN316" i="14"/>
  <c r="BL612" i="14"/>
  <c r="BL304" i="14"/>
  <c r="AN637" i="14"/>
  <c r="AN329" i="14"/>
  <c r="AH621" i="14"/>
  <c r="AH313" i="14"/>
  <c r="AN648" i="14"/>
  <c r="AN340" i="14"/>
  <c r="AR611" i="14"/>
  <c r="AR303" i="14"/>
  <c r="AH314" i="14"/>
  <c r="AH622" i="14"/>
  <c r="BC647" i="14"/>
  <c r="BC339" i="14"/>
  <c r="BL607" i="14"/>
  <c r="BL299" i="14"/>
  <c r="BW615" i="14"/>
  <c r="BW307" i="14"/>
  <c r="BH613" i="14"/>
  <c r="BH305" i="14"/>
  <c r="N606" i="14"/>
  <c r="N298" i="14"/>
  <c r="S604" i="14"/>
  <c r="S296" i="14"/>
  <c r="AC621" i="14"/>
  <c r="AC313" i="14"/>
  <c r="D615" i="14"/>
  <c r="D307" i="14"/>
  <c r="BR623" i="14"/>
  <c r="BR315" i="14"/>
  <c r="I648" i="14"/>
  <c r="I340" i="14"/>
  <c r="D611" i="14"/>
  <c r="D303" i="14"/>
  <c r="BR626" i="14"/>
  <c r="BR318" i="14"/>
  <c r="I625" i="14"/>
  <c r="I317" i="14"/>
  <c r="AM607" i="14"/>
  <c r="AM299" i="14"/>
  <c r="X623" i="14"/>
  <c r="X315" i="14"/>
  <c r="AM606" i="14"/>
  <c r="AM298" i="14"/>
  <c r="AN662" i="14"/>
  <c r="AN354" i="14"/>
  <c r="N636" i="14"/>
  <c r="N328" i="14"/>
  <c r="D651" i="14"/>
  <c r="D343" i="14"/>
  <c r="N642" i="14"/>
  <c r="N334" i="14"/>
  <c r="D613" i="14"/>
  <c r="D305" i="14"/>
  <c r="N643" i="14"/>
  <c r="N335" i="14"/>
  <c r="D631" i="14"/>
  <c r="D323" i="14"/>
  <c r="AR622" i="14"/>
  <c r="AR314" i="14"/>
  <c r="BC631" i="14"/>
  <c r="BC323" i="14"/>
  <c r="X611" i="14"/>
  <c r="X303" i="14"/>
  <c r="D607" i="14"/>
  <c r="D299" i="14"/>
  <c r="W600" i="14"/>
  <c r="W292" i="14"/>
  <c r="BG609" i="14"/>
  <c r="BG301" i="14"/>
  <c r="BR647" i="14"/>
  <c r="BR339" i="14"/>
  <c r="S303" i="14"/>
  <c r="S611" i="14"/>
  <c r="I633" i="14"/>
  <c r="I325" i="14"/>
  <c r="T651" i="14"/>
  <c r="T343" i="14"/>
  <c r="AN659" i="14"/>
  <c r="AN351" i="14"/>
  <c r="AM610" i="14"/>
  <c r="AM302" i="14"/>
  <c r="H523" i="14"/>
  <c r="H138" i="14"/>
  <c r="H215" i="14"/>
  <c r="AR632" i="14"/>
  <c r="AR324" i="14"/>
  <c r="BH661" i="14"/>
  <c r="BH353" i="14"/>
  <c r="BW631" i="14"/>
  <c r="BW323" i="14"/>
  <c r="S626" i="14"/>
  <c r="S318" i="14"/>
  <c r="AH614" i="14"/>
  <c r="AH306" i="14"/>
  <c r="AD638" i="14"/>
  <c r="AD330" i="14"/>
  <c r="BM629" i="14"/>
  <c r="BM321" i="14"/>
  <c r="BH657" i="14"/>
  <c r="BH349" i="14"/>
  <c r="AW605" i="14"/>
  <c r="AW297" i="14"/>
  <c r="O648" i="14"/>
  <c r="O340" i="14"/>
  <c r="N617" i="14"/>
  <c r="N309" i="14"/>
  <c r="I647" i="14"/>
  <c r="I339" i="14"/>
  <c r="BC627" i="14"/>
  <c r="BC319" i="14"/>
  <c r="W520" i="14"/>
  <c r="W212" i="14"/>
  <c r="W135" i="14"/>
  <c r="BR649" i="14"/>
  <c r="BR341" i="14"/>
  <c r="N626" i="14"/>
  <c r="N318" i="14"/>
  <c r="AH612" i="14"/>
  <c r="AH304" i="14"/>
  <c r="S639" i="14"/>
  <c r="S331" i="14"/>
  <c r="AR610" i="14"/>
  <c r="AR302" i="14"/>
  <c r="S619" i="14"/>
  <c r="S311" i="14"/>
  <c r="X622" i="14"/>
  <c r="X314" i="14"/>
  <c r="D640" i="14"/>
  <c r="D332" i="14"/>
  <c r="BL618" i="14"/>
  <c r="BL310" i="14"/>
  <c r="S638" i="14"/>
  <c r="S330" i="14"/>
  <c r="R520" i="14"/>
  <c r="R212" i="14"/>
  <c r="R135" i="14"/>
  <c r="AW620" i="14"/>
  <c r="AW312" i="14"/>
  <c r="C603" i="14"/>
  <c r="C295" i="14"/>
  <c r="X620" i="14"/>
  <c r="X312" i="14"/>
  <c r="BR634" i="14"/>
  <c r="BR326" i="14"/>
  <c r="BR658" i="14"/>
  <c r="BR350" i="14"/>
  <c r="I632" i="14"/>
  <c r="I324" i="14"/>
  <c r="X628" i="14"/>
  <c r="X320" i="14"/>
  <c r="BM626" i="14"/>
  <c r="BM318" i="14"/>
  <c r="AX660" i="14"/>
  <c r="AX352" i="14"/>
  <c r="X632" i="14"/>
  <c r="X324" i="14"/>
  <c r="I640" i="14"/>
  <c r="I332" i="14"/>
  <c r="AN650" i="14"/>
  <c r="AN342" i="14"/>
  <c r="X606" i="14"/>
  <c r="X298" i="14"/>
  <c r="BM660" i="14"/>
  <c r="BM352" i="14"/>
  <c r="I649" i="14"/>
  <c r="I341" i="14"/>
  <c r="D635" i="14"/>
  <c r="D327" i="14"/>
  <c r="N630" i="14"/>
  <c r="N322" i="14"/>
  <c r="AR607" i="14"/>
  <c r="AR299" i="14"/>
  <c r="BR645" i="14"/>
  <c r="BR337" i="14"/>
  <c r="AG600" i="14"/>
  <c r="AG292" i="14"/>
  <c r="BW658" i="14"/>
  <c r="BW350" i="14"/>
  <c r="T646" i="14"/>
  <c r="T338" i="14"/>
  <c r="AD641" i="14"/>
  <c r="AD333" i="14"/>
  <c r="AR636" i="14"/>
  <c r="AR328" i="14"/>
  <c r="BW624" i="14"/>
  <c r="BW316" i="14"/>
  <c r="T662" i="14"/>
  <c r="T354" i="14"/>
  <c r="S627" i="14"/>
  <c r="S319" i="14"/>
  <c r="AB519" i="14"/>
  <c r="AB134" i="14"/>
  <c r="AB211" i="14"/>
  <c r="AQ600" i="14"/>
  <c r="AQ292" i="14"/>
  <c r="AR640" i="14"/>
  <c r="AR332" i="14"/>
  <c r="T647" i="14"/>
  <c r="T339" i="14"/>
  <c r="X616" i="14"/>
  <c r="X308" i="14"/>
  <c r="N610" i="14"/>
  <c r="N302" i="14"/>
  <c r="W596" i="14"/>
  <c r="W288" i="14"/>
  <c r="AN647" i="14"/>
  <c r="AN339" i="14"/>
  <c r="AR630" i="14"/>
  <c r="AR322" i="14"/>
  <c r="D625" i="14"/>
  <c r="D317" i="14"/>
  <c r="BQ611" i="14"/>
  <c r="BQ303" i="14"/>
  <c r="X610" i="14"/>
  <c r="X302" i="14"/>
  <c r="S605" i="14"/>
  <c r="S297" i="14"/>
  <c r="AW612" i="14"/>
  <c r="AW304" i="14"/>
  <c r="I608" i="14"/>
  <c r="I300" i="14"/>
  <c r="BR646" i="14"/>
  <c r="BR338" i="14"/>
  <c r="AX602" i="14"/>
  <c r="AX294" i="14"/>
  <c r="BH316" i="14"/>
  <c r="BH624" i="14"/>
  <c r="I598" i="14"/>
  <c r="I290" i="14"/>
  <c r="AI654" i="14"/>
  <c r="AI346" i="14"/>
  <c r="BB617" i="14"/>
  <c r="BB309" i="14"/>
  <c r="AN641" i="14"/>
  <c r="AN333" i="14"/>
  <c r="N633" i="14"/>
  <c r="N325" i="14"/>
  <c r="BC651" i="14"/>
  <c r="BC343" i="14"/>
  <c r="N614" i="14"/>
  <c r="N306" i="14"/>
  <c r="X631" i="14"/>
  <c r="X323" i="14"/>
  <c r="BC642" i="14"/>
  <c r="BC334" i="14"/>
  <c r="I613" i="14"/>
  <c r="I305" i="14"/>
  <c r="T644" i="14"/>
  <c r="T336" i="14"/>
  <c r="BM659" i="14"/>
  <c r="BM351" i="14"/>
  <c r="N625" i="14"/>
  <c r="N317" i="14"/>
  <c r="X612" i="14"/>
  <c r="X304" i="14"/>
  <c r="J656" i="14"/>
  <c r="J348" i="14"/>
  <c r="AX642" i="14"/>
  <c r="AX334" i="14"/>
  <c r="AD642" i="14"/>
  <c r="AD334" i="14"/>
  <c r="AN645" i="14"/>
  <c r="AN337" i="14"/>
  <c r="Y637" i="14"/>
  <c r="Y329" i="14"/>
  <c r="AN625" i="14"/>
  <c r="AN317" i="14"/>
  <c r="BC661" i="14"/>
  <c r="BC353" i="14"/>
  <c r="T653" i="14"/>
  <c r="T345" i="14"/>
  <c r="BV609" i="14"/>
  <c r="BV301" i="14"/>
  <c r="AW619" i="14"/>
  <c r="AW311" i="14"/>
  <c r="BW642" i="14"/>
  <c r="BW334" i="14"/>
  <c r="AC612" i="14"/>
  <c r="AC304" i="14"/>
  <c r="AN652" i="14"/>
  <c r="AN344" i="14"/>
  <c r="AW609" i="14"/>
  <c r="AW301" i="14"/>
  <c r="O655" i="14"/>
  <c r="O347" i="14"/>
  <c r="BM625" i="14"/>
  <c r="BM317" i="14"/>
  <c r="BH600" i="14"/>
  <c r="BH292" i="14"/>
  <c r="AC596" i="14"/>
  <c r="AC288" i="14"/>
  <c r="D650" i="14"/>
  <c r="D342" i="14"/>
  <c r="X615" i="14"/>
  <c r="X307" i="14"/>
  <c r="BW654" i="14"/>
  <c r="BW346" i="14"/>
  <c r="O652" i="14"/>
  <c r="O344" i="14"/>
  <c r="BM633" i="14"/>
  <c r="BM325" i="14"/>
  <c r="AH616" i="14"/>
  <c r="AH308" i="14"/>
  <c r="O649" i="14"/>
  <c r="O341" i="14"/>
  <c r="S625" i="14"/>
  <c r="S317" i="14"/>
  <c r="AW611" i="14"/>
  <c r="AW303" i="14"/>
  <c r="BV604" i="14"/>
  <c r="BV296" i="14"/>
  <c r="AW624" i="14"/>
  <c r="AW316" i="14"/>
  <c r="D647" i="14"/>
  <c r="D339" i="14"/>
  <c r="BW645" i="14"/>
  <c r="BW337" i="14"/>
  <c r="AX653" i="14"/>
  <c r="AX345" i="14"/>
  <c r="I628" i="14"/>
  <c r="I320" i="14"/>
  <c r="BC623" i="14"/>
  <c r="BC315" i="14"/>
  <c r="S606" i="14"/>
  <c r="S298" i="14"/>
  <c r="AI640" i="14"/>
  <c r="AI332" i="14"/>
  <c r="N622" i="14"/>
  <c r="N314" i="14"/>
  <c r="H519" i="14"/>
  <c r="H134" i="14"/>
  <c r="H211" i="14"/>
  <c r="AR619" i="14"/>
  <c r="AR311" i="14"/>
  <c r="AR608" i="14"/>
  <c r="AR300" i="14"/>
  <c r="AN658" i="14"/>
  <c r="AN350" i="14"/>
  <c r="AI643" i="14"/>
  <c r="AI335" i="14"/>
  <c r="AQ596" i="14"/>
  <c r="AQ288" i="14"/>
  <c r="I641" i="14"/>
  <c r="I333" i="14"/>
  <c r="D636" i="14"/>
  <c r="D328" i="14"/>
  <c r="AX659" i="14"/>
  <c r="AX351" i="14"/>
  <c r="I646" i="14"/>
  <c r="I338" i="14"/>
  <c r="BQ614" i="14"/>
  <c r="BQ306" i="14"/>
  <c r="BW611" i="14"/>
  <c r="BW303" i="14"/>
  <c r="BH620" i="14"/>
  <c r="BH312" i="14"/>
  <c r="AR606" i="14"/>
  <c r="AR298" i="14"/>
  <c r="N616" i="14"/>
  <c r="N308" i="14"/>
  <c r="AH610" i="14"/>
  <c r="AH302" i="14"/>
  <c r="BW661" i="14"/>
  <c r="BW353" i="14"/>
  <c r="O651" i="14"/>
  <c r="O343" i="14"/>
  <c r="S613" i="14"/>
  <c r="S305" i="14"/>
  <c r="AH608" i="14"/>
  <c r="AH300" i="14"/>
  <c r="D606" i="14"/>
  <c r="D298" i="14"/>
  <c r="N612" i="14"/>
  <c r="N304" i="14"/>
  <c r="I650" i="14"/>
  <c r="I342" i="14"/>
  <c r="BR660" i="14"/>
  <c r="BR352" i="14"/>
  <c r="BB614" i="14"/>
  <c r="BB306" i="14"/>
  <c r="BM637" i="14"/>
  <c r="BM329" i="14"/>
  <c r="I612" i="14"/>
  <c r="I304" i="14"/>
  <c r="Y662" i="14"/>
  <c r="Y354" i="14"/>
  <c r="BQ609" i="14"/>
  <c r="BQ301" i="14"/>
  <c r="BC658" i="14"/>
  <c r="BC350" i="14"/>
  <c r="BC639" i="14"/>
  <c r="BC331" i="14"/>
  <c r="J660" i="14"/>
  <c r="J352" i="14"/>
  <c r="BQ608" i="14"/>
  <c r="BQ300" i="14"/>
  <c r="AB599" i="14"/>
  <c r="AB291" i="14"/>
  <c r="AC617" i="14"/>
  <c r="AC309" i="14"/>
  <c r="D643" i="14"/>
  <c r="D335" i="14"/>
  <c r="BC635" i="14"/>
  <c r="BC327" i="14"/>
  <c r="S631" i="14"/>
  <c r="S323" i="14"/>
  <c r="AQ520" i="14"/>
  <c r="AQ212" i="14"/>
  <c r="AQ135" i="14"/>
  <c r="D628" i="14"/>
  <c r="D320" i="14"/>
  <c r="AI661" i="14"/>
  <c r="AI353" i="14"/>
  <c r="BW659" i="14"/>
  <c r="BW351" i="14"/>
  <c r="I644" i="14"/>
  <c r="I336" i="14"/>
  <c r="AC614" i="14"/>
  <c r="AC306" i="14"/>
  <c r="N621" i="14"/>
  <c r="N313" i="14"/>
  <c r="BW652" i="14"/>
  <c r="BW344" i="14"/>
  <c r="AC616" i="14"/>
  <c r="AC308" i="14"/>
  <c r="BQ607" i="14"/>
  <c r="BQ299" i="14"/>
  <c r="AN653" i="14"/>
  <c r="AN345" i="14"/>
  <c r="AC627" i="14"/>
  <c r="AC319" i="14"/>
  <c r="AI627" i="14"/>
  <c r="AI319" i="14"/>
  <c r="BR630" i="14"/>
  <c r="BR322" i="14"/>
  <c r="S623" i="14"/>
  <c r="S315" i="14"/>
  <c r="D646" i="14"/>
  <c r="D338" i="14"/>
  <c r="D644" i="14"/>
  <c r="D336" i="14"/>
  <c r="BC653" i="14"/>
  <c r="BC345" i="14"/>
  <c r="BB605" i="14"/>
  <c r="BB297" i="14"/>
  <c r="AX662" i="14"/>
  <c r="AX354" i="14"/>
  <c r="J661" i="14"/>
  <c r="J353" i="14"/>
  <c r="AC624" i="14"/>
  <c r="AC316" i="14"/>
  <c r="AN655" i="14"/>
  <c r="AN347" i="14"/>
  <c r="BR602" i="14"/>
  <c r="BR294" i="14"/>
  <c r="AB54" i="14"/>
  <c r="BH644" i="14"/>
  <c r="BH336" i="14"/>
  <c r="BH645" i="14"/>
  <c r="BH337" i="14"/>
  <c r="AW613" i="14"/>
  <c r="AW305" i="14"/>
  <c r="AR620" i="14"/>
  <c r="AR312" i="14"/>
  <c r="BH616" i="14"/>
  <c r="BH308" i="14"/>
  <c r="AW607" i="14"/>
  <c r="AW299" i="14"/>
  <c r="S640" i="14"/>
  <c r="S332" i="14"/>
  <c r="BR618" i="14"/>
  <c r="BR310" i="14"/>
  <c r="BB616" i="14"/>
  <c r="BB308" i="14"/>
  <c r="AC600" i="14"/>
  <c r="AC292" i="14"/>
  <c r="D612" i="14"/>
  <c r="D304" i="14"/>
  <c r="BW612" i="14"/>
  <c r="BW304" i="14"/>
  <c r="BW650" i="14"/>
  <c r="BW342" i="14"/>
  <c r="T650" i="14"/>
  <c r="T342" i="14"/>
  <c r="AR643" i="14"/>
  <c r="AR335" i="14"/>
  <c r="BC646" i="14"/>
  <c r="BC338" i="14"/>
  <c r="AL292" i="14"/>
  <c r="AL600" i="14"/>
  <c r="S643" i="14"/>
  <c r="S335" i="14"/>
  <c r="AI635" i="14"/>
  <c r="AI327" i="14"/>
  <c r="BW648" i="14"/>
  <c r="BW340" i="14"/>
  <c r="AN649" i="14"/>
  <c r="AN341" i="14"/>
  <c r="S622" i="14"/>
  <c r="S314" i="14"/>
  <c r="C596" i="14"/>
  <c r="C288" i="14"/>
  <c r="S630" i="14"/>
  <c r="S322" i="14"/>
  <c r="AR612" i="14"/>
  <c r="AR304" i="14"/>
  <c r="AI628" i="14"/>
  <c r="AI320" i="14"/>
  <c r="AN629" i="14"/>
  <c r="AN321" i="14"/>
  <c r="BG299" i="14"/>
  <c r="BG607" i="14"/>
  <c r="BQ613" i="14"/>
  <c r="BQ305" i="14"/>
  <c r="Y646" i="14"/>
  <c r="Y338" i="14"/>
  <c r="BH643" i="14"/>
  <c r="BH335" i="14"/>
  <c r="O656" i="14"/>
  <c r="O348" i="14"/>
  <c r="D639" i="14"/>
  <c r="D331" i="14"/>
  <c r="S624" i="14"/>
  <c r="S316" i="14"/>
  <c r="AC622" i="14"/>
  <c r="AC314" i="14"/>
  <c r="BB606" i="14"/>
  <c r="BB298" i="14"/>
  <c r="M520" i="14"/>
  <c r="M212" i="14"/>
  <c r="M135" i="14"/>
  <c r="AN616" i="14"/>
  <c r="AN308" i="14"/>
  <c r="D623" i="14"/>
  <c r="D315" i="14"/>
  <c r="AC607" i="14"/>
  <c r="AC299" i="14"/>
  <c r="I605" i="14"/>
  <c r="I297" i="14"/>
  <c r="T659" i="14"/>
  <c r="T351" i="14"/>
  <c r="AI655" i="14"/>
  <c r="AI347" i="14"/>
  <c r="BM630" i="14"/>
  <c r="BM322" i="14"/>
  <c r="I624" i="14"/>
  <c r="I316" i="14"/>
  <c r="BG303" i="14"/>
  <c r="BG611" i="14"/>
  <c r="R596" i="14"/>
  <c r="R288" i="14"/>
  <c r="E658" i="14"/>
  <c r="E350" i="14"/>
  <c r="C520" i="14"/>
  <c r="C212" i="14"/>
  <c r="C135" i="14"/>
  <c r="H54" i="14"/>
  <c r="AL7" i="14"/>
  <c r="AR628" i="14"/>
  <c r="AR320" i="14"/>
  <c r="AC625" i="14"/>
  <c r="AC317" i="14"/>
  <c r="BC600" i="14"/>
  <c r="BC292" i="14"/>
  <c r="X624" i="14"/>
  <c r="X316" i="14"/>
  <c r="BM313" i="14"/>
  <c r="BM621" i="14"/>
  <c r="AH605" i="14"/>
  <c r="AH297" i="14"/>
  <c r="N618" i="14"/>
  <c r="N310" i="14"/>
  <c r="AN646" i="14"/>
  <c r="AN338" i="14"/>
  <c r="BQ605" i="14"/>
  <c r="BQ297" i="14"/>
  <c r="AW621" i="14"/>
  <c r="AW313" i="14"/>
  <c r="E662" i="14"/>
  <c r="E354" i="14"/>
  <c r="BH640" i="14"/>
  <c r="BH332" i="14"/>
  <c r="BG612" i="14"/>
  <c r="BG304" i="14"/>
  <c r="AC610" i="14"/>
  <c r="AC302" i="14"/>
  <c r="X629" i="14"/>
  <c r="X321" i="14"/>
  <c r="D622" i="14"/>
  <c r="D314" i="14"/>
  <c r="T654" i="14"/>
  <c r="T346" i="14"/>
  <c r="S610" i="14"/>
  <c r="S302" i="14"/>
  <c r="AX652" i="14"/>
  <c r="AX344" i="14"/>
  <c r="AR626" i="14"/>
  <c r="AR318" i="14"/>
  <c r="AM609" i="14"/>
  <c r="AM301" i="14"/>
  <c r="BW603" i="14"/>
  <c r="BW295" i="14"/>
  <c r="BW647" i="14"/>
  <c r="BW339" i="14"/>
  <c r="BW662" i="14"/>
  <c r="BW354" i="14"/>
  <c r="AC609" i="14"/>
  <c r="AC301" i="14"/>
  <c r="BC662" i="14"/>
  <c r="BC354" i="14"/>
  <c r="BR642" i="14"/>
  <c r="BR334" i="14"/>
  <c r="BW635" i="14"/>
  <c r="BW327" i="14"/>
  <c r="H599" i="14"/>
  <c r="H291" i="14"/>
  <c r="O661" i="14"/>
  <c r="O353" i="14"/>
  <c r="BR638" i="14"/>
  <c r="BR330" i="14"/>
  <c r="T648" i="14"/>
  <c r="T340" i="14"/>
  <c r="BR652" i="14"/>
  <c r="BR344" i="14"/>
  <c r="AH613" i="14"/>
  <c r="AH305" i="14"/>
  <c r="AN654" i="14"/>
  <c r="AN346" i="14"/>
  <c r="N645" i="14"/>
  <c r="N337" i="14"/>
  <c r="M596" i="14"/>
  <c r="M288" i="14"/>
  <c r="AM615" i="14"/>
  <c r="AM307" i="14"/>
  <c r="AI648" i="14"/>
  <c r="AI340" i="14"/>
  <c r="I631" i="14"/>
  <c r="I323" i="14"/>
  <c r="AC618" i="14"/>
  <c r="AC310" i="14"/>
  <c r="I602" i="14"/>
  <c r="I294" i="14"/>
  <c r="S629" i="14"/>
  <c r="S321" i="14"/>
  <c r="BR659" i="14"/>
  <c r="BR351" i="14"/>
  <c r="AR625" i="14"/>
  <c r="AR317" i="14"/>
  <c r="AM605" i="14"/>
  <c r="AM297" i="14"/>
  <c r="S614" i="14"/>
  <c r="S306" i="14"/>
  <c r="I621" i="14"/>
  <c r="I313" i="14"/>
  <c r="D620" i="14"/>
  <c r="D312" i="14"/>
  <c r="N638" i="14"/>
  <c r="N330" i="14"/>
  <c r="AC605" i="14"/>
  <c r="AC297" i="14"/>
  <c r="AD661" i="14"/>
  <c r="AD353" i="14"/>
  <c r="J662" i="14"/>
  <c r="J354" i="14"/>
  <c r="I617" i="14"/>
  <c r="I309" i="14"/>
  <c r="AN628" i="14"/>
  <c r="AN320" i="14"/>
  <c r="AR605" i="14"/>
  <c r="AR297" i="14"/>
  <c r="M600" i="14"/>
  <c r="M292" i="14"/>
  <c r="N637" i="14"/>
  <c r="N329" i="14"/>
  <c r="AH618" i="14"/>
  <c r="AH310" i="14"/>
  <c r="BM601" i="14"/>
  <c r="BM293" i="14"/>
  <c r="I620" i="14"/>
  <c r="I312" i="14"/>
  <c r="BL615" i="14"/>
  <c r="BL307" i="14"/>
  <c r="BV608" i="14"/>
  <c r="BV300" i="14"/>
  <c r="BC657" i="14"/>
  <c r="BC349" i="14"/>
  <c r="S617" i="14"/>
  <c r="S309" i="14"/>
  <c r="BC603" i="14"/>
  <c r="BC295" i="14"/>
  <c r="X613" i="14"/>
  <c r="X305" i="14"/>
  <c r="BL617" i="14"/>
  <c r="BL309" i="14"/>
  <c r="D600" i="14" l="1"/>
  <c r="D292" i="14"/>
  <c r="D603" i="14"/>
  <c r="D295" i="14"/>
  <c r="M597" i="14"/>
  <c r="M289" i="14"/>
  <c r="AB520" i="14"/>
  <c r="AB212" i="14"/>
  <c r="AB135" i="14"/>
  <c r="AB596" i="14"/>
  <c r="AB288" i="14"/>
  <c r="H520" i="14"/>
  <c r="H212" i="14"/>
  <c r="H135" i="14"/>
  <c r="R597" i="14"/>
  <c r="R289" i="14"/>
  <c r="W597" i="14"/>
  <c r="W289" i="14"/>
  <c r="AL597" i="14"/>
  <c r="AL289" i="14"/>
  <c r="AQ597" i="14"/>
  <c r="AQ289" i="14"/>
  <c r="H596" i="14"/>
  <c r="H288" i="14"/>
  <c r="AB600" i="14"/>
  <c r="AB292" i="14"/>
  <c r="AQ7" i="14"/>
  <c r="C597" i="14"/>
  <c r="C289" i="14"/>
  <c r="H600" i="14"/>
  <c r="H292" i="14"/>
  <c r="H603" i="14"/>
  <c r="H295" i="14"/>
  <c r="AG597" i="14"/>
  <c r="AG289" i="14"/>
  <c r="H597" i="14" l="1"/>
  <c r="H289" i="14"/>
  <c r="AB597" i="14"/>
  <c r="AB289" i="14"/>
  <c r="C58" i="17" l="1"/>
  <c r="F16" i="18"/>
  <c r="BC26" i="17"/>
  <c r="E357" i="18" l="1"/>
  <c r="E339" i="18"/>
  <c r="E481" i="18"/>
  <c r="BJ4" i="17"/>
  <c r="BH4" i="17"/>
  <c r="BF4" i="17"/>
  <c r="C589" i="18"/>
  <c r="E589" i="18"/>
  <c r="BD6" i="17"/>
  <c r="C590" i="18" l="1"/>
  <c r="E590" i="18" s="1"/>
  <c r="S238" i="17"/>
  <c r="BL27" i="17" a="1"/>
  <c r="BL27" i="17" s="1"/>
  <c r="A15" i="17" s="1"/>
  <c r="BC27" i="17"/>
  <c r="K424" i="18"/>
  <c r="K425" i="18"/>
  <c r="K426" i="18"/>
  <c r="K421" i="18"/>
  <c r="K477" i="18"/>
  <c r="K478" i="18"/>
  <c r="K479" i="18"/>
  <c r="K480" i="18"/>
  <c r="K481" i="18"/>
  <c r="K483" i="18"/>
  <c r="K487" i="18"/>
  <c r="K490" i="18"/>
  <c r="K491" i="18"/>
  <c r="K493" i="18"/>
  <c r="K494" i="18"/>
  <c r="K495" i="18"/>
  <c r="K496" i="18"/>
  <c r="K501" i="18"/>
  <c r="K507" i="18"/>
  <c r="K511" i="18"/>
  <c r="K515" i="18"/>
  <c r="K516" i="18"/>
  <c r="K476" i="18"/>
  <c r="K443" i="18"/>
  <c r="K449" i="18"/>
  <c r="K450" i="18"/>
  <c r="K451" i="18"/>
  <c r="K453" i="18"/>
  <c r="K454" i="18"/>
  <c r="K455" i="18"/>
  <c r="K460" i="18"/>
  <c r="K466" i="18"/>
  <c r="K470" i="18"/>
  <c r="K472" i="18"/>
  <c r="K473" i="18"/>
  <c r="K441" i="18"/>
  <c r="K423" i="18"/>
  <c r="K419" i="18"/>
  <c r="K420" i="18"/>
  <c r="K353" i="18"/>
  <c r="K354" i="18"/>
  <c r="K355" i="18"/>
  <c r="K356" i="18"/>
  <c r="K358" i="18"/>
  <c r="K359" i="18"/>
  <c r="K360" i="18"/>
  <c r="K362" i="18"/>
  <c r="K363" i="18"/>
  <c r="K364" i="18"/>
  <c r="K365" i="18"/>
  <c r="K366" i="18"/>
  <c r="K367" i="18"/>
  <c r="K368" i="18"/>
  <c r="K369" i="18"/>
  <c r="K372" i="18"/>
  <c r="K373" i="18"/>
  <c r="K374" i="18"/>
  <c r="K375" i="18"/>
  <c r="K376" i="18"/>
  <c r="K377" i="18"/>
  <c r="K378" i="18"/>
  <c r="K380" i="18"/>
  <c r="K381" i="18"/>
  <c r="K382" i="18"/>
  <c r="K383" i="18"/>
  <c r="K387" i="18"/>
  <c r="K388" i="18"/>
  <c r="K389" i="18"/>
  <c r="K400" i="18"/>
  <c r="K401" i="18"/>
  <c r="K402" i="18"/>
  <c r="K403" i="18"/>
  <c r="K404" i="18"/>
  <c r="K407" i="18"/>
  <c r="K408" i="18"/>
  <c r="K409" i="18"/>
  <c r="K411" i="18"/>
  <c r="K412" i="18"/>
  <c r="K413" i="18"/>
  <c r="K414" i="18"/>
  <c r="K415" i="18"/>
  <c r="K417" i="18"/>
  <c r="K418" i="18"/>
  <c r="K352" i="18"/>
  <c r="K300" i="18"/>
  <c r="K301" i="18"/>
  <c r="K302" i="18"/>
  <c r="K303" i="18"/>
  <c r="K305" i="18"/>
  <c r="K306" i="18"/>
  <c r="K307" i="18"/>
  <c r="K309" i="18"/>
  <c r="K310" i="18"/>
  <c r="K311" i="18"/>
  <c r="K312" i="18"/>
  <c r="K313" i="18"/>
  <c r="K315" i="18"/>
  <c r="K317" i="18"/>
  <c r="K318" i="18"/>
  <c r="K319" i="18"/>
  <c r="K320" i="18"/>
  <c r="K321" i="18"/>
  <c r="K323" i="18"/>
  <c r="K324" i="18"/>
  <c r="K325" i="18"/>
  <c r="K327" i="18"/>
  <c r="K328" i="18"/>
  <c r="K329" i="18"/>
  <c r="K330" i="18"/>
  <c r="K331" i="18"/>
  <c r="K332" i="18"/>
  <c r="K334" i="18"/>
  <c r="K335" i="18"/>
  <c r="K336" i="18"/>
  <c r="K340" i="18"/>
  <c r="K341" i="18"/>
  <c r="K342" i="18"/>
  <c r="K299" i="18"/>
  <c r="K225" i="18"/>
  <c r="K226" i="18"/>
  <c r="K227" i="18"/>
  <c r="K228" i="18"/>
  <c r="K229" i="18"/>
  <c r="K230" i="18"/>
  <c r="K233" i="18"/>
  <c r="K234" i="18"/>
  <c r="K235" i="18"/>
  <c r="K236" i="18"/>
  <c r="K238" i="18"/>
  <c r="K239" i="18"/>
  <c r="K240" i="18"/>
  <c r="K580" i="18"/>
  <c r="K581" i="18"/>
  <c r="K224" i="18"/>
  <c r="K208" i="18"/>
  <c r="K209" i="18"/>
  <c r="K210" i="18"/>
  <c r="K211" i="18"/>
  <c r="K212" i="18"/>
  <c r="K213" i="18"/>
  <c r="K215" i="18"/>
  <c r="K216" i="18"/>
  <c r="K217" i="18"/>
  <c r="K218" i="18"/>
  <c r="K220" i="18"/>
  <c r="K221" i="18"/>
  <c r="K222" i="18"/>
  <c r="K575" i="18"/>
  <c r="K576" i="18"/>
  <c r="K206" i="18"/>
  <c r="K175" i="18"/>
  <c r="K176" i="18"/>
  <c r="K177" i="18"/>
  <c r="K178" i="18"/>
  <c r="K179" i="18"/>
  <c r="K180" i="18"/>
  <c r="K182" i="18"/>
  <c r="K183" i="18"/>
  <c r="K184" i="18"/>
  <c r="K185" i="18"/>
  <c r="K186" i="18"/>
  <c r="K187" i="18"/>
  <c r="K163" i="18"/>
  <c r="K164" i="18"/>
  <c r="K165" i="18"/>
  <c r="K166" i="18"/>
  <c r="K167" i="18"/>
  <c r="K169" i="18"/>
  <c r="K170" i="18"/>
  <c r="K171" i="18"/>
  <c r="K172" i="18"/>
  <c r="K173" i="18"/>
  <c r="K174" i="18"/>
  <c r="K162" i="18"/>
  <c r="K440" i="18"/>
  <c r="T233" i="18"/>
  <c r="P233" i="18"/>
  <c r="N233" i="18"/>
  <c r="T215" i="18"/>
  <c r="P215" i="18"/>
  <c r="N215" i="18"/>
  <c r="C591" i="18" l="1"/>
  <c r="C446" i="18"/>
  <c r="A352" i="18"/>
  <c r="A334" i="18"/>
  <c r="A476" i="18"/>
  <c r="C149" i="18"/>
  <c r="A576" i="18"/>
  <c r="A243" i="18"/>
  <c r="A224" i="18"/>
  <c r="A57" i="17"/>
  <c r="A51" i="18" s="1"/>
  <c r="A605" i="18" s="1"/>
  <c r="A58" i="17"/>
  <c r="A52" i="18" s="1"/>
  <c r="A606" i="18" s="1"/>
  <c r="A14" i="18"/>
  <c r="C319" i="18"/>
  <c r="C385" i="18"/>
  <c r="C174" i="18"/>
  <c r="C383" i="18"/>
  <c r="C222" i="18"/>
  <c r="C390" i="18"/>
  <c r="W17" i="17"/>
  <c r="BG35" i="17"/>
  <c r="BF36" i="17"/>
  <c r="BF37" i="17"/>
  <c r="BG31" i="17"/>
  <c r="BG33" i="17"/>
  <c r="BG32" i="17"/>
  <c r="BF35" i="17"/>
  <c r="BF31" i="17"/>
  <c r="BF32" i="17"/>
  <c r="BF34" i="17"/>
  <c r="BF33" i="17"/>
  <c r="BG36" i="17"/>
  <c r="BG37" i="17"/>
  <c r="BG34" i="17"/>
  <c r="AG126" i="11"/>
  <c r="W126" i="11"/>
  <c r="X126" i="11"/>
  <c r="Y126" i="11"/>
  <c r="Z126" i="11"/>
  <c r="AA126" i="11"/>
  <c r="AB126" i="11"/>
  <c r="AC126" i="11"/>
  <c r="AD126" i="11"/>
  <c r="AE126" i="11"/>
  <c r="AF126" i="11"/>
  <c r="V126" i="11"/>
  <c r="F127" i="11"/>
  <c r="G127" i="11"/>
  <c r="W16" i="17" l="1"/>
  <c r="C421" i="18"/>
  <c r="C424" i="18"/>
  <c r="C240" i="18"/>
  <c r="C187" i="18"/>
  <c r="C145" i="18"/>
  <c r="P340" i="18"/>
  <c r="P227" i="18"/>
  <c r="P177" i="18"/>
  <c r="R408" i="18"/>
  <c r="C408" i="18" s="1"/>
  <c r="R228" i="18"/>
  <c r="C228" i="18" s="1"/>
  <c r="R359" i="18"/>
  <c r="C359" i="18" s="1"/>
  <c r="T408" i="18"/>
  <c r="T359" i="18"/>
  <c r="T228" i="18"/>
  <c r="N407" i="18"/>
  <c r="N227" i="18"/>
  <c r="N358" i="18"/>
  <c r="L358" i="18"/>
  <c r="L407" i="18"/>
  <c r="L227" i="18"/>
  <c r="L234" i="18" s="1"/>
  <c r="T407" i="18"/>
  <c r="R407" i="18"/>
  <c r="R177" i="18"/>
  <c r="R227" i="18"/>
  <c r="T227" i="18"/>
  <c r="T177" i="18"/>
  <c r="R360" i="18"/>
  <c r="C360" i="18" s="1"/>
  <c r="R409" i="18"/>
  <c r="C409" i="18" s="1"/>
  <c r="T360" i="18"/>
  <c r="T409" i="18"/>
  <c r="R341" i="18"/>
  <c r="C341" i="18" s="1"/>
  <c r="T178" i="18"/>
  <c r="T341" i="18"/>
  <c r="R178" i="18"/>
  <c r="C178" i="18" s="1"/>
  <c r="L340" i="18"/>
  <c r="N177" i="18"/>
  <c r="N183" i="18" s="1"/>
  <c r="N484" i="18" s="1"/>
  <c r="N340" i="18"/>
  <c r="L177" i="18"/>
  <c r="R358" i="18"/>
  <c r="T358" i="18"/>
  <c r="T340" i="18"/>
  <c r="R340" i="18"/>
  <c r="P407" i="18"/>
  <c r="P358" i="18"/>
  <c r="T342" i="18"/>
  <c r="R342" i="18"/>
  <c r="C342" i="18" s="1"/>
  <c r="A144" i="18"/>
  <c r="A146" i="18"/>
  <c r="A143" i="18"/>
  <c r="DY62" i="17" l="1"/>
  <c r="DY61" i="17"/>
  <c r="DY60" i="17"/>
  <c r="DY53" i="17"/>
  <c r="DY48" i="17"/>
  <c r="DY47" i="17"/>
  <c r="DY46" i="17"/>
  <c r="DY39" i="17"/>
  <c r="DY64" i="17"/>
  <c r="DY58" i="17"/>
  <c r="DY52" i="17"/>
  <c r="DY51" i="17"/>
  <c r="DY50" i="17"/>
  <c r="DY44" i="17"/>
  <c r="DY38" i="17"/>
  <c r="DY37" i="17"/>
  <c r="DY59" i="17"/>
  <c r="DY57" i="17"/>
  <c r="DY56" i="17"/>
  <c r="DY55" i="17"/>
  <c r="DY54" i="17"/>
  <c r="DY40" i="17"/>
  <c r="DY42" i="17"/>
  <c r="DY43" i="17"/>
  <c r="DY41" i="17"/>
  <c r="DY45" i="17"/>
  <c r="DY63" i="17"/>
  <c r="DY49" i="17"/>
  <c r="DW63" i="17"/>
  <c r="DW49" i="17"/>
  <c r="DW62" i="17"/>
  <c r="DW61" i="17"/>
  <c r="DW60" i="17"/>
  <c r="DW53" i="17"/>
  <c r="DW48" i="17"/>
  <c r="DW47" i="17"/>
  <c r="DW46" i="17"/>
  <c r="DW39" i="17"/>
  <c r="DW64" i="17"/>
  <c r="DW58" i="17"/>
  <c r="DW52" i="17"/>
  <c r="DW51" i="17"/>
  <c r="DW50" i="17"/>
  <c r="DW56" i="17"/>
  <c r="DW54" i="17"/>
  <c r="DW43" i="17"/>
  <c r="DW38" i="17"/>
  <c r="DW55" i="17"/>
  <c r="DW59" i="17"/>
  <c r="DW45" i="17"/>
  <c r="DW40" i="17"/>
  <c r="DW57" i="17"/>
  <c r="DW41" i="17"/>
  <c r="DW44" i="17"/>
  <c r="DW42" i="17"/>
  <c r="DW37" i="17"/>
  <c r="CX59" i="17"/>
  <c r="CX45" i="17"/>
  <c r="CX63" i="17"/>
  <c r="CX62" i="17"/>
  <c r="CX61" i="17"/>
  <c r="CX60" i="17"/>
  <c r="CX49" i="17"/>
  <c r="CX48" i="17"/>
  <c r="CX47" i="17"/>
  <c r="CX46" i="17"/>
  <c r="CX64" i="17"/>
  <c r="CX53" i="17"/>
  <c r="CX52" i="17"/>
  <c r="CX51" i="17"/>
  <c r="CX44" i="17"/>
  <c r="CX40" i="17"/>
  <c r="CX38" i="17"/>
  <c r="CX50" i="17"/>
  <c r="CX42" i="17"/>
  <c r="CX58" i="17"/>
  <c r="CX54" i="17"/>
  <c r="CX43" i="17"/>
  <c r="CX37" i="17"/>
  <c r="CX57" i="17"/>
  <c r="CX55" i="17"/>
  <c r="CX41" i="17"/>
  <c r="CX39" i="17"/>
  <c r="CX56" i="17"/>
  <c r="DG59" i="17"/>
  <c r="DG57" i="17"/>
  <c r="DG56" i="17"/>
  <c r="DG55" i="17"/>
  <c r="DG54" i="17"/>
  <c r="DG45" i="17"/>
  <c r="DG43" i="17"/>
  <c r="DG42" i="17"/>
  <c r="DG41" i="17"/>
  <c r="DG40" i="17"/>
  <c r="DG63" i="17"/>
  <c r="DG49" i="17"/>
  <c r="DG62" i="17"/>
  <c r="DG61" i="17"/>
  <c r="DG60" i="17"/>
  <c r="DG53" i="17"/>
  <c r="DG64" i="17"/>
  <c r="DG44" i="17"/>
  <c r="DG37" i="17"/>
  <c r="DG50" i="17"/>
  <c r="DG52" i="17"/>
  <c r="DG48" i="17"/>
  <c r="DG39" i="17"/>
  <c r="DG38" i="17"/>
  <c r="DG51" i="17"/>
  <c r="DG47" i="17"/>
  <c r="DG58" i="17"/>
  <c r="DG46" i="17"/>
  <c r="DY8" i="17"/>
  <c r="DY16" i="17"/>
  <c r="DY24" i="17"/>
  <c r="DY32" i="17"/>
  <c r="DY11" i="17"/>
  <c r="DY19" i="17"/>
  <c r="DY27" i="17"/>
  <c r="DY5" i="17"/>
  <c r="DY6" i="17"/>
  <c r="DY14" i="17"/>
  <c r="DY22" i="17"/>
  <c r="DY30" i="17"/>
  <c r="DY31" i="17"/>
  <c r="DY9" i="17"/>
  <c r="DY17" i="17"/>
  <c r="DY25" i="17"/>
  <c r="DY7" i="17"/>
  <c r="DY12" i="17"/>
  <c r="DY20" i="17"/>
  <c r="DY28" i="17"/>
  <c r="DY15" i="17"/>
  <c r="DY23" i="17"/>
  <c r="DY10" i="17"/>
  <c r="DY18" i="17"/>
  <c r="DY26" i="17"/>
  <c r="DY13" i="17"/>
  <c r="DY21" i="17"/>
  <c r="DY29" i="17"/>
  <c r="DW6" i="17"/>
  <c r="DW14" i="17"/>
  <c r="DW22" i="17"/>
  <c r="DW30" i="17"/>
  <c r="DW9" i="17"/>
  <c r="DW17" i="17"/>
  <c r="DW25" i="17"/>
  <c r="DW12" i="17"/>
  <c r="DW20" i="17"/>
  <c r="DW28" i="17"/>
  <c r="DW13" i="17"/>
  <c r="DW21" i="17"/>
  <c r="DW7" i="17"/>
  <c r="DW15" i="17"/>
  <c r="DW23" i="17"/>
  <c r="DW31" i="17"/>
  <c r="DW5" i="17"/>
  <c r="DW10" i="17"/>
  <c r="DW18" i="17"/>
  <c r="DW26" i="17"/>
  <c r="DW29" i="17"/>
  <c r="DW8" i="17"/>
  <c r="DW16" i="17"/>
  <c r="DW24" i="17"/>
  <c r="DW32" i="17"/>
  <c r="DW11" i="17"/>
  <c r="DW19" i="17"/>
  <c r="DW27" i="17"/>
  <c r="C177" i="18"/>
  <c r="C340" i="18"/>
  <c r="C227" i="18"/>
  <c r="C407" i="18"/>
  <c r="C358" i="18"/>
  <c r="DG5" i="17"/>
  <c r="DG8" i="17"/>
  <c r="DG16" i="17"/>
  <c r="DG24" i="17"/>
  <c r="DG32" i="17"/>
  <c r="DG7" i="17"/>
  <c r="DG15" i="17"/>
  <c r="DG23" i="17"/>
  <c r="DG31" i="17"/>
  <c r="DG6" i="17"/>
  <c r="DG14" i="17"/>
  <c r="DG22" i="17"/>
  <c r="DG30" i="17"/>
  <c r="DG13" i="17"/>
  <c r="DG21" i="17"/>
  <c r="DG29" i="17"/>
  <c r="DG11" i="17"/>
  <c r="DG19" i="17"/>
  <c r="DG27" i="17"/>
  <c r="DG12" i="17"/>
  <c r="DG20" i="17"/>
  <c r="DG28" i="17"/>
  <c r="DG10" i="17"/>
  <c r="DG18" i="17"/>
  <c r="DG26" i="17"/>
  <c r="DG9" i="17"/>
  <c r="DG17" i="17"/>
  <c r="DG25" i="17"/>
  <c r="F60" i="17" l="1"/>
  <c r="E146" i="18" l="1"/>
  <c r="G54" i="18"/>
  <c r="G608" i="18" s="1"/>
  <c r="E143" i="18"/>
  <c r="G51" i="18"/>
  <c r="G605" i="18" s="1"/>
  <c r="BD27" i="17" l="1"/>
  <c r="B82" i="17" l="1"/>
  <c r="B74" i="18" s="1"/>
  <c r="B81" i="17"/>
  <c r="B73" i="18" s="1"/>
  <c r="C60" i="17"/>
  <c r="AV6" i="17" a="1"/>
  <c r="AU6" i="17" a="1"/>
  <c r="AU6" i="17" s="1"/>
  <c r="AK6" i="17" a="1"/>
  <c r="AK6" i="17" s="1"/>
  <c r="O5" i="17" s="1"/>
  <c r="AJ6" i="17" a="1"/>
  <c r="AJ6" i="17" s="1"/>
  <c r="O4" i="17" s="1"/>
  <c r="AC6" i="17" a="1"/>
  <c r="AC6" i="17" s="1"/>
  <c r="O6" i="17" s="1"/>
  <c r="BD44" i="17"/>
  <c r="AT4" i="17"/>
  <c r="AJ4" i="17"/>
  <c r="AH4" i="17"/>
  <c r="BD43" i="17"/>
  <c r="AG3" i="17"/>
  <c r="C82" i="17" l="1"/>
  <c r="C79" i="17"/>
  <c r="C80" i="17"/>
  <c r="D72" i="18" s="1"/>
  <c r="C81" i="17"/>
  <c r="AV6" i="17"/>
  <c r="BC43" i="17"/>
  <c r="T185" i="18"/>
  <c r="T486" i="18" s="1"/>
  <c r="R185" i="18"/>
  <c r="T183" i="18"/>
  <c r="T484" i="18" s="1"/>
  <c r="R183" i="18"/>
  <c r="R484" i="18" s="1"/>
  <c r="P183" i="18"/>
  <c r="P484" i="18" s="1"/>
  <c r="L183" i="18"/>
  <c r="L484" i="18" s="1"/>
  <c r="T182" i="18"/>
  <c r="P182" i="18"/>
  <c r="N182" i="18"/>
  <c r="T169" i="18"/>
  <c r="P169" i="18"/>
  <c r="N169" i="18"/>
  <c r="E54" i="18"/>
  <c r="E52" i="18"/>
  <c r="E51" i="18"/>
  <c r="C47" i="18"/>
  <c r="C601" i="18" s="1"/>
  <c r="F28" i="18"/>
  <c r="C668" i="18"/>
  <c r="F24" i="18"/>
  <c r="F79" i="18" s="1"/>
  <c r="F23" i="18"/>
  <c r="F22" i="18"/>
  <c r="F19" i="18"/>
  <c r="C243" i="18" s="1"/>
  <c r="F18" i="18"/>
  <c r="F17" i="18"/>
  <c r="F15" i="18"/>
  <c r="B10" i="18"/>
  <c r="B9" i="18"/>
  <c r="B8" i="18"/>
  <c r="B6" i="18"/>
  <c r="H3" i="18"/>
  <c r="H2" i="18"/>
  <c r="C54" i="18"/>
  <c r="C608" i="18" s="1"/>
  <c r="C52" i="18"/>
  <c r="C606" i="18" s="1"/>
  <c r="C51" i="18"/>
  <c r="BG13" i="17"/>
  <c r="BD26" i="17"/>
  <c r="BE9" i="17"/>
  <c r="BE34" i="17" s="1"/>
  <c r="E120" i="11"/>
  <c r="G46" i="11"/>
  <c r="G45" i="11"/>
  <c r="G44" i="11"/>
  <c r="E410" i="18" l="1"/>
  <c r="E390" i="18"/>
  <c r="E361" i="18"/>
  <c r="E237" i="18"/>
  <c r="E219" i="18"/>
  <c r="E343" i="18"/>
  <c r="E308" i="18"/>
  <c r="E326" i="18"/>
  <c r="E304" i="18"/>
  <c r="E168" i="18"/>
  <c r="E386" i="18"/>
  <c r="E214" i="18"/>
  <c r="E181" i="18"/>
  <c r="E322" i="18"/>
  <c r="C27" i="19"/>
  <c r="C45" i="19"/>
  <c r="C51" i="19"/>
  <c r="C34" i="19"/>
  <c r="C28" i="19"/>
  <c r="E127" i="11"/>
  <c r="C44" i="19"/>
  <c r="R318" i="18"/>
  <c r="N382" i="18"/>
  <c r="N318" i="18"/>
  <c r="T318" i="18"/>
  <c r="R382" i="18"/>
  <c r="P382" i="18"/>
  <c r="L382" i="18"/>
  <c r="C44" i="4"/>
  <c r="L208" i="18" s="1"/>
  <c r="T382" i="18"/>
  <c r="P318" i="18"/>
  <c r="L318" i="18"/>
  <c r="E608" i="18"/>
  <c r="E606" i="18"/>
  <c r="B378" i="18"/>
  <c r="C605" i="18"/>
  <c r="L237" i="18"/>
  <c r="E605" i="18"/>
  <c r="C51" i="4"/>
  <c r="C34" i="4"/>
  <c r="E442" i="18"/>
  <c r="C484" i="18"/>
  <c r="F432" i="18"/>
  <c r="C159" i="18"/>
  <c r="C432" i="18"/>
  <c r="B432" i="18"/>
  <c r="B159" i="18"/>
  <c r="C190" i="18" s="1"/>
  <c r="B431" i="18"/>
  <c r="B158" i="18"/>
  <c r="F431" i="18"/>
  <c r="C431" i="18"/>
  <c r="C158" i="18"/>
  <c r="C185" i="18"/>
  <c r="F32" i="19" s="1"/>
  <c r="R486" i="18"/>
  <c r="C486" i="18" s="1"/>
  <c r="C27" i="4"/>
  <c r="D71" i="18"/>
  <c r="CV63" i="17"/>
  <c r="CV59" i="17"/>
  <c r="CV50" i="17"/>
  <c r="CV48" i="17"/>
  <c r="CV47" i="17"/>
  <c r="CV43" i="17"/>
  <c r="CV42" i="17"/>
  <c r="CV41" i="17"/>
  <c r="CV57" i="17"/>
  <c r="CV56" i="17"/>
  <c r="CV55" i="17"/>
  <c r="CV52" i="17"/>
  <c r="CV51" i="17"/>
  <c r="CV49" i="17"/>
  <c r="CV46" i="17"/>
  <c r="CV44" i="17"/>
  <c r="CV40" i="17"/>
  <c r="CV38" i="17"/>
  <c r="CV37" i="17"/>
  <c r="CV64" i="17"/>
  <c r="CV61" i="17"/>
  <c r="CV54" i="17"/>
  <c r="CV60" i="17"/>
  <c r="CV45" i="17"/>
  <c r="CV58" i="17"/>
  <c r="CV62" i="17"/>
  <c r="CV39" i="17"/>
  <c r="CV53" i="17"/>
  <c r="C45" i="4"/>
  <c r="C667" i="18"/>
  <c r="C28" i="4"/>
  <c r="F378" i="18"/>
  <c r="C671" i="18"/>
  <c r="C684" i="18" s="1"/>
  <c r="C672" i="18"/>
  <c r="C685" i="18" s="1"/>
  <c r="C183" i="18"/>
  <c r="F31" i="19" s="1"/>
  <c r="CX5" i="17"/>
  <c r="CX19" i="17"/>
  <c r="CX27" i="17"/>
  <c r="CX8" i="17"/>
  <c r="CX16" i="17"/>
  <c r="CX24" i="17"/>
  <c r="CX32" i="17"/>
  <c r="CX13" i="17"/>
  <c r="CX21" i="17"/>
  <c r="CX29" i="17"/>
  <c r="CX10" i="17"/>
  <c r="CX18" i="17"/>
  <c r="CX26" i="17"/>
  <c r="CX7" i="17"/>
  <c r="CX15" i="17"/>
  <c r="CX23" i="17"/>
  <c r="CX31" i="17"/>
  <c r="CX12" i="17"/>
  <c r="CX9" i="17"/>
  <c r="CX20" i="17"/>
  <c r="CX28" i="17"/>
  <c r="CX17" i="17"/>
  <c r="CX25" i="17"/>
  <c r="CX6" i="17"/>
  <c r="CX14" i="17"/>
  <c r="CX22" i="17"/>
  <c r="CX30" i="17"/>
  <c r="CX11" i="17"/>
  <c r="D73" i="18"/>
  <c r="D74" i="18"/>
  <c r="CV32" i="17"/>
  <c r="CV24" i="17"/>
  <c r="CV16" i="17"/>
  <c r="G129" i="18" s="1"/>
  <c r="CV8" i="17"/>
  <c r="G121" i="18" s="1"/>
  <c r="CV31" i="17"/>
  <c r="CV23" i="17"/>
  <c r="CV15" i="17"/>
  <c r="G128" i="18" s="1"/>
  <c r="CV7" i="17"/>
  <c r="G120" i="18" s="1"/>
  <c r="CV11" i="17"/>
  <c r="G124" i="18" s="1"/>
  <c r="CV30" i="17"/>
  <c r="CV22" i="17"/>
  <c r="CV14" i="17"/>
  <c r="G127" i="18" s="1"/>
  <c r="CV6" i="17"/>
  <c r="G119" i="18" s="1"/>
  <c r="CV29" i="17"/>
  <c r="CV21" i="17"/>
  <c r="CV13" i="17"/>
  <c r="G126" i="18" s="1"/>
  <c r="CV5" i="17"/>
  <c r="G118" i="18" s="1"/>
  <c r="CV28" i="17"/>
  <c r="CV20" i="17"/>
  <c r="CV12" i="17"/>
  <c r="G125" i="18" s="1"/>
  <c r="CV27" i="17"/>
  <c r="CV26" i="17"/>
  <c r="CV18" i="17"/>
  <c r="G131" i="18" s="1"/>
  <c r="CV10" i="17"/>
  <c r="G123" i="18" s="1"/>
  <c r="CV19" i="17"/>
  <c r="CV25" i="17"/>
  <c r="CV17" i="17"/>
  <c r="G130" i="18" s="1"/>
  <c r="CV9" i="17"/>
  <c r="G122" i="18" s="1"/>
  <c r="C259" i="18"/>
  <c r="C253" i="18"/>
  <c r="C252" i="18"/>
  <c r="C204" i="18"/>
  <c r="A358" i="18"/>
  <c r="A407" i="18"/>
  <c r="A340" i="18"/>
  <c r="L322" i="18"/>
  <c r="C378" i="18"/>
  <c r="L401" i="18"/>
  <c r="L410" i="18"/>
  <c r="B202" i="18"/>
  <c r="L230" i="18" s="1"/>
  <c r="B294" i="18"/>
  <c r="B297" i="18"/>
  <c r="P303" i="18" s="1"/>
  <c r="T237" i="18"/>
  <c r="P237" i="18"/>
  <c r="N237" i="18"/>
  <c r="C294" i="18"/>
  <c r="R237" i="18"/>
  <c r="F294" i="18"/>
  <c r="L353" i="18"/>
  <c r="L225" i="18"/>
  <c r="F202" i="18"/>
  <c r="C202" i="18"/>
  <c r="L167" i="18"/>
  <c r="L180" i="18"/>
  <c r="C189" i="18"/>
  <c r="R175" i="18"/>
  <c r="T175" i="18"/>
  <c r="L175" i="18"/>
  <c r="P175" i="18"/>
  <c r="N175" i="18"/>
  <c r="L162" i="18"/>
  <c r="L405" i="18"/>
  <c r="R323" i="18"/>
  <c r="T323" i="18"/>
  <c r="F78" i="18"/>
  <c r="CF2" i="17" s="1"/>
  <c r="E586" i="18"/>
  <c r="C586" i="18"/>
  <c r="N405" i="18"/>
  <c r="T386" i="18"/>
  <c r="P386" i="18"/>
  <c r="L386" i="18"/>
  <c r="L395" i="18" s="1"/>
  <c r="R357" i="18"/>
  <c r="R322" i="18"/>
  <c r="N322" i="18"/>
  <c r="R304" i="18"/>
  <c r="N304" i="18"/>
  <c r="R214" i="18"/>
  <c r="N214" i="18"/>
  <c r="O181" i="18"/>
  <c r="T168" i="18"/>
  <c r="P168" i="18"/>
  <c r="L168" i="18"/>
  <c r="T405" i="18"/>
  <c r="S386" i="18"/>
  <c r="O386" i="18"/>
  <c r="P357" i="18"/>
  <c r="U322" i="18"/>
  <c r="Q322" i="18"/>
  <c r="M322" i="18"/>
  <c r="U304" i="18"/>
  <c r="Q304" i="18"/>
  <c r="M304" i="18"/>
  <c r="U214" i="18"/>
  <c r="Q214" i="18"/>
  <c r="M214" i="18"/>
  <c r="U181" i="18"/>
  <c r="M181" i="18"/>
  <c r="S168" i="18"/>
  <c r="O168" i="18"/>
  <c r="R405" i="18"/>
  <c r="R386" i="18"/>
  <c r="N386" i="18"/>
  <c r="N357" i="18"/>
  <c r="T322" i="18"/>
  <c r="P322" i="18"/>
  <c r="T304" i="18"/>
  <c r="P304" i="18"/>
  <c r="L304" i="18"/>
  <c r="T214" i="18"/>
  <c r="P214" i="18"/>
  <c r="L214" i="18"/>
  <c r="S181" i="18"/>
  <c r="R168" i="18"/>
  <c r="N168" i="18"/>
  <c r="P405" i="18"/>
  <c r="U386" i="18"/>
  <c r="Q386" i="18"/>
  <c r="M386" i="18"/>
  <c r="T357" i="18"/>
  <c r="L357" i="18"/>
  <c r="S322" i="18"/>
  <c r="O322" i="18"/>
  <c r="S304" i="18"/>
  <c r="O304" i="18"/>
  <c r="S214" i="18"/>
  <c r="O214" i="18"/>
  <c r="Q168" i="18"/>
  <c r="M168" i="18"/>
  <c r="Q181" i="18"/>
  <c r="U168" i="18"/>
  <c r="U405" i="18"/>
  <c r="Q405" i="18"/>
  <c r="M405" i="18"/>
  <c r="U357" i="18"/>
  <c r="Q357" i="18"/>
  <c r="M357" i="18"/>
  <c r="U339" i="18"/>
  <c r="Q339" i="18"/>
  <c r="M339" i="18"/>
  <c r="T231" i="18"/>
  <c r="P231" i="18"/>
  <c r="L231" i="18"/>
  <c r="T181" i="18"/>
  <c r="P181" i="18"/>
  <c r="L181" i="18"/>
  <c r="N487" i="18" s="1"/>
  <c r="T339" i="18"/>
  <c r="P339" i="18"/>
  <c r="L339" i="18"/>
  <c r="S231" i="18"/>
  <c r="O231" i="18"/>
  <c r="S405" i="18"/>
  <c r="O405" i="18"/>
  <c r="S357" i="18"/>
  <c r="O357" i="18"/>
  <c r="S339" i="18"/>
  <c r="O339" i="18"/>
  <c r="R231" i="18"/>
  <c r="N231" i="18"/>
  <c r="R181" i="18"/>
  <c r="T487" i="18" s="1"/>
  <c r="N181" i="18"/>
  <c r="P487" i="18" s="1"/>
  <c r="R339" i="18"/>
  <c r="N339" i="18"/>
  <c r="U231" i="18"/>
  <c r="Q231" i="18"/>
  <c r="M231" i="18"/>
  <c r="P423" i="18"/>
  <c r="N423" i="18"/>
  <c r="T423" i="18"/>
  <c r="L423" i="18"/>
  <c r="R423" i="18"/>
  <c r="L336" i="18"/>
  <c r="M326" i="18"/>
  <c r="Q361" i="18"/>
  <c r="O361" i="18"/>
  <c r="U361" i="18"/>
  <c r="S361" i="18"/>
  <c r="M410" i="18"/>
  <c r="K410" i="18" s="1"/>
  <c r="M390" i="18"/>
  <c r="M361" i="18"/>
  <c r="M237" i="18"/>
  <c r="U343" i="18"/>
  <c r="M343" i="18"/>
  <c r="S343" i="18"/>
  <c r="Q343" i="18"/>
  <c r="O343" i="18"/>
  <c r="U326" i="18"/>
  <c r="S308" i="18"/>
  <c r="S326" i="18"/>
  <c r="Q308" i="18"/>
  <c r="Q326" i="18"/>
  <c r="O308" i="18"/>
  <c r="O326" i="18"/>
  <c r="U308" i="18"/>
  <c r="M308" i="18"/>
  <c r="L301" i="18"/>
  <c r="L308" i="18"/>
  <c r="C194" i="18"/>
  <c r="C260" i="18"/>
  <c r="L226" i="18"/>
  <c r="U237" i="18"/>
  <c r="Q237" i="18"/>
  <c r="S237" i="18"/>
  <c r="O237" i="18"/>
  <c r="U219" i="18"/>
  <c r="Q219" i="18"/>
  <c r="M219" i="18"/>
  <c r="S219" i="18"/>
  <c r="O219" i="18"/>
  <c r="C219" i="18"/>
  <c r="C244" i="18"/>
  <c r="C245" i="18" s="1"/>
  <c r="C246" i="18" s="1"/>
  <c r="C143" i="18"/>
  <c r="C144" i="18"/>
  <c r="C150" i="18" s="1"/>
  <c r="F159" i="18"/>
  <c r="F158" i="18"/>
  <c r="C146" i="18"/>
  <c r="E150" i="18" s="1"/>
  <c r="N167" i="18"/>
  <c r="BC44" i="17"/>
  <c r="L163" i="18"/>
  <c r="BE11" i="17"/>
  <c r="BE36" i="17" s="1"/>
  <c r="BD12" i="17"/>
  <c r="BE8" i="17"/>
  <c r="BE33" i="17" s="1"/>
  <c r="BD11" i="17"/>
  <c r="BD36" i="17" s="1"/>
  <c r="N308" i="18"/>
  <c r="N301" i="18"/>
  <c r="N300" i="18"/>
  <c r="P176" i="18"/>
  <c r="R163" i="18"/>
  <c r="P162" i="18"/>
  <c r="T308" i="18"/>
  <c r="T301" i="18"/>
  <c r="T300" i="18"/>
  <c r="N176" i="18"/>
  <c r="P163" i="18"/>
  <c r="N162" i="18"/>
  <c r="T163" i="18"/>
  <c r="R308" i="18"/>
  <c r="R301" i="18"/>
  <c r="R300" i="18"/>
  <c r="L300" i="18"/>
  <c r="F297" i="18"/>
  <c r="T176" i="18"/>
  <c r="N163" i="18"/>
  <c r="T162" i="18"/>
  <c r="P308" i="18"/>
  <c r="P301" i="18"/>
  <c r="P300" i="18"/>
  <c r="R176" i="18"/>
  <c r="R162" i="18"/>
  <c r="N343" i="18"/>
  <c r="N336" i="18"/>
  <c r="N335" i="18"/>
  <c r="T343" i="18"/>
  <c r="T336" i="18"/>
  <c r="T335" i="18"/>
  <c r="R343" i="18"/>
  <c r="L343" i="18"/>
  <c r="R336" i="18"/>
  <c r="R335" i="18"/>
  <c r="L335" i="18"/>
  <c r="P343" i="18"/>
  <c r="P336" i="18"/>
  <c r="P335" i="18"/>
  <c r="F296" i="18"/>
  <c r="L176" i="18"/>
  <c r="R180" i="18"/>
  <c r="B204" i="18"/>
  <c r="P180" i="18"/>
  <c r="T167" i="18"/>
  <c r="C250" i="18"/>
  <c r="N180" i="18"/>
  <c r="R167" i="18"/>
  <c r="T180" i="18"/>
  <c r="P167" i="18"/>
  <c r="P410" i="18"/>
  <c r="P402" i="18"/>
  <c r="P401" i="18"/>
  <c r="T361" i="18"/>
  <c r="T354" i="18"/>
  <c r="T353" i="18"/>
  <c r="T326" i="18"/>
  <c r="N226" i="18"/>
  <c r="T225" i="18"/>
  <c r="R209" i="18"/>
  <c r="L209" i="18"/>
  <c r="N410" i="18"/>
  <c r="N402" i="18"/>
  <c r="N401" i="18"/>
  <c r="R361" i="18"/>
  <c r="L361" i="18"/>
  <c r="R354" i="18"/>
  <c r="L354" i="18"/>
  <c r="R353" i="18"/>
  <c r="R326" i="18"/>
  <c r="L326" i="18"/>
  <c r="T226" i="18"/>
  <c r="R225" i="18"/>
  <c r="P209" i="18"/>
  <c r="T410" i="18"/>
  <c r="T402" i="18"/>
  <c r="T401" i="18"/>
  <c r="P361" i="18"/>
  <c r="N361" i="18"/>
  <c r="R402" i="18"/>
  <c r="R226" i="18"/>
  <c r="P225" i="18"/>
  <c r="L402" i="18"/>
  <c r="P354" i="18"/>
  <c r="P353" i="18"/>
  <c r="P326" i="18"/>
  <c r="P226" i="18"/>
  <c r="N225" i="18"/>
  <c r="T209" i="18"/>
  <c r="R401" i="18"/>
  <c r="N353" i="18"/>
  <c r="R410" i="18"/>
  <c r="N354" i="18"/>
  <c r="N326" i="18"/>
  <c r="N209" i="18"/>
  <c r="BC4" i="17"/>
  <c r="B296" i="18"/>
  <c r="L338" i="18" s="1"/>
  <c r="BD18" i="17"/>
  <c r="BD22" i="17"/>
  <c r="BD17" i="17"/>
  <c r="BD16" i="17"/>
  <c r="BD31" i="17" s="1"/>
  <c r="L164" i="18" s="1"/>
  <c r="L444" i="18" s="1"/>
  <c r="BE20" i="17"/>
  <c r="BE35" i="17" s="1"/>
  <c r="BD20" i="17"/>
  <c r="BD35" i="17" s="1"/>
  <c r="BE6" i="17"/>
  <c r="BE31" i="17" s="1"/>
  <c r="BD7" i="17"/>
  <c r="BD9" i="17"/>
  <c r="BD34" i="17" s="1"/>
  <c r="BE12" i="17"/>
  <c r="BE37" i="17" s="1"/>
  <c r="BC14" i="17"/>
  <c r="C296" i="18"/>
  <c r="BE7" i="17"/>
  <c r="BE32" i="17" s="1"/>
  <c r="BD8" i="17"/>
  <c r="C297" i="18"/>
  <c r="C318" i="18" l="1"/>
  <c r="C382" i="18"/>
  <c r="C22" i="19"/>
  <c r="C22" i="4"/>
  <c r="F18" i="17" s="1"/>
  <c r="O3" i="17" s="1"/>
  <c r="N208" i="18"/>
  <c r="R208" i="18"/>
  <c r="T208" i="18"/>
  <c r="P208" i="18"/>
  <c r="A585" i="18"/>
  <c r="E153" i="18"/>
  <c r="E152" i="18"/>
  <c r="E151" i="18"/>
  <c r="C151" i="18"/>
  <c r="C152" i="18"/>
  <c r="C153" i="18"/>
  <c r="V238" i="17"/>
  <c r="P415" i="18"/>
  <c r="C587" i="18"/>
  <c r="E587" i="18" s="1"/>
  <c r="S237" i="17"/>
  <c r="S239" i="17" s="1"/>
  <c r="V237" i="17"/>
  <c r="T238" i="17"/>
  <c r="T237" i="17"/>
  <c r="F31" i="4"/>
  <c r="F32" i="4"/>
  <c r="R487" i="18"/>
  <c r="C191" i="18"/>
  <c r="CY51" i="17" s="1"/>
  <c r="DA63" i="17"/>
  <c r="DA61" i="17"/>
  <c r="DA57" i="17"/>
  <c r="DA55" i="17"/>
  <c r="DA50" i="17"/>
  <c r="DA43" i="17"/>
  <c r="DA38" i="17"/>
  <c r="DA58" i="17"/>
  <c r="DA54" i="17"/>
  <c r="DA52" i="17"/>
  <c r="DA48" i="17"/>
  <c r="DA46" i="17"/>
  <c r="DA64" i="17"/>
  <c r="DA60" i="17"/>
  <c r="DA51" i="17"/>
  <c r="DA45" i="17"/>
  <c r="DA44" i="17"/>
  <c r="DA53" i="17"/>
  <c r="DA40" i="17"/>
  <c r="DA39" i="17"/>
  <c r="DA62" i="17"/>
  <c r="DA56" i="17"/>
  <c r="DA47" i="17"/>
  <c r="DA42" i="17"/>
  <c r="DA41" i="17"/>
  <c r="DA59" i="17"/>
  <c r="DA49" i="17"/>
  <c r="DA37" i="17"/>
  <c r="DH5" i="17"/>
  <c r="DH54" i="17"/>
  <c r="DH48" i="17"/>
  <c r="DH44" i="17"/>
  <c r="DH40" i="17"/>
  <c r="DH63" i="17"/>
  <c r="DH60" i="17"/>
  <c r="DH57" i="17"/>
  <c r="DH52" i="17"/>
  <c r="DH49" i="17"/>
  <c r="DH45" i="17"/>
  <c r="DH41" i="17"/>
  <c r="DH37" i="17"/>
  <c r="DH61" i="17"/>
  <c r="DH58" i="17"/>
  <c r="DH55" i="17"/>
  <c r="DH50" i="17"/>
  <c r="DH46" i="17"/>
  <c r="DH42" i="17"/>
  <c r="DH38" i="17"/>
  <c r="DH64" i="17"/>
  <c r="DH62" i="17"/>
  <c r="DH59" i="17"/>
  <c r="DH56" i="17"/>
  <c r="DH53" i="17"/>
  <c r="DH51" i="17"/>
  <c r="DH47" i="17"/>
  <c r="DH43" i="17"/>
  <c r="DH39" i="17"/>
  <c r="C255" i="17"/>
  <c r="E255" i="17" s="1"/>
  <c r="E685" i="18"/>
  <c r="C254" i="17"/>
  <c r="E254" i="17" s="1"/>
  <c r="E684" i="18"/>
  <c r="C180" i="18"/>
  <c r="C167" i="18"/>
  <c r="BD33" i="17"/>
  <c r="R164" i="18" s="1"/>
  <c r="R444" i="18" s="1"/>
  <c r="R447" i="18" s="1"/>
  <c r="C401" i="18"/>
  <c r="C168" i="18"/>
  <c r="C353" i="18"/>
  <c r="C336" i="18"/>
  <c r="C386" i="18"/>
  <c r="C225" i="18"/>
  <c r="C308" i="18"/>
  <c r="C162" i="18"/>
  <c r="C181" i="18"/>
  <c r="C226" i="18"/>
  <c r="C300" i="18"/>
  <c r="C301" i="18"/>
  <c r="C163" i="18"/>
  <c r="C423" i="18"/>
  <c r="C231" i="18"/>
  <c r="C357" i="18"/>
  <c r="C402" i="18"/>
  <c r="C343" i="18"/>
  <c r="C176" i="18"/>
  <c r="C304" i="18"/>
  <c r="C175" i="18"/>
  <c r="C335" i="18"/>
  <c r="C361" i="18"/>
  <c r="C354" i="18"/>
  <c r="C326" i="18"/>
  <c r="C410" i="18"/>
  <c r="C209" i="18"/>
  <c r="C237" i="18"/>
  <c r="C405" i="18"/>
  <c r="C214" i="18"/>
  <c r="C322" i="18"/>
  <c r="C339" i="18"/>
  <c r="DH9" i="17"/>
  <c r="DH17" i="17"/>
  <c r="DH25" i="17"/>
  <c r="DH28" i="17"/>
  <c r="DH8" i="17"/>
  <c r="DH16" i="17"/>
  <c r="DH24" i="17"/>
  <c r="DH32" i="17"/>
  <c r="DH7" i="17"/>
  <c r="DH15" i="17"/>
  <c r="DH23" i="17"/>
  <c r="DH31" i="17"/>
  <c r="DH6" i="17"/>
  <c r="DH14" i="17"/>
  <c r="DH22" i="17"/>
  <c r="DH30" i="17"/>
  <c r="DH13" i="17"/>
  <c r="DH21" i="17"/>
  <c r="DH29" i="17"/>
  <c r="DH12" i="17"/>
  <c r="DH20" i="17"/>
  <c r="DH11" i="17"/>
  <c r="DH19" i="17"/>
  <c r="DH27" i="17"/>
  <c r="DH10" i="17"/>
  <c r="DH18" i="17"/>
  <c r="DH26" i="17"/>
  <c r="DA20" i="17"/>
  <c r="DA28" i="17"/>
  <c r="DA9" i="17"/>
  <c r="DA17" i="17"/>
  <c r="DA5" i="17"/>
  <c r="DA25" i="17"/>
  <c r="DA6" i="17"/>
  <c r="DA14" i="17"/>
  <c r="DA22" i="17"/>
  <c r="DA30" i="17"/>
  <c r="DA11" i="17"/>
  <c r="DA29" i="17"/>
  <c r="DA10" i="17"/>
  <c r="DA19" i="17"/>
  <c r="DA27" i="17"/>
  <c r="DA8" i="17"/>
  <c r="DA16" i="17"/>
  <c r="DA24" i="17"/>
  <c r="DA32" i="17"/>
  <c r="DA13" i="17"/>
  <c r="DA21" i="17"/>
  <c r="DA18" i="17"/>
  <c r="DA26" i="17"/>
  <c r="DA7" i="17"/>
  <c r="DA15" i="17"/>
  <c r="DA23" i="17"/>
  <c r="DA31" i="17"/>
  <c r="DA12" i="17"/>
  <c r="A687" i="18"/>
  <c r="A257" i="17" s="1"/>
  <c r="A305" i="18"/>
  <c r="A323" i="18"/>
  <c r="A387" i="18"/>
  <c r="L303" i="18"/>
  <c r="R303" i="18"/>
  <c r="BD32" i="17"/>
  <c r="P164" i="18" s="1"/>
  <c r="R213" i="18"/>
  <c r="T213" i="18"/>
  <c r="N230" i="18"/>
  <c r="T230" i="18"/>
  <c r="P213" i="18"/>
  <c r="P230" i="18"/>
  <c r="N213" i="18"/>
  <c r="R230" i="18"/>
  <c r="L213" i="18"/>
  <c r="N303" i="18"/>
  <c r="T303" i="18"/>
  <c r="P356" i="18"/>
  <c r="L356" i="18"/>
  <c r="N356" i="18"/>
  <c r="T356" i="18"/>
  <c r="R356" i="18"/>
  <c r="T321" i="18"/>
  <c r="P321" i="18"/>
  <c r="N321" i="18"/>
  <c r="L321" i="18"/>
  <c r="R321" i="18"/>
  <c r="C5" i="14"/>
  <c r="J46" i="14" s="1" a="1"/>
  <c r="J46" i="14" s="1"/>
  <c r="BD37" i="17"/>
  <c r="T307" i="18" s="1"/>
  <c r="N164" i="18"/>
  <c r="N305" i="18"/>
  <c r="N313" i="18" s="1"/>
  <c r="L305" i="18"/>
  <c r="L170" i="18"/>
  <c r="R387" i="18"/>
  <c r="T387" i="18"/>
  <c r="T391" i="18" s="1"/>
  <c r="L387" i="18"/>
  <c r="L391" i="18" s="1"/>
  <c r="N210" i="18"/>
  <c r="L323" i="18"/>
  <c r="L210" i="18"/>
  <c r="N387" i="18"/>
  <c r="N395" i="18" s="1"/>
  <c r="N323" i="18"/>
  <c r="R210" i="18"/>
  <c r="T210" i="18"/>
  <c r="T388" i="18"/>
  <c r="R324" i="18"/>
  <c r="C324" i="18" s="1"/>
  <c r="R211" i="18"/>
  <c r="R388" i="18"/>
  <c r="C388" i="18" s="1"/>
  <c r="T324" i="18"/>
  <c r="T211" i="18"/>
  <c r="P387" i="18"/>
  <c r="P395" i="18" s="1"/>
  <c r="P323" i="18"/>
  <c r="P210" i="18"/>
  <c r="T305" i="18"/>
  <c r="T313" i="18" s="1"/>
  <c r="R305" i="18"/>
  <c r="R325" i="18"/>
  <c r="C325" i="18" s="1"/>
  <c r="T389" i="18"/>
  <c r="R389" i="18"/>
  <c r="C389" i="18" s="1"/>
  <c r="T325" i="18"/>
  <c r="T165" i="18"/>
  <c r="T172" i="18" s="1"/>
  <c r="T306" i="18"/>
  <c r="R306" i="18"/>
  <c r="C306" i="18" s="1"/>
  <c r="R165" i="18"/>
  <c r="C165" i="18" s="1"/>
  <c r="N362" i="18"/>
  <c r="K304" i="18"/>
  <c r="K361" i="18"/>
  <c r="K308" i="18"/>
  <c r="K231" i="18"/>
  <c r="K214" i="18"/>
  <c r="K237" i="18"/>
  <c r="K168" i="18"/>
  <c r="K326" i="18"/>
  <c r="K442" i="18"/>
  <c r="K181" i="18"/>
  <c r="K405" i="18"/>
  <c r="K219" i="18"/>
  <c r="K322" i="18"/>
  <c r="K357" i="18"/>
  <c r="R413" i="18"/>
  <c r="C413" i="18" s="1"/>
  <c r="T413" i="18"/>
  <c r="P338" i="18"/>
  <c r="R338" i="18"/>
  <c r="N338" i="18"/>
  <c r="T338" i="18"/>
  <c r="P404" i="18"/>
  <c r="L404" i="18"/>
  <c r="N404" i="18"/>
  <c r="T404" i="18"/>
  <c r="R404" i="18"/>
  <c r="C261" i="18"/>
  <c r="C263" i="18" s="1"/>
  <c r="L330" i="18"/>
  <c r="L348" i="18"/>
  <c r="L313" i="18"/>
  <c r="L415" i="18"/>
  <c r="L365" i="18"/>
  <c r="P170" i="18" l="1"/>
  <c r="P444" i="18"/>
  <c r="P447" i="18" s="1"/>
  <c r="N170" i="18"/>
  <c r="N444" i="18"/>
  <c r="C208" i="18"/>
  <c r="V239" i="17"/>
  <c r="T239" i="17"/>
  <c r="Y238" i="17"/>
  <c r="Y237" i="17"/>
  <c r="CY23" i="17"/>
  <c r="CY19" i="17"/>
  <c r="CY28" i="17"/>
  <c r="CY12" i="17"/>
  <c r="CY22" i="17"/>
  <c r="CY52" i="17"/>
  <c r="CY15" i="17"/>
  <c r="CY13" i="17"/>
  <c r="CY25" i="17"/>
  <c r="CY29" i="17"/>
  <c r="CY8" i="17"/>
  <c r="CY6" i="17"/>
  <c r="CY20" i="17"/>
  <c r="CY18" i="17"/>
  <c r="CY5" i="17"/>
  <c r="CY16" i="17"/>
  <c r="CY17" i="17"/>
  <c r="CY26" i="17"/>
  <c r="CY21" i="17"/>
  <c r="CY32" i="17"/>
  <c r="CY11" i="17"/>
  <c r="CY64" i="17"/>
  <c r="CY30" i="17"/>
  <c r="CY48" i="17"/>
  <c r="CY14" i="17"/>
  <c r="CY9" i="17"/>
  <c r="CY7" i="17"/>
  <c r="CY10" i="17"/>
  <c r="CY31" i="17"/>
  <c r="CY24" i="17"/>
  <c r="CY27" i="17"/>
  <c r="CY38" i="17"/>
  <c r="CY40" i="17"/>
  <c r="CY43" i="17"/>
  <c r="CY56" i="17"/>
  <c r="CY58" i="17"/>
  <c r="CY41" i="17"/>
  <c r="CY46" i="17"/>
  <c r="CY55" i="17"/>
  <c r="CY47" i="17"/>
  <c r="CY37" i="17"/>
  <c r="CY60" i="17"/>
  <c r="CY61" i="17"/>
  <c r="CY42" i="17"/>
  <c r="CY50" i="17"/>
  <c r="CY57" i="17"/>
  <c r="CY53" i="17"/>
  <c r="CY49" i="17"/>
  <c r="CY62" i="17"/>
  <c r="CY45" i="17"/>
  <c r="CY63" i="17"/>
  <c r="CY54" i="17"/>
  <c r="CY44" i="17"/>
  <c r="CY39" i="17"/>
  <c r="CY59" i="17"/>
  <c r="DX64" i="17"/>
  <c r="DX62" i="17"/>
  <c r="DX59" i="17"/>
  <c r="DX56" i="17"/>
  <c r="DX53" i="17"/>
  <c r="DX47" i="17"/>
  <c r="DX45" i="17"/>
  <c r="DX40" i="17"/>
  <c r="DX63" i="17"/>
  <c r="DX61" i="17"/>
  <c r="DX55" i="17"/>
  <c r="DX50" i="17"/>
  <c r="DX57" i="17"/>
  <c r="DX52" i="17"/>
  <c r="DX48" i="17"/>
  <c r="DX46" i="17"/>
  <c r="DX39" i="17"/>
  <c r="DX54" i="17"/>
  <c r="DX51" i="17"/>
  <c r="DX37" i="17"/>
  <c r="DX58" i="17"/>
  <c r="DX49" i="17"/>
  <c r="DX38" i="17"/>
  <c r="DX43" i="17"/>
  <c r="DX42" i="17"/>
  <c r="DX41" i="17"/>
  <c r="DX60" i="17"/>
  <c r="DX44" i="17"/>
  <c r="DL64" i="17"/>
  <c r="DL62" i="17"/>
  <c r="DL59" i="17"/>
  <c r="DL56" i="17"/>
  <c r="DL53" i="17"/>
  <c r="DL47" i="17"/>
  <c r="DL45" i="17"/>
  <c r="DL40" i="17"/>
  <c r="DL63" i="17"/>
  <c r="DL61" i="17"/>
  <c r="DL55" i="17"/>
  <c r="DL50" i="17"/>
  <c r="DL57" i="17"/>
  <c r="DL52" i="17"/>
  <c r="DL48" i="17"/>
  <c r="DL46" i="17"/>
  <c r="DL39" i="17"/>
  <c r="DL44" i="17"/>
  <c r="DL37" i="17"/>
  <c r="DL58" i="17"/>
  <c r="DL49" i="17"/>
  <c r="DL38" i="17"/>
  <c r="DL43" i="17"/>
  <c r="DL42" i="17"/>
  <c r="DL41" i="17"/>
  <c r="DL60" i="17"/>
  <c r="DL54" i="17"/>
  <c r="DL51" i="17"/>
  <c r="C338" i="18"/>
  <c r="C230" i="18"/>
  <c r="T164" i="18"/>
  <c r="C323" i="18"/>
  <c r="C404" i="18"/>
  <c r="DX11" i="17"/>
  <c r="DX19" i="17"/>
  <c r="DX27" i="17"/>
  <c r="DX10" i="17"/>
  <c r="DX6" i="17"/>
  <c r="DX14" i="17"/>
  <c r="DX22" i="17"/>
  <c r="DX30" i="17"/>
  <c r="DX18" i="17"/>
  <c r="DX9" i="17"/>
  <c r="DX17" i="17"/>
  <c r="DX25" i="17"/>
  <c r="DX5" i="17"/>
  <c r="DX26" i="17"/>
  <c r="DX12" i="17"/>
  <c r="DX20" i="17"/>
  <c r="DX28" i="17"/>
  <c r="DX7" i="17"/>
  <c r="DX15" i="17"/>
  <c r="DX23" i="17"/>
  <c r="DX31" i="17"/>
  <c r="DX13" i="17"/>
  <c r="DX21" i="17"/>
  <c r="DX29" i="17"/>
  <c r="DX8" i="17"/>
  <c r="DX16" i="17"/>
  <c r="DX24" i="17"/>
  <c r="DX32" i="17"/>
  <c r="C356" i="18"/>
  <c r="C303" i="18"/>
  <c r="C210" i="18"/>
  <c r="C213" i="18"/>
  <c r="C321" i="18"/>
  <c r="C387" i="18"/>
  <c r="DL13" i="17"/>
  <c r="DL21" i="17"/>
  <c r="DL29" i="17"/>
  <c r="DL5" i="17"/>
  <c r="DL12" i="17"/>
  <c r="DL20" i="17"/>
  <c r="DL28" i="17"/>
  <c r="DL11" i="17"/>
  <c r="DL19" i="17"/>
  <c r="DL27" i="17"/>
  <c r="DL8" i="17"/>
  <c r="DL24" i="17"/>
  <c r="DL32" i="17"/>
  <c r="DL10" i="17"/>
  <c r="DL18" i="17"/>
  <c r="DL26" i="17"/>
  <c r="DL16" i="17"/>
  <c r="DL9" i="17"/>
  <c r="DL17" i="17"/>
  <c r="DL25" i="17"/>
  <c r="DL7" i="17"/>
  <c r="DL15" i="17"/>
  <c r="DL23" i="17"/>
  <c r="DL31" i="17"/>
  <c r="DL6" i="17"/>
  <c r="DL14" i="17"/>
  <c r="DL22" i="17"/>
  <c r="DL30" i="17"/>
  <c r="R170" i="18"/>
  <c r="C170" i="18" s="1"/>
  <c r="F48" i="19" s="1"/>
  <c r="C164" i="18"/>
  <c r="P305" i="18"/>
  <c r="P313" i="18" s="1"/>
  <c r="R307" i="18"/>
  <c r="AS48" i="14" a="1"/>
  <c r="AS48" i="14" s="1"/>
  <c r="AS129" i="14" s="1"/>
  <c r="AS283" i="14" s="1"/>
  <c r="AN66" i="14" a="1"/>
  <c r="AN66" i="14" s="1"/>
  <c r="AN147" i="14" s="1"/>
  <c r="AI43" i="14" a="1"/>
  <c r="AI43" i="14" s="1"/>
  <c r="AI513" i="14" s="1"/>
  <c r="AS50" i="14" a="1"/>
  <c r="AS50" i="14" s="1"/>
  <c r="AS131" i="14" s="1"/>
  <c r="J57" i="14" a="1"/>
  <c r="J57" i="14" s="1"/>
  <c r="J523" i="14" s="1"/>
  <c r="O72" i="14" a="1"/>
  <c r="O72" i="14" s="1"/>
  <c r="O538" i="14" s="1"/>
  <c r="J89" i="14" a="1"/>
  <c r="J89" i="14" s="1"/>
  <c r="J555" i="14" s="1"/>
  <c r="Y57" i="14" a="1"/>
  <c r="Y57" i="14" s="1"/>
  <c r="Y523" i="14" s="1"/>
  <c r="BC42" i="14" a="1"/>
  <c r="BC42" i="14" s="1"/>
  <c r="BC512" i="14" s="1"/>
  <c r="O76" i="14" a="1"/>
  <c r="O76" i="14" s="1"/>
  <c r="O542" i="14" s="1"/>
  <c r="AD54" i="14" a="1"/>
  <c r="AD54" i="14" s="1"/>
  <c r="AD135" i="14" s="1"/>
  <c r="T52" i="14" a="1"/>
  <c r="T52" i="14" s="1"/>
  <c r="T210" i="14" s="1"/>
  <c r="AS70" i="14" a="1"/>
  <c r="AS70" i="14" s="1"/>
  <c r="AS228" i="14" s="1"/>
  <c r="AS71" i="14" a="1"/>
  <c r="AS71" i="14" s="1"/>
  <c r="AS537" i="14" s="1"/>
  <c r="AS47" i="14" a="1"/>
  <c r="AS47" i="14" s="1"/>
  <c r="AS205" i="14" s="1"/>
  <c r="AN46" i="14" a="1"/>
  <c r="AN46" i="14" s="1"/>
  <c r="AN127" i="14" s="1"/>
  <c r="AN281" i="14" s="1"/>
  <c r="J60" i="14" a="1"/>
  <c r="J60" i="14" s="1"/>
  <c r="J526" i="14" s="1"/>
  <c r="O55" i="14" a="1"/>
  <c r="O55" i="14" s="1"/>
  <c r="O136" i="14" s="1"/>
  <c r="BH67" i="14" a="1"/>
  <c r="BH67" i="14" s="1"/>
  <c r="BH225" i="14" s="1"/>
  <c r="BR66" i="14" a="1"/>
  <c r="BR66" i="14" s="1"/>
  <c r="BR147" i="14" s="1"/>
  <c r="AS94" i="14" a="1"/>
  <c r="AS94" i="14" s="1"/>
  <c r="AS252" i="14" s="1"/>
  <c r="AN64" i="14" a="1"/>
  <c r="AN64" i="14" s="1"/>
  <c r="AN145" i="14" s="1"/>
  <c r="J54" i="14" a="1"/>
  <c r="J54" i="14" s="1"/>
  <c r="J135" i="14" s="1"/>
  <c r="J55" i="14" a="1"/>
  <c r="J55" i="14" s="1"/>
  <c r="J521" i="14" s="1"/>
  <c r="AI53" i="14" a="1"/>
  <c r="AI53" i="14" s="1"/>
  <c r="AI211" i="14" s="1"/>
  <c r="AX69" i="14" a="1"/>
  <c r="AX69" i="14" s="1"/>
  <c r="AX150" i="14" s="1"/>
  <c r="Y44" i="14" a="1"/>
  <c r="Y44" i="14" s="1"/>
  <c r="Y125" i="14" s="1"/>
  <c r="Y591" i="14" s="1"/>
  <c r="BH61" i="14" a="1"/>
  <c r="BH61" i="14" s="1"/>
  <c r="BH142" i="14" s="1"/>
  <c r="T69" i="14" a="1"/>
  <c r="T69" i="14" s="1"/>
  <c r="T535" i="14" s="1"/>
  <c r="AS43" i="14" a="1"/>
  <c r="AS43" i="14" s="1"/>
  <c r="AS513" i="14" s="1"/>
  <c r="AD57" i="14" a="1"/>
  <c r="AD57" i="14" s="1"/>
  <c r="AD215" i="14" s="1"/>
  <c r="E54" i="14" a="1"/>
  <c r="E54" i="14" s="1"/>
  <c r="E212" i="14" s="1"/>
  <c r="O57" i="14" a="1"/>
  <c r="O57" i="14" s="1"/>
  <c r="O523" i="14" s="1"/>
  <c r="BC65" i="14" a="1"/>
  <c r="BC65" i="14" s="1"/>
  <c r="BC146" i="14" s="1"/>
  <c r="AD68" i="14" a="1"/>
  <c r="AD68" i="14" s="1"/>
  <c r="AD534" i="14" s="1"/>
  <c r="O94" i="14" a="1"/>
  <c r="O94" i="14" s="1"/>
  <c r="O560" i="14" s="1"/>
  <c r="BH65" i="14" a="1"/>
  <c r="BH65" i="14" s="1"/>
  <c r="BH223" i="14" s="1"/>
  <c r="T49" i="14" a="1"/>
  <c r="T49" i="14" s="1"/>
  <c r="T130" i="14" s="1"/>
  <c r="T284" i="14" s="1"/>
  <c r="AN72" i="14" a="1"/>
  <c r="AN72" i="14" s="1"/>
  <c r="AN153" i="14" s="1"/>
  <c r="T48" i="14" a="1"/>
  <c r="T48" i="14" s="1"/>
  <c r="T129" i="14" s="1"/>
  <c r="T283" i="14" s="1"/>
  <c r="E105" i="14" a="1"/>
  <c r="E105" i="14" s="1"/>
  <c r="E186" i="14" s="1"/>
  <c r="BC75" i="14" a="1"/>
  <c r="BC75" i="14" s="1"/>
  <c r="BC156" i="14" s="1"/>
  <c r="AX56" i="14" a="1"/>
  <c r="AX56" i="14" s="1"/>
  <c r="AX137" i="14" s="1"/>
  <c r="Y64" i="14" a="1"/>
  <c r="Y64" i="14" s="1"/>
  <c r="Y222" i="14" s="1"/>
  <c r="BM42" i="14" a="1"/>
  <c r="BM42" i="14" s="1"/>
  <c r="BM512" i="14" s="1"/>
  <c r="BC47" i="14" a="1"/>
  <c r="BC47" i="14" s="1"/>
  <c r="BC128" i="14" s="1"/>
  <c r="BC282" i="14" s="1"/>
  <c r="O48" i="14" a="1"/>
  <c r="O48" i="14" s="1"/>
  <c r="O206" i="14" s="1"/>
  <c r="BH51" i="14" a="1"/>
  <c r="BH51" i="14" s="1"/>
  <c r="BH209" i="14" s="1"/>
  <c r="AS117" i="14" a="1"/>
  <c r="AS117" i="14" s="1"/>
  <c r="AS275" i="14" s="1"/>
  <c r="E46" i="14" a="1"/>
  <c r="E46" i="14" s="1"/>
  <c r="E204" i="14" s="1"/>
  <c r="BH62" i="14" a="1"/>
  <c r="BH62" i="14" s="1"/>
  <c r="BH528" i="14" s="1"/>
  <c r="T42" i="14" a="1"/>
  <c r="T42" i="14" s="1"/>
  <c r="T123" i="14" s="1"/>
  <c r="T589" i="14" s="1"/>
  <c r="BW43" i="14" a="1"/>
  <c r="BW43" i="14" s="1"/>
  <c r="BW513" i="14" s="1"/>
  <c r="O42" i="14" a="1"/>
  <c r="O42" i="14" s="1"/>
  <c r="O512" i="14" s="1"/>
  <c r="AX53" i="14" a="1"/>
  <c r="AX53" i="14" s="1"/>
  <c r="BM63" i="14" a="1"/>
  <c r="BM63" i="14" s="1"/>
  <c r="AS101" i="14" a="1"/>
  <c r="AS101" i="14" s="1"/>
  <c r="AS567" i="14" s="1"/>
  <c r="BC51" i="14" a="1"/>
  <c r="BC51" i="14" s="1"/>
  <c r="BC209" i="14" s="1"/>
  <c r="AS108" i="14" a="1"/>
  <c r="AS108" i="14" s="1"/>
  <c r="E76" i="14" a="1"/>
  <c r="E76" i="14" s="1"/>
  <c r="E234" i="14" s="1"/>
  <c r="O47" i="14" a="1"/>
  <c r="O47" i="14" s="1"/>
  <c r="O205" i="14" s="1"/>
  <c r="Y48" i="14" a="1"/>
  <c r="Y48" i="14" s="1"/>
  <c r="Y129" i="14" s="1"/>
  <c r="Y283" i="14" s="1"/>
  <c r="BW66" i="14" a="1"/>
  <c r="BW66" i="14" s="1"/>
  <c r="BW532" i="14" s="1"/>
  <c r="AX47" i="14" a="1"/>
  <c r="AX47" i="14" s="1"/>
  <c r="AX128" i="14" s="1"/>
  <c r="AX282" i="14" s="1"/>
  <c r="AS62" i="14" a="1"/>
  <c r="AS62" i="14" s="1"/>
  <c r="J92" i="14" a="1"/>
  <c r="J92" i="14" s="1"/>
  <c r="J250" i="14" s="1"/>
  <c r="BW63" i="14" a="1"/>
  <c r="BW63" i="14" s="1"/>
  <c r="Y62" i="14" a="1"/>
  <c r="Y62" i="14" s="1"/>
  <c r="Y143" i="14" s="1"/>
  <c r="T93" i="14" a="1"/>
  <c r="T93" i="14" s="1"/>
  <c r="O70" i="14" a="1"/>
  <c r="O70" i="14" s="1"/>
  <c r="O536" i="14" s="1"/>
  <c r="BW52" i="14" a="1"/>
  <c r="BW52" i="14" s="1"/>
  <c r="BW210" i="14" s="1"/>
  <c r="T70" i="14" a="1"/>
  <c r="T70" i="14" s="1"/>
  <c r="T536" i="14" s="1"/>
  <c r="AX77" i="14" a="1"/>
  <c r="AX77" i="14" s="1"/>
  <c r="AS93" i="14" a="1"/>
  <c r="AS93" i="14" s="1"/>
  <c r="AS251" i="14" s="1"/>
  <c r="O77" i="14" a="1"/>
  <c r="O77" i="14" s="1"/>
  <c r="E73" i="14" a="1"/>
  <c r="E73" i="14" s="1"/>
  <c r="E231" i="14" s="1"/>
  <c r="BR64" i="14" a="1"/>
  <c r="BR64" i="14" s="1"/>
  <c r="T84" i="14" a="1"/>
  <c r="T84" i="14" s="1"/>
  <c r="T165" i="14" s="1"/>
  <c r="J94" i="14" a="1"/>
  <c r="J94" i="14" s="1"/>
  <c r="T81" i="14" a="1"/>
  <c r="T81" i="14" s="1"/>
  <c r="T162" i="14" s="1"/>
  <c r="AX43" i="14" a="1"/>
  <c r="AX43" i="14" s="1"/>
  <c r="AX513" i="14" s="1"/>
  <c r="AI70" i="14" a="1"/>
  <c r="AI70" i="14" s="1"/>
  <c r="AI228" i="14" s="1"/>
  <c r="AS97" i="14" a="1"/>
  <c r="AS97" i="14" s="1"/>
  <c r="AS178" i="14" s="1"/>
  <c r="AX78" i="14" a="1"/>
  <c r="AX78" i="14" s="1"/>
  <c r="AX236" i="14" s="1"/>
  <c r="T74" i="14" a="1"/>
  <c r="T74" i="14" s="1"/>
  <c r="T540" i="14" s="1"/>
  <c r="AN51" i="14" a="1"/>
  <c r="AN51" i="14" s="1"/>
  <c r="AN132" i="14" s="1"/>
  <c r="T78" i="14" a="1"/>
  <c r="T78" i="14" s="1"/>
  <c r="T159" i="14" s="1"/>
  <c r="AD44" i="14" a="1"/>
  <c r="AD44" i="14" s="1"/>
  <c r="AD514" i="14" s="1"/>
  <c r="AS95" i="14" a="1"/>
  <c r="AS95" i="14" s="1"/>
  <c r="AS253" i="14" s="1"/>
  <c r="BR47" i="14" a="1"/>
  <c r="BR47" i="14" s="1"/>
  <c r="BR205" i="14" s="1"/>
  <c r="BM70" i="14" a="1"/>
  <c r="BM70" i="14" s="1"/>
  <c r="Y86" i="14" a="1"/>
  <c r="Y86" i="14" s="1"/>
  <c r="Y167" i="14" s="1"/>
  <c r="O86" i="14" a="1"/>
  <c r="O86" i="14" s="1"/>
  <c r="BM69" i="14" a="1"/>
  <c r="BM69" i="14" s="1"/>
  <c r="BM150" i="14" s="1"/>
  <c r="T91" i="14" a="1"/>
  <c r="T91" i="14" s="1"/>
  <c r="O97" i="14" a="1"/>
  <c r="O97" i="14" s="1"/>
  <c r="O255" i="14" s="1"/>
  <c r="E103" i="14" a="1"/>
  <c r="E103" i="14" s="1"/>
  <c r="E569" i="14" s="1"/>
  <c r="AD70" i="14" a="1"/>
  <c r="AD70" i="14" s="1"/>
  <c r="AD151" i="14" s="1"/>
  <c r="AD63" i="14" a="1"/>
  <c r="AD63" i="14" s="1"/>
  <c r="O69" i="14" a="1"/>
  <c r="O69" i="14" s="1"/>
  <c r="O227" i="14" s="1"/>
  <c r="BR65" i="14" a="1"/>
  <c r="BR65" i="14" s="1"/>
  <c r="T51" i="14" a="1"/>
  <c r="T51" i="14" s="1"/>
  <c r="T209" i="14" s="1"/>
  <c r="E86" i="14" a="1"/>
  <c r="E86" i="14" s="1"/>
  <c r="AS64" i="14" a="1"/>
  <c r="AS64" i="14" s="1"/>
  <c r="AS145" i="14" s="1"/>
  <c r="O75" i="14" a="1"/>
  <c r="O75" i="14" s="1"/>
  <c r="O541" i="14" s="1"/>
  <c r="O99" i="14" a="1"/>
  <c r="O99" i="14" s="1"/>
  <c r="O180" i="14" s="1"/>
  <c r="BM73" i="14" a="1"/>
  <c r="BM73" i="14" s="1"/>
  <c r="BM539" i="14" s="1"/>
  <c r="E91" i="14" a="1"/>
  <c r="E91" i="14" s="1"/>
  <c r="E557" i="14" s="1"/>
  <c r="AD87" i="14" a="1"/>
  <c r="AD87" i="14" s="1"/>
  <c r="Y68" i="14" a="1"/>
  <c r="Y68" i="14" s="1"/>
  <c r="Y226" i="14" s="1"/>
  <c r="J77" i="14" a="1"/>
  <c r="J77" i="14" s="1"/>
  <c r="J235" i="14" s="1"/>
  <c r="AD77" i="14" a="1"/>
  <c r="AD77" i="14" s="1"/>
  <c r="AD543" i="14" s="1"/>
  <c r="T100" i="14" a="1"/>
  <c r="T100" i="14" s="1"/>
  <c r="T566" i="14" s="1"/>
  <c r="T94" i="14" a="1"/>
  <c r="T94" i="14" s="1"/>
  <c r="T175" i="14" s="1"/>
  <c r="AD48" i="14" a="1"/>
  <c r="AD48" i="14" s="1"/>
  <c r="AD206" i="14" s="1"/>
  <c r="AI63" i="14" a="1"/>
  <c r="AI63" i="14" s="1"/>
  <c r="AS56" i="14" a="1"/>
  <c r="AS56" i="14" s="1"/>
  <c r="AS86" i="14" a="1"/>
  <c r="AS86" i="14" s="1"/>
  <c r="AS167" i="14" s="1"/>
  <c r="AX66" i="14" a="1"/>
  <c r="AX66" i="14" s="1"/>
  <c r="BC66" i="14" a="1"/>
  <c r="BC66" i="14" s="1"/>
  <c r="AS79" i="14" a="1"/>
  <c r="AS79" i="14" s="1"/>
  <c r="BM50" i="14" a="1"/>
  <c r="BM50" i="14" s="1"/>
  <c r="BM516" i="14" s="1"/>
  <c r="BM72" i="14" a="1"/>
  <c r="BM72" i="14" s="1"/>
  <c r="BM538" i="14" s="1"/>
  <c r="T64" i="14" a="1"/>
  <c r="T64" i="14" s="1"/>
  <c r="BH66" i="14" a="1"/>
  <c r="BH66" i="14" s="1"/>
  <c r="AD64" i="14" a="1"/>
  <c r="AD64" i="14" s="1"/>
  <c r="AD530" i="14" s="1"/>
  <c r="Y47" i="14" a="1"/>
  <c r="Y47" i="14" s="1"/>
  <c r="O45" i="14" a="1"/>
  <c r="O45" i="14" s="1"/>
  <c r="O515" i="14" s="1"/>
  <c r="BM52" i="14" a="1"/>
  <c r="BM52" i="14" s="1"/>
  <c r="BM518" i="14" s="1"/>
  <c r="E99" i="14" a="1"/>
  <c r="E99" i="14" s="1"/>
  <c r="E565" i="14" s="1"/>
  <c r="Y61" i="14" a="1"/>
  <c r="Y61" i="14" s="1"/>
  <c r="AS119" i="14" a="1"/>
  <c r="AS119" i="14" s="1"/>
  <c r="AS200" i="14" s="1"/>
  <c r="AS354" i="14" s="1"/>
  <c r="Y76" i="14" a="1"/>
  <c r="Y76" i="14" s="1"/>
  <c r="BR61" i="14" a="1"/>
  <c r="BR61" i="14" s="1"/>
  <c r="BR527" i="14" s="1"/>
  <c r="Y43" i="14" a="1"/>
  <c r="Y43" i="14" s="1"/>
  <c r="J61" i="14" a="1"/>
  <c r="J61" i="14" s="1"/>
  <c r="E67" i="14" a="1"/>
  <c r="E67" i="14" s="1"/>
  <c r="AS118" i="14" a="1"/>
  <c r="AS118" i="14" s="1"/>
  <c r="AS276" i="14" s="1"/>
  <c r="T46" i="14" a="1"/>
  <c r="T46" i="14" s="1"/>
  <c r="T204" i="14" s="1"/>
  <c r="AS113" i="14" a="1"/>
  <c r="AS113" i="14" s="1"/>
  <c r="AS271" i="14" s="1"/>
  <c r="BM68" i="14" a="1"/>
  <c r="BM68" i="14" s="1"/>
  <c r="BM226" i="14" s="1"/>
  <c r="J45" i="14" a="1"/>
  <c r="J45" i="14" s="1"/>
  <c r="J515" i="14" s="1"/>
  <c r="T75" i="14" a="1"/>
  <c r="T75" i="14" s="1"/>
  <c r="BM64" i="14" a="1"/>
  <c r="BM64" i="14" s="1"/>
  <c r="BM145" i="14" s="1"/>
  <c r="E75" i="14" a="1"/>
  <c r="E75" i="14" s="1"/>
  <c r="E156" i="14" s="1"/>
  <c r="AI80" i="14" a="1"/>
  <c r="AI80" i="14" s="1"/>
  <c r="AI161" i="14" s="1"/>
  <c r="AD81" i="14" a="1"/>
  <c r="AD81" i="14" s="1"/>
  <c r="J67" i="14" a="1"/>
  <c r="J67" i="14" s="1"/>
  <c r="J533" i="14" s="1"/>
  <c r="O89" i="14" a="1"/>
  <c r="O89" i="14" s="1"/>
  <c r="O555" i="14" s="1"/>
  <c r="O92" i="14" a="1"/>
  <c r="O92" i="14" s="1"/>
  <c r="O173" i="14" s="1"/>
  <c r="AS68" i="14" a="1"/>
  <c r="AS68" i="14" s="1"/>
  <c r="BR51" i="14" a="1"/>
  <c r="BR51" i="14" s="1"/>
  <c r="BR209" i="14" s="1"/>
  <c r="T66" i="14" a="1"/>
  <c r="T66" i="14" s="1"/>
  <c r="T147" i="14" s="1"/>
  <c r="AX73" i="14" a="1"/>
  <c r="AX73" i="14" s="1"/>
  <c r="AX154" i="14" s="1"/>
  <c r="AX74" i="14" a="1"/>
  <c r="AX74" i="14" s="1"/>
  <c r="BC73" i="14" a="1"/>
  <c r="BC73" i="14" s="1"/>
  <c r="BC539" i="14" s="1"/>
  <c r="BH42" i="14" a="1"/>
  <c r="BH42" i="14" s="1"/>
  <c r="BH512" i="14" s="1"/>
  <c r="J105" i="14" a="1"/>
  <c r="J105" i="14" s="1"/>
  <c r="J263" i="14" s="1"/>
  <c r="E55" i="14" a="1"/>
  <c r="E55" i="14" s="1"/>
  <c r="J78" i="14" a="1"/>
  <c r="J78" i="14" s="1"/>
  <c r="J236" i="14" s="1"/>
  <c r="AI76" i="14" a="1"/>
  <c r="AI76" i="14" s="1"/>
  <c r="AX68" i="14" a="1"/>
  <c r="AX68" i="14" s="1"/>
  <c r="AX534" i="14" s="1"/>
  <c r="J69" i="14" a="1"/>
  <c r="J69" i="14" s="1"/>
  <c r="J74" i="14" a="1"/>
  <c r="J74" i="14" s="1"/>
  <c r="J155" i="14" s="1"/>
  <c r="AX70" i="14" a="1"/>
  <c r="AX70" i="14" s="1"/>
  <c r="AX536" i="14" s="1"/>
  <c r="BR67" i="14" a="1"/>
  <c r="BR67" i="14" s="1"/>
  <c r="BR533" i="14" s="1"/>
  <c r="J102" i="14" a="1"/>
  <c r="J102" i="14" s="1"/>
  <c r="O74" i="14" a="1"/>
  <c r="O74" i="14" s="1"/>
  <c r="O155" i="14" s="1"/>
  <c r="O88" i="14" a="1"/>
  <c r="O88" i="14" s="1"/>
  <c r="Y83" i="14" a="1"/>
  <c r="Y83" i="14" s="1"/>
  <c r="J86" i="14" a="1"/>
  <c r="J86" i="14" s="1"/>
  <c r="Y70" i="14" a="1"/>
  <c r="Y70" i="14" s="1"/>
  <c r="Y228" i="14" s="1"/>
  <c r="AS67" i="14" a="1"/>
  <c r="AS67" i="14" s="1"/>
  <c r="AS533" i="14" s="1"/>
  <c r="J79" i="14" a="1"/>
  <c r="J79" i="14" s="1"/>
  <c r="Y69" i="14" a="1"/>
  <c r="Y69" i="14" s="1"/>
  <c r="J85" i="14" a="1"/>
  <c r="J85" i="14" s="1"/>
  <c r="J166" i="14" s="1"/>
  <c r="O96" i="14" a="1"/>
  <c r="O96" i="14" s="1"/>
  <c r="E101" i="14" a="1"/>
  <c r="E101" i="14" s="1"/>
  <c r="E182" i="14" s="1"/>
  <c r="AD80" i="14" a="1"/>
  <c r="AD80" i="14" s="1"/>
  <c r="AS65" i="14" a="1"/>
  <c r="AS65" i="14" s="1"/>
  <c r="AS146" i="14" s="1"/>
  <c r="AX80" i="14" a="1"/>
  <c r="AX80" i="14" s="1"/>
  <c r="AX161" i="14" s="1"/>
  <c r="Y85" i="14" a="1"/>
  <c r="Y85" i="14" s="1"/>
  <c r="Y243" i="14" s="1"/>
  <c r="BR43" i="14" a="1"/>
  <c r="BR43" i="14" s="1"/>
  <c r="BR124" i="14" s="1"/>
  <c r="BR590" i="14" s="1"/>
  <c r="BC72" i="14" a="1"/>
  <c r="BC72" i="14" s="1"/>
  <c r="BC153" i="14" s="1"/>
  <c r="BH64" i="14" a="1"/>
  <c r="BH64" i="14" s="1"/>
  <c r="E108" i="14" a="1"/>
  <c r="E108" i="14" s="1"/>
  <c r="E266" i="14" s="1"/>
  <c r="J66" i="14" a="1"/>
  <c r="J66" i="14" s="1"/>
  <c r="J147" i="14" s="1"/>
  <c r="BC63" i="14" a="1"/>
  <c r="BC63" i="14" s="1"/>
  <c r="BC529" i="14" s="1"/>
  <c r="AS84" i="14" a="1"/>
  <c r="AS84" i="14" s="1"/>
  <c r="AS78" i="14" a="1"/>
  <c r="AS78" i="14" s="1"/>
  <c r="AS236" i="14" s="1"/>
  <c r="E64" i="14" a="1"/>
  <c r="E64" i="14" s="1"/>
  <c r="E530" i="14" s="1"/>
  <c r="AX81" i="14" a="1"/>
  <c r="AX81" i="14" s="1"/>
  <c r="AX239" i="14" s="1"/>
  <c r="BM75" i="14" a="1"/>
  <c r="BM75" i="14" s="1"/>
  <c r="BM156" i="14" s="1"/>
  <c r="J62" i="14" a="1"/>
  <c r="J62" i="14" s="1"/>
  <c r="J143" i="14" s="1"/>
  <c r="J84" i="14" a="1"/>
  <c r="J84" i="14" s="1"/>
  <c r="J165" i="14" s="1"/>
  <c r="E90" i="14" a="1"/>
  <c r="E90" i="14" s="1"/>
  <c r="E171" i="14" s="1"/>
  <c r="AS90" i="14" a="1"/>
  <c r="AS90" i="14" s="1"/>
  <c r="AD82" i="14" a="1"/>
  <c r="AD82" i="14" s="1"/>
  <c r="AD548" i="14" s="1"/>
  <c r="J107" i="14" a="1"/>
  <c r="J107" i="14" s="1"/>
  <c r="AD79" i="14" a="1"/>
  <c r="AD79" i="14" s="1"/>
  <c r="AD545" i="14" s="1"/>
  <c r="AX65" i="14" a="1"/>
  <c r="AX65" i="14" s="1"/>
  <c r="T67" i="14" a="1"/>
  <c r="T67" i="14" s="1"/>
  <c r="T533" i="14" s="1"/>
  <c r="E92" i="14" a="1"/>
  <c r="E92" i="14" s="1"/>
  <c r="J83" i="14" a="1"/>
  <c r="J83" i="14" s="1"/>
  <c r="J549" i="14" s="1"/>
  <c r="T80" i="14" a="1"/>
  <c r="T80" i="14" s="1"/>
  <c r="AX76" i="14" a="1"/>
  <c r="AX76" i="14" s="1"/>
  <c r="AX542" i="14" s="1"/>
  <c r="AN67" i="14" a="1"/>
  <c r="AN67" i="14" s="1"/>
  <c r="AN225" i="14" s="1"/>
  <c r="AD62" i="14" a="1"/>
  <c r="AD62" i="14" s="1"/>
  <c r="AD143" i="14" s="1"/>
  <c r="E83" i="14" a="1"/>
  <c r="E83" i="14" s="1"/>
  <c r="T85" i="14" a="1"/>
  <c r="T85" i="14" s="1"/>
  <c r="AS63" i="14" a="1"/>
  <c r="AS63" i="14" s="1"/>
  <c r="AS87" i="14" a="1"/>
  <c r="AS87" i="14" s="1"/>
  <c r="AS553" i="14" s="1"/>
  <c r="BR46" i="14" a="1"/>
  <c r="BR46" i="14" s="1"/>
  <c r="O46" i="14" a="1"/>
  <c r="O46" i="14" s="1"/>
  <c r="O127" i="14" s="1"/>
  <c r="O281" i="14" s="1"/>
  <c r="AS106" i="14" a="1"/>
  <c r="AS106" i="14" s="1"/>
  <c r="AS572" i="14" s="1"/>
  <c r="AD61" i="14" a="1"/>
  <c r="AD61" i="14" s="1"/>
  <c r="AD142" i="14" s="1"/>
  <c r="Y91" i="14" a="1"/>
  <c r="Y91" i="14" s="1"/>
  <c r="Y249" i="14" s="1"/>
  <c r="BR69" i="14" a="1"/>
  <c r="BR69" i="14" s="1"/>
  <c r="BR227" i="14" s="1"/>
  <c r="BC70" i="14" a="1"/>
  <c r="BC70" i="14" s="1"/>
  <c r="BM46" i="14" a="1"/>
  <c r="BM46" i="14" s="1"/>
  <c r="BC52" i="14" a="1"/>
  <c r="BC52" i="14" s="1"/>
  <c r="BC518" i="14" s="1"/>
  <c r="Y74" i="14" a="1"/>
  <c r="Y74" i="14" s="1"/>
  <c r="BW64" i="14" a="1"/>
  <c r="BW64" i="14" s="1"/>
  <c r="AD83" i="14" a="1"/>
  <c r="AD83" i="14" s="1"/>
  <c r="AD164" i="14" s="1"/>
  <c r="AX51" i="14" a="1"/>
  <c r="AX51" i="14" s="1"/>
  <c r="AX517" i="14" s="1"/>
  <c r="Y46" i="14" a="1"/>
  <c r="Y46" i="14" s="1"/>
  <c r="Y204" i="14" s="1"/>
  <c r="BC68" i="14" a="1"/>
  <c r="BC68" i="14" s="1"/>
  <c r="E68" i="14" a="1"/>
  <c r="E68" i="14" s="1"/>
  <c r="E149" i="14" s="1"/>
  <c r="J88" i="14" a="1"/>
  <c r="J88" i="14" s="1"/>
  <c r="AX64" i="14" a="1"/>
  <c r="AX64" i="14" s="1"/>
  <c r="AX222" i="14" s="1"/>
  <c r="E93" i="14" a="1"/>
  <c r="E93" i="14" s="1"/>
  <c r="AS77" i="14" a="1"/>
  <c r="AS77" i="14" s="1"/>
  <c r="AS235" i="14" s="1"/>
  <c r="AD73" i="14" a="1"/>
  <c r="AD73" i="14" s="1"/>
  <c r="T96" i="14" a="1"/>
  <c r="T96" i="14" s="1"/>
  <c r="E70" i="14" a="1"/>
  <c r="E70" i="14" s="1"/>
  <c r="O73" i="14" a="1"/>
  <c r="O73" i="14" s="1"/>
  <c r="O154" i="14" s="1"/>
  <c r="J81" i="14" a="1"/>
  <c r="J81" i="14" s="1"/>
  <c r="AS89" i="14" a="1"/>
  <c r="AS89" i="14" s="1"/>
  <c r="AS170" i="14" s="1"/>
  <c r="BW42" i="14" a="1"/>
  <c r="BW42" i="14" s="1"/>
  <c r="J82" i="14" a="1"/>
  <c r="J82" i="14" s="1"/>
  <c r="J548" i="14" s="1"/>
  <c r="AS91" i="14" a="1"/>
  <c r="AS91" i="14" s="1"/>
  <c r="AS557" i="14" s="1"/>
  <c r="BR70" i="14" a="1"/>
  <c r="BR70" i="14" s="1"/>
  <c r="BR151" i="14" s="1"/>
  <c r="J97" i="14" a="1"/>
  <c r="J97" i="14" s="1"/>
  <c r="Y78" i="14" a="1"/>
  <c r="Y78" i="14" s="1"/>
  <c r="BC46" i="14" a="1"/>
  <c r="BC46" i="14" s="1"/>
  <c r="BC127" i="14" s="1"/>
  <c r="BC281" i="14" s="1"/>
  <c r="AI73" i="14" a="1"/>
  <c r="AI73" i="14" s="1"/>
  <c r="AI154" i="14" s="1"/>
  <c r="Y82" i="14" a="1"/>
  <c r="Y82" i="14" s="1"/>
  <c r="Y163" i="14" s="1"/>
  <c r="E72" i="14" a="1"/>
  <c r="E72" i="14" s="1"/>
  <c r="E538" i="14" s="1"/>
  <c r="BC71" i="14" a="1"/>
  <c r="BC71" i="14" s="1"/>
  <c r="BC53" i="14" a="1"/>
  <c r="BC53" i="14" s="1"/>
  <c r="O66" i="14" a="1"/>
  <c r="O66" i="14" s="1"/>
  <c r="J95" i="14" a="1"/>
  <c r="J95" i="14" s="1"/>
  <c r="J561" i="14" s="1"/>
  <c r="AS76" i="14" a="1"/>
  <c r="AS76" i="14" s="1"/>
  <c r="AS542" i="14" s="1"/>
  <c r="BH53" i="14" a="1"/>
  <c r="BH53" i="14" s="1"/>
  <c r="BH519" i="14" s="1"/>
  <c r="BM67" i="14" a="1"/>
  <c r="BM67" i="14" s="1"/>
  <c r="E84" i="14" a="1"/>
  <c r="E84" i="14" s="1"/>
  <c r="E550" i="14" s="1"/>
  <c r="AD88" i="14" a="1"/>
  <c r="AD88" i="14" s="1"/>
  <c r="AD169" i="14" s="1"/>
  <c r="J87" i="14" a="1"/>
  <c r="J87" i="14" s="1"/>
  <c r="J245" i="14" s="1"/>
  <c r="E104" i="14" a="1"/>
  <c r="E104" i="14" s="1"/>
  <c r="BR63" i="14" a="1"/>
  <c r="BR63" i="14" s="1"/>
  <c r="BR221" i="14" s="1"/>
  <c r="AI72" i="14" a="1"/>
  <c r="AI72" i="14" s="1"/>
  <c r="AI538" i="14" s="1"/>
  <c r="AI71" i="14" a="1"/>
  <c r="AI71" i="14" s="1"/>
  <c r="BR52" i="14" a="1"/>
  <c r="BR52" i="14" s="1"/>
  <c r="BR133" i="14" s="1"/>
  <c r="Y72" i="14" a="1"/>
  <c r="Y72" i="14" s="1"/>
  <c r="Y153" i="14" s="1"/>
  <c r="BW65" i="14" a="1"/>
  <c r="BW65" i="14" s="1"/>
  <c r="BW146" i="14" s="1"/>
  <c r="AI68" i="14" a="1"/>
  <c r="AI68" i="14" s="1"/>
  <c r="AI534" i="14" s="1"/>
  <c r="O98" i="14" a="1"/>
  <c r="O98" i="14" s="1"/>
  <c r="O179" i="14" s="1"/>
  <c r="O68" i="14" a="1"/>
  <c r="O68" i="14" s="1"/>
  <c r="J75" i="14" a="1"/>
  <c r="J75" i="14" s="1"/>
  <c r="J156" i="14" s="1"/>
  <c r="BH46" i="14" a="1"/>
  <c r="BH46" i="14" s="1"/>
  <c r="BC67" i="14" a="1"/>
  <c r="BC67" i="14" s="1"/>
  <c r="AD69" i="14" a="1"/>
  <c r="AD69" i="14" s="1"/>
  <c r="AD535" i="14" s="1"/>
  <c r="E44" i="14" a="1"/>
  <c r="E44" i="14" s="1"/>
  <c r="E125" i="14" s="1"/>
  <c r="E591" i="14" s="1"/>
  <c r="BM43" i="14" a="1"/>
  <c r="BM43" i="14" s="1"/>
  <c r="BM513" i="14" s="1"/>
  <c r="J65" i="14" a="1"/>
  <c r="J65" i="14" s="1"/>
  <c r="T99" i="14" a="1"/>
  <c r="T99" i="14" s="1"/>
  <c r="E63" i="14" a="1"/>
  <c r="E63" i="14" s="1"/>
  <c r="E221" i="14" s="1"/>
  <c r="O84" i="14" a="1"/>
  <c r="O84" i="14" s="1"/>
  <c r="O550" i="14" s="1"/>
  <c r="Y75" i="14" a="1"/>
  <c r="Y75" i="14" s="1"/>
  <c r="Y541" i="14" s="1"/>
  <c r="E88" i="14" a="1"/>
  <c r="E88" i="14" s="1"/>
  <c r="E80" i="14" a="1"/>
  <c r="E80" i="14" s="1"/>
  <c r="E161" i="14" s="1"/>
  <c r="AS74" i="14" a="1"/>
  <c r="AS74" i="14" s="1"/>
  <c r="E100" i="14" a="1"/>
  <c r="E100" i="14" s="1"/>
  <c r="AS69" i="14" a="1"/>
  <c r="AS69" i="14" s="1"/>
  <c r="E96" i="14" a="1"/>
  <c r="E96" i="14" s="1"/>
  <c r="E177" i="14" s="1"/>
  <c r="AN65" i="14" a="1"/>
  <c r="AN65" i="14" s="1"/>
  <c r="AN146" i="14" s="1"/>
  <c r="O81" i="14" a="1"/>
  <c r="O81" i="14" s="1"/>
  <c r="AI52" i="14" a="1"/>
  <c r="AI52" i="14" s="1"/>
  <c r="Y50" i="14" a="1"/>
  <c r="Y50" i="14" s="1"/>
  <c r="Y131" i="14" s="1"/>
  <c r="AS109" i="14" a="1"/>
  <c r="AS109" i="14" s="1"/>
  <c r="AS190" i="14" s="1"/>
  <c r="AS652" i="14" s="1"/>
  <c r="AD52" i="14" a="1"/>
  <c r="AD52" i="14" s="1"/>
  <c r="AD518" i="14" s="1"/>
  <c r="T50" i="14" a="1"/>
  <c r="T50" i="14" s="1"/>
  <c r="T208" i="14" s="1"/>
  <c r="AS53" i="14" a="1"/>
  <c r="AS53" i="14" s="1"/>
  <c r="AS211" i="14" s="1"/>
  <c r="J52" i="14" a="1"/>
  <c r="J52" i="14" s="1"/>
  <c r="AI51" i="14" a="1"/>
  <c r="AI51" i="14" s="1"/>
  <c r="E51" i="14" a="1"/>
  <c r="E51" i="14" s="1"/>
  <c r="AD42" i="14" a="1"/>
  <c r="AD42" i="14" s="1"/>
  <c r="AD512" i="14" s="1"/>
  <c r="J48" i="14" a="1"/>
  <c r="J48" i="14" s="1"/>
  <c r="J43" i="14" a="1"/>
  <c r="J43" i="14" s="1"/>
  <c r="AS114" i="14" a="1"/>
  <c r="AS114" i="14" s="1"/>
  <c r="J44" i="14" a="1"/>
  <c r="J44" i="14" s="1"/>
  <c r="AS80" i="14" a="1"/>
  <c r="AS80" i="14" s="1"/>
  <c r="O44" i="14" a="1"/>
  <c r="O44" i="14" s="1"/>
  <c r="O125" i="14" s="1"/>
  <c r="O591" i="14" s="1"/>
  <c r="E71" i="14" a="1"/>
  <c r="E71" i="14" s="1"/>
  <c r="E537" i="14" s="1"/>
  <c r="BW51" i="14" a="1"/>
  <c r="BW51" i="14" s="1"/>
  <c r="BW517" i="14" s="1"/>
  <c r="O71" i="14" a="1"/>
  <c r="O71" i="14" s="1"/>
  <c r="O229" i="14" s="1"/>
  <c r="AX55" i="14" a="1"/>
  <c r="AX55" i="14" s="1"/>
  <c r="AX521" i="14" s="1"/>
  <c r="BM62" i="14" a="1"/>
  <c r="BM62" i="14" s="1"/>
  <c r="BM220" i="14" s="1"/>
  <c r="AX75" i="14" a="1"/>
  <c r="AX75" i="14" s="1"/>
  <c r="AX233" i="14" s="1"/>
  <c r="AN56" i="14" a="1"/>
  <c r="AN56" i="14" s="1"/>
  <c r="AN137" i="14" s="1"/>
  <c r="AN70" i="14" a="1"/>
  <c r="AN70" i="14" s="1"/>
  <c r="AN151" i="14" s="1"/>
  <c r="AI64" i="14" a="1"/>
  <c r="AI64" i="14" s="1"/>
  <c r="AI145" i="14" s="1"/>
  <c r="T77" i="14" a="1"/>
  <c r="T77" i="14" s="1"/>
  <c r="T235" i="14" s="1"/>
  <c r="AD84" i="14" a="1"/>
  <c r="AD84" i="14" s="1"/>
  <c r="AD550" i="14" s="1"/>
  <c r="Y80" i="14" a="1"/>
  <c r="Y80" i="14" s="1"/>
  <c r="Y546" i="14" s="1"/>
  <c r="Y89" i="14" a="1"/>
  <c r="Y89" i="14" s="1"/>
  <c r="Y555" i="14" s="1"/>
  <c r="E69" i="14" a="1"/>
  <c r="E69" i="14" s="1"/>
  <c r="E150" i="14" s="1"/>
  <c r="AI67" i="14" a="1"/>
  <c r="AI67" i="14" s="1"/>
  <c r="AI148" i="14" s="1"/>
  <c r="O93" i="14" a="1"/>
  <c r="O93" i="14" s="1"/>
  <c r="O251" i="14" s="1"/>
  <c r="Y65" i="14" a="1"/>
  <c r="Y65" i="14" s="1"/>
  <c r="Y146" i="14" s="1"/>
  <c r="AS72" i="14" a="1"/>
  <c r="AS72" i="14" s="1"/>
  <c r="AS230" i="14" s="1"/>
  <c r="AX72" i="14" a="1"/>
  <c r="AX72" i="14" s="1"/>
  <c r="AX153" i="14" s="1"/>
  <c r="AS85" i="14" a="1"/>
  <c r="AS85" i="14" s="1"/>
  <c r="AS166" i="14" s="1"/>
  <c r="T83" i="14" a="1"/>
  <c r="T83" i="14" s="1"/>
  <c r="T241" i="14" s="1"/>
  <c r="BH69" i="14" a="1"/>
  <c r="BH69" i="14" s="1"/>
  <c r="BH150" i="14" s="1"/>
  <c r="AD75" i="14" a="1"/>
  <c r="AD75" i="14" s="1"/>
  <c r="AD541" i="14" s="1"/>
  <c r="E107" i="14" a="1"/>
  <c r="E107" i="14" s="1"/>
  <c r="E573" i="14" s="1"/>
  <c r="Y92" i="14" a="1"/>
  <c r="Y92" i="14" s="1"/>
  <c r="Y173" i="14" s="1"/>
  <c r="E78" i="14" a="1"/>
  <c r="E78" i="14" s="1"/>
  <c r="E236" i="14" s="1"/>
  <c r="O102" i="14" a="1"/>
  <c r="O102" i="14" s="1"/>
  <c r="O260" i="14" s="1"/>
  <c r="O91" i="14" a="1"/>
  <c r="O91" i="14" s="1"/>
  <c r="O249" i="14" s="1"/>
  <c r="BC74" i="14" a="1"/>
  <c r="BC74" i="14" s="1"/>
  <c r="BC540" i="14" s="1"/>
  <c r="AN69" i="14" a="1"/>
  <c r="AN69" i="14" s="1"/>
  <c r="AN535" i="14" s="1"/>
  <c r="BM74" i="14" a="1"/>
  <c r="BM74" i="14" s="1"/>
  <c r="BM155" i="14" s="1"/>
  <c r="AX52" i="14" a="1"/>
  <c r="AX52" i="14" s="1"/>
  <c r="AX210" i="14" s="1"/>
  <c r="O49" i="14" a="1"/>
  <c r="O49" i="14" s="1"/>
  <c r="O130" i="14" s="1"/>
  <c r="O284" i="14" s="1"/>
  <c r="AD76" i="14" a="1"/>
  <c r="AD76" i="14" s="1"/>
  <c r="AD234" i="14" s="1"/>
  <c r="AI65" i="14" a="1"/>
  <c r="AI65" i="14" s="1"/>
  <c r="AI223" i="14" s="1"/>
  <c r="E85" i="14" a="1"/>
  <c r="E85" i="14" s="1"/>
  <c r="E87" i="14" a="1"/>
  <c r="E87" i="14" s="1"/>
  <c r="AS100" i="14" a="1"/>
  <c r="AS100" i="14" s="1"/>
  <c r="AS181" i="14" s="1"/>
  <c r="Y79" i="14" a="1"/>
  <c r="Y79" i="14" s="1"/>
  <c r="Y160" i="14" s="1"/>
  <c r="BH63" i="14" a="1"/>
  <c r="BH63" i="14" s="1"/>
  <c r="E102" i="14" a="1"/>
  <c r="E102" i="14" s="1"/>
  <c r="E568" i="14" s="1"/>
  <c r="E65" i="14" a="1"/>
  <c r="E65" i="14" s="1"/>
  <c r="E223" i="14" s="1"/>
  <c r="AI66" i="14" a="1"/>
  <c r="AI66" i="14" s="1"/>
  <c r="AI532" i="14" s="1"/>
  <c r="T87" i="14" a="1"/>
  <c r="T87" i="14" s="1"/>
  <c r="BM51" i="14" a="1"/>
  <c r="BM51" i="14" s="1"/>
  <c r="BM517" i="14" s="1"/>
  <c r="Y66" i="14" a="1"/>
  <c r="Y66" i="14" s="1"/>
  <c r="Y532" i="14" s="1"/>
  <c r="T56" i="14" a="1"/>
  <c r="T56" i="14" s="1"/>
  <c r="T522" i="14" s="1"/>
  <c r="AD67" i="14" a="1"/>
  <c r="AD67" i="14" s="1"/>
  <c r="AD533" i="14" s="1"/>
  <c r="O82" i="14" a="1"/>
  <c r="O82" i="14" s="1"/>
  <c r="O163" i="14" s="1"/>
  <c r="T65" i="14" a="1"/>
  <c r="T65" i="14" s="1"/>
  <c r="T146" i="14" s="1"/>
  <c r="T63" i="14" a="1"/>
  <c r="T63" i="14" s="1"/>
  <c r="T529" i="14" s="1"/>
  <c r="AD86" i="14" a="1"/>
  <c r="AD86" i="14" s="1"/>
  <c r="BC56" i="14" a="1"/>
  <c r="BC56" i="14" s="1"/>
  <c r="BC137" i="14" s="1"/>
  <c r="O87" i="14" a="1"/>
  <c r="O87" i="14" s="1"/>
  <c r="O553" i="14" s="1"/>
  <c r="J98" i="14" a="1"/>
  <c r="J98" i="14" s="1"/>
  <c r="J564" i="14" s="1"/>
  <c r="Y84" i="14" a="1"/>
  <c r="Y84" i="14" s="1"/>
  <c r="Y165" i="14" s="1"/>
  <c r="Y67" i="14" a="1"/>
  <c r="Y67" i="14" s="1"/>
  <c r="AS73" i="14" a="1"/>
  <c r="AS73" i="14" s="1"/>
  <c r="AS231" i="14" s="1"/>
  <c r="O63" i="14" a="1"/>
  <c r="O63" i="14" s="1"/>
  <c r="O529" i="14" s="1"/>
  <c r="E98" i="14" a="1"/>
  <c r="E98" i="14" s="1"/>
  <c r="E179" i="14" s="1"/>
  <c r="BM47" i="14" a="1"/>
  <c r="BM47" i="14" s="1"/>
  <c r="BM128" i="14" s="1"/>
  <c r="BM282" i="14" s="1"/>
  <c r="J100" i="14" a="1"/>
  <c r="J100" i="14" s="1"/>
  <c r="J258" i="14" s="1"/>
  <c r="AI74" i="14" a="1"/>
  <c r="AI74" i="14" s="1"/>
  <c r="AI155" i="14" s="1"/>
  <c r="T73" i="14" a="1"/>
  <c r="T73" i="14" s="1"/>
  <c r="BR71" i="14" a="1"/>
  <c r="BR71" i="14" s="1"/>
  <c r="BR229" i="14" s="1"/>
  <c r="O101" i="14" a="1"/>
  <c r="O101" i="14" s="1"/>
  <c r="O182" i="14" s="1"/>
  <c r="BM66" i="14" a="1"/>
  <c r="BM66" i="14" s="1"/>
  <c r="BM224" i="14" s="1"/>
  <c r="BC64" i="14" a="1"/>
  <c r="BC64" i="14" s="1"/>
  <c r="BC145" i="14" s="1"/>
  <c r="AI69" i="14" a="1"/>
  <c r="AI69" i="14" s="1"/>
  <c r="AI227" i="14" s="1"/>
  <c r="AS110" i="14" a="1"/>
  <c r="AS110" i="14" s="1"/>
  <c r="AS268" i="14" s="1"/>
  <c r="Y56" i="14" a="1"/>
  <c r="Y56" i="14" s="1"/>
  <c r="Y522" i="14" s="1"/>
  <c r="AS55" i="14" a="1"/>
  <c r="AS55" i="14" s="1"/>
  <c r="AS213" i="14" s="1"/>
  <c r="O56" i="14" a="1"/>
  <c r="O56" i="14" s="1"/>
  <c r="O214" i="14" s="1"/>
  <c r="AS51" i="14" a="1"/>
  <c r="AS51" i="14" s="1"/>
  <c r="AD46" i="14" a="1"/>
  <c r="AD46" i="14" s="1"/>
  <c r="AD127" i="14" s="1"/>
  <c r="AD281" i="14" s="1"/>
  <c r="E53" i="14" a="1"/>
  <c r="E53" i="14" s="1"/>
  <c r="E519" i="14" s="1"/>
  <c r="AN53" i="14" a="1"/>
  <c r="AN53" i="14" s="1"/>
  <c r="O51" i="14" a="1"/>
  <c r="O51" i="14" s="1"/>
  <c r="O132" i="14" s="1"/>
  <c r="E58" i="14" a="1"/>
  <c r="E58" i="14" s="1"/>
  <c r="E139" i="14" s="1"/>
  <c r="J58" i="14" a="1"/>
  <c r="J58" i="14" s="1"/>
  <c r="E52" i="14" a="1"/>
  <c r="E52" i="14" s="1"/>
  <c r="AD49" i="14" a="1"/>
  <c r="AD49" i="14" s="1"/>
  <c r="AD207" i="14" s="1"/>
  <c r="AI55" i="14" a="1"/>
  <c r="AI55" i="14" s="1"/>
  <c r="AI136" i="14" s="1"/>
  <c r="AD50" i="14" a="1"/>
  <c r="AD50" i="14" s="1"/>
  <c r="AD131" i="14" s="1"/>
  <c r="AI45" i="14" a="1"/>
  <c r="AI45" i="14" s="1"/>
  <c r="AI515" i="14" s="1"/>
  <c r="AD55" i="14" a="1"/>
  <c r="AD55" i="14" s="1"/>
  <c r="AD136" i="14" s="1"/>
  <c r="AI42" i="14" a="1"/>
  <c r="AI42" i="14" s="1"/>
  <c r="AI512" i="14" s="1"/>
  <c r="T54" i="14" a="1"/>
  <c r="T54" i="14" s="1"/>
  <c r="T212" i="14" s="1"/>
  <c r="AI54" i="14" a="1"/>
  <c r="AI54" i="14" s="1"/>
  <c r="AI520" i="14" s="1"/>
  <c r="AI49" i="14" a="1"/>
  <c r="AI49" i="14" s="1"/>
  <c r="AN43" i="14" a="1"/>
  <c r="AN43" i="14" s="1"/>
  <c r="AN513" i="14" s="1"/>
  <c r="AN48" i="14" a="1"/>
  <c r="AN48" i="14" s="1"/>
  <c r="AN129" i="14" s="1"/>
  <c r="AN283" i="14" s="1"/>
  <c r="AS44" i="14" a="1"/>
  <c r="AS44" i="14" s="1"/>
  <c r="AS125" i="14" s="1"/>
  <c r="AS591" i="14" s="1"/>
  <c r="AS45" i="14" a="1"/>
  <c r="AS45" i="14" s="1"/>
  <c r="AS126" i="14" s="1"/>
  <c r="AS592" i="14" s="1"/>
  <c r="BC55" i="14" a="1"/>
  <c r="BC55" i="14" s="1"/>
  <c r="Y45" i="14" a="1"/>
  <c r="Y45" i="14" s="1"/>
  <c r="J68" i="14" a="1"/>
  <c r="J68" i="14" s="1"/>
  <c r="J534" i="14" s="1"/>
  <c r="J49" i="14" a="1"/>
  <c r="J49" i="14" s="1"/>
  <c r="J130" i="14" s="1"/>
  <c r="J284" i="14" s="1"/>
  <c r="J90" i="14" a="1"/>
  <c r="J90" i="14" s="1"/>
  <c r="J556" i="14" s="1"/>
  <c r="O80" i="14" a="1"/>
  <c r="O80" i="14" s="1"/>
  <c r="O79" i="14" a="1"/>
  <c r="O79" i="14" s="1"/>
  <c r="O237" i="14" s="1"/>
  <c r="AN55" i="14" a="1"/>
  <c r="AN55" i="14" s="1"/>
  <c r="AN213" i="14" s="1"/>
  <c r="Y81" i="14" a="1"/>
  <c r="Y81" i="14" s="1"/>
  <c r="J103" i="14" a="1"/>
  <c r="J103" i="14" s="1"/>
  <c r="O67" i="14" a="1"/>
  <c r="O67" i="14" s="1"/>
  <c r="O533" i="14" s="1"/>
  <c r="T72" i="14" a="1"/>
  <c r="T72" i="14" s="1"/>
  <c r="T538" i="14" s="1"/>
  <c r="T76" i="14" a="1"/>
  <c r="T76" i="14" s="1"/>
  <c r="O103" i="14" a="1"/>
  <c r="O103" i="14" s="1"/>
  <c r="AI75" i="14" a="1"/>
  <c r="AI75" i="14" s="1"/>
  <c r="AI233" i="14" s="1"/>
  <c r="O78" i="14" a="1"/>
  <c r="O78" i="14" s="1"/>
  <c r="O159" i="14" s="1"/>
  <c r="J73" i="14" a="1"/>
  <c r="J73" i="14" s="1"/>
  <c r="O85" i="14" a="1"/>
  <c r="O85" i="14" s="1"/>
  <c r="AX62" i="14" a="1"/>
  <c r="AX62" i="14" s="1"/>
  <c r="AX143" i="14" s="1"/>
  <c r="Y42" i="14" a="1"/>
  <c r="Y42" i="14" s="1"/>
  <c r="Y512" i="14" s="1"/>
  <c r="BW46" i="14" a="1"/>
  <c r="BW46" i="14" s="1"/>
  <c r="J106" i="14" a="1"/>
  <c r="J106" i="14" s="1"/>
  <c r="T95" i="14" a="1"/>
  <c r="T95" i="14" s="1"/>
  <c r="T561" i="14" s="1"/>
  <c r="E79" i="14" a="1"/>
  <c r="E79" i="14" s="1"/>
  <c r="E545" i="14" s="1"/>
  <c r="E74" i="14" a="1"/>
  <c r="E74" i="14" s="1"/>
  <c r="E232" i="14" s="1"/>
  <c r="BH50" i="14" a="1"/>
  <c r="BH50" i="14" s="1"/>
  <c r="T61" i="14" a="1"/>
  <c r="T61" i="14" s="1"/>
  <c r="AX79" i="14" a="1"/>
  <c r="AX79" i="14" s="1"/>
  <c r="AI79" i="14" a="1"/>
  <c r="AI79" i="14" s="1"/>
  <c r="E62" i="14" a="1"/>
  <c r="E62" i="14" s="1"/>
  <c r="BR68" i="14" a="1"/>
  <c r="BR68" i="14" s="1"/>
  <c r="BR226" i="14" s="1"/>
  <c r="AS81" i="14" a="1"/>
  <c r="AS81" i="14" s="1"/>
  <c r="AS239" i="14" s="1"/>
  <c r="AS82" i="14" a="1"/>
  <c r="AS82" i="14" s="1"/>
  <c r="AS548" i="14" s="1"/>
  <c r="E94" i="14" a="1"/>
  <c r="E94" i="14" s="1"/>
  <c r="E175" i="14" s="1"/>
  <c r="AS66" i="14" a="1"/>
  <c r="AS66" i="14" s="1"/>
  <c r="AS224" i="14" s="1"/>
  <c r="Y53" i="14" a="1"/>
  <c r="Y53" i="14" s="1"/>
  <c r="Y134" i="14" s="1"/>
  <c r="E50" i="14" a="1"/>
  <c r="E50" i="14" s="1"/>
  <c r="E208" i="14" s="1"/>
  <c r="O50" i="14" a="1"/>
  <c r="O50" i="14" s="1"/>
  <c r="AI50" i="14" a="1"/>
  <c r="AI50" i="14" s="1"/>
  <c r="AI131" i="14" s="1"/>
  <c r="J51" i="14" a="1"/>
  <c r="J51" i="14" s="1"/>
  <c r="J209" i="14" s="1"/>
  <c r="AD51" i="14" a="1"/>
  <c r="AD51" i="14" s="1"/>
  <c r="AD132" i="14" s="1"/>
  <c r="J50" i="14" a="1"/>
  <c r="J50" i="14" s="1"/>
  <c r="J208" i="14" s="1"/>
  <c r="AN47" i="14" a="1"/>
  <c r="AN47" i="14" s="1"/>
  <c r="BH52" i="14" a="1"/>
  <c r="BH52" i="14" s="1"/>
  <c r="BH133" i="14" s="1"/>
  <c r="E77" i="14" a="1"/>
  <c r="E77" i="14" s="1"/>
  <c r="E543" i="14" s="1"/>
  <c r="O83" i="14" a="1"/>
  <c r="O83" i="14" s="1"/>
  <c r="O549" i="14" s="1"/>
  <c r="T92" i="14" a="1"/>
  <c r="T92" i="14" s="1"/>
  <c r="T558" i="14" s="1"/>
  <c r="J76" i="14" a="1"/>
  <c r="J76" i="14" s="1"/>
  <c r="J234" i="14" s="1"/>
  <c r="Y88" i="14" a="1"/>
  <c r="Y88" i="14" s="1"/>
  <c r="Y169" i="14" s="1"/>
  <c r="Y90" i="14" a="1"/>
  <c r="Y90" i="14" s="1"/>
  <c r="Y171" i="14" s="1"/>
  <c r="Y73" i="14" a="1"/>
  <c r="Y73" i="14" s="1"/>
  <c r="Y231" i="14" s="1"/>
  <c r="Y63" i="14" a="1"/>
  <c r="Y63" i="14" s="1"/>
  <c r="Y144" i="14" s="1"/>
  <c r="AN63" i="14" a="1"/>
  <c r="AN63" i="14" s="1"/>
  <c r="J72" i="14" a="1"/>
  <c r="J72" i="14" s="1"/>
  <c r="T97" i="14" a="1"/>
  <c r="T97" i="14" s="1"/>
  <c r="T178" i="14" s="1"/>
  <c r="E82" i="14" a="1"/>
  <c r="E82" i="14" s="1"/>
  <c r="AD78" i="14" a="1"/>
  <c r="AD78" i="14" s="1"/>
  <c r="AD544" i="14" s="1"/>
  <c r="E95" i="14" a="1"/>
  <c r="E95" i="14" s="1"/>
  <c r="E176" i="14" s="1"/>
  <c r="T68" i="14" a="1"/>
  <c r="T68" i="14" s="1"/>
  <c r="T226" i="14" s="1"/>
  <c r="O61" i="14" a="1"/>
  <c r="O61" i="14" s="1"/>
  <c r="O527" i="14" s="1"/>
  <c r="T71" i="14" a="1"/>
  <c r="T71" i="14" s="1"/>
  <c r="AN62" i="14" a="1"/>
  <c r="AN62" i="14" s="1"/>
  <c r="AN143" i="14" s="1"/>
  <c r="Y77" i="14" a="1"/>
  <c r="Y77" i="14" s="1"/>
  <c r="Y543" i="14" s="1"/>
  <c r="AD65" i="14" a="1"/>
  <c r="AD65" i="14" s="1"/>
  <c r="AD223" i="14" s="1"/>
  <c r="E66" i="14" a="1"/>
  <c r="E66" i="14" s="1"/>
  <c r="AI57" i="14" a="1"/>
  <c r="AI57" i="14" s="1"/>
  <c r="T53" i="14" a="1"/>
  <c r="T53" i="14" s="1"/>
  <c r="T134" i="14" s="1"/>
  <c r="Y52" i="14" a="1"/>
  <c r="Y52" i="14" s="1"/>
  <c r="Y518" i="14" s="1"/>
  <c r="AN54" i="14" a="1"/>
  <c r="AN54" i="14" s="1"/>
  <c r="AN135" i="14" s="1"/>
  <c r="AI47" i="14" a="1"/>
  <c r="AI47" i="14" s="1"/>
  <c r="AS103" i="14" a="1"/>
  <c r="AS103" i="14" s="1"/>
  <c r="AS184" i="14" s="1"/>
  <c r="AS646" i="14" s="1"/>
  <c r="AX46" i="14" a="1"/>
  <c r="AX46" i="14" s="1"/>
  <c r="AX127" i="14" s="1"/>
  <c r="AX281" i="14" s="1"/>
  <c r="BC50" i="14" a="1"/>
  <c r="BC50" i="14" s="1"/>
  <c r="BC516" i="14" s="1"/>
  <c r="AS116" i="14" a="1"/>
  <c r="AS116" i="14" s="1"/>
  <c r="AS197" i="14" s="1"/>
  <c r="AS351" i="14" s="1"/>
  <c r="T79" i="14" a="1"/>
  <c r="T79" i="14" s="1"/>
  <c r="T237" i="14" s="1"/>
  <c r="AS83" i="14" a="1"/>
  <c r="AS83" i="14" s="1"/>
  <c r="AS164" i="14" s="1"/>
  <c r="BH68" i="14" a="1"/>
  <c r="BH68" i="14" s="1"/>
  <c r="BH534" i="14" s="1"/>
  <c r="J91" i="14" a="1"/>
  <c r="J91" i="14" s="1"/>
  <c r="J249" i="14" s="1"/>
  <c r="E97" i="14" a="1"/>
  <c r="E97" i="14" s="1"/>
  <c r="E255" i="14" s="1"/>
  <c r="T88" i="14" a="1"/>
  <c r="T88" i="14" s="1"/>
  <c r="T554" i="14" s="1"/>
  <c r="J99" i="14" a="1"/>
  <c r="J99" i="14" s="1"/>
  <c r="J257" i="14" s="1"/>
  <c r="J80" i="14" a="1"/>
  <c r="J80" i="14" s="1"/>
  <c r="J546" i="14" s="1"/>
  <c r="AI78" i="14" a="1"/>
  <c r="AI78" i="14" s="1"/>
  <c r="AI236" i="14" s="1"/>
  <c r="AX67" i="14" a="1"/>
  <c r="AX67" i="14" s="1"/>
  <c r="AX533" i="14" s="1"/>
  <c r="O100" i="14" a="1"/>
  <c r="O100" i="14" s="1"/>
  <c r="O258" i="14" s="1"/>
  <c r="AI77" i="14" a="1"/>
  <c r="AI77" i="14" s="1"/>
  <c r="AI543" i="14" s="1"/>
  <c r="AS98" i="14" a="1"/>
  <c r="AS98" i="14" s="1"/>
  <c r="AS564" i="14" s="1"/>
  <c r="E81" i="14" a="1"/>
  <c r="E81" i="14" s="1"/>
  <c r="E239" i="14" s="1"/>
  <c r="AD74" i="14" a="1"/>
  <c r="AD74" i="14" s="1"/>
  <c r="AD155" i="14" s="1"/>
  <c r="AS75" i="14" a="1"/>
  <c r="AS75" i="14" s="1"/>
  <c r="BH47" i="14" a="1"/>
  <c r="BH47" i="14" s="1"/>
  <c r="BH205" i="14" s="1"/>
  <c r="AX63" i="14" a="1"/>
  <c r="AX63" i="14" s="1"/>
  <c r="AX144" i="14" s="1"/>
  <c r="O90" i="14" a="1"/>
  <c r="O90" i="14" s="1"/>
  <c r="AD85" i="14" a="1"/>
  <c r="AD85" i="14" s="1"/>
  <c r="AN61" i="14" a="1"/>
  <c r="AN61" i="14" s="1"/>
  <c r="AN142" i="14" s="1"/>
  <c r="AI62" i="14" a="1"/>
  <c r="AI62" i="14" s="1"/>
  <c r="AI528" i="14" s="1"/>
  <c r="BW62" i="14" a="1"/>
  <c r="BW62" i="14" s="1"/>
  <c r="BW220" i="14" s="1"/>
  <c r="AD66" i="14" a="1"/>
  <c r="AD66" i="14" s="1"/>
  <c r="T86" i="14" a="1"/>
  <c r="T86" i="14" s="1"/>
  <c r="T244" i="14" s="1"/>
  <c r="AX71" i="14" a="1"/>
  <c r="AX71" i="14" s="1"/>
  <c r="AX152" i="14" s="1"/>
  <c r="O52" i="14" a="1"/>
  <c r="O52" i="14" s="1"/>
  <c r="O210" i="14" s="1"/>
  <c r="T82" i="14" a="1"/>
  <c r="T82" i="14" s="1"/>
  <c r="O62" i="14" a="1"/>
  <c r="O62" i="14" s="1"/>
  <c r="BM65" i="14" a="1"/>
  <c r="BM65" i="14" s="1"/>
  <c r="BM146" i="14" s="1"/>
  <c r="Y87" i="14" a="1"/>
  <c r="Y87" i="14" s="1"/>
  <c r="BC62" i="14" a="1"/>
  <c r="BC62" i="14" s="1"/>
  <c r="BC220" i="14" s="1"/>
  <c r="BR62" i="14" a="1"/>
  <c r="BR62" i="14" s="1"/>
  <c r="BR220" i="14" s="1"/>
  <c r="AI56" i="14" a="1"/>
  <c r="AI56" i="14" s="1"/>
  <c r="AI137" i="14" s="1"/>
  <c r="T55" i="14" a="1"/>
  <c r="T55" i="14" s="1"/>
  <c r="Y55" i="14" a="1"/>
  <c r="Y55" i="14" s="1"/>
  <c r="Y521" i="14" s="1"/>
  <c r="Y51" i="14" a="1"/>
  <c r="Y51" i="14" s="1"/>
  <c r="T57" i="14" a="1"/>
  <c r="T57" i="14" s="1"/>
  <c r="T215" i="14" s="1"/>
  <c r="AD43" i="14" a="1"/>
  <c r="AD43" i="14" s="1"/>
  <c r="O53" i="14" a="1"/>
  <c r="O53" i="14" s="1"/>
  <c r="AN50" i="14" a="1"/>
  <c r="AN50" i="14" s="1"/>
  <c r="AN208" i="14" s="1"/>
  <c r="AN52" i="14" a="1"/>
  <c r="AN52" i="14" s="1"/>
  <c r="O54" i="14" a="1"/>
  <c r="O54" i="14" s="1"/>
  <c r="AS54" i="14" a="1"/>
  <c r="AS54" i="14" s="1"/>
  <c r="AS135" i="14" s="1"/>
  <c r="AI48" i="14" a="1"/>
  <c r="AI48" i="14" s="1"/>
  <c r="AI206" i="14" s="1"/>
  <c r="AD53" i="14" a="1"/>
  <c r="AD53" i="14" s="1"/>
  <c r="AI46" i="14" a="1"/>
  <c r="AI46" i="14" s="1"/>
  <c r="AN42" i="14" a="1"/>
  <c r="AN42" i="14" s="1"/>
  <c r="AN512" i="14" s="1"/>
  <c r="AN49" i="14" a="1"/>
  <c r="AN49" i="14" s="1"/>
  <c r="AN130" i="14" s="1"/>
  <c r="AN284" i="14" s="1"/>
  <c r="AS46" i="14" a="1"/>
  <c r="AS46" i="14" s="1"/>
  <c r="AS204" i="14" s="1"/>
  <c r="AS52" i="14" a="1"/>
  <c r="AS52" i="14" s="1"/>
  <c r="AS133" i="14" s="1"/>
  <c r="AD71" i="14" a="1"/>
  <c r="AD71" i="14" s="1"/>
  <c r="AD537" i="14" s="1"/>
  <c r="T62" i="14" a="1"/>
  <c r="T62" i="14" s="1"/>
  <c r="T220" i="14" s="1"/>
  <c r="E57" i="14" a="1"/>
  <c r="E57" i="14" s="1"/>
  <c r="AS57" i="14" a="1"/>
  <c r="AS57" i="14" s="1"/>
  <c r="AS215" i="14" s="1"/>
  <c r="AS111" i="14" a="1"/>
  <c r="AS111" i="14" s="1"/>
  <c r="AS269" i="14" s="1"/>
  <c r="J56" i="14" a="1"/>
  <c r="J56" i="14" s="1"/>
  <c r="J522" i="14" s="1"/>
  <c r="AI44" i="14" a="1"/>
  <c r="AI44" i="14" s="1"/>
  <c r="J53" i="14" a="1"/>
  <c r="J53" i="14" s="1"/>
  <c r="J519" i="14" s="1"/>
  <c r="AN45" i="14" a="1"/>
  <c r="AN45" i="14" s="1"/>
  <c r="AS49" i="14" a="1"/>
  <c r="AS49" i="14" s="1"/>
  <c r="AS207" i="14" s="1"/>
  <c r="BW50" i="14" a="1"/>
  <c r="BW50" i="14" s="1"/>
  <c r="BW208" i="14" s="1"/>
  <c r="AS115" i="14" a="1"/>
  <c r="AS115" i="14" s="1"/>
  <c r="AX42" i="14" a="1"/>
  <c r="AX42" i="14" s="1"/>
  <c r="AX512" i="14" s="1"/>
  <c r="J63" i="14" a="1"/>
  <c r="J63" i="14" s="1"/>
  <c r="J144" i="14" s="1"/>
  <c r="AN68" i="14" a="1"/>
  <c r="AN68" i="14" s="1"/>
  <c r="AN226" i="14" s="1"/>
  <c r="O95" i="14" a="1"/>
  <c r="O95" i="14" s="1"/>
  <c r="O561" i="14" s="1"/>
  <c r="O104" i="14" a="1"/>
  <c r="O104" i="14" s="1"/>
  <c r="O570" i="14" s="1"/>
  <c r="T89" i="14" a="1"/>
  <c r="T89" i="14" s="1"/>
  <c r="T170" i="14" s="1"/>
  <c r="E89" i="14" a="1"/>
  <c r="E89" i="14" s="1"/>
  <c r="E247" i="14" s="1"/>
  <c r="AS99" i="14" a="1"/>
  <c r="AS99" i="14" s="1"/>
  <c r="AS257" i="14" s="1"/>
  <c r="O65" i="14" a="1"/>
  <c r="O65" i="14" s="1"/>
  <c r="O146" i="14" s="1"/>
  <c r="J71" i="14" a="1"/>
  <c r="J71" i="14" s="1"/>
  <c r="AS88" i="14" a="1"/>
  <c r="AS88" i="14" s="1"/>
  <c r="AS554" i="14" s="1"/>
  <c r="E106" i="14" a="1"/>
  <c r="E106" i="14" s="1"/>
  <c r="E572" i="14" s="1"/>
  <c r="O64" i="14" a="1"/>
  <c r="O64" i="14" s="1"/>
  <c r="O145" i="14" s="1"/>
  <c r="E56" i="14" a="1"/>
  <c r="E56" i="14" s="1"/>
  <c r="E137" i="14" s="1"/>
  <c r="AD56" i="14" a="1"/>
  <c r="AD56" i="14" s="1"/>
  <c r="AD522" i="14" s="1"/>
  <c r="AD47" i="14" a="1"/>
  <c r="AD47" i="14" s="1"/>
  <c r="AD205" i="14" s="1"/>
  <c r="AD45" i="14" a="1"/>
  <c r="AD45" i="14" s="1"/>
  <c r="AD515" i="14" s="1"/>
  <c r="E59" i="14" a="1"/>
  <c r="E59" i="14" s="1"/>
  <c r="E140" i="14" s="1"/>
  <c r="AS42" i="14" a="1"/>
  <c r="AS42" i="14" s="1"/>
  <c r="AS123" i="14" s="1"/>
  <c r="AS589" i="14" s="1"/>
  <c r="AN44" i="14" a="1"/>
  <c r="AN44" i="14" s="1"/>
  <c r="AN125" i="14" s="1"/>
  <c r="AN591" i="14" s="1"/>
  <c r="Y54" i="14" a="1"/>
  <c r="Y54" i="14" s="1"/>
  <c r="Y520" i="14" s="1"/>
  <c r="J59" i="14" a="1"/>
  <c r="J59" i="14" s="1"/>
  <c r="J217" i="14" s="1"/>
  <c r="AN57" i="14" a="1"/>
  <c r="AN57" i="14" s="1"/>
  <c r="AN138" i="14" s="1"/>
  <c r="E60" i="14" a="1"/>
  <c r="E60" i="14" s="1"/>
  <c r="E141" i="14" s="1"/>
  <c r="BW67" i="14" a="1"/>
  <c r="BW67" i="14" s="1"/>
  <c r="BW225" i="14" s="1"/>
  <c r="J104" i="14" a="1"/>
  <c r="J104" i="14" s="1"/>
  <c r="J262" i="14" s="1"/>
  <c r="Y71" i="14" a="1"/>
  <c r="Y71" i="14" s="1"/>
  <c r="BW61" i="14" a="1"/>
  <c r="BW61" i="14" s="1"/>
  <c r="AS96" i="14" a="1"/>
  <c r="AS96" i="14" s="1"/>
  <c r="AS562" i="14" s="1"/>
  <c r="J101" i="14" a="1"/>
  <c r="J101" i="14" s="1"/>
  <c r="J259" i="14" s="1"/>
  <c r="J70" i="14" a="1"/>
  <c r="J70" i="14" s="1"/>
  <c r="J228" i="14" s="1"/>
  <c r="J93" i="14" a="1"/>
  <c r="J93" i="14" s="1"/>
  <c r="BM71" i="14" a="1"/>
  <c r="BM71" i="14" s="1"/>
  <c r="BC43" i="14" a="1"/>
  <c r="BC43" i="14" s="1"/>
  <c r="BC513" i="14" s="1"/>
  <c r="J96" i="14" a="1"/>
  <c r="J96" i="14" s="1"/>
  <c r="J562" i="14" s="1"/>
  <c r="BR42" i="14" a="1"/>
  <c r="BR42" i="14" s="1"/>
  <c r="BR512" i="14" s="1"/>
  <c r="E45" i="14" a="1"/>
  <c r="E45" i="14" s="1"/>
  <c r="E126" i="14" s="1"/>
  <c r="E592" i="14" s="1"/>
  <c r="T98" i="14" a="1"/>
  <c r="T98" i="14" s="1"/>
  <c r="T179" i="14" s="1"/>
  <c r="BW47" i="14" a="1"/>
  <c r="BW47" i="14" s="1"/>
  <c r="BW128" i="14" s="1"/>
  <c r="BW282" i="14" s="1"/>
  <c r="AN71" i="14" a="1"/>
  <c r="AN71" i="14" s="1"/>
  <c r="AN152" i="14" s="1"/>
  <c r="AS104" i="14" a="1"/>
  <c r="AS104" i="14" s="1"/>
  <c r="AS185" i="14" s="1"/>
  <c r="AS647" i="14" s="1"/>
  <c r="BC69" i="14" a="1"/>
  <c r="BC69" i="14" s="1"/>
  <c r="BC150" i="14" s="1"/>
  <c r="BC61" i="14" a="1"/>
  <c r="BC61" i="14" s="1"/>
  <c r="BC142" i="14" s="1"/>
  <c r="AS105" i="14" a="1"/>
  <c r="AS105" i="14" s="1"/>
  <c r="AS571" i="14" s="1"/>
  <c r="J64" i="14" a="1"/>
  <c r="J64" i="14" s="1"/>
  <c r="J530" i="14" s="1"/>
  <c r="AI61" i="14" a="1"/>
  <c r="AI61" i="14" s="1"/>
  <c r="AI219" i="14" s="1"/>
  <c r="E47" i="14" a="1"/>
  <c r="E47" i="14" s="1"/>
  <c r="E205" i="14" s="1"/>
  <c r="BR50" i="14" a="1"/>
  <c r="BR50" i="14" s="1"/>
  <c r="BR131" i="14" s="1"/>
  <c r="E49" i="14" a="1"/>
  <c r="E49" i="14" s="1"/>
  <c r="E130" i="14" s="1"/>
  <c r="E284" i="14" s="1"/>
  <c r="T43" i="14" a="1"/>
  <c r="T43" i="14" s="1"/>
  <c r="T513" i="14" s="1"/>
  <c r="AS102" i="14" a="1"/>
  <c r="AS102" i="14" s="1"/>
  <c r="AS183" i="14" s="1"/>
  <c r="AS645" i="14" s="1"/>
  <c r="AX50" i="14" a="1"/>
  <c r="AX50" i="14" s="1"/>
  <c r="AX516" i="14" s="1"/>
  <c r="E48" i="14" a="1"/>
  <c r="E48" i="14" s="1"/>
  <c r="E129" i="14" s="1"/>
  <c r="E283" i="14" s="1"/>
  <c r="J108" i="14" a="1"/>
  <c r="J108" i="14" s="1"/>
  <c r="J266" i="14" s="1"/>
  <c r="T44" i="14" a="1"/>
  <c r="T44" i="14" s="1"/>
  <c r="T514" i="14" s="1"/>
  <c r="Y49" i="14" a="1"/>
  <c r="Y49" i="14" s="1"/>
  <c r="Y207" i="14" s="1"/>
  <c r="O43" i="14" a="1"/>
  <c r="O43" i="14" s="1"/>
  <c r="O513" i="14" s="1"/>
  <c r="BH43" i="14" a="1"/>
  <c r="BH43" i="14" s="1"/>
  <c r="AS107" i="14" a="1"/>
  <c r="AS107" i="14" s="1"/>
  <c r="T47" i="14" a="1"/>
  <c r="T47" i="14" s="1"/>
  <c r="BH55" i="14" a="1"/>
  <c r="BH55" i="14" s="1"/>
  <c r="BH136" i="14" s="1"/>
  <c r="AX61" i="14" a="1"/>
  <c r="AX61" i="14" s="1"/>
  <c r="AX527" i="14" s="1"/>
  <c r="AS92" i="14" a="1"/>
  <c r="AS92" i="14" s="1"/>
  <c r="T90" i="14" a="1"/>
  <c r="T90" i="14" s="1"/>
  <c r="T556" i="14" s="1"/>
  <c r="AS112" i="14" a="1"/>
  <c r="AS112" i="14" s="1"/>
  <c r="J47" i="14" a="1"/>
  <c r="J47" i="14" s="1"/>
  <c r="J42" i="14" a="1"/>
  <c r="J42" i="14" s="1"/>
  <c r="J123" i="14" s="1"/>
  <c r="J589" i="14" s="1"/>
  <c r="BH56" i="14" a="1"/>
  <c r="BH56" i="14" s="1"/>
  <c r="BH214" i="14" s="1"/>
  <c r="T45" i="14" a="1"/>
  <c r="T45" i="14" s="1"/>
  <c r="T515" i="14" s="1"/>
  <c r="AS61" i="14" a="1"/>
  <c r="AS61" i="14" s="1"/>
  <c r="AS219" i="14" s="1"/>
  <c r="AD72" i="14" a="1"/>
  <c r="AD72" i="14" s="1"/>
  <c r="E42" i="14" a="1"/>
  <c r="E42" i="14" s="1"/>
  <c r="E512" i="14" s="1"/>
  <c r="E43" i="14" a="1"/>
  <c r="E43" i="14" s="1"/>
  <c r="E124" i="14" s="1"/>
  <c r="E590" i="14" s="1"/>
  <c r="E61" i="14" a="1"/>
  <c r="E61" i="14" s="1"/>
  <c r="E142" i="14" s="1"/>
  <c r="BM61" i="14" a="1"/>
  <c r="BM61" i="14" s="1"/>
  <c r="BM527" i="14" s="1"/>
  <c r="H5" i="14"/>
  <c r="M5" i="14" s="1"/>
  <c r="R5" i="14" s="1"/>
  <c r="W5" i="14" s="1"/>
  <c r="AB5" i="14" s="1"/>
  <c r="AG5" i="14" s="1"/>
  <c r="AL5" i="14" s="1"/>
  <c r="AQ5" i="14" s="1"/>
  <c r="AV5" i="14" s="1"/>
  <c r="BA5" i="14" s="1"/>
  <c r="BF5" i="14" s="1"/>
  <c r="BK5" i="14" s="1"/>
  <c r="BP5" i="14" s="1"/>
  <c r="BU5" i="14" s="1"/>
  <c r="J204" i="14"/>
  <c r="J127" i="14"/>
  <c r="J281" i="14" s="1"/>
  <c r="R172" i="18"/>
  <c r="C172" i="18" s="1"/>
  <c r="F49" i="19" s="1"/>
  <c r="P216" i="18"/>
  <c r="C588" i="18"/>
  <c r="C592" i="18" s="1"/>
  <c r="C254" i="18"/>
  <c r="R309" i="18"/>
  <c r="R311" i="18"/>
  <c r="C311" i="18" s="1"/>
  <c r="N216" i="18"/>
  <c r="L331" i="18"/>
  <c r="L366" i="18"/>
  <c r="L216" i="18"/>
  <c r="T218" i="18"/>
  <c r="P211" i="18"/>
  <c r="L211" i="18"/>
  <c r="R218" i="18"/>
  <c r="C218" i="18" s="1"/>
  <c r="N211" i="18"/>
  <c r="T329" i="18"/>
  <c r="N391" i="18"/>
  <c r="R329" i="18"/>
  <c r="C329" i="18" s="1"/>
  <c r="T311" i="18"/>
  <c r="T393" i="18"/>
  <c r="R393" i="18"/>
  <c r="C393" i="18" s="1"/>
  <c r="R391" i="18"/>
  <c r="P391" i="18"/>
  <c r="T395" i="18"/>
  <c r="L411" i="18"/>
  <c r="N447" i="18" l="1"/>
  <c r="C444" i="18"/>
  <c r="T170" i="18"/>
  <c r="T444" i="18"/>
  <c r="T447" i="18" s="1"/>
  <c r="C594" i="18"/>
  <c r="AB238" i="17" s="1"/>
  <c r="Y239" i="17"/>
  <c r="F49" i="4"/>
  <c r="F48" i="4"/>
  <c r="DJ58" i="17"/>
  <c r="DJ57" i="17"/>
  <c r="DJ54" i="17"/>
  <c r="DJ46" i="17"/>
  <c r="DJ44" i="17"/>
  <c r="DJ43" i="17"/>
  <c r="DJ41" i="17"/>
  <c r="DJ39" i="17"/>
  <c r="DJ38" i="17"/>
  <c r="DJ60" i="17"/>
  <c r="DJ52" i="17"/>
  <c r="DJ51" i="17"/>
  <c r="DJ49" i="17"/>
  <c r="DJ48" i="17"/>
  <c r="DJ63" i="17"/>
  <c r="DJ61" i="17"/>
  <c r="DJ59" i="17"/>
  <c r="DJ55" i="17"/>
  <c r="DJ37" i="17"/>
  <c r="DJ64" i="17"/>
  <c r="DJ62" i="17"/>
  <c r="DJ56" i="17"/>
  <c r="DJ45" i="17"/>
  <c r="DJ42" i="17"/>
  <c r="DJ53" i="17"/>
  <c r="DJ50" i="17"/>
  <c r="DJ40" i="17"/>
  <c r="DJ47" i="17"/>
  <c r="C305" i="18"/>
  <c r="C391" i="18"/>
  <c r="C211" i="18"/>
  <c r="DJ11" i="17"/>
  <c r="DJ19" i="17"/>
  <c r="DJ27" i="17"/>
  <c r="DJ6" i="17"/>
  <c r="DJ10" i="17"/>
  <c r="DJ18" i="17"/>
  <c r="DJ26" i="17"/>
  <c r="DJ14" i="17"/>
  <c r="DJ9" i="17"/>
  <c r="DJ17" i="17"/>
  <c r="DJ25" i="17"/>
  <c r="DJ8" i="17"/>
  <c r="DJ16" i="17"/>
  <c r="DJ24" i="17"/>
  <c r="DJ32" i="17"/>
  <c r="DJ22" i="17"/>
  <c r="DJ7" i="17"/>
  <c r="DJ15" i="17"/>
  <c r="DJ23" i="17"/>
  <c r="DJ31" i="17"/>
  <c r="DJ30" i="17"/>
  <c r="DJ13" i="17"/>
  <c r="DJ21" i="17"/>
  <c r="DJ29" i="17"/>
  <c r="DJ12" i="17"/>
  <c r="DJ20" i="17"/>
  <c r="DJ28" i="17"/>
  <c r="DJ5" i="17"/>
  <c r="R313" i="18"/>
  <c r="C313" i="18" s="1"/>
  <c r="C307" i="18"/>
  <c r="O123" i="14"/>
  <c r="O589" i="14" s="1"/>
  <c r="BH533" i="14"/>
  <c r="O151" i="14"/>
  <c r="O305" i="14" s="1"/>
  <c r="T242" i="14"/>
  <c r="BC205" i="14"/>
  <c r="AD222" i="14"/>
  <c r="BM208" i="14"/>
  <c r="O521" i="14"/>
  <c r="BC517" i="14"/>
  <c r="O213" i="14"/>
  <c r="AS559" i="14"/>
  <c r="BC233" i="14"/>
  <c r="T252" i="14"/>
  <c r="AS206" i="14"/>
  <c r="J141" i="14"/>
  <c r="J295" i="14" s="1"/>
  <c r="O215" i="14"/>
  <c r="O175" i="14"/>
  <c r="O329" i="14" s="1"/>
  <c r="E571" i="14"/>
  <c r="J138" i="14"/>
  <c r="J292" i="14" s="1"/>
  <c r="AD228" i="14"/>
  <c r="AS174" i="14"/>
  <c r="AS636" i="14" s="1"/>
  <c r="AD536" i="14"/>
  <c r="AX227" i="14"/>
  <c r="AD149" i="14"/>
  <c r="AD303" i="14" s="1"/>
  <c r="BC531" i="14"/>
  <c r="AN224" i="14"/>
  <c r="O257" i="14"/>
  <c r="AX214" i="14"/>
  <c r="BH148" i="14"/>
  <c r="BH610" i="14" s="1"/>
  <c r="E158" i="14"/>
  <c r="E312" i="14" s="1"/>
  <c r="AI536" i="14"/>
  <c r="BC132" i="14"/>
  <c r="BC286" i="14" s="1"/>
  <c r="AD520" i="14"/>
  <c r="BC541" i="14"/>
  <c r="Y514" i="14"/>
  <c r="J558" i="14"/>
  <c r="AI151" i="14"/>
  <c r="AI613" i="14" s="1"/>
  <c r="AN532" i="14"/>
  <c r="E127" i="14"/>
  <c r="E281" i="14" s="1"/>
  <c r="O234" i="14"/>
  <c r="BC223" i="14"/>
  <c r="J173" i="14"/>
  <c r="J327" i="14" s="1"/>
  <c r="BR128" i="14"/>
  <c r="BR282" i="14" s="1"/>
  <c r="AX231" i="14"/>
  <c r="O152" i="14"/>
  <c r="O306" i="14" s="1"/>
  <c r="AS151" i="14"/>
  <c r="AS613" i="14" s="1"/>
  <c r="AD226" i="14"/>
  <c r="AX522" i="14"/>
  <c r="AD212" i="14"/>
  <c r="O557" i="14"/>
  <c r="E257" i="14"/>
  <c r="AS267" i="14"/>
  <c r="O241" i="14"/>
  <c r="AI531" i="14"/>
  <c r="Y127" i="14"/>
  <c r="Y281" i="14" s="1"/>
  <c r="BM147" i="14"/>
  <c r="BM301" i="14" s="1"/>
  <c r="AI124" i="14"/>
  <c r="AI590" i="14" s="1"/>
  <c r="AD204" i="14"/>
  <c r="BH531" i="14"/>
  <c r="AS560" i="14"/>
  <c r="BH149" i="14"/>
  <c r="BH303" i="14" s="1"/>
  <c r="O253" i="14"/>
  <c r="AD242" i="14"/>
  <c r="O144" i="14"/>
  <c r="O606" i="14" s="1"/>
  <c r="AI521" i="14"/>
  <c r="BR123" i="14"/>
  <c r="BR589" i="14" s="1"/>
  <c r="AX208" i="14"/>
  <c r="AX230" i="14"/>
  <c r="AS186" i="14"/>
  <c r="AS648" i="14" s="1"/>
  <c r="O568" i="14"/>
  <c r="T144" i="14"/>
  <c r="T298" i="14" s="1"/>
  <c r="T550" i="14"/>
  <c r="BM227" i="14"/>
  <c r="BR142" i="14"/>
  <c r="BR296" i="14" s="1"/>
  <c r="AN517" i="14"/>
  <c r="AS180" i="14"/>
  <c r="AS642" i="14" s="1"/>
  <c r="AN209" i="14"/>
  <c r="AS244" i="14"/>
  <c r="O250" i="14"/>
  <c r="AD233" i="14"/>
  <c r="BR219" i="14"/>
  <c r="T517" i="14"/>
  <c r="AS124" i="14"/>
  <c r="AS590" i="14" s="1"/>
  <c r="J571" i="14"/>
  <c r="T207" i="14"/>
  <c r="AI225" i="14"/>
  <c r="Y534" i="14"/>
  <c r="BM540" i="14"/>
  <c r="O228" i="14"/>
  <c r="Y149" i="14"/>
  <c r="Y611" i="14" s="1"/>
  <c r="BR208" i="14"/>
  <c r="O153" i="14"/>
  <c r="O615" i="14" s="1"/>
  <c r="AS229" i="14"/>
  <c r="Y545" i="14"/>
  <c r="AS163" i="14"/>
  <c r="AS625" i="14" s="1"/>
  <c r="E123" i="14"/>
  <c r="E589" i="14" s="1"/>
  <c r="Y206" i="14"/>
  <c r="BM535" i="14"/>
  <c r="O230" i="14"/>
  <c r="BC208" i="14"/>
  <c r="AN229" i="14"/>
  <c r="T214" i="14"/>
  <c r="O204" i="14"/>
  <c r="AS552" i="14"/>
  <c r="AN222" i="14"/>
  <c r="Y138" i="14"/>
  <c r="Y292" i="14" s="1"/>
  <c r="J544" i="14"/>
  <c r="J149" i="14"/>
  <c r="J303" i="14" s="1"/>
  <c r="AS128" i="14"/>
  <c r="AS282" i="14" s="1"/>
  <c r="J520" i="14"/>
  <c r="AD523" i="14"/>
  <c r="BM222" i="14"/>
  <c r="J212" i="14"/>
  <c r="AD138" i="14"/>
  <c r="AD292" i="14" s="1"/>
  <c r="O126" i="14"/>
  <c r="O592" i="14" s="1"/>
  <c r="AN538" i="14"/>
  <c r="J247" i="14"/>
  <c r="AN230" i="14"/>
  <c r="J170" i="14"/>
  <c r="J632" i="14" s="1"/>
  <c r="BR513" i="14"/>
  <c r="J136" i="14"/>
  <c r="J598" i="14" s="1"/>
  <c r="Y145" i="14"/>
  <c r="Y607" i="14" s="1"/>
  <c r="AI222" i="14"/>
  <c r="T133" i="14"/>
  <c r="T287" i="14" s="1"/>
  <c r="AX205" i="14"/>
  <c r="AS208" i="14"/>
  <c r="AI527" i="14"/>
  <c r="BM528" i="14"/>
  <c r="E520" i="14"/>
  <c r="AS514" i="14"/>
  <c r="O252" i="14"/>
  <c r="T124" i="14"/>
  <c r="T590" i="14" s="1"/>
  <c r="E188" i="14"/>
  <c r="E650" i="14" s="1"/>
  <c r="AX133" i="14"/>
  <c r="AX595" i="14" s="1"/>
  <c r="T518" i="14"/>
  <c r="E172" i="14"/>
  <c r="E634" i="14" s="1"/>
  <c r="T206" i="14"/>
  <c r="J232" i="14"/>
  <c r="J213" i="14"/>
  <c r="E135" i="14"/>
  <c r="E597" i="14" s="1"/>
  <c r="BH527" i="14"/>
  <c r="Y244" i="14"/>
  <c r="Y215" i="14"/>
  <c r="AS516" i="14"/>
  <c r="BH219" i="14"/>
  <c r="BR532" i="14"/>
  <c r="AN228" i="14"/>
  <c r="Y161" i="14"/>
  <c r="Y623" i="14" s="1"/>
  <c r="AS243" i="14"/>
  <c r="BH128" i="14"/>
  <c r="BH282" i="14" s="1"/>
  <c r="AS222" i="14"/>
  <c r="AD549" i="14"/>
  <c r="AN204" i="14"/>
  <c r="AX123" i="14"/>
  <c r="AX589" i="14" s="1"/>
  <c r="O262" i="14"/>
  <c r="J557" i="14"/>
  <c r="J161" i="14"/>
  <c r="J623" i="14" s="1"/>
  <c r="O531" i="14"/>
  <c r="Y248" i="14"/>
  <c r="E218" i="14"/>
  <c r="E526" i="14"/>
  <c r="J211" i="14"/>
  <c r="J134" i="14"/>
  <c r="J288" i="14" s="1"/>
  <c r="O212" i="14"/>
  <c r="O135" i="14"/>
  <c r="O597" i="14" s="1"/>
  <c r="O520" i="14"/>
  <c r="Y245" i="14"/>
  <c r="Y168" i="14"/>
  <c r="Y630" i="14" s="1"/>
  <c r="Y553" i="14"/>
  <c r="E147" i="14"/>
  <c r="E609" i="14" s="1"/>
  <c r="E532" i="14"/>
  <c r="E224" i="14"/>
  <c r="AN529" i="14"/>
  <c r="AN221" i="14"/>
  <c r="AI160" i="14"/>
  <c r="AI622" i="14" s="1"/>
  <c r="AI237" i="14"/>
  <c r="J154" i="14"/>
  <c r="J616" i="14" s="1"/>
  <c r="J539" i="14"/>
  <c r="J231" i="14"/>
  <c r="Y130" i="14"/>
  <c r="Y284" i="14" s="1"/>
  <c r="AX131" i="14"/>
  <c r="AX285" i="14" s="1"/>
  <c r="BR516" i="14"/>
  <c r="AN537" i="14"/>
  <c r="O537" i="14"/>
  <c r="BH226" i="14"/>
  <c r="AN214" i="14"/>
  <c r="O176" i="14"/>
  <c r="O638" i="14" s="1"/>
  <c r="E235" i="14"/>
  <c r="J565" i="14"/>
  <c r="O181" i="14"/>
  <c r="O643" i="14" s="1"/>
  <c r="Y246" i="14"/>
  <c r="AD540" i="14"/>
  <c r="BH211" i="14"/>
  <c r="AI224" i="14"/>
  <c r="J256" i="14"/>
  <c r="AI232" i="14"/>
  <c r="Y137" i="14"/>
  <c r="Y599" i="14" s="1"/>
  <c r="E216" i="14"/>
  <c r="AI123" i="14"/>
  <c r="AI589" i="14" s="1"/>
  <c r="AS210" i="14"/>
  <c r="AD517" i="14"/>
  <c r="BH137" i="14"/>
  <c r="BH599" i="14" s="1"/>
  <c r="AS196" i="14"/>
  <c r="AS350" i="14" s="1"/>
  <c r="AS273" i="14"/>
  <c r="AI127" i="14"/>
  <c r="AI281" i="14" s="1"/>
  <c r="AI204" i="14"/>
  <c r="O133" i="14"/>
  <c r="O595" i="14" s="1"/>
  <c r="O518" i="14"/>
  <c r="T229" i="14"/>
  <c r="T537" i="14"/>
  <c r="BC136" i="14"/>
  <c r="BC598" i="14" s="1"/>
  <c r="BC213" i="14"/>
  <c r="J129" i="14"/>
  <c r="J283" i="14" s="1"/>
  <c r="J206" i="14"/>
  <c r="AN522" i="14"/>
  <c r="AD165" i="14"/>
  <c r="AD319" i="14" s="1"/>
  <c r="J180" i="14"/>
  <c r="J334" i="14" s="1"/>
  <c r="AS565" i="14"/>
  <c r="AD156" i="14"/>
  <c r="AD310" i="14" s="1"/>
  <c r="O183" i="14"/>
  <c r="O645" i="14" s="1"/>
  <c r="BM232" i="14"/>
  <c r="AI146" i="14"/>
  <c r="AI608" i="14" s="1"/>
  <c r="Y237" i="14"/>
  <c r="AI147" i="14"/>
  <c r="AI301" i="14" s="1"/>
  <c r="T221" i="14"/>
  <c r="O221" i="14"/>
  <c r="AI540" i="14"/>
  <c r="Y214" i="14"/>
  <c r="E524" i="14"/>
  <c r="AS518" i="14"/>
  <c r="BC131" i="14"/>
  <c r="BC593" i="14" s="1"/>
  <c r="AD128" i="14"/>
  <c r="AD282" i="14" s="1"/>
  <c r="AI545" i="14"/>
  <c r="BC521" i="14"/>
  <c r="T205" i="14"/>
  <c r="T128" i="14"/>
  <c r="T282" i="14" s="1"/>
  <c r="AD124" i="14"/>
  <c r="AD590" i="14" s="1"/>
  <c r="AD513" i="14"/>
  <c r="BW528" i="14"/>
  <c r="BW143" i="14"/>
  <c r="BW297" i="14" s="1"/>
  <c r="AN520" i="14"/>
  <c r="AN212" i="14"/>
  <c r="BW204" i="14"/>
  <c r="BW127" i="14"/>
  <c r="BW281" i="14" s="1"/>
  <c r="Y162" i="14"/>
  <c r="Y316" i="14" s="1"/>
  <c r="Y547" i="14"/>
  <c r="Y239" i="14"/>
  <c r="J210" i="14"/>
  <c r="J133" i="14"/>
  <c r="J287" i="14" s="1"/>
  <c r="J518" i="14"/>
  <c r="AN223" i="14"/>
  <c r="AN531" i="14"/>
  <c r="AS155" i="14"/>
  <c r="AS617" i="14" s="1"/>
  <c r="AS232" i="14"/>
  <c r="AS540" i="14"/>
  <c r="O242" i="14"/>
  <c r="O165" i="14"/>
  <c r="O627" i="14" s="1"/>
  <c r="BH204" i="14"/>
  <c r="BH127" i="14"/>
  <c r="BH281" i="14" s="1"/>
  <c r="AI149" i="14"/>
  <c r="AI611" i="14" s="1"/>
  <c r="AI226" i="14"/>
  <c r="AI229" i="14"/>
  <c r="AI537" i="14"/>
  <c r="J168" i="14"/>
  <c r="J630" i="14" s="1"/>
  <c r="J553" i="14"/>
  <c r="AI231" i="14"/>
  <c r="AI539" i="14"/>
  <c r="BR536" i="14"/>
  <c r="BR228" i="14"/>
  <c r="AS555" i="14"/>
  <c r="AS247" i="14"/>
  <c r="T562" i="14"/>
  <c r="T177" i="14"/>
  <c r="T331" i="14" s="1"/>
  <c r="T254" i="14"/>
  <c r="AX530" i="14"/>
  <c r="AX145" i="14"/>
  <c r="AX607" i="14" s="1"/>
  <c r="Y155" i="14"/>
  <c r="Y617" i="14" s="1"/>
  <c r="Y540" i="14"/>
  <c r="Y232" i="14"/>
  <c r="BR150" i="14"/>
  <c r="BR612" i="14" s="1"/>
  <c r="BR535" i="14"/>
  <c r="T166" i="14"/>
  <c r="T628" i="14" s="1"/>
  <c r="T551" i="14"/>
  <c r="AX234" i="14"/>
  <c r="AX157" i="14"/>
  <c r="AX619" i="14" s="1"/>
  <c r="T148" i="14"/>
  <c r="T302" i="14" s="1"/>
  <c r="T225" i="14"/>
  <c r="AD163" i="14"/>
  <c r="AD625" i="14" s="1"/>
  <c r="AD240" i="14"/>
  <c r="J528" i="14"/>
  <c r="J220" i="14"/>
  <c r="AS544" i="14"/>
  <c r="AS159" i="14"/>
  <c r="AS621" i="14" s="1"/>
  <c r="E189" i="14"/>
  <c r="E651" i="14" s="1"/>
  <c r="E574" i="14"/>
  <c r="Y551" i="14"/>
  <c r="Y166" i="14"/>
  <c r="Y320" i="14" s="1"/>
  <c r="E259" i="14"/>
  <c r="E567" i="14"/>
  <c r="J237" i="14"/>
  <c r="J160" i="14"/>
  <c r="J314" i="14" s="1"/>
  <c r="J545" i="14"/>
  <c r="Y241" i="14"/>
  <c r="Y164" i="14"/>
  <c r="Y318" i="14" s="1"/>
  <c r="Y549" i="14"/>
  <c r="BR225" i="14"/>
  <c r="BR148" i="14"/>
  <c r="BR610" i="14" s="1"/>
  <c r="AX226" i="14"/>
  <c r="AX149" i="14"/>
  <c r="AX303" i="14" s="1"/>
  <c r="T248" i="14"/>
  <c r="T171" i="14"/>
  <c r="T325" i="14" s="1"/>
  <c r="J174" i="14"/>
  <c r="J328" i="14" s="1"/>
  <c r="J251" i="14"/>
  <c r="J559" i="14"/>
  <c r="BW219" i="14"/>
  <c r="BW142" i="14"/>
  <c r="BW296" i="14" s="1"/>
  <c r="BW527" i="14"/>
  <c r="E264" i="14"/>
  <c r="E187" i="14"/>
  <c r="E649" i="14" s="1"/>
  <c r="AS523" i="14"/>
  <c r="AS138" i="14"/>
  <c r="AS600" i="14" s="1"/>
  <c r="T136" i="14"/>
  <c r="T290" i="14" s="1"/>
  <c r="T521" i="14"/>
  <c r="T213" i="14"/>
  <c r="O248" i="14"/>
  <c r="O556" i="14"/>
  <c r="O171" i="14"/>
  <c r="O325" i="14" s="1"/>
  <c r="AD236" i="14"/>
  <c r="AD159" i="14"/>
  <c r="AD313" i="14" s="1"/>
  <c r="E131" i="14"/>
  <c r="E285" i="14" s="1"/>
  <c r="E516" i="14"/>
  <c r="E540" i="14"/>
  <c r="E155" i="14"/>
  <c r="E309" i="14" s="1"/>
  <c r="T234" i="14"/>
  <c r="T157" i="14"/>
  <c r="T619" i="14" s="1"/>
  <c r="J248" i="14"/>
  <c r="J171" i="14"/>
  <c r="J633" i="14" s="1"/>
  <c r="AS546" i="14"/>
  <c r="AS238" i="14"/>
  <c r="AS161" i="14"/>
  <c r="AS623" i="14" s="1"/>
  <c r="BC519" i="14"/>
  <c r="BC134" i="14"/>
  <c r="BC288" i="14" s="1"/>
  <c r="BC211" i="14"/>
  <c r="AI533" i="14"/>
  <c r="AX538" i="14"/>
  <c r="O566" i="14"/>
  <c r="Y554" i="14"/>
  <c r="AD232" i="14"/>
  <c r="BH134" i="14"/>
  <c r="BH288" i="14" s="1"/>
  <c r="T137" i="14"/>
  <c r="T599" i="14" s="1"/>
  <c r="J179" i="14"/>
  <c r="J641" i="14" s="1"/>
  <c r="BM532" i="14"/>
  <c r="AI213" i="14"/>
  <c r="AN124" i="14"/>
  <c r="AN590" i="14" s="1"/>
  <c r="AS240" i="14"/>
  <c r="AD209" i="14"/>
  <c r="BH522" i="14"/>
  <c r="T243" i="14"/>
  <c r="T152" i="14"/>
  <c r="T614" i="14" s="1"/>
  <c r="AN514" i="14"/>
  <c r="T542" i="14"/>
  <c r="AN144" i="14"/>
  <c r="AN606" i="14" s="1"/>
  <c r="AI152" i="14"/>
  <c r="AI306" i="14" s="1"/>
  <c r="BM124" i="14"/>
  <c r="BM590" i="14" s="1"/>
  <c r="AS199" i="14"/>
  <c r="AS353" i="14" s="1"/>
  <c r="J126" i="14"/>
  <c r="J592" i="14" s="1"/>
  <c r="AI238" i="14"/>
  <c r="O558" i="14"/>
  <c r="J186" i="14"/>
  <c r="J340" i="14" s="1"/>
  <c r="T132" i="14"/>
  <c r="T594" i="14" s="1"/>
  <c r="O565" i="14"/>
  <c r="T560" i="14"/>
  <c r="BM131" i="14"/>
  <c r="BM285" i="14" s="1"/>
  <c r="AD145" i="14"/>
  <c r="AD299" i="14" s="1"/>
  <c r="AI546" i="14"/>
  <c r="AX539" i="14"/>
  <c r="E180" i="14"/>
  <c r="E642" i="14" s="1"/>
  <c r="AS152" i="14"/>
  <c r="AS306" i="14" s="1"/>
  <c r="AN530" i="14"/>
  <c r="O157" i="14"/>
  <c r="O619" i="14" s="1"/>
  <c r="AS130" i="14"/>
  <c r="AS284" i="14" s="1"/>
  <c r="AX535" i="14"/>
  <c r="BC123" i="14"/>
  <c r="BC589" i="14" s="1"/>
  <c r="T150" i="14"/>
  <c r="T304" i="14" s="1"/>
  <c r="J215" i="14"/>
  <c r="AI519" i="14"/>
  <c r="AS175" i="14"/>
  <c r="AS329" i="14" s="1"/>
  <c r="AS515" i="14"/>
  <c r="E563" i="14"/>
  <c r="T555" i="14"/>
  <c r="Y154" i="14"/>
  <c r="Y308" i="14" s="1"/>
  <c r="E183" i="14"/>
  <c r="E337" i="14" s="1"/>
  <c r="BM132" i="14"/>
  <c r="BM286" i="14" s="1"/>
  <c r="O137" i="14"/>
  <c r="O599" i="14" s="1"/>
  <c r="AS536" i="14"/>
  <c r="T563" i="14"/>
  <c r="AX537" i="14"/>
  <c r="Y235" i="14"/>
  <c r="J218" i="14"/>
  <c r="BM123" i="14"/>
  <c r="BM589" i="14" s="1"/>
  <c r="Y530" i="14"/>
  <c r="E263" i="14"/>
  <c r="T227" i="14"/>
  <c r="BH146" i="14"/>
  <c r="BH608" i="14" s="1"/>
  <c r="BR224" i="14"/>
  <c r="AI134" i="14"/>
  <c r="AI596" i="14" s="1"/>
  <c r="O138" i="14"/>
  <c r="O292" i="14" s="1"/>
  <c r="BC535" i="14"/>
  <c r="AS241" i="14"/>
  <c r="Y223" i="14"/>
  <c r="J542" i="14"/>
  <c r="E219" i="14"/>
  <c r="AS223" i="14"/>
  <c r="AI156" i="14"/>
  <c r="AI618" i="14" s="1"/>
  <c r="O134" i="14"/>
  <c r="O596" i="14" s="1"/>
  <c r="O519" i="14"/>
  <c r="T240" i="14"/>
  <c r="T163" i="14"/>
  <c r="T625" i="14" s="1"/>
  <c r="AS541" i="14"/>
  <c r="AS156" i="14"/>
  <c r="AS618" i="14" s="1"/>
  <c r="AI128" i="14"/>
  <c r="AI282" i="14" s="1"/>
  <c r="AI205" i="14"/>
  <c r="E253" i="14"/>
  <c r="E561" i="14"/>
  <c r="E560" i="14"/>
  <c r="E252" i="14"/>
  <c r="J572" i="14"/>
  <c r="J264" i="14"/>
  <c r="J261" i="14"/>
  <c r="J184" i="14"/>
  <c r="J646" i="14" s="1"/>
  <c r="J569" i="14"/>
  <c r="J216" i="14"/>
  <c r="J139" i="14"/>
  <c r="J293" i="14" s="1"/>
  <c r="T539" i="14"/>
  <c r="T154" i="14"/>
  <c r="T616" i="14" s="1"/>
  <c r="AD167" i="14"/>
  <c r="AD321" i="14" s="1"/>
  <c r="AD244" i="14"/>
  <c r="T245" i="14"/>
  <c r="T168" i="14"/>
  <c r="T630" i="14" s="1"/>
  <c r="E243" i="14"/>
  <c r="E166" i="14"/>
  <c r="E320" i="14" s="1"/>
  <c r="E551" i="14"/>
  <c r="J513" i="14"/>
  <c r="J124" i="14"/>
  <c r="J590" i="14" s="1"/>
  <c r="O239" i="14"/>
  <c r="O162" i="14"/>
  <c r="O624" i="14" s="1"/>
  <c r="BR518" i="14"/>
  <c r="BR210" i="14"/>
  <c r="BM225" i="14"/>
  <c r="BM533" i="14"/>
  <c r="BW512" i="14"/>
  <c r="BW123" i="14"/>
  <c r="BW589" i="14" s="1"/>
  <c r="E251" i="14"/>
  <c r="E174" i="14"/>
  <c r="E636" i="14" s="1"/>
  <c r="BW222" i="14"/>
  <c r="BW145" i="14"/>
  <c r="BW607" i="14" s="1"/>
  <c r="AN533" i="14"/>
  <c r="AN148" i="14"/>
  <c r="AN302" i="14" s="1"/>
  <c r="J188" i="14"/>
  <c r="J650" i="14" s="1"/>
  <c r="J573" i="14"/>
  <c r="E222" i="14"/>
  <c r="E145" i="14"/>
  <c r="E607" i="14" s="1"/>
  <c r="J224" i="14"/>
  <c r="J532" i="14"/>
  <c r="Y227" i="14"/>
  <c r="Y150" i="14"/>
  <c r="Y612" i="14" s="1"/>
  <c r="E136" i="14"/>
  <c r="E290" i="14" s="1"/>
  <c r="E213" i="14"/>
  <c r="AD162" i="14"/>
  <c r="AD624" i="14" s="1"/>
  <c r="AD547" i="14"/>
  <c r="AD239" i="14"/>
  <c r="Y205" i="14"/>
  <c r="Y128" i="14"/>
  <c r="Y282" i="14" s="1"/>
  <c r="BM230" i="14"/>
  <c r="BM153" i="14"/>
  <c r="BM307" i="14" s="1"/>
  <c r="AX532" i="14"/>
  <c r="AX147" i="14"/>
  <c r="AX609" i="14" s="1"/>
  <c r="AX224" i="14"/>
  <c r="BM231" i="14"/>
  <c r="BM154" i="14"/>
  <c r="BM616" i="14" s="1"/>
  <c r="AD221" i="14"/>
  <c r="AD144" i="14"/>
  <c r="AD606" i="14" s="1"/>
  <c r="BM536" i="14"/>
  <c r="BM228" i="14"/>
  <c r="BM151" i="14"/>
  <c r="BM613" i="14" s="1"/>
  <c r="AS563" i="14"/>
  <c r="AS255" i="14"/>
  <c r="BW518" i="14"/>
  <c r="BW133" i="14"/>
  <c r="BW595" i="14" s="1"/>
  <c r="BW529" i="14"/>
  <c r="BW221" i="14"/>
  <c r="BW144" i="14"/>
  <c r="BW298" i="14" s="1"/>
  <c r="BW224" i="14"/>
  <c r="BW147" i="14"/>
  <c r="BW301" i="14" s="1"/>
  <c r="AS574" i="14"/>
  <c r="AS189" i="14"/>
  <c r="AS651" i="14" s="1"/>
  <c r="AX134" i="14"/>
  <c r="AX288" i="14" s="1"/>
  <c r="AX519" i="14"/>
  <c r="O129" i="14"/>
  <c r="O283" i="14" s="1"/>
  <c r="AX136" i="14"/>
  <c r="AX290" i="14" s="1"/>
  <c r="AN536" i="14"/>
  <c r="Y238" i="14"/>
  <c r="O174" i="14"/>
  <c r="O328" i="14" s="1"/>
  <c r="J238" i="14"/>
  <c r="AS551" i="14"/>
  <c r="O223" i="14"/>
  <c r="AI158" i="14"/>
  <c r="AI312" i="14" s="1"/>
  <c r="O172" i="14"/>
  <c r="O634" i="14" s="1"/>
  <c r="AX518" i="14"/>
  <c r="AD552" i="14"/>
  <c r="T231" i="14"/>
  <c r="J524" i="14"/>
  <c r="O514" i="14"/>
  <c r="AD129" i="14"/>
  <c r="AD283" i="14" s="1"/>
  <c r="AX211" i="14"/>
  <c r="E521" i="14"/>
  <c r="J265" i="14"/>
  <c r="AD126" i="14"/>
  <c r="AD592" i="14" s="1"/>
  <c r="AN123" i="14"/>
  <c r="AN589" i="14" s="1"/>
  <c r="O211" i="14"/>
  <c r="BM537" i="14"/>
  <c r="BM152" i="14"/>
  <c r="BM614" i="14" s="1"/>
  <c r="BM229" i="14"/>
  <c r="Y212" i="14"/>
  <c r="Y135" i="14"/>
  <c r="Y597" i="14" s="1"/>
  <c r="O530" i="14"/>
  <c r="O222" i="14"/>
  <c r="AN515" i="14"/>
  <c r="AN126" i="14"/>
  <c r="AN592" i="14" s="1"/>
  <c r="AS520" i="14"/>
  <c r="AS212" i="14"/>
  <c r="BC143" i="14"/>
  <c r="BC605" i="14" s="1"/>
  <c r="BC528" i="14"/>
  <c r="AD166" i="14"/>
  <c r="AD628" i="14" s="1"/>
  <c r="AD243" i="14"/>
  <c r="AD551" i="14"/>
  <c r="AN528" i="14"/>
  <c r="AN220" i="14"/>
  <c r="J516" i="14"/>
  <c r="J131" i="14"/>
  <c r="J593" i="14" s="1"/>
  <c r="BH208" i="14"/>
  <c r="BH131" i="14"/>
  <c r="BH285" i="14" s="1"/>
  <c r="BH516" i="14"/>
  <c r="O261" i="14"/>
  <c r="O184" i="14"/>
  <c r="O338" i="14" s="1"/>
  <c r="Y515" i="14"/>
  <c r="Y126" i="14"/>
  <c r="Y592" i="14" s="1"/>
  <c r="AD516" i="14"/>
  <c r="AD208" i="14"/>
  <c r="AS521" i="14"/>
  <c r="AS136" i="14"/>
  <c r="AS598" i="14" s="1"/>
  <c r="E564" i="14"/>
  <c r="E256" i="14"/>
  <c r="AI132" i="14"/>
  <c r="AI594" i="14" s="1"/>
  <c r="AI209" i="14"/>
  <c r="AI517" i="14"/>
  <c r="E258" i="14"/>
  <c r="E566" i="14"/>
  <c r="J531" i="14"/>
  <c r="J223" i="14"/>
  <c r="BC533" i="14"/>
  <c r="BC148" i="14"/>
  <c r="BC610" i="14" s="1"/>
  <c r="E262" i="14"/>
  <c r="E570" i="14"/>
  <c r="E185" i="14"/>
  <c r="E647" i="14" s="1"/>
  <c r="O147" i="14"/>
  <c r="O301" i="14" s="1"/>
  <c r="O532" i="14"/>
  <c r="J255" i="14"/>
  <c r="J563" i="14"/>
  <c r="J178" i="14"/>
  <c r="J640" i="14" s="1"/>
  <c r="E536" i="14"/>
  <c r="E228" i="14"/>
  <c r="BC534" i="14"/>
  <c r="BC226" i="14"/>
  <c r="BC151" i="14"/>
  <c r="BC305" i="14" s="1"/>
  <c r="BC536" i="14"/>
  <c r="BC228" i="14"/>
  <c r="AS221" i="14"/>
  <c r="AS144" i="14"/>
  <c r="AS606" i="14" s="1"/>
  <c r="AS529" i="14"/>
  <c r="E173" i="14"/>
  <c r="E327" i="14" s="1"/>
  <c r="E558" i="14"/>
  <c r="E250" i="14"/>
  <c r="J242" i="14"/>
  <c r="J550" i="14"/>
  <c r="AD546" i="14"/>
  <c r="AD238" i="14"/>
  <c r="J244" i="14"/>
  <c r="J552" i="14"/>
  <c r="J183" i="14"/>
  <c r="J645" i="14" s="1"/>
  <c r="J568" i="14"/>
  <c r="J260" i="14"/>
  <c r="J150" i="14"/>
  <c r="J612" i="14" s="1"/>
  <c r="J535" i="14"/>
  <c r="AX540" i="14"/>
  <c r="AX155" i="14"/>
  <c r="AX617" i="14" s="1"/>
  <c r="AX232" i="14"/>
  <c r="AS226" i="14"/>
  <c r="AS149" i="14"/>
  <c r="AS303" i="14" s="1"/>
  <c r="T541" i="14"/>
  <c r="T233" i="14"/>
  <c r="Y513" i="14"/>
  <c r="Y124" i="14"/>
  <c r="Y590" i="14" s="1"/>
  <c r="Y219" i="14"/>
  <c r="Y142" i="14"/>
  <c r="Y604" i="14" s="1"/>
  <c r="E552" i="14"/>
  <c r="E244" i="14"/>
  <c r="T557" i="14"/>
  <c r="T249" i="14"/>
  <c r="T236" i="14"/>
  <c r="T544" i="14"/>
  <c r="J175" i="14"/>
  <c r="J637" i="14" s="1"/>
  <c r="J560" i="14"/>
  <c r="O158" i="14"/>
  <c r="O312" i="14" s="1"/>
  <c r="O543" i="14"/>
  <c r="O235" i="14"/>
  <c r="BH220" i="14"/>
  <c r="BH143" i="14"/>
  <c r="BH605" i="14" s="1"/>
  <c r="AX213" i="14"/>
  <c r="J172" i="14"/>
  <c r="J326" i="14" s="1"/>
  <c r="O185" i="14"/>
  <c r="O647" i="14" s="1"/>
  <c r="O164" i="14"/>
  <c r="O626" i="14" s="1"/>
  <c r="O559" i="14"/>
  <c r="E265" i="14"/>
  <c r="AI235" i="14"/>
  <c r="Y556" i="14"/>
  <c r="BM148" i="14"/>
  <c r="BM610" i="14" s="1"/>
  <c r="T156" i="14"/>
  <c r="T310" i="14" s="1"/>
  <c r="AS534" i="14"/>
  <c r="J227" i="14"/>
  <c r="J167" i="14"/>
  <c r="J629" i="14" s="1"/>
  <c r="AS192" i="14"/>
  <c r="AS654" i="14" s="1"/>
  <c r="AS187" i="14"/>
  <c r="AS649" i="14" s="1"/>
  <c r="T127" i="14"/>
  <c r="T281" i="14" s="1"/>
  <c r="BW530" i="14"/>
  <c r="BC149" i="14"/>
  <c r="BC611" i="14" s="1"/>
  <c r="E151" i="14"/>
  <c r="E613" i="14" s="1"/>
  <c r="J146" i="14"/>
  <c r="J608" i="14" s="1"/>
  <c r="E181" i="14"/>
  <c r="E643" i="14" s="1"/>
  <c r="O547" i="14"/>
  <c r="AS270" i="14"/>
  <c r="AS193" i="14"/>
  <c r="AS347" i="14" s="1"/>
  <c r="AS254" i="14"/>
  <c r="AS177" i="14"/>
  <c r="AS639" i="14" s="1"/>
  <c r="BW533" i="14"/>
  <c r="BW148" i="14"/>
  <c r="BW302" i="14" s="1"/>
  <c r="AD229" i="14"/>
  <c r="AD152" i="14"/>
  <c r="AD614" i="14" s="1"/>
  <c r="Y136" i="14"/>
  <c r="Y290" i="14" s="1"/>
  <c r="Y213" i="14"/>
  <c r="AD224" i="14"/>
  <c r="AD147" i="14"/>
  <c r="AD301" i="14" s="1"/>
  <c r="AD532" i="14"/>
  <c r="AI523" i="14"/>
  <c r="AI215" i="14"/>
  <c r="AI138" i="14"/>
  <c r="AI292" i="14" s="1"/>
  <c r="J153" i="14"/>
  <c r="J615" i="14" s="1"/>
  <c r="J538" i="14"/>
  <c r="O208" i="14"/>
  <c r="O516" i="14"/>
  <c r="O131" i="14"/>
  <c r="O285" i="14" s="1"/>
  <c r="E528" i="14"/>
  <c r="E220" i="14"/>
  <c r="E143" i="14"/>
  <c r="E297" i="14" s="1"/>
  <c r="O551" i="14"/>
  <c r="O243" i="14"/>
  <c r="O238" i="14"/>
  <c r="O161" i="14"/>
  <c r="O315" i="14" s="1"/>
  <c r="T135" i="14"/>
  <c r="T597" i="14" s="1"/>
  <c r="T520" i="14"/>
  <c r="E134" i="14"/>
  <c r="E288" i="14" s="1"/>
  <c r="E211" i="14"/>
  <c r="BC530" i="14"/>
  <c r="BC222" i="14"/>
  <c r="Y550" i="14"/>
  <c r="Y242" i="14"/>
  <c r="AD225" i="14"/>
  <c r="AD148" i="14"/>
  <c r="AD302" i="14" s="1"/>
  <c r="BH529" i="14"/>
  <c r="BH221" i="14"/>
  <c r="BH144" i="14"/>
  <c r="BH606" i="14" s="1"/>
  <c r="AD210" i="14"/>
  <c r="AD133" i="14"/>
  <c r="AD595" i="14" s="1"/>
  <c r="Y156" i="14"/>
  <c r="Y310" i="14" s="1"/>
  <c r="Y233" i="14"/>
  <c r="O564" i="14"/>
  <c r="O256" i="14"/>
  <c r="Y548" i="14"/>
  <c r="Y240" i="14"/>
  <c r="J158" i="14"/>
  <c r="J620" i="14" s="1"/>
  <c r="J543" i="14"/>
  <c r="AS233" i="14"/>
  <c r="J187" i="14"/>
  <c r="J341" i="14" s="1"/>
  <c r="T553" i="14"/>
  <c r="AN206" i="14"/>
  <c r="Y527" i="14"/>
  <c r="J252" i="14"/>
  <c r="T172" i="14"/>
  <c r="T634" i="14" s="1"/>
  <c r="AD529" i="14"/>
  <c r="E167" i="14"/>
  <c r="E321" i="14" s="1"/>
  <c r="J230" i="14"/>
  <c r="AS274" i="14"/>
  <c r="Y535" i="14"/>
  <c r="AD161" i="14"/>
  <c r="AD623" i="14" s="1"/>
  <c r="T548" i="14"/>
  <c r="O124" i="14"/>
  <c r="O590" i="14" s="1"/>
  <c r="O546" i="14"/>
  <c r="E559" i="14"/>
  <c r="O569" i="14"/>
  <c r="O166" i="14"/>
  <c r="O628" i="14" s="1"/>
  <c r="O224" i="14"/>
  <c r="BC225" i="14"/>
  <c r="AS569" i="14"/>
  <c r="AI159" i="14"/>
  <c r="AI621" i="14" s="1"/>
  <c r="T250" i="14"/>
  <c r="Y250" i="14"/>
  <c r="BC232" i="14"/>
  <c r="E260" i="14"/>
  <c r="BM209" i="14"/>
  <c r="E527" i="14"/>
  <c r="BH517" i="14"/>
  <c r="O150" i="14"/>
  <c r="O304" i="14" s="1"/>
  <c r="AS530" i="14"/>
  <c r="AS277" i="14"/>
  <c r="BM530" i="14"/>
  <c r="J551" i="14"/>
  <c r="AS531" i="14"/>
  <c r="T255" i="14"/>
  <c r="AS532" i="14"/>
  <c r="BC124" i="14"/>
  <c r="BC590" i="14" s="1"/>
  <c r="E226" i="14"/>
  <c r="AS543" i="14"/>
  <c r="O148" i="14"/>
  <c r="O610" i="14" s="1"/>
  <c r="AI541" i="14"/>
  <c r="AI129" i="14"/>
  <c r="AI283" i="14" s="1"/>
  <c r="T528" i="14"/>
  <c r="T545" i="14"/>
  <c r="J221" i="14"/>
  <c r="Y170" i="14"/>
  <c r="Y632" i="14" s="1"/>
  <c r="T173" i="14"/>
  <c r="T327" i="14" s="1"/>
  <c r="T164" i="14"/>
  <c r="T318" i="14" s="1"/>
  <c r="BR152" i="14"/>
  <c r="BR614" i="14" s="1"/>
  <c r="BH132" i="14"/>
  <c r="BH286" i="14" s="1"/>
  <c r="AD125" i="14"/>
  <c r="AD591" i="14" s="1"/>
  <c r="AX142" i="14"/>
  <c r="AX604" i="14" s="1"/>
  <c r="T512" i="14"/>
  <c r="BR132" i="14"/>
  <c r="BR286" i="14" s="1"/>
  <c r="T211" i="14"/>
  <c r="AN516" i="14"/>
  <c r="AN207" i="14"/>
  <c r="E534" i="14"/>
  <c r="AD227" i="14"/>
  <c r="J525" i="14"/>
  <c r="T256" i="14"/>
  <c r="J574" i="14"/>
  <c r="BC227" i="14"/>
  <c r="J529" i="14"/>
  <c r="T247" i="14"/>
  <c r="AS256" i="14"/>
  <c r="Y539" i="14"/>
  <c r="O207" i="14"/>
  <c r="BR537" i="14"/>
  <c r="AI212" i="14"/>
  <c r="T253" i="14"/>
  <c r="AD527" i="14"/>
  <c r="BR517" i="14"/>
  <c r="J540" i="14"/>
  <c r="O232" i="14"/>
  <c r="Y158" i="14"/>
  <c r="Y620" i="14" s="1"/>
  <c r="T519" i="14"/>
  <c r="J253" i="14"/>
  <c r="AI208" i="14"/>
  <c r="AS154" i="14"/>
  <c r="AS616" i="14" s="1"/>
  <c r="O170" i="14"/>
  <c r="O632" i="14" s="1"/>
  <c r="AD123" i="14"/>
  <c r="AD589" i="14" s="1"/>
  <c r="AS538" i="14"/>
  <c r="E547" i="14"/>
  <c r="E544" i="14"/>
  <c r="AN150" i="14"/>
  <c r="AN612" i="14" s="1"/>
  <c r="Y221" i="14"/>
  <c r="AS258" i="14"/>
  <c r="AD213" i="14"/>
  <c r="AS182" i="14"/>
  <c r="AS644" i="14" s="1"/>
  <c r="J517" i="14"/>
  <c r="AS127" i="14"/>
  <c r="AS281" i="14" s="1"/>
  <c r="BC210" i="14"/>
  <c r="AS134" i="14"/>
  <c r="AS596" i="14" s="1"/>
  <c r="BW132" i="14"/>
  <c r="BW594" i="14" s="1"/>
  <c r="AN534" i="14"/>
  <c r="T169" i="14"/>
  <c r="T631" i="14" s="1"/>
  <c r="E227" i="14"/>
  <c r="AX148" i="14"/>
  <c r="AX610" i="14" s="1"/>
  <c r="AD157" i="14"/>
  <c r="AD311" i="14" s="1"/>
  <c r="E146" i="14"/>
  <c r="E608" i="14" s="1"/>
  <c r="AS191" i="14"/>
  <c r="AS653" i="14" s="1"/>
  <c r="AD130" i="14"/>
  <c r="AD284" i="14" s="1"/>
  <c r="T153" i="14"/>
  <c r="T615" i="14" s="1"/>
  <c r="J541" i="14"/>
  <c r="AX156" i="14"/>
  <c r="AX310" i="14" s="1"/>
  <c r="T543" i="14"/>
  <c r="E555" i="14"/>
  <c r="BH227" i="14"/>
  <c r="Y147" i="14"/>
  <c r="Y609" i="14" s="1"/>
  <c r="J566" i="14"/>
  <c r="BH123" i="14"/>
  <c r="BH589" i="14" s="1"/>
  <c r="AS246" i="14"/>
  <c r="J254" i="14"/>
  <c r="BW531" i="14"/>
  <c r="J536" i="14"/>
  <c r="J151" i="14"/>
  <c r="J305" i="14" s="1"/>
  <c r="Y537" i="14"/>
  <c r="Y229" i="14"/>
  <c r="E215" i="14"/>
  <c r="E523" i="14"/>
  <c r="AD519" i="14"/>
  <c r="AD134" i="14"/>
  <c r="AD596" i="14" s="1"/>
  <c r="Y210" i="14"/>
  <c r="Y133" i="14"/>
  <c r="Y595" i="14" s="1"/>
  <c r="AS162" i="14"/>
  <c r="AS316" i="14" s="1"/>
  <c r="AS547" i="14"/>
  <c r="E160" i="14"/>
  <c r="E622" i="14" s="1"/>
  <c r="E237" i="14"/>
  <c r="AI207" i="14"/>
  <c r="AI130" i="14"/>
  <c r="AI284" i="14" s="1"/>
  <c r="E562" i="14"/>
  <c r="E254" i="14"/>
  <c r="BC152" i="14"/>
  <c r="BC614" i="14" s="1"/>
  <c r="BC537" i="14"/>
  <c r="AD154" i="14"/>
  <c r="AD616" i="14" s="1"/>
  <c r="AD231" i="14"/>
  <c r="AX209" i="14"/>
  <c r="AX132" i="14"/>
  <c r="AX286" i="14" s="1"/>
  <c r="BR127" i="14"/>
  <c r="BR281" i="14" s="1"/>
  <c r="BR204" i="14"/>
  <c r="T546" i="14"/>
  <c r="T238" i="14"/>
  <c r="AS556" i="14"/>
  <c r="AS248" i="14"/>
  <c r="AS165" i="14"/>
  <c r="AS319" i="14" s="1"/>
  <c r="AS550" i="14"/>
  <c r="O562" i="14"/>
  <c r="O254" i="14"/>
  <c r="O246" i="14"/>
  <c r="O169" i="14"/>
  <c r="O323" i="14" s="1"/>
  <c r="E148" i="14"/>
  <c r="E610" i="14" s="1"/>
  <c r="E533" i="14"/>
  <c r="Y542" i="14"/>
  <c r="Y157" i="14"/>
  <c r="Y311" i="14" s="1"/>
  <c r="AS522" i="14"/>
  <c r="AS214" i="14"/>
  <c r="AD553" i="14"/>
  <c r="AD245" i="14"/>
  <c r="BR223" i="14"/>
  <c r="BR146" i="14"/>
  <c r="BR300" i="14" s="1"/>
  <c r="BR222" i="14"/>
  <c r="BR145" i="14"/>
  <c r="BR607" i="14" s="1"/>
  <c r="AX235" i="14"/>
  <c r="AX543" i="14"/>
  <c r="T251" i="14"/>
  <c r="T559" i="14"/>
  <c r="AS220" i="14"/>
  <c r="AS143" i="14"/>
  <c r="AS605" i="14" s="1"/>
  <c r="T125" i="14"/>
  <c r="T591" i="14" s="1"/>
  <c r="E128" i="14"/>
  <c r="E282" i="14" s="1"/>
  <c r="BW209" i="14"/>
  <c r="AN149" i="14"/>
  <c r="AN303" i="14" s="1"/>
  <c r="AX541" i="14"/>
  <c r="T158" i="14"/>
  <c r="T620" i="14" s="1"/>
  <c r="E535" i="14"/>
  <c r="E170" i="14"/>
  <c r="E632" i="14" s="1"/>
  <c r="BH535" i="14"/>
  <c r="J157" i="14"/>
  <c r="J311" i="14" s="1"/>
  <c r="AX221" i="14"/>
  <c r="E531" i="14"/>
  <c r="J181" i="14"/>
  <c r="J335" i="14" s="1"/>
  <c r="T174" i="14"/>
  <c r="T636" i="14" s="1"/>
  <c r="AX158" i="14"/>
  <c r="AX620" i="14" s="1"/>
  <c r="BR530" i="14"/>
  <c r="T155" i="14"/>
  <c r="T617" i="14" s="1"/>
  <c r="BR531" i="14"/>
  <c r="BM133" i="14"/>
  <c r="BM595" i="14" s="1"/>
  <c r="O247" i="14"/>
  <c r="O177" i="14"/>
  <c r="O639" i="14" s="1"/>
  <c r="AS171" i="14"/>
  <c r="AS633" i="14" s="1"/>
  <c r="T161" i="14"/>
  <c r="T623" i="14" s="1"/>
  <c r="J567" i="14"/>
  <c r="J182" i="14"/>
  <c r="J644" i="14" s="1"/>
  <c r="E525" i="14"/>
  <c r="E217" i="14"/>
  <c r="J537" i="14"/>
  <c r="J152" i="14"/>
  <c r="J614" i="14" s="1"/>
  <c r="J214" i="14"/>
  <c r="J137" i="14"/>
  <c r="J599" i="14" s="1"/>
  <c r="Y209" i="14"/>
  <c r="Y132" i="14"/>
  <c r="Y594" i="14" s="1"/>
  <c r="O143" i="14"/>
  <c r="O605" i="14" s="1"/>
  <c r="O528" i="14"/>
  <c r="AN128" i="14"/>
  <c r="AN282" i="14" s="1"/>
  <c r="AN205" i="14"/>
  <c r="T527" i="14"/>
  <c r="T219" i="14"/>
  <c r="AX220" i="14"/>
  <c r="AX528" i="14"/>
  <c r="Y225" i="14"/>
  <c r="Y148" i="14"/>
  <c r="Y302" i="14" s="1"/>
  <c r="E229" i="14"/>
  <c r="E152" i="14"/>
  <c r="E306" i="14" s="1"/>
  <c r="AS195" i="14"/>
  <c r="AS349" i="14" s="1"/>
  <c r="AS272" i="14"/>
  <c r="AI210" i="14"/>
  <c r="AI518" i="14"/>
  <c r="E554" i="14"/>
  <c r="E246" i="14"/>
  <c r="T257" i="14"/>
  <c r="T180" i="14"/>
  <c r="T642" i="14" s="1"/>
  <c r="O534" i="14"/>
  <c r="O226" i="14"/>
  <c r="BR144" i="14"/>
  <c r="BR298" i="14" s="1"/>
  <c r="BR529" i="14"/>
  <c r="Y236" i="14"/>
  <c r="Y159" i="14"/>
  <c r="Y313" i="14" s="1"/>
  <c r="BM204" i="14"/>
  <c r="BM127" i="14"/>
  <c r="BM281" i="14" s="1"/>
  <c r="AS245" i="14"/>
  <c r="AS168" i="14"/>
  <c r="AS630" i="14" s="1"/>
  <c r="J241" i="14"/>
  <c r="J164" i="14"/>
  <c r="J626" i="14" s="1"/>
  <c r="AD237" i="14"/>
  <c r="AD160" i="14"/>
  <c r="AD314" i="14" s="1"/>
  <c r="E248" i="14"/>
  <c r="E556" i="14"/>
  <c r="BC144" i="14"/>
  <c r="BC606" i="14" s="1"/>
  <c r="BC221" i="14"/>
  <c r="BC538" i="14"/>
  <c r="BC230" i="14"/>
  <c r="J142" i="14"/>
  <c r="J604" i="14" s="1"/>
  <c r="J527" i="14"/>
  <c r="T222" i="14"/>
  <c r="T145" i="14"/>
  <c r="T607" i="14" s="1"/>
  <c r="BC224" i="14"/>
  <c r="BC147" i="14"/>
  <c r="BC609" i="14" s="1"/>
  <c r="AI144" i="14"/>
  <c r="AI606" i="14" s="1"/>
  <c r="AI221" i="14"/>
  <c r="AX159" i="14"/>
  <c r="AX621" i="14" s="1"/>
  <c r="AX544" i="14"/>
  <c r="T547" i="14"/>
  <c r="T239" i="14"/>
  <c r="E154" i="14"/>
  <c r="E308" i="14" s="1"/>
  <c r="E539" i="14"/>
  <c r="Y528" i="14"/>
  <c r="Y220" i="14"/>
  <c r="E542" i="14"/>
  <c r="E157" i="14"/>
  <c r="E619" i="14" s="1"/>
  <c r="BM529" i="14"/>
  <c r="BM221" i="14"/>
  <c r="T564" i="14"/>
  <c r="J189" i="14"/>
  <c r="J343" i="14" s="1"/>
  <c r="AI142" i="14"/>
  <c r="AI604" i="14" s="1"/>
  <c r="T160" i="14"/>
  <c r="T622" i="14" s="1"/>
  <c r="AS549" i="14"/>
  <c r="BM143" i="14"/>
  <c r="BM297" i="14" s="1"/>
  <c r="AI530" i="14"/>
  <c r="E178" i="14"/>
  <c r="E640" i="14" s="1"/>
  <c r="T246" i="14"/>
  <c r="Y247" i="14"/>
  <c r="Y531" i="14"/>
  <c r="AI544" i="14"/>
  <c r="AX225" i="14"/>
  <c r="T549" i="14"/>
  <c r="Y558" i="14"/>
  <c r="AS179" i="14"/>
  <c r="AS641" i="14" s="1"/>
  <c r="E162" i="14"/>
  <c r="E316" i="14" s="1"/>
  <c r="BC155" i="14"/>
  <c r="BC617" i="14" s="1"/>
  <c r="AD542" i="14"/>
  <c r="AX529" i="14"/>
  <c r="T531" i="14"/>
  <c r="O168" i="14"/>
  <c r="O322" i="14" s="1"/>
  <c r="Y533" i="14"/>
  <c r="O259" i="14"/>
  <c r="AI535" i="14"/>
  <c r="AS527" i="14"/>
  <c r="BW516" i="14"/>
  <c r="O128" i="14"/>
  <c r="O282" i="14" s="1"/>
  <c r="T232" i="14"/>
  <c r="AS561" i="14"/>
  <c r="Y552" i="14"/>
  <c r="O563" i="14"/>
  <c r="E249" i="14"/>
  <c r="AD158" i="14"/>
  <c r="AD620" i="14" s="1"/>
  <c r="AI529" i="14"/>
  <c r="BC532" i="14"/>
  <c r="T530" i="14"/>
  <c r="AD211" i="14"/>
  <c r="AX219" i="14"/>
  <c r="BM210" i="14"/>
  <c r="J226" i="14"/>
  <c r="BM149" i="14"/>
  <c r="BM611" i="14" s="1"/>
  <c r="E233" i="14"/>
  <c r="J225" i="14"/>
  <c r="T224" i="14"/>
  <c r="BC154" i="14"/>
  <c r="BC616" i="14" s="1"/>
  <c r="O540" i="14"/>
  <c r="Y536" i="14"/>
  <c r="AI143" i="14"/>
  <c r="AI605" i="14" s="1"/>
  <c r="T149" i="14"/>
  <c r="T303" i="14" s="1"/>
  <c r="O219" i="14"/>
  <c r="BM223" i="14"/>
  <c r="AD531" i="14"/>
  <c r="AI214" i="14"/>
  <c r="T523" i="14"/>
  <c r="T142" i="14"/>
  <c r="T296" i="14" s="1"/>
  <c r="AS147" i="14"/>
  <c r="AS609" i="14" s="1"/>
  <c r="E138" i="14"/>
  <c r="E600" i="14" s="1"/>
  <c r="AX204" i="14"/>
  <c r="BW124" i="14"/>
  <c r="BW590" i="14" s="1"/>
  <c r="J219" i="14"/>
  <c r="J207" i="14"/>
  <c r="AN521" i="14"/>
  <c r="AS158" i="14"/>
  <c r="AS312" i="14" s="1"/>
  <c r="AD539" i="14"/>
  <c r="O231" i="14"/>
  <c r="AS172" i="14"/>
  <c r="AS634" i="14" s="1"/>
  <c r="O544" i="14"/>
  <c r="BC204" i="14"/>
  <c r="E153" i="14"/>
  <c r="E615" i="14" s="1"/>
  <c r="Y123" i="14"/>
  <c r="Y589" i="14" s="1"/>
  <c r="AD554" i="14"/>
  <c r="AI153" i="14"/>
  <c r="AI615" i="14" s="1"/>
  <c r="AI516" i="14"/>
  <c r="J185" i="14"/>
  <c r="J339" i="14" s="1"/>
  <c r="J140" i="14"/>
  <c r="J602" i="14" s="1"/>
  <c r="AS512" i="14"/>
  <c r="AD538" i="14"/>
  <c r="AD153" i="14"/>
  <c r="AD307" i="14" s="1"/>
  <c r="AS173" i="14"/>
  <c r="AS635" i="14" s="1"/>
  <c r="AS250" i="14"/>
  <c r="AS573" i="14"/>
  <c r="AS188" i="14"/>
  <c r="AS650" i="14" s="1"/>
  <c r="AN215" i="14"/>
  <c r="AN523" i="14"/>
  <c r="AD214" i="14"/>
  <c r="AD137" i="14"/>
  <c r="AD599" i="14" s="1"/>
  <c r="AI514" i="14"/>
  <c r="AI125" i="14"/>
  <c r="AI591" i="14" s="1"/>
  <c r="AN210" i="14"/>
  <c r="AN133" i="14"/>
  <c r="AN287" i="14" s="1"/>
  <c r="E548" i="14"/>
  <c r="E163" i="14"/>
  <c r="E317" i="14" s="1"/>
  <c r="BH518" i="14"/>
  <c r="BH210" i="14"/>
  <c r="Y519" i="14"/>
  <c r="Y211" i="14"/>
  <c r="AX237" i="14"/>
  <c r="AX160" i="14"/>
  <c r="AX314" i="14" s="1"/>
  <c r="O209" i="14"/>
  <c r="O517" i="14"/>
  <c r="AS209" i="14"/>
  <c r="AS132" i="14"/>
  <c r="AS594" i="14" s="1"/>
  <c r="J514" i="14"/>
  <c r="J125" i="14"/>
  <c r="J591" i="14" s="1"/>
  <c r="Y516" i="14"/>
  <c r="Y208" i="14"/>
  <c r="E546" i="14"/>
  <c r="E238" i="14"/>
  <c r="E529" i="14"/>
  <c r="E144" i="14"/>
  <c r="E298" i="14" s="1"/>
  <c r="AS157" i="14"/>
  <c r="AS311" i="14" s="1"/>
  <c r="AS234" i="14"/>
  <c r="J239" i="14"/>
  <c r="J162" i="14"/>
  <c r="J624" i="14" s="1"/>
  <c r="J554" i="14"/>
  <c r="J246" i="14"/>
  <c r="Y172" i="14"/>
  <c r="Y634" i="14" s="1"/>
  <c r="Y557" i="14"/>
  <c r="E549" i="14"/>
  <c r="E241" i="14"/>
  <c r="AX146" i="14"/>
  <c r="AX300" i="14" s="1"/>
  <c r="AX531" i="14"/>
  <c r="BM541" i="14"/>
  <c r="BM233" i="14"/>
  <c r="BH530" i="14"/>
  <c r="BH222" i="14"/>
  <c r="AX238" i="14"/>
  <c r="AX546" i="14"/>
  <c r="AS225" i="14"/>
  <c r="AS148" i="14"/>
  <c r="AS302" i="14" s="1"/>
  <c r="AX151" i="14"/>
  <c r="AX305" i="14" s="1"/>
  <c r="AX228" i="14"/>
  <c r="AI157" i="14"/>
  <c r="AI619" i="14" s="1"/>
  <c r="AI542" i="14"/>
  <c r="BH532" i="14"/>
  <c r="BH147" i="14"/>
  <c r="BH301" i="14" s="1"/>
  <c r="AS545" i="14"/>
  <c r="AS160" i="14"/>
  <c r="AS622" i="14" s="1"/>
  <c r="T181" i="14"/>
  <c r="T335" i="14" s="1"/>
  <c r="T258" i="14"/>
  <c r="O156" i="14"/>
  <c r="O310" i="14" s="1"/>
  <c r="O233" i="14"/>
  <c r="E261" i="14"/>
  <c r="E184" i="14"/>
  <c r="E338" i="14" s="1"/>
  <c r="O244" i="14"/>
  <c r="O167" i="14"/>
  <c r="O629" i="14" s="1"/>
  <c r="AS153" i="14"/>
  <c r="AS307" i="14" s="1"/>
  <c r="E159" i="14"/>
  <c r="E313" i="14" s="1"/>
  <c r="AN227" i="14"/>
  <c r="Y529" i="14"/>
  <c r="AS566" i="14"/>
  <c r="Y224" i="14"/>
  <c r="T223" i="14"/>
  <c r="AS517" i="14"/>
  <c r="AD521" i="14"/>
  <c r="AS528" i="14"/>
  <c r="AX124" i="14"/>
  <c r="AX590" i="14" s="1"/>
  <c r="BM534" i="14"/>
  <c r="AI234" i="14"/>
  <c r="BH145" i="14"/>
  <c r="BH299" i="14" s="1"/>
  <c r="AS242" i="14"/>
  <c r="AX223" i="14"/>
  <c r="E164" i="14"/>
  <c r="E626" i="14" s="1"/>
  <c r="E240" i="14"/>
  <c r="O142" i="14"/>
  <c r="O604" i="14" s="1"/>
  <c r="Y234" i="14"/>
  <c r="J169" i="14"/>
  <c r="J631" i="14" s="1"/>
  <c r="T230" i="14"/>
  <c r="O236" i="14"/>
  <c r="AD246" i="14"/>
  <c r="J233" i="14"/>
  <c r="E514" i="14"/>
  <c r="J205" i="14"/>
  <c r="J128" i="14"/>
  <c r="J282" i="14" s="1"/>
  <c r="BH513" i="14"/>
  <c r="BH124" i="14"/>
  <c r="BH590" i="14" s="1"/>
  <c r="E522" i="14"/>
  <c r="E214" i="14"/>
  <c r="BR528" i="14"/>
  <c r="BR143" i="14"/>
  <c r="BR605" i="14" s="1"/>
  <c r="T552" i="14"/>
  <c r="T167" i="14"/>
  <c r="T321" i="14" s="1"/>
  <c r="AN527" i="14"/>
  <c r="AN219" i="14"/>
  <c r="BR534" i="14"/>
  <c r="BR149" i="14"/>
  <c r="BR303" i="14" s="1"/>
  <c r="O545" i="14"/>
  <c r="O160" i="14"/>
  <c r="O622" i="14" s="1"/>
  <c r="E133" i="14"/>
  <c r="E287" i="14" s="1"/>
  <c r="E518" i="14"/>
  <c r="AN211" i="14"/>
  <c r="AN134" i="14"/>
  <c r="AN288" i="14" s="1"/>
  <c r="BC522" i="14"/>
  <c r="BC214" i="14"/>
  <c r="O548" i="14"/>
  <c r="O240" i="14"/>
  <c r="E553" i="14"/>
  <c r="E245" i="14"/>
  <c r="E517" i="14"/>
  <c r="E132" i="14"/>
  <c r="E286" i="14" s="1"/>
  <c r="T516" i="14"/>
  <c r="T131" i="14"/>
  <c r="T593" i="14" s="1"/>
  <c r="AS227" i="14"/>
  <c r="AS150" i="14"/>
  <c r="AS612" i="14" s="1"/>
  <c r="Y538" i="14"/>
  <c r="Y230" i="14"/>
  <c r="E242" i="14"/>
  <c r="E165" i="14"/>
  <c r="E627" i="14" s="1"/>
  <c r="J163" i="14"/>
  <c r="J317" i="14" s="1"/>
  <c r="J240" i="14"/>
  <c r="AD528" i="14"/>
  <c r="AD220" i="14"/>
  <c r="AX162" i="14"/>
  <c r="AX316" i="14" s="1"/>
  <c r="AX547" i="14"/>
  <c r="T228" i="14"/>
  <c r="T151" i="14"/>
  <c r="T613" i="14" s="1"/>
  <c r="BM142" i="14"/>
  <c r="BM296" i="14" s="1"/>
  <c r="O245" i="14"/>
  <c r="AS539" i="14"/>
  <c r="BM205" i="14"/>
  <c r="O567" i="14"/>
  <c r="AI150" i="14"/>
  <c r="AI612" i="14" s="1"/>
  <c r="O522" i="14"/>
  <c r="AN519" i="14"/>
  <c r="E210" i="14"/>
  <c r="AI126" i="14"/>
  <c r="AI592" i="14" s="1"/>
  <c r="AI135" i="14"/>
  <c r="AI289" i="14" s="1"/>
  <c r="AX545" i="14"/>
  <c r="AS142" i="14"/>
  <c r="AS604" i="14" s="1"/>
  <c r="J512" i="14"/>
  <c r="BW131" i="14"/>
  <c r="BW593" i="14" s="1"/>
  <c r="E225" i="14"/>
  <c r="AS194" i="14"/>
  <c r="AS348" i="14" s="1"/>
  <c r="AS176" i="14"/>
  <c r="AS638" i="14" s="1"/>
  <c r="O552" i="14"/>
  <c r="O178" i="14"/>
  <c r="O640" i="14" s="1"/>
  <c r="O535" i="14"/>
  <c r="AD168" i="14"/>
  <c r="AD322" i="14" s="1"/>
  <c r="AD235" i="14"/>
  <c r="AS137" i="14"/>
  <c r="AS599" i="14" s="1"/>
  <c r="AS237" i="14"/>
  <c r="BH224" i="14"/>
  <c r="T176" i="14"/>
  <c r="T638" i="14" s="1"/>
  <c r="AS198" i="14"/>
  <c r="AS352" i="14" s="1"/>
  <c r="AD219" i="14"/>
  <c r="E541" i="14"/>
  <c r="J148" i="14"/>
  <c r="J302" i="14" s="1"/>
  <c r="T532" i="14"/>
  <c r="BC231" i="14"/>
  <c r="J159" i="14"/>
  <c r="J621" i="14" s="1"/>
  <c r="O554" i="14"/>
  <c r="Y151" i="14"/>
  <c r="Y613" i="14" s="1"/>
  <c r="J243" i="14"/>
  <c r="AI220" i="14"/>
  <c r="T534" i="14"/>
  <c r="J229" i="14"/>
  <c r="AX229" i="14"/>
  <c r="AS169" i="14"/>
  <c r="AS323" i="14" s="1"/>
  <c r="O220" i="14"/>
  <c r="BM531" i="14"/>
  <c r="AD146" i="14"/>
  <c r="AD608" i="14" s="1"/>
  <c r="AI522" i="14"/>
  <c r="Y517" i="14"/>
  <c r="T138" i="14"/>
  <c r="T292" i="14" s="1"/>
  <c r="AN131" i="14"/>
  <c r="AN285" i="14" s="1"/>
  <c r="J132" i="14"/>
  <c r="J594" i="14" s="1"/>
  <c r="J177" i="14"/>
  <c r="J331" i="14" s="1"/>
  <c r="BM144" i="14"/>
  <c r="BM606" i="14" s="1"/>
  <c r="BC133" i="14"/>
  <c r="BC595" i="14" s="1"/>
  <c r="AD241" i="14"/>
  <c r="AN136" i="14"/>
  <c r="AN290" i="14" s="1"/>
  <c r="O225" i="14"/>
  <c r="O539" i="14"/>
  <c r="J547" i="14"/>
  <c r="AS249" i="14"/>
  <c r="Y544" i="14"/>
  <c r="E230" i="14"/>
  <c r="BC229" i="14"/>
  <c r="J176" i="14"/>
  <c r="J330" i="14" s="1"/>
  <c r="E168" i="14"/>
  <c r="E322" i="14" s="1"/>
  <c r="AI230" i="14"/>
  <c r="BW223" i="14"/>
  <c r="O149" i="14"/>
  <c r="O303" i="14" s="1"/>
  <c r="AD150" i="14"/>
  <c r="AD612" i="14" s="1"/>
  <c r="T565" i="14"/>
  <c r="E169" i="14"/>
  <c r="E631" i="14" s="1"/>
  <c r="AS535" i="14"/>
  <c r="AI133" i="14"/>
  <c r="AI595" i="14" s="1"/>
  <c r="AS519" i="14"/>
  <c r="E209" i="14"/>
  <c r="AN518" i="14"/>
  <c r="Y152" i="14"/>
  <c r="Y306" i="14" s="1"/>
  <c r="J570" i="14"/>
  <c r="T143" i="14"/>
  <c r="T297" i="14" s="1"/>
  <c r="E207" i="14"/>
  <c r="J222" i="14"/>
  <c r="E206" i="14"/>
  <c r="AS570" i="14"/>
  <c r="BH521" i="14"/>
  <c r="E515" i="14"/>
  <c r="J145" i="14"/>
  <c r="J299" i="14" s="1"/>
  <c r="T126" i="14"/>
  <c r="T592" i="14" s="1"/>
  <c r="BH213" i="14"/>
  <c r="E513" i="14"/>
  <c r="AD230" i="14"/>
  <c r="AS558" i="14"/>
  <c r="BC527" i="14"/>
  <c r="BM219" i="14"/>
  <c r="AS568" i="14"/>
  <c r="BC219" i="14"/>
  <c r="BW205" i="14"/>
  <c r="BC296" i="14"/>
  <c r="BC604" i="14"/>
  <c r="O608" i="14"/>
  <c r="O300" i="14"/>
  <c r="Y314" i="14"/>
  <c r="Y622" i="14"/>
  <c r="O625" i="14"/>
  <c r="O317" i="14"/>
  <c r="BC291" i="14"/>
  <c r="BC599" i="14"/>
  <c r="O594" i="14"/>
  <c r="O286" i="14"/>
  <c r="E601" i="14"/>
  <c r="E293" i="14"/>
  <c r="AI598" i="14"/>
  <c r="AI290" i="14"/>
  <c r="Y596" i="14"/>
  <c r="Y288" i="14"/>
  <c r="Y297" i="14"/>
  <c r="Y605" i="14"/>
  <c r="T319" i="14"/>
  <c r="T627" i="14"/>
  <c r="T624" i="14"/>
  <c r="T316" i="14"/>
  <c r="AS332" i="14"/>
  <c r="AS640" i="14"/>
  <c r="AX308" i="14"/>
  <c r="AX616" i="14"/>
  <c r="AX623" i="14"/>
  <c r="AX315" i="14"/>
  <c r="BC307" i="14"/>
  <c r="BC615" i="14"/>
  <c r="E633" i="14"/>
  <c r="E325" i="14"/>
  <c r="AD297" i="14"/>
  <c r="AD605" i="14"/>
  <c r="AN605" i="14"/>
  <c r="AN297" i="14"/>
  <c r="E599" i="14"/>
  <c r="E291" i="14"/>
  <c r="AS597" i="14"/>
  <c r="AS289" i="14"/>
  <c r="E329" i="14"/>
  <c r="E637" i="14"/>
  <c r="E602" i="14"/>
  <c r="E294" i="14"/>
  <c r="E611" i="14"/>
  <c r="E303" i="14"/>
  <c r="E648" i="14"/>
  <c r="E340" i="14"/>
  <c r="AN615" i="14"/>
  <c r="AN307" i="14"/>
  <c r="O616" i="14"/>
  <c r="O308" i="14"/>
  <c r="BC310" i="14"/>
  <c r="BC618" i="14"/>
  <c r="O313" i="14"/>
  <c r="O621" i="14"/>
  <c r="Y317" i="14"/>
  <c r="Y625" i="14"/>
  <c r="AI285" i="14"/>
  <c r="AI593" i="14"/>
  <c r="BC612" i="14"/>
  <c r="BC304" i="14"/>
  <c r="AN291" i="14"/>
  <c r="AN599" i="14"/>
  <c r="AX615" i="14"/>
  <c r="AX307" i="14"/>
  <c r="Y633" i="14"/>
  <c r="Y325" i="14"/>
  <c r="T608" i="14"/>
  <c r="T300" i="14"/>
  <c r="Y319" i="14"/>
  <c r="Y627" i="14"/>
  <c r="AI617" i="14"/>
  <c r="AI309" i="14"/>
  <c r="BC608" i="14"/>
  <c r="BC300" i="14"/>
  <c r="O598" i="14"/>
  <c r="O290" i="14"/>
  <c r="AD286" i="14"/>
  <c r="AD594" i="14"/>
  <c r="AN286" i="14"/>
  <c r="AN594" i="14"/>
  <c r="O334" i="14"/>
  <c r="O642" i="14"/>
  <c r="T637" i="14"/>
  <c r="T329" i="14"/>
  <c r="AS629" i="14"/>
  <c r="AS321" i="14"/>
  <c r="AN609" i="14"/>
  <c r="AN301" i="14"/>
  <c r="BH290" i="14"/>
  <c r="BH598" i="14"/>
  <c r="BH287" i="14"/>
  <c r="BH595" i="14"/>
  <c r="E644" i="14"/>
  <c r="E336" i="14"/>
  <c r="BM618" i="14"/>
  <c r="BM310" i="14"/>
  <c r="J297" i="14"/>
  <c r="J605" i="14"/>
  <c r="AN296" i="14"/>
  <c r="AN604" i="14"/>
  <c r="J597" i="14"/>
  <c r="J289" i="14"/>
  <c r="AD289" i="14"/>
  <c r="AD597" i="14"/>
  <c r="AI308" i="14"/>
  <c r="AI616" i="14"/>
  <c r="BH604" i="14"/>
  <c r="BH296" i="14"/>
  <c r="O641" i="14"/>
  <c r="O333" i="14"/>
  <c r="AN608" i="14"/>
  <c r="AN300" i="14"/>
  <c r="AN600" i="14"/>
  <c r="AN292" i="14"/>
  <c r="E603" i="14"/>
  <c r="E295" i="14"/>
  <c r="T333" i="14"/>
  <c r="T641" i="14"/>
  <c r="AN306" i="14"/>
  <c r="AN614" i="14"/>
  <c r="AI607" i="14"/>
  <c r="AI299" i="14"/>
  <c r="E612" i="14"/>
  <c r="E304" i="14"/>
  <c r="BM617" i="14"/>
  <c r="BM309" i="14"/>
  <c r="AS643" i="14"/>
  <c r="AS335" i="14"/>
  <c r="E333" i="14"/>
  <c r="E641" i="14"/>
  <c r="BR593" i="14"/>
  <c r="BR285" i="14"/>
  <c r="J606" i="14"/>
  <c r="J298" i="14"/>
  <c r="T632" i="14"/>
  <c r="T324" i="14"/>
  <c r="AI610" i="14"/>
  <c r="AI302" i="14"/>
  <c r="Y631" i="14"/>
  <c r="Y323" i="14"/>
  <c r="O644" i="14"/>
  <c r="O336" i="14"/>
  <c r="BC607" i="14"/>
  <c r="BC299" i="14"/>
  <c r="AD290" i="14"/>
  <c r="AD598" i="14"/>
  <c r="AS595" i="14"/>
  <c r="AS287" i="14"/>
  <c r="E604" i="14"/>
  <c r="E296" i="14"/>
  <c r="T621" i="14"/>
  <c r="T313" i="14"/>
  <c r="AD305" i="14"/>
  <c r="AD613" i="14"/>
  <c r="AD604" i="14"/>
  <c r="AD296" i="14"/>
  <c r="BM299" i="14"/>
  <c r="BM607" i="14"/>
  <c r="AI315" i="14"/>
  <c r="AI623" i="14"/>
  <c r="T640" i="14"/>
  <c r="T332" i="14"/>
  <c r="T596" i="14"/>
  <c r="T288" i="14"/>
  <c r="AN289" i="14"/>
  <c r="AN597" i="14"/>
  <c r="AS593" i="14"/>
  <c r="AS285" i="14"/>
  <c r="AS324" i="14"/>
  <c r="AS632" i="14"/>
  <c r="AN607" i="14"/>
  <c r="AN299" i="14"/>
  <c r="AX297" i="14"/>
  <c r="AX605" i="14"/>
  <c r="Y307" i="14"/>
  <c r="Y615" i="14"/>
  <c r="E623" i="14"/>
  <c r="E315" i="14"/>
  <c r="E639" i="14"/>
  <c r="E331" i="14"/>
  <c r="Y593" i="14"/>
  <c r="Y285" i="14"/>
  <c r="AX612" i="14"/>
  <c r="AX304" i="14"/>
  <c r="AS318" i="14"/>
  <c r="AS626" i="14"/>
  <c r="AN613" i="14"/>
  <c r="AN305" i="14"/>
  <c r="Y300" i="14"/>
  <c r="Y608" i="14"/>
  <c r="AS320" i="14"/>
  <c r="AS628" i="14"/>
  <c r="BH612" i="14"/>
  <c r="BH304" i="14"/>
  <c r="Y327" i="14"/>
  <c r="Y635" i="14"/>
  <c r="AD309" i="14"/>
  <c r="AD617" i="14"/>
  <c r="Y298" i="14"/>
  <c r="Y606" i="14"/>
  <c r="AX606" i="14"/>
  <c r="AX298" i="14"/>
  <c r="AD593" i="14"/>
  <c r="AD285" i="14"/>
  <c r="Y321" i="14"/>
  <c r="Y629" i="14"/>
  <c r="BM612" i="14"/>
  <c r="BM304" i="14"/>
  <c r="AS607" i="14"/>
  <c r="AS299" i="14"/>
  <c r="E310" i="14"/>
  <c r="E618" i="14"/>
  <c r="O327" i="14"/>
  <c r="O635" i="14"/>
  <c r="T609" i="14"/>
  <c r="T301" i="14"/>
  <c r="J309" i="14"/>
  <c r="J617" i="14"/>
  <c r="O617" i="14"/>
  <c r="O309" i="14"/>
  <c r="J320" i="14"/>
  <c r="J628" i="14"/>
  <c r="AS300" i="14"/>
  <c r="AS608" i="14"/>
  <c r="J301" i="14"/>
  <c r="J609" i="14"/>
  <c r="J627" i="14"/>
  <c r="J319" i="14"/>
  <c r="E638" i="14"/>
  <c r="E330" i="14"/>
  <c r="AX614" i="14"/>
  <c r="AX306" i="14"/>
  <c r="BM300" i="14"/>
  <c r="BM608" i="14"/>
  <c r="O607" i="14"/>
  <c r="O299" i="14"/>
  <c r="AI599" i="14"/>
  <c r="AI291" i="14"/>
  <c r="AX599" i="14"/>
  <c r="AX291" i="14"/>
  <c r="AD626" i="14"/>
  <c r="AD318" i="14"/>
  <c r="BR305" i="14"/>
  <c r="BR613" i="14"/>
  <c r="AD631" i="14"/>
  <c r="AD323" i="14"/>
  <c r="BR287" i="14"/>
  <c r="BR595" i="14"/>
  <c r="BW300" i="14"/>
  <c r="BW608" i="14"/>
  <c r="J618" i="14"/>
  <c r="J310" i="14"/>
  <c r="BR301" i="14"/>
  <c r="BR609" i="14"/>
  <c r="T216" i="18"/>
  <c r="R216" i="18"/>
  <c r="C216" i="18" s="1"/>
  <c r="R395" i="18"/>
  <c r="N309" i="18"/>
  <c r="L309" i="18"/>
  <c r="N411" i="18"/>
  <c r="N415" i="18"/>
  <c r="P411" i="18"/>
  <c r="T411" i="18"/>
  <c r="T415" i="18"/>
  <c r="R411" i="18"/>
  <c r="R415" i="18"/>
  <c r="AB237" i="17" l="1"/>
  <c r="AB239" i="17" s="1"/>
  <c r="EH5" i="17"/>
  <c r="AA238" i="17"/>
  <c r="AA237" i="17"/>
  <c r="EH64" i="17"/>
  <c r="EH59" i="17"/>
  <c r="EH53" i="17"/>
  <c r="EH52" i="17"/>
  <c r="EH48" i="17"/>
  <c r="EH47" i="17"/>
  <c r="EH45" i="17"/>
  <c r="EH40" i="17"/>
  <c r="EH63" i="17"/>
  <c r="EH62" i="17"/>
  <c r="EH61" i="17"/>
  <c r="EH56" i="17"/>
  <c r="EH55" i="17"/>
  <c r="EH50" i="17"/>
  <c r="EH46" i="17"/>
  <c r="EH39" i="17"/>
  <c r="EH38" i="17"/>
  <c r="EH60" i="17"/>
  <c r="EH54" i="17"/>
  <c r="EH51" i="17"/>
  <c r="EH44" i="17"/>
  <c r="EH43" i="17"/>
  <c r="EH42" i="17"/>
  <c r="EH37" i="17"/>
  <c r="EH58" i="17"/>
  <c r="EH49" i="17"/>
  <c r="EH57" i="17"/>
  <c r="EH41" i="17"/>
  <c r="C395" i="18"/>
  <c r="C415" i="18"/>
  <c r="C411" i="18"/>
  <c r="EH7" i="17"/>
  <c r="EH11" i="17"/>
  <c r="EH15" i="17"/>
  <c r="EH19" i="17"/>
  <c r="EH23" i="17"/>
  <c r="EH27" i="17"/>
  <c r="EH31" i="17"/>
  <c r="EH8" i="17"/>
  <c r="EH12" i="17"/>
  <c r="EH16" i="17"/>
  <c r="EH20" i="17"/>
  <c r="EH24" i="17"/>
  <c r="EH28" i="17"/>
  <c r="EH32" i="17"/>
  <c r="EH9" i="17"/>
  <c r="EH13" i="17"/>
  <c r="EH17" i="17"/>
  <c r="EH21" i="17"/>
  <c r="EH25" i="17"/>
  <c r="EH29" i="17"/>
  <c r="EH6" i="17"/>
  <c r="EH10" i="17"/>
  <c r="EH14" i="17"/>
  <c r="EH18" i="17"/>
  <c r="EH22" i="17"/>
  <c r="EH26" i="17"/>
  <c r="EH30" i="17"/>
  <c r="O613" i="14"/>
  <c r="O637" i="14"/>
  <c r="T598" i="14"/>
  <c r="J603" i="14"/>
  <c r="T606" i="14"/>
  <c r="J600" i="14"/>
  <c r="BH302" i="14"/>
  <c r="O614" i="14"/>
  <c r="AX311" i="14"/>
  <c r="O593" i="14"/>
  <c r="AS334" i="14"/>
  <c r="J649" i="14"/>
  <c r="E617" i="14"/>
  <c r="O289" i="14"/>
  <c r="AX593" i="14"/>
  <c r="AI305" i="14"/>
  <c r="AS313" i="14"/>
  <c r="Y289" i="14"/>
  <c r="AS305" i="14"/>
  <c r="BH596" i="14"/>
  <c r="E620" i="14"/>
  <c r="Y624" i="14"/>
  <c r="E635" i="14"/>
  <c r="E305" i="14"/>
  <c r="BM593" i="14"/>
  <c r="J622" i="14"/>
  <c r="Y309" i="14"/>
  <c r="AS309" i="14"/>
  <c r="AX301" i="14"/>
  <c r="AS328" i="14"/>
  <c r="BH611" i="14"/>
  <c r="AD316" i="14"/>
  <c r="BM305" i="14"/>
  <c r="J625" i="14"/>
  <c r="O287" i="14"/>
  <c r="T307" i="14"/>
  <c r="AS308" i="14"/>
  <c r="J635" i="14"/>
  <c r="BM609" i="14"/>
  <c r="BC594" i="14"/>
  <c r="O636" i="14"/>
  <c r="AS611" i="14"/>
  <c r="O298" i="14"/>
  <c r="AS627" i="14"/>
  <c r="T306" i="14"/>
  <c r="AD611" i="14"/>
  <c r="Y303" i="14"/>
  <c r="O646" i="14"/>
  <c r="T322" i="14"/>
  <c r="AS290" i="14"/>
  <c r="Y304" i="14"/>
  <c r="T317" i="14"/>
  <c r="Y299" i="14"/>
  <c r="E606" i="14"/>
  <c r="T605" i="14"/>
  <c r="AN298" i="14"/>
  <c r="BW299" i="14"/>
  <c r="AI313" i="14"/>
  <c r="E301" i="14"/>
  <c r="O291" i="14"/>
  <c r="J611" i="14"/>
  <c r="Y287" i="14"/>
  <c r="O307" i="14"/>
  <c r="T320" i="14"/>
  <c r="J312" i="14"/>
  <c r="BM306" i="14"/>
  <c r="T326" i="14"/>
  <c r="E300" i="14"/>
  <c r="AS614" i="14"/>
  <c r="T286" i="14"/>
  <c r="AS288" i="14"/>
  <c r="AN610" i="14"/>
  <c r="E593" i="14"/>
  <c r="BH291" i="14"/>
  <c r="O330" i="14"/>
  <c r="BM615" i="14"/>
  <c r="BC302" i="14"/>
  <c r="AX596" i="14"/>
  <c r="J290" i="14"/>
  <c r="Y600" i="14"/>
  <c r="J307" i="14"/>
  <c r="J325" i="14"/>
  <c r="J601" i="14"/>
  <c r="BR604" i="14"/>
  <c r="J304" i="14"/>
  <c r="BW287" i="14"/>
  <c r="J642" i="14"/>
  <c r="AD621" i="14"/>
  <c r="E334" i="14"/>
  <c r="BM594" i="14"/>
  <c r="J308" i="14"/>
  <c r="T639" i="14"/>
  <c r="E307" i="14"/>
  <c r="AD600" i="14"/>
  <c r="J648" i="14"/>
  <c r="AD618" i="14"/>
  <c r="AS292" i="14"/>
  <c r="AX296" i="14"/>
  <c r="O319" i="14"/>
  <c r="Y628" i="14"/>
  <c r="E628" i="14"/>
  <c r="J595" i="14"/>
  <c r="Y598" i="14"/>
  <c r="AD630" i="14"/>
  <c r="T610" i="14"/>
  <c r="O335" i="14"/>
  <c r="AI310" i="14"/>
  <c r="BR611" i="14"/>
  <c r="AD607" i="14"/>
  <c r="AD320" i="14"/>
  <c r="AS330" i="14"/>
  <c r="J647" i="14"/>
  <c r="T291" i="14"/>
  <c r="BR608" i="14"/>
  <c r="E328" i="14"/>
  <c r="AN595" i="14"/>
  <c r="E343" i="14"/>
  <c r="O321" i="14"/>
  <c r="AI288" i="14"/>
  <c r="BH593" i="14"/>
  <c r="AS631" i="14"/>
  <c r="J316" i="14"/>
  <c r="E299" i="14"/>
  <c r="AX287" i="14"/>
  <c r="J324" i="14"/>
  <c r="J337" i="14"/>
  <c r="AI300" i="14"/>
  <c r="BW610" i="14"/>
  <c r="J286" i="14"/>
  <c r="BW609" i="14"/>
  <c r="AS317" i="14"/>
  <c r="BC596" i="14"/>
  <c r="AS314" i="14"/>
  <c r="T299" i="14"/>
  <c r="T308" i="14"/>
  <c r="E598" i="14"/>
  <c r="AD287" i="14"/>
  <c r="BC285" i="14"/>
  <c r="O288" i="14"/>
  <c r="AI600" i="14"/>
  <c r="T633" i="14"/>
  <c r="AX302" i="14"/>
  <c r="J322" i="14"/>
  <c r="T311" i="14"/>
  <c r="J321" i="14"/>
  <c r="Y616" i="14"/>
  <c r="BE358" i="14" a="1"/>
  <c r="BE358" i="14" s="1"/>
  <c r="BE432" i="14" s="1"/>
  <c r="Y286" i="14"/>
  <c r="BC613" i="14"/>
  <c r="AI314" i="14"/>
  <c r="E341" i="14"/>
  <c r="O633" i="14"/>
  <c r="J333" i="14"/>
  <c r="E596" i="14"/>
  <c r="BH594" i="14"/>
  <c r="BR304" i="14"/>
  <c r="O600" i="14"/>
  <c r="J318" i="14"/>
  <c r="J342" i="14"/>
  <c r="AI614" i="14"/>
  <c r="AD615" i="14"/>
  <c r="J610" i="14"/>
  <c r="BR302" i="14"/>
  <c r="AD609" i="14"/>
  <c r="BW286" i="14"/>
  <c r="J329" i="14"/>
  <c r="AX309" i="14"/>
  <c r="E289" i="14"/>
  <c r="E614" i="14"/>
  <c r="T629" i="14"/>
  <c r="BM302" i="14"/>
  <c r="AI620" i="14"/>
  <c r="AS637" i="14"/>
  <c r="J596" i="14"/>
  <c r="BC290" i="14"/>
  <c r="AS286" i="14"/>
  <c r="BC297" i="14"/>
  <c r="T595" i="14"/>
  <c r="AN598" i="14"/>
  <c r="AS333" i="14"/>
  <c r="T314" i="14"/>
  <c r="Y324" i="14"/>
  <c r="AS298" i="14"/>
  <c r="BR594" i="14"/>
  <c r="AN304" i="14"/>
  <c r="E335" i="14"/>
  <c r="T604" i="14"/>
  <c r="J306" i="14"/>
  <c r="E332" i="14"/>
  <c r="AS624" i="14"/>
  <c r="AX618" i="14"/>
  <c r="T612" i="14"/>
  <c r="Y626" i="14"/>
  <c r="BW606" i="14"/>
  <c r="O623" i="14"/>
  <c r="J634" i="14"/>
  <c r="E605" i="14"/>
  <c r="AS315" i="14"/>
  <c r="O337" i="14"/>
  <c r="AD627" i="14"/>
  <c r="O311" i="14"/>
  <c r="AD315" i="14"/>
  <c r="BC303" i="14"/>
  <c r="Y619" i="14"/>
  <c r="AD629" i="14"/>
  <c r="AS310" i="14"/>
  <c r="AX598" i="14"/>
  <c r="J285" i="14"/>
  <c r="BH300" i="14"/>
  <c r="E326" i="14"/>
  <c r="J636" i="14"/>
  <c r="T618" i="14"/>
  <c r="AD306" i="14"/>
  <c r="Y315" i="14"/>
  <c r="Y618" i="14"/>
  <c r="AI303" i="14"/>
  <c r="BW604" i="14"/>
  <c r="AI609" i="14"/>
  <c r="J639" i="14"/>
  <c r="AX613" i="14"/>
  <c r="AS327" i="14"/>
  <c r="AS620" i="14"/>
  <c r="AI597" i="14"/>
  <c r="AS615" i="14"/>
  <c r="Y301" i="14"/>
  <c r="J294" i="14"/>
  <c r="O611" i="14"/>
  <c r="BC306" i="14"/>
  <c r="J643" i="14"/>
  <c r="BW285" i="14"/>
  <c r="E339" i="14"/>
  <c r="Y322" i="14"/>
  <c r="BW605" i="14"/>
  <c r="E314" i="14"/>
  <c r="AS331" i="14"/>
  <c r="O302" i="14"/>
  <c r="AX299" i="14"/>
  <c r="O631" i="14"/>
  <c r="BM308" i="14"/>
  <c r="Y296" i="14"/>
  <c r="J315" i="14"/>
  <c r="T289" i="14"/>
  <c r="O630" i="14"/>
  <c r="AD317" i="14"/>
  <c r="AX611" i="14"/>
  <c r="BH298" i="14"/>
  <c r="O326" i="14"/>
  <c r="E342" i="14"/>
  <c r="T626" i="14"/>
  <c r="Y312" i="14"/>
  <c r="BM287" i="14"/>
  <c r="E629" i="14"/>
  <c r="Y291" i="14"/>
  <c r="E645" i="14"/>
  <c r="AD619" i="14"/>
  <c r="O339" i="14"/>
  <c r="E302" i="14"/>
  <c r="T328" i="14"/>
  <c r="AD308" i="14"/>
  <c r="J338" i="14"/>
  <c r="AD291" i="14"/>
  <c r="AS610" i="14"/>
  <c r="AD610" i="14"/>
  <c r="AI286" i="14"/>
  <c r="E323" i="14"/>
  <c r="E324" i="14"/>
  <c r="AN611" i="14"/>
  <c r="O320" i="14"/>
  <c r="AD298" i="14"/>
  <c r="AI304" i="14"/>
  <c r="O318" i="14"/>
  <c r="T323" i="14"/>
  <c r="AF358" i="14" a="1"/>
  <c r="AF358" i="14" s="1"/>
  <c r="BT358" i="14" a="1"/>
  <c r="BT358" i="14" s="1"/>
  <c r="BT432" i="14" s="1"/>
  <c r="BO358" i="14" a="1"/>
  <c r="BO358" i="14" s="1"/>
  <c r="BO432" i="14" s="1"/>
  <c r="J313" i="14"/>
  <c r="BJ358" i="14" a="1"/>
  <c r="BJ358" i="14" s="1"/>
  <c r="BJ432" i="14" s="1"/>
  <c r="BJ666" i="14" a="1"/>
  <c r="BJ666" i="14" s="1"/>
  <c r="BJ740" i="14" s="1"/>
  <c r="BT666" i="14" a="1"/>
  <c r="BT666" i="14" s="1"/>
  <c r="BT740" i="14" s="1"/>
  <c r="AI298" i="14"/>
  <c r="T285" i="14"/>
  <c r="J613" i="14"/>
  <c r="BH297" i="14"/>
  <c r="BR306" i="14"/>
  <c r="AS297" i="14"/>
  <c r="AI296" i="14"/>
  <c r="J332" i="14"/>
  <c r="AS326" i="14"/>
  <c r="O612" i="14"/>
  <c r="O620" i="14"/>
  <c r="AX622" i="14"/>
  <c r="O316" i="14"/>
  <c r="J300" i="14"/>
  <c r="BR606" i="14"/>
  <c r="O609" i="14"/>
  <c r="O324" i="14"/>
  <c r="BC309" i="14"/>
  <c r="T600" i="14"/>
  <c r="T635" i="14"/>
  <c r="O618" i="14"/>
  <c r="E616" i="14"/>
  <c r="AX313" i="14"/>
  <c r="E595" i="14"/>
  <c r="E624" i="14"/>
  <c r="AS325" i="14"/>
  <c r="E621" i="14"/>
  <c r="BM604" i="14"/>
  <c r="O314" i="14"/>
  <c r="J607" i="14"/>
  <c r="O297" i="14"/>
  <c r="E646" i="14"/>
  <c r="AI287" i="14"/>
  <c r="Y305" i="14"/>
  <c r="AX312" i="14"/>
  <c r="AI297" i="14"/>
  <c r="AZ666" i="14" a="1"/>
  <c r="AZ666" i="14" s="1"/>
  <c r="AZ740" i="14" s="1"/>
  <c r="AX624" i="14"/>
  <c r="AD622" i="14"/>
  <c r="BC301" i="14"/>
  <c r="T305" i="14"/>
  <c r="Y614" i="14"/>
  <c r="AS301" i="14"/>
  <c r="Y610" i="14"/>
  <c r="J296" i="14"/>
  <c r="AN593" i="14"/>
  <c r="B358" i="14" a="1"/>
  <c r="B358" i="14" s="1"/>
  <c r="B432" i="14" s="1"/>
  <c r="AK666" i="14" a="1"/>
  <c r="AK666" i="14" s="1"/>
  <c r="AK740" i="14" s="1"/>
  <c r="B666" i="14" a="1"/>
  <c r="B666" i="14" s="1"/>
  <c r="B740" i="14" s="1"/>
  <c r="V666" i="14" a="1"/>
  <c r="V666" i="14" s="1"/>
  <c r="V740" i="14" s="1"/>
  <c r="AU666" i="14" a="1"/>
  <c r="AU666" i="14" s="1"/>
  <c r="AU740" i="14" s="1"/>
  <c r="AA358" i="14" a="1"/>
  <c r="AA358" i="14" s="1"/>
  <c r="AA432" i="14" s="1"/>
  <c r="L666" i="14" a="1"/>
  <c r="L666" i="14" s="1"/>
  <c r="L740" i="14" s="1"/>
  <c r="V358" i="14" a="1"/>
  <c r="V358" i="14" s="1"/>
  <c r="V432" i="14" s="1"/>
  <c r="G358" i="14" a="1"/>
  <c r="G358" i="14" s="1"/>
  <c r="G432" i="14" s="1"/>
  <c r="AF666" i="14" a="1"/>
  <c r="AF666" i="14" s="1"/>
  <c r="AF740" i="14" s="1"/>
  <c r="Q666" i="14" a="1"/>
  <c r="Q666" i="14" s="1"/>
  <c r="Q740" i="14" s="1"/>
  <c r="AI311" i="14"/>
  <c r="AS296" i="14"/>
  <c r="AD300" i="14"/>
  <c r="BM303" i="14"/>
  <c r="J291" i="14"/>
  <c r="O296" i="14"/>
  <c r="AX608" i="14"/>
  <c r="Y326" i="14"/>
  <c r="BM605" i="14"/>
  <c r="J651" i="14"/>
  <c r="T315" i="14"/>
  <c r="T611" i="14"/>
  <c r="BC308" i="14"/>
  <c r="AD312" i="14"/>
  <c r="AK358" i="14" a="1"/>
  <c r="AK358" i="14" s="1"/>
  <c r="AK432" i="14" s="1"/>
  <c r="BE666" i="14" a="1"/>
  <c r="BE666" i="14" s="1"/>
  <c r="BE740" i="14" s="1"/>
  <c r="L358" i="14" a="1"/>
  <c r="L358" i="14" s="1"/>
  <c r="Q358" i="14" a="1"/>
  <c r="Q358" i="14" s="1"/>
  <c r="Q432" i="14" s="1"/>
  <c r="AU358" i="14" a="1"/>
  <c r="AU358" i="14" s="1"/>
  <c r="AA666" i="14" a="1"/>
  <c r="AA666" i="14" s="1"/>
  <c r="AA740" i="14" s="1"/>
  <c r="Y621" i="14"/>
  <c r="AS322" i="14"/>
  <c r="E311" i="14"/>
  <c r="BC287" i="14"/>
  <c r="E292" i="14"/>
  <c r="AP358" i="14" a="1"/>
  <c r="AP358" i="14" s="1"/>
  <c r="AP432" i="14" s="1"/>
  <c r="BO666" i="14" a="1"/>
  <c r="BO666" i="14" s="1"/>
  <c r="BO740" i="14" s="1"/>
  <c r="G666" i="14" a="1"/>
  <c r="G666" i="14" s="1"/>
  <c r="G740" i="14" s="1"/>
  <c r="J323" i="14"/>
  <c r="AD304" i="14"/>
  <c r="E318" i="14"/>
  <c r="AN596" i="14"/>
  <c r="AS619" i="14"/>
  <c r="AX594" i="14"/>
  <c r="BR297" i="14"/>
  <c r="E625" i="14"/>
  <c r="AD288" i="14"/>
  <c r="BH607" i="14"/>
  <c r="AS291" i="14"/>
  <c r="O332" i="14"/>
  <c r="J619" i="14"/>
  <c r="T312" i="14"/>
  <c r="BC298" i="14"/>
  <c r="T643" i="14"/>
  <c r="BM298" i="14"/>
  <c r="BH609" i="14"/>
  <c r="BR299" i="14"/>
  <c r="AI307" i="14"/>
  <c r="E630" i="14"/>
  <c r="J638" i="14"/>
  <c r="O331" i="14"/>
  <c r="T330" i="14"/>
  <c r="T309" i="14"/>
  <c r="AZ358" i="14" a="1"/>
  <c r="AZ358" i="14" s="1"/>
  <c r="AZ432" i="14" s="1"/>
  <c r="AP666" i="14" a="1"/>
  <c r="AP666" i="14" s="1"/>
  <c r="E594" i="14"/>
  <c r="AS304" i="14"/>
  <c r="T334" i="14"/>
  <c r="E319" i="14"/>
  <c r="J336" i="14"/>
  <c r="P309" i="18"/>
  <c r="C309" i="18" s="1"/>
  <c r="T309" i="18"/>
  <c r="A138" i="19" a="1"/>
  <c r="A138" i="4" a="1"/>
  <c r="U143" i="4" l="1"/>
  <c r="U199" i="19"/>
  <c r="U185" i="19"/>
  <c r="U171" i="19"/>
  <c r="U151" i="19"/>
  <c r="X208" i="19"/>
  <c r="N190" i="19"/>
  <c r="N162" i="19"/>
  <c r="O162" i="19" s="1"/>
  <c r="E201" i="19"/>
  <c r="N161" i="19"/>
  <c r="O161" i="19" s="1"/>
  <c r="E191" i="19"/>
  <c r="N144" i="19"/>
  <c r="N160" i="19"/>
  <c r="N175" i="19"/>
  <c r="N165" i="19"/>
  <c r="AE163" i="19"/>
  <c r="B224" i="19"/>
  <c r="Y198" i="19"/>
  <c r="Y184" i="19"/>
  <c r="Y170" i="19"/>
  <c r="U150" i="19"/>
  <c r="N207" i="19"/>
  <c r="X189" i="19"/>
  <c r="X161" i="19"/>
  <c r="Y161" i="19" s="1"/>
  <c r="X200" i="19"/>
  <c r="E160" i="19"/>
  <c r="E190" i="19"/>
  <c r="X143" i="19"/>
  <c r="Y143" i="19" s="1"/>
  <c r="X159" i="19"/>
  <c r="Y159" i="19" s="1"/>
  <c r="E168" i="19"/>
  <c r="N163" i="19"/>
  <c r="O163" i="19" s="1"/>
  <c r="E156" i="19"/>
  <c r="C221" i="19"/>
  <c r="U198" i="19"/>
  <c r="U184" i="19"/>
  <c r="U170" i="19"/>
  <c r="U149" i="19"/>
  <c r="E206" i="19"/>
  <c r="E189" i="19"/>
  <c r="E161" i="19"/>
  <c r="N200" i="19"/>
  <c r="AE159" i="19"/>
  <c r="AE189" i="19"/>
  <c r="N143" i="19"/>
  <c r="N159" i="19"/>
  <c r="X167" i="19"/>
  <c r="Y167" i="19" s="1"/>
  <c r="X155" i="19"/>
  <c r="Y155" i="19" s="1"/>
  <c r="X146" i="19"/>
  <c r="Y146" i="19" s="1"/>
  <c r="E211" i="19"/>
  <c r="U197" i="19"/>
  <c r="U183" i="19"/>
  <c r="U169" i="19"/>
  <c r="U147" i="19"/>
  <c r="N203" i="19"/>
  <c r="N186" i="19"/>
  <c r="N158" i="19"/>
  <c r="N193" i="19"/>
  <c r="N156" i="19"/>
  <c r="AE188" i="19"/>
  <c r="Y211" i="19"/>
  <c r="X151" i="19"/>
  <c r="Y151" i="19" s="1"/>
  <c r="X166" i="19"/>
  <c r="E146" i="19"/>
  <c r="U210" i="19"/>
  <c r="U145" i="19"/>
  <c r="AE153" i="19"/>
  <c r="E159" i="19"/>
  <c r="Y195" i="19"/>
  <c r="Y181" i="19"/>
  <c r="U144" i="19"/>
  <c r="AE199" i="19"/>
  <c r="AE154" i="19"/>
  <c r="X152" i="19"/>
  <c r="Y152" i="19" s="1"/>
  <c r="E204" i="19"/>
  <c r="E158" i="19"/>
  <c r="U195" i="19"/>
  <c r="U181" i="19"/>
  <c r="U167" i="19"/>
  <c r="AE210" i="19"/>
  <c r="Y196" i="19"/>
  <c r="Y182" i="19"/>
  <c r="U146" i="19"/>
  <c r="X202" i="19"/>
  <c r="X185" i="19"/>
  <c r="X157" i="19"/>
  <c r="Y157" i="19" s="1"/>
  <c r="E192" i="19"/>
  <c r="E155" i="19"/>
  <c r="AE187" i="19"/>
  <c r="E207" i="19"/>
  <c r="E151" i="19"/>
  <c r="AE165" i="19"/>
  <c r="N209" i="19"/>
  <c r="U196" i="19"/>
  <c r="U182" i="19"/>
  <c r="U168" i="19"/>
  <c r="E202" i="19"/>
  <c r="E185" i="19"/>
  <c r="E157" i="19"/>
  <c r="AE191" i="19"/>
  <c r="N181" i="19"/>
  <c r="X204" i="19"/>
  <c r="X150" i="19"/>
  <c r="Y150" i="19" s="1"/>
  <c r="E203" i="19"/>
  <c r="Y209" i="19"/>
  <c r="AE182" i="19"/>
  <c r="X190" i="19"/>
  <c r="X180" i="19"/>
  <c r="AE149" i="19"/>
  <c r="N191" i="19"/>
  <c r="U209" i="19"/>
  <c r="Y203" i="19"/>
  <c r="Y189" i="19"/>
  <c r="Y175" i="19"/>
  <c r="U160" i="19"/>
  <c r="N211" i="19"/>
  <c r="N201" i="19"/>
  <c r="AE170" i="19"/>
  <c r="AE142" i="19"/>
  <c r="X174" i="19"/>
  <c r="N208" i="19"/>
  <c r="E162" i="19"/>
  <c r="E178" i="19"/>
  <c r="AE192" i="19"/>
  <c r="X139" i="19"/>
  <c r="X156" i="19"/>
  <c r="Y156" i="19" s="1"/>
  <c r="U203" i="19"/>
  <c r="U189" i="19"/>
  <c r="U175" i="19"/>
  <c r="U159" i="19"/>
  <c r="N210" i="19"/>
  <c r="E200" i="19"/>
  <c r="N170" i="19"/>
  <c r="N142" i="19"/>
  <c r="O142" i="19" s="1"/>
  <c r="N172" i="19"/>
  <c r="AE205" i="19"/>
  <c r="AE161" i="19"/>
  <c r="AE177" i="19"/>
  <c r="E186" i="19"/>
  <c r="N139" i="19"/>
  <c r="O139" i="19" s="1"/>
  <c r="X154" i="19"/>
  <c r="Y154" i="19" s="1"/>
  <c r="Y202" i="19"/>
  <c r="Y188" i="19"/>
  <c r="Y174" i="19"/>
  <c r="U158" i="19"/>
  <c r="X209" i="19"/>
  <c r="AE198" i="19"/>
  <c r="X169" i="19"/>
  <c r="Y169" i="19" s="1"/>
  <c r="X141" i="19"/>
  <c r="Y141" i="19" s="1"/>
  <c r="E171" i="19"/>
  <c r="N204" i="19"/>
  <c r="AE160" i="19"/>
  <c r="AE176" i="19"/>
  <c r="N185" i="19"/>
  <c r="E210" i="19"/>
  <c r="U190" i="19"/>
  <c r="U164" i="19"/>
  <c r="X205" i="19"/>
  <c r="E177" i="19"/>
  <c r="X201" i="19"/>
  <c r="N140" i="19"/>
  <c r="O140" i="19" s="1"/>
  <c r="N202" i="19"/>
  <c r="X195" i="19"/>
  <c r="E174" i="19"/>
  <c r="AE211" i="19"/>
  <c r="U188" i="19"/>
  <c r="E205" i="19"/>
  <c r="AE174" i="19"/>
  <c r="X199" i="19"/>
  <c r="E139" i="19"/>
  <c r="AE197" i="19"/>
  <c r="AE184" i="19"/>
  <c r="X164" i="19"/>
  <c r="Y164" i="19" s="1"/>
  <c r="Y208" i="19"/>
  <c r="Y187" i="19"/>
  <c r="U163" i="19"/>
  <c r="AE209" i="19"/>
  <c r="N174" i="19"/>
  <c r="N188" i="19"/>
  <c r="Y210" i="19"/>
  <c r="E197" i="19"/>
  <c r="N184" i="19"/>
  <c r="N155" i="19"/>
  <c r="U208" i="19"/>
  <c r="U187" i="19"/>
  <c r="AE203" i="19"/>
  <c r="X173" i="19"/>
  <c r="Y173" i="19" s="1"/>
  <c r="E187" i="19"/>
  <c r="AE201" i="19"/>
  <c r="X188" i="19"/>
  <c r="AE183" i="19"/>
  <c r="AE145" i="19"/>
  <c r="Y179" i="19"/>
  <c r="AE156" i="19"/>
  <c r="U153" i="19"/>
  <c r="AE158" i="19"/>
  <c r="E170" i="19"/>
  <c r="AE155" i="19"/>
  <c r="U202" i="19"/>
  <c r="N149" i="19"/>
  <c r="Y207" i="19"/>
  <c r="Y186" i="19"/>
  <c r="U162" i="19"/>
  <c r="N199" i="19"/>
  <c r="E173" i="19"/>
  <c r="AE185" i="19"/>
  <c r="E199" i="19"/>
  <c r="E188" i="19"/>
  <c r="X176" i="19"/>
  <c r="X192" i="19"/>
  <c r="Y185" i="19"/>
  <c r="AE195" i="19"/>
  <c r="N166" i="19"/>
  <c r="O166" i="19" s="1"/>
  <c r="E182" i="19"/>
  <c r="E167" i="19"/>
  <c r="AE171" i="19"/>
  <c r="Y180" i="19"/>
  <c r="U180" i="19"/>
  <c r="X179" i="19"/>
  <c r="N157" i="19"/>
  <c r="U154" i="19"/>
  <c r="E194" i="19"/>
  <c r="N177" i="19"/>
  <c r="X178" i="19"/>
  <c r="U179" i="19"/>
  <c r="E176" i="19"/>
  <c r="AE196" i="19"/>
  <c r="Y178" i="19"/>
  <c r="N205" i="19"/>
  <c r="AE175" i="19"/>
  <c r="N192" i="19"/>
  <c r="U207" i="19"/>
  <c r="U186" i="19"/>
  <c r="X198" i="19"/>
  <c r="E169" i="19"/>
  <c r="X184" i="19"/>
  <c r="N197" i="19"/>
  <c r="X187" i="19"/>
  <c r="N176" i="19"/>
  <c r="E183" i="19"/>
  <c r="Y206" i="19"/>
  <c r="U161" i="19"/>
  <c r="E198" i="19"/>
  <c r="AE166" i="19"/>
  <c r="AF166" i="19" s="1"/>
  <c r="N183" i="19"/>
  <c r="X196" i="19"/>
  <c r="N187" i="19"/>
  <c r="X175" i="19"/>
  <c r="AE173" i="19"/>
  <c r="Y183" i="19"/>
  <c r="X186" i="19"/>
  <c r="Y205" i="19"/>
  <c r="U156" i="19"/>
  <c r="N195" i="19"/>
  <c r="X165" i="19"/>
  <c r="Y165" i="19" s="1"/>
  <c r="AE180" i="19"/>
  <c r="N194" i="19"/>
  <c r="E180" i="19"/>
  <c r="AE157" i="19"/>
  <c r="N164" i="19"/>
  <c r="U205" i="19"/>
  <c r="X194" i="19"/>
  <c r="E165" i="19"/>
  <c r="N189" i="19"/>
  <c r="E179" i="19"/>
  <c r="E147" i="19"/>
  <c r="Y204" i="19"/>
  <c r="N180" i="19"/>
  <c r="X207" i="19"/>
  <c r="U204" i="19"/>
  <c r="AE179" i="19"/>
  <c r="U152" i="19"/>
  <c r="N154" i="19"/>
  <c r="N169" i="19"/>
  <c r="O169" i="19" s="1"/>
  <c r="U206" i="19"/>
  <c r="U157" i="19"/>
  <c r="AE194" i="19"/>
  <c r="U155" i="19"/>
  <c r="AE162" i="19"/>
  <c r="X211" i="19"/>
  <c r="N179" i="19"/>
  <c r="Y194" i="19"/>
  <c r="E193" i="19"/>
  <c r="AE146" i="19"/>
  <c r="X158" i="19"/>
  <c r="Y158" i="19" s="1"/>
  <c r="E163" i="19"/>
  <c r="E142" i="19"/>
  <c r="X206" i="19"/>
  <c r="U194" i="19"/>
  <c r="U173" i="19"/>
  <c r="U140" i="19"/>
  <c r="AE190" i="19"/>
  <c r="N146" i="19"/>
  <c r="N151" i="19"/>
  <c r="X162" i="19"/>
  <c r="Y162" i="19" s="1"/>
  <c r="AE141" i="19"/>
  <c r="E196" i="19"/>
  <c r="U143" i="19"/>
  <c r="N150" i="19"/>
  <c r="E164" i="19"/>
  <c r="X191" i="19"/>
  <c r="AE172" i="19"/>
  <c r="E148" i="19"/>
  <c r="B221" i="19"/>
  <c r="C224" i="19"/>
  <c r="Y192" i="19"/>
  <c r="AE167" i="19"/>
  <c r="X160" i="19"/>
  <c r="Y160" i="19" s="1"/>
  <c r="E152" i="19"/>
  <c r="E143" i="19"/>
  <c r="Y177" i="19"/>
  <c r="AE148" i="19"/>
  <c r="N145" i="19"/>
  <c r="AE143" i="19"/>
  <c r="X177" i="19"/>
  <c r="U165" i="19"/>
  <c r="Y201" i="19"/>
  <c r="X149" i="19"/>
  <c r="Y149" i="19" s="1"/>
  <c r="E154" i="19"/>
  <c r="E184" i="19"/>
  <c r="U139" i="19"/>
  <c r="E175" i="19"/>
  <c r="U193" i="19"/>
  <c r="AE144" i="19"/>
  <c r="AE206" i="19"/>
  <c r="X168" i="19"/>
  <c r="Y168" i="19" s="1"/>
  <c r="N167" i="19"/>
  <c r="O167" i="19" s="1"/>
  <c r="E166" i="19"/>
  <c r="N141" i="19"/>
  <c r="O141" i="19" s="1"/>
  <c r="E150" i="19"/>
  <c r="AE207" i="19"/>
  <c r="AE202" i="19"/>
  <c r="E144" i="19"/>
  <c r="N148" i="19"/>
  <c r="Y166" i="19"/>
  <c r="E140" i="19"/>
  <c r="X170" i="19"/>
  <c r="U201" i="19"/>
  <c r="U142" i="19"/>
  <c r="E149" i="19"/>
  <c r="N153" i="19"/>
  <c r="X182" i="19"/>
  <c r="A138" i="19"/>
  <c r="U211" i="19"/>
  <c r="N168" i="19"/>
  <c r="O168" i="19" s="1"/>
  <c r="N206" i="19"/>
  <c r="X203" i="19"/>
  <c r="N196" i="19"/>
  <c r="AE186" i="19"/>
  <c r="X181" i="19"/>
  <c r="X142" i="19"/>
  <c r="Y142" i="19" s="1"/>
  <c r="AE147" i="19"/>
  <c r="X140" i="19"/>
  <c r="Y140" i="19" s="1"/>
  <c r="AE150" i="19"/>
  <c r="Y200" i="19"/>
  <c r="X145" i="19"/>
  <c r="Y145" i="19" s="1"/>
  <c r="AE152" i="19"/>
  <c r="X210" i="19"/>
  <c r="AE168" i="19"/>
  <c r="E208" i="19"/>
  <c r="Y191" i="19"/>
  <c r="Y190" i="19"/>
  <c r="X163" i="19"/>
  <c r="Y163" i="19" s="1"/>
  <c r="AE139" i="19"/>
  <c r="Y171" i="19"/>
  <c r="E172" i="19"/>
  <c r="N171" i="19"/>
  <c r="U200" i="19"/>
  <c r="U141" i="19"/>
  <c r="E145" i="19"/>
  <c r="N152" i="19"/>
  <c r="X183" i="19"/>
  <c r="X144" i="19"/>
  <c r="Y144" i="19" s="1"/>
  <c r="Y193" i="19"/>
  <c r="N173" i="19"/>
  <c r="E209" i="19"/>
  <c r="AE169" i="19"/>
  <c r="AE204" i="19"/>
  <c r="E195" i="19"/>
  <c r="X147" i="19"/>
  <c r="Y147" i="19" s="1"/>
  <c r="AE200" i="19"/>
  <c r="X148" i="19"/>
  <c r="Y148" i="19" s="1"/>
  <c r="X153" i="19"/>
  <c r="Y153" i="19" s="1"/>
  <c r="Y199" i="19"/>
  <c r="Y139" i="19"/>
  <c r="E141" i="19"/>
  <c r="AE151" i="19"/>
  <c r="AE181" i="19"/>
  <c r="AE208" i="19"/>
  <c r="U192" i="19"/>
  <c r="U191" i="19"/>
  <c r="X197" i="19"/>
  <c r="AE140" i="19"/>
  <c r="Y176" i="19"/>
  <c r="U174" i="19"/>
  <c r="U172" i="19"/>
  <c r="E153" i="19"/>
  <c r="Y197" i="19"/>
  <c r="AE164" i="19"/>
  <c r="U177" i="19"/>
  <c r="U176" i="19"/>
  <c r="N198" i="19"/>
  <c r="E181" i="19"/>
  <c r="X172" i="19"/>
  <c r="Y172" i="19" s="1"/>
  <c r="X171" i="19"/>
  <c r="U178" i="19"/>
  <c r="AE193" i="19"/>
  <c r="N182" i="19"/>
  <c r="N147" i="19"/>
  <c r="X193" i="19"/>
  <c r="N178" i="19"/>
  <c r="AE178" i="19"/>
  <c r="U166" i="19"/>
  <c r="U148" i="19"/>
  <c r="AF432" i="14"/>
  <c r="AA239" i="17"/>
  <c r="L432" i="14"/>
  <c r="EJ57" i="17"/>
  <c r="EL57" i="17" s="1"/>
  <c r="EJ42" i="17"/>
  <c r="EL42" i="17" s="1"/>
  <c r="EJ54" i="17"/>
  <c r="EL54" i="17" s="1"/>
  <c r="EJ46" i="17"/>
  <c r="EL46" i="17" s="1"/>
  <c r="EJ61" i="17"/>
  <c r="EL61" i="17" s="1"/>
  <c r="EJ45" i="17"/>
  <c r="EL45" i="17" s="1"/>
  <c r="EJ53" i="17"/>
  <c r="EL53" i="17" s="1"/>
  <c r="EJ51" i="17"/>
  <c r="EL51" i="17" s="1"/>
  <c r="EJ52" i="17"/>
  <c r="EL52" i="17" s="1"/>
  <c r="EJ49" i="17"/>
  <c r="EL49" i="17" s="1"/>
  <c r="EJ43" i="17"/>
  <c r="EL43" i="17" s="1"/>
  <c r="EJ60" i="17"/>
  <c r="EL60" i="17" s="1"/>
  <c r="EJ50" i="17"/>
  <c r="EL50" i="17" s="1"/>
  <c r="EJ62" i="17"/>
  <c r="EL62" i="17" s="1"/>
  <c r="EJ47" i="17"/>
  <c r="EL47" i="17" s="1"/>
  <c r="EJ59" i="17"/>
  <c r="EL59" i="17" s="1"/>
  <c r="EJ41" i="17"/>
  <c r="EL41" i="17" s="1"/>
  <c r="EJ37" i="17"/>
  <c r="EL37" i="17" s="1"/>
  <c r="EJ39" i="17"/>
  <c r="EL39" i="17" s="1"/>
  <c r="EJ56" i="17"/>
  <c r="EL56" i="17" s="1"/>
  <c r="EJ40" i="17"/>
  <c r="EL40" i="17" s="1"/>
  <c r="EJ58" i="17"/>
  <c r="EL58" i="17" s="1"/>
  <c r="EJ44" i="17"/>
  <c r="EL44" i="17" s="1"/>
  <c r="EJ38" i="17"/>
  <c r="EL38" i="17" s="1"/>
  <c r="EJ55" i="17"/>
  <c r="EL55" i="17" s="1"/>
  <c r="EJ63" i="17"/>
  <c r="EL63" i="17" s="1"/>
  <c r="EJ48" i="17"/>
  <c r="EL48" i="17" s="1"/>
  <c r="EJ64" i="17"/>
  <c r="EL64" i="17" s="1"/>
  <c r="Y211" i="4"/>
  <c r="AE180" i="4"/>
  <c r="N178" i="4"/>
  <c r="X187" i="4"/>
  <c r="Y187" i="4" s="1"/>
  <c r="E153" i="4"/>
  <c r="AE205" i="4"/>
  <c r="N172" i="4"/>
  <c r="X191" i="4"/>
  <c r="Y191" i="4" s="1"/>
  <c r="E179" i="4"/>
  <c r="E204" i="4"/>
  <c r="E164" i="4"/>
  <c r="X183" i="4"/>
  <c r="Y183" i="4" s="1"/>
  <c r="AE179" i="4"/>
  <c r="N205" i="4"/>
  <c r="X154" i="4"/>
  <c r="Y154" i="4" s="1"/>
  <c r="E166" i="4"/>
  <c r="U210" i="4"/>
  <c r="E177" i="4"/>
  <c r="Y201" i="4"/>
  <c r="X181" i="4"/>
  <c r="Y181" i="4" s="1"/>
  <c r="AE150" i="4"/>
  <c r="X195" i="4"/>
  <c r="Y195" i="4" s="1"/>
  <c r="AE161" i="4"/>
  <c r="X189" i="4"/>
  <c r="U171" i="4"/>
  <c r="U189" i="4"/>
  <c r="N198" i="4"/>
  <c r="U166" i="4"/>
  <c r="U158" i="4"/>
  <c r="U161" i="4"/>
  <c r="U145" i="4"/>
  <c r="X177" i="4"/>
  <c r="Y177" i="4" s="1"/>
  <c r="Y205" i="4"/>
  <c r="AE174" i="4"/>
  <c r="U196" i="4"/>
  <c r="X175" i="4"/>
  <c r="Y175" i="4" s="1"/>
  <c r="E147" i="4"/>
  <c r="U193" i="4"/>
  <c r="E159" i="4"/>
  <c r="AE165" i="4"/>
  <c r="N169" i="4"/>
  <c r="U181" i="4"/>
  <c r="N164" i="4"/>
  <c r="U139" i="4"/>
  <c r="AE169" i="4"/>
  <c r="N139" i="4"/>
  <c r="U177" i="4"/>
  <c r="AE157" i="4"/>
  <c r="E151" i="4"/>
  <c r="AE156" i="4"/>
  <c r="B224" i="4"/>
  <c r="U204" i="4"/>
  <c r="E171" i="4"/>
  <c r="N195" i="4"/>
  <c r="X169" i="4"/>
  <c r="Y169" i="4" s="1"/>
  <c r="AE144" i="4"/>
  <c r="N188" i="4"/>
  <c r="X156" i="4"/>
  <c r="Y156" i="4" s="1"/>
  <c r="X161" i="4"/>
  <c r="Y161" i="4" s="1"/>
  <c r="AE162" i="4"/>
  <c r="E192" i="4"/>
  <c r="X158" i="4"/>
  <c r="Y158" i="4" s="1"/>
  <c r="U202" i="4"/>
  <c r="X142" i="4"/>
  <c r="Y142" i="4" s="1"/>
  <c r="Y210" i="4"/>
  <c r="U154" i="4"/>
  <c r="AE196" i="4"/>
  <c r="Y189" i="4"/>
  <c r="E145" i="4"/>
  <c r="Y199" i="4"/>
  <c r="AE168" i="4"/>
  <c r="E190" i="4"/>
  <c r="X163" i="4"/>
  <c r="Y163" i="4" s="1"/>
  <c r="E141" i="4"/>
  <c r="X182" i="4"/>
  <c r="Y182" i="4" s="1"/>
  <c r="E154" i="4"/>
  <c r="N149" i="4"/>
  <c r="AE155" i="4"/>
  <c r="X173" i="4"/>
  <c r="Y173" i="4" s="1"/>
  <c r="AE183" i="4"/>
  <c r="U146" i="4"/>
  <c r="X147" i="4"/>
  <c r="Y147" i="4" s="1"/>
  <c r="X172" i="4"/>
  <c r="Y172" i="4" s="1"/>
  <c r="N193" i="4"/>
  <c r="U209" i="4"/>
  <c r="E197" i="4"/>
  <c r="U198" i="4"/>
  <c r="C221" i="4"/>
  <c r="AE187" i="4"/>
  <c r="X207" i="4"/>
  <c r="AE203" i="4"/>
  <c r="X170" i="4"/>
  <c r="Y170" i="4" s="1"/>
  <c r="U150" i="4"/>
  <c r="N143" i="4"/>
  <c r="N152" i="4"/>
  <c r="N176" i="4"/>
  <c r="U141" i="4"/>
  <c r="E182" i="4"/>
  <c r="E161" i="4"/>
  <c r="U169" i="4"/>
  <c r="U157" i="4"/>
  <c r="E210" i="4"/>
  <c r="AE211" i="4"/>
  <c r="E184" i="4"/>
  <c r="X205" i="4"/>
  <c r="AE199" i="4"/>
  <c r="U167" i="4"/>
  <c r="U144" i="4"/>
  <c r="Y207" i="4"/>
  <c r="AE148" i="4"/>
  <c r="X164" i="4"/>
  <c r="Y164" i="4" s="1"/>
  <c r="N173" i="4"/>
  <c r="A138" i="4"/>
  <c r="N160" i="4"/>
  <c r="X144" i="4"/>
  <c r="Y144" i="4" s="1"/>
  <c r="N158" i="4"/>
  <c r="X176" i="4"/>
  <c r="Y176" i="4" s="1"/>
  <c r="U191" i="4"/>
  <c r="Y208" i="4"/>
  <c r="U192" i="4"/>
  <c r="E208" i="4"/>
  <c r="AE181" i="4"/>
  <c r="X202" i="4"/>
  <c r="X197" i="4"/>
  <c r="Y197" i="4" s="1"/>
  <c r="U164" i="4"/>
  <c r="Y139" i="4"/>
  <c r="AE202" i="4"/>
  <c r="N147" i="4"/>
  <c r="N157" i="4"/>
  <c r="AE160" i="4"/>
  <c r="X188" i="4"/>
  <c r="Y188" i="4" s="1"/>
  <c r="U147" i="4"/>
  <c r="N191" i="4"/>
  <c r="U142" i="4"/>
  <c r="U156" i="4"/>
  <c r="N196" i="4"/>
  <c r="AE176" i="4"/>
  <c r="N179" i="4"/>
  <c r="U207" i="4"/>
  <c r="X206" i="4"/>
  <c r="U206" i="4"/>
  <c r="E178" i="4"/>
  <c r="Y198" i="4"/>
  <c r="X193" i="4"/>
  <c r="Y193" i="4" s="1"/>
  <c r="U160" i="4"/>
  <c r="E211" i="4"/>
  <c r="N182" i="4"/>
  <c r="AE143" i="4"/>
  <c r="U155" i="4"/>
  <c r="AE158" i="4"/>
  <c r="E175" i="4"/>
  <c r="N209" i="4"/>
  <c r="AE163" i="4"/>
  <c r="E168" i="4"/>
  <c r="N153" i="4"/>
  <c r="E196" i="4"/>
  <c r="N167" i="4"/>
  <c r="E185" i="4"/>
  <c r="N199" i="4"/>
  <c r="AE151" i="4"/>
  <c r="AE173" i="4"/>
  <c r="Y202" i="4"/>
  <c r="Y204" i="4"/>
  <c r="E203" i="4"/>
  <c r="AE175" i="4"/>
  <c r="AE194" i="4"/>
  <c r="AE184" i="4"/>
  <c r="N159" i="4"/>
  <c r="AE208" i="4"/>
  <c r="N208" i="4"/>
  <c r="N150" i="4"/>
  <c r="N155" i="4"/>
  <c r="E191" i="4"/>
  <c r="AE197" i="4"/>
  <c r="X208" i="4"/>
  <c r="X200" i="4"/>
  <c r="U200" i="4"/>
  <c r="X201" i="4"/>
  <c r="N192" i="4"/>
  <c r="E181" i="4"/>
  <c r="N154" i="4"/>
  <c r="E187" i="4"/>
  <c r="AE146" i="4"/>
  <c r="U153" i="4"/>
  <c r="AE154" i="4"/>
  <c r="E209" i="4"/>
  <c r="AE190" i="4"/>
  <c r="U185" i="4"/>
  <c r="E163" i="4"/>
  <c r="X167" i="4"/>
  <c r="Y167" i="4" s="1"/>
  <c r="AE209" i="4"/>
  <c r="E194" i="4"/>
  <c r="N180" i="4"/>
  <c r="AE167" i="4"/>
  <c r="E148" i="4"/>
  <c r="U184" i="4"/>
  <c r="U165" i="4"/>
  <c r="E169" i="4"/>
  <c r="X146" i="4"/>
  <c r="Y146" i="4" s="1"/>
  <c r="E180" i="4"/>
  <c r="N163" i="4"/>
  <c r="E205" i="4"/>
  <c r="N203" i="4"/>
  <c r="E202" i="4"/>
  <c r="U188" i="4"/>
  <c r="AE182" i="4"/>
  <c r="AE152" i="4"/>
  <c r="N183" i="4"/>
  <c r="E206" i="4"/>
  <c r="N189" i="4"/>
  <c r="X186" i="4"/>
  <c r="Y186" i="4" s="1"/>
  <c r="U186" i="4"/>
  <c r="N174" i="4"/>
  <c r="N166" i="4"/>
  <c r="AE145" i="4"/>
  <c r="U182" i="4"/>
  <c r="X162" i="4"/>
  <c r="Y162" i="4" s="1"/>
  <c r="E140" i="4"/>
  <c r="Y203" i="4"/>
  <c r="AE177" i="4"/>
  <c r="X171" i="4"/>
  <c r="Y171" i="4" s="1"/>
  <c r="E139" i="4"/>
  <c r="Y209" i="4"/>
  <c r="X180" i="4"/>
  <c r="Y180" i="4" s="1"/>
  <c r="N168" i="4"/>
  <c r="X160" i="4"/>
  <c r="Y160" i="4" s="1"/>
  <c r="U208" i="4"/>
  <c r="N177" i="4"/>
  <c r="X174" i="4"/>
  <c r="Y174" i="4" s="1"/>
  <c r="U180" i="4"/>
  <c r="N162" i="4"/>
  <c r="U149" i="4"/>
  <c r="AE139" i="4"/>
  <c r="U170" i="4"/>
  <c r="E150" i="4"/>
  <c r="N204" i="4"/>
  <c r="AE207" i="4"/>
  <c r="E198" i="4"/>
  <c r="E170" i="4"/>
  <c r="AE140" i="4"/>
  <c r="X179" i="4"/>
  <c r="Y179" i="4" s="1"/>
  <c r="E160" i="4"/>
  <c r="E165" i="4"/>
  <c r="X209" i="4"/>
  <c r="N171" i="4"/>
  <c r="X168" i="4"/>
  <c r="Y168" i="4" s="1"/>
  <c r="N156" i="4"/>
  <c r="N211" i="4"/>
  <c r="AE147" i="4"/>
  <c r="X178" i="4"/>
  <c r="Y178" i="4" s="1"/>
  <c r="X194" i="4"/>
  <c r="Y194" i="4" s="1"/>
  <c r="X165" i="4"/>
  <c r="Y165" i="4" s="1"/>
  <c r="N148" i="4"/>
  <c r="E146" i="4"/>
  <c r="E201" i="4"/>
  <c r="N186" i="4"/>
  <c r="X151" i="4"/>
  <c r="Y151" i="4" s="1"/>
  <c r="U151" i="4"/>
  <c r="X199" i="4"/>
  <c r="AE206" i="4"/>
  <c r="AE188" i="4"/>
  <c r="U190" i="4"/>
  <c r="X210" i="4"/>
  <c r="U179" i="4"/>
  <c r="U205" i="4"/>
  <c r="X166" i="4"/>
  <c r="Y166" i="4" s="1"/>
  <c r="X150" i="4"/>
  <c r="Y150" i="4" s="1"/>
  <c r="X198" i="4"/>
  <c r="N201" i="4"/>
  <c r="E193" i="4"/>
  <c r="N197" i="4"/>
  <c r="N170" i="4"/>
  <c r="AE186" i="4"/>
  <c r="X153" i="4"/>
  <c r="Y153" i="4" s="1"/>
  <c r="AE172" i="4"/>
  <c r="X190" i="4"/>
  <c r="Y190" i="4" s="1"/>
  <c r="E149" i="4"/>
  <c r="N151" i="4"/>
  <c r="AE198" i="4"/>
  <c r="X145" i="4"/>
  <c r="Y145" i="4" s="1"/>
  <c r="U173" i="4"/>
  <c r="E174" i="4"/>
  <c r="N185" i="4"/>
  <c r="AE170" i="4"/>
  <c r="N161" i="4"/>
  <c r="E183" i="4"/>
  <c r="AE200" i="4"/>
  <c r="AE141" i="4"/>
  <c r="X184" i="4"/>
  <c r="Y184" i="4" s="1"/>
  <c r="E167" i="4"/>
  <c r="N142" i="4"/>
  <c r="U168" i="4"/>
  <c r="E195" i="4"/>
  <c r="N181" i="4"/>
  <c r="X139" i="4"/>
  <c r="N202" i="4"/>
  <c r="U162" i="4"/>
  <c r="E157" i="4"/>
  <c r="X155" i="4"/>
  <c r="Y155" i="4" s="1"/>
  <c r="U148" i="4"/>
  <c r="AE149" i="4"/>
  <c r="X157" i="4"/>
  <c r="Y157" i="4" s="1"/>
  <c r="AE191" i="4"/>
  <c r="N165" i="4"/>
  <c r="U197" i="4"/>
  <c r="E144" i="4"/>
  <c r="E200" i="4"/>
  <c r="X196" i="4"/>
  <c r="Y196" i="4" s="1"/>
  <c r="U201" i="4"/>
  <c r="E173" i="4"/>
  <c r="E162" i="4"/>
  <c r="N210" i="4"/>
  <c r="X159" i="4"/>
  <c r="Y159" i="4" s="1"/>
  <c r="X203" i="4"/>
  <c r="U172" i="4"/>
  <c r="U178" i="4"/>
  <c r="AE192" i="4"/>
  <c r="X152" i="4"/>
  <c r="Y152" i="4" s="1"/>
  <c r="X204" i="4"/>
  <c r="AE164" i="4"/>
  <c r="Y206" i="4"/>
  <c r="N194" i="4"/>
  <c r="AE189" i="4"/>
  <c r="E186" i="4"/>
  <c r="AE178" i="4"/>
  <c r="N146" i="4"/>
  <c r="U187" i="4"/>
  <c r="U175" i="4"/>
  <c r="X143" i="4"/>
  <c r="Y143" i="4" s="1"/>
  <c r="AE142" i="4"/>
  <c r="E156" i="4"/>
  <c r="E172" i="4"/>
  <c r="E158" i="4"/>
  <c r="U195" i="4"/>
  <c r="X141" i="4"/>
  <c r="Y141" i="4" s="1"/>
  <c r="N175" i="4"/>
  <c r="AE153" i="4"/>
  <c r="E189" i="4"/>
  <c r="B221" i="4"/>
  <c r="X211" i="4"/>
  <c r="AE201" i="4"/>
  <c r="AE195" i="4"/>
  <c r="E176" i="4"/>
  <c r="U183" i="4"/>
  <c r="N144" i="4"/>
  <c r="E199" i="4"/>
  <c r="X140" i="4"/>
  <c r="Y140" i="4" s="1"/>
  <c r="AE193" i="4"/>
  <c r="N206" i="4"/>
  <c r="X192" i="4"/>
  <c r="Y192" i="4" s="1"/>
  <c r="C224" i="4"/>
  <c r="N187" i="4"/>
  <c r="E155" i="4"/>
  <c r="AE171" i="4"/>
  <c r="U176" i="4"/>
  <c r="N140" i="4"/>
  <c r="N190" i="4"/>
  <c r="E142" i="4"/>
  <c r="E143" i="4"/>
  <c r="U163" i="4"/>
  <c r="N200" i="4"/>
  <c r="U203" i="4"/>
  <c r="E152" i="4"/>
  <c r="Y200" i="4"/>
  <c r="X185" i="4"/>
  <c r="Y185" i="4" s="1"/>
  <c r="U159" i="4"/>
  <c r="U174" i="4"/>
  <c r="AE210" i="4"/>
  <c r="N184" i="4"/>
  <c r="U199" i="4"/>
  <c r="AE166" i="4"/>
  <c r="AE185" i="4"/>
  <c r="AE159" i="4"/>
  <c r="U152" i="4"/>
  <c r="X148" i="4"/>
  <c r="Y148" i="4" s="1"/>
  <c r="N141" i="4"/>
  <c r="U140" i="4"/>
  <c r="N207" i="4"/>
  <c r="U211" i="4"/>
  <c r="E188" i="4"/>
  <c r="N145" i="4"/>
  <c r="X149" i="4"/>
  <c r="Y149" i="4" s="1"/>
  <c r="U194" i="4"/>
  <c r="E207" i="4"/>
  <c r="AE204" i="4"/>
  <c r="AU432" i="14"/>
  <c r="EJ10" i="17"/>
  <c r="EL10" i="17" s="1"/>
  <c r="EJ31" i="17"/>
  <c r="EL31" i="17" s="1"/>
  <c r="EJ6" i="17"/>
  <c r="EL6" i="17" s="1"/>
  <c r="EJ32" i="17"/>
  <c r="EL32" i="17" s="1"/>
  <c r="EJ27" i="17"/>
  <c r="EL27" i="17" s="1"/>
  <c r="EJ9" i="17"/>
  <c r="EL9" i="17" s="1"/>
  <c r="EJ5" i="17"/>
  <c r="EL5" i="17" s="1"/>
  <c r="EJ28" i="17"/>
  <c r="EL28" i="17" s="1"/>
  <c r="EJ23" i="17"/>
  <c r="EL23" i="17" s="1"/>
  <c r="EJ30" i="17"/>
  <c r="EL30" i="17" s="1"/>
  <c r="EJ29" i="17"/>
  <c r="EL29" i="17" s="1"/>
  <c r="EJ24" i="17"/>
  <c r="EL24" i="17" s="1"/>
  <c r="EJ19" i="17"/>
  <c r="EL19" i="17" s="1"/>
  <c r="EJ14" i="17"/>
  <c r="EL14" i="17" s="1"/>
  <c r="EJ13" i="17"/>
  <c r="EL13" i="17" s="1"/>
  <c r="EJ8" i="17"/>
  <c r="EL8" i="17" s="1"/>
  <c r="EJ26" i="17"/>
  <c r="EL26" i="17" s="1"/>
  <c r="EJ25" i="17"/>
  <c r="EL25" i="17" s="1"/>
  <c r="EJ20" i="17"/>
  <c r="EL20" i="17" s="1"/>
  <c r="EJ15" i="17"/>
  <c r="EL15" i="17" s="1"/>
  <c r="EJ22" i="17"/>
  <c r="EL22" i="17" s="1"/>
  <c r="EJ21" i="17"/>
  <c r="EL21" i="17" s="1"/>
  <c r="EJ16" i="17"/>
  <c r="EL16" i="17" s="1"/>
  <c r="EJ11" i="17"/>
  <c r="EL11" i="17" s="1"/>
  <c r="EJ18" i="17"/>
  <c r="EL18" i="17" s="1"/>
  <c r="EJ17" i="17"/>
  <c r="EL17" i="17" s="1"/>
  <c r="EJ12" i="17"/>
  <c r="EL12" i="17" s="1"/>
  <c r="EJ7" i="17"/>
  <c r="EL7" i="17" s="1"/>
  <c r="BT435" i="14" a="1"/>
  <c r="BT435" i="14" s="1"/>
  <c r="BT509" i="14" s="1"/>
  <c r="AK435" i="14" a="1"/>
  <c r="AK435" i="14" s="1"/>
  <c r="AK509" i="14" s="1"/>
  <c r="BT743" i="14" a="1"/>
  <c r="BT743" i="14" s="1"/>
  <c r="BT817" i="14" s="1"/>
  <c r="AU435" i="14" a="1"/>
  <c r="AU435" i="14" s="1"/>
  <c r="B435" i="14" a="1"/>
  <c r="B435" i="14" s="1"/>
  <c r="B509" i="14" s="1"/>
  <c r="BO743" i="14" a="1"/>
  <c r="BO743" i="14" s="1"/>
  <c r="BO817" i="14" s="1"/>
  <c r="AZ743" i="14" a="1"/>
  <c r="AZ743" i="14" s="1"/>
  <c r="AZ817" i="14" s="1"/>
  <c r="BE743" i="14" a="1"/>
  <c r="BE743" i="14" s="1"/>
  <c r="BE817" i="14" s="1"/>
  <c r="AP743" i="14" a="1"/>
  <c r="AP743" i="14" s="1"/>
  <c r="AP817" i="14" s="1"/>
  <c r="AF743" i="14" a="1"/>
  <c r="AF743" i="14" s="1"/>
  <c r="AF817" i="14" s="1"/>
  <c r="BO435" i="14" a="1"/>
  <c r="BO435" i="14" s="1"/>
  <c r="BO509" i="14" s="1"/>
  <c r="V435" i="14" a="1"/>
  <c r="V435" i="14" s="1"/>
  <c r="V509" i="14" s="1"/>
  <c r="AP740" i="14"/>
  <c r="BE435" i="14" a="1"/>
  <c r="BE435" i="14" s="1"/>
  <c r="BE509" i="14" s="1"/>
  <c r="BJ743" i="14" a="1"/>
  <c r="BJ743" i="14" s="1"/>
  <c r="BJ817" i="14" s="1"/>
  <c r="G435" i="14" a="1"/>
  <c r="G435" i="14" s="1"/>
  <c r="G509" i="14" s="1"/>
  <c r="AF435" i="14" a="1"/>
  <c r="AF435" i="14" s="1"/>
  <c r="Q743" i="14" a="1"/>
  <c r="Q743" i="14" s="1"/>
  <c r="Q817" i="14" s="1"/>
  <c r="AK743" i="14" a="1"/>
  <c r="AK743" i="14" s="1"/>
  <c r="AK817" i="14" s="1"/>
  <c r="V743" i="14" a="1"/>
  <c r="V743" i="14" s="1"/>
  <c r="V817" i="14" s="1"/>
  <c r="AA743" i="14" a="1"/>
  <c r="AA743" i="14" s="1"/>
  <c r="AA817" i="14" s="1"/>
  <c r="BJ435" i="14" a="1"/>
  <c r="BJ435" i="14" s="1"/>
  <c r="BJ509" i="14" s="1"/>
  <c r="L743" i="14" a="1"/>
  <c r="L743" i="14" s="1"/>
  <c r="L817" i="14" s="1"/>
  <c r="Q435" i="14" a="1"/>
  <c r="Q435" i="14" s="1"/>
  <c r="Q509" i="14" s="1"/>
  <c r="L435" i="14" a="1"/>
  <c r="L435" i="14" s="1"/>
  <c r="AZ435" i="14" a="1"/>
  <c r="AZ435" i="14" s="1"/>
  <c r="AZ509" i="14" s="1"/>
  <c r="AU743" i="14" a="1"/>
  <c r="AU743" i="14" s="1"/>
  <c r="AU817" i="14" s="1"/>
  <c r="AP435" i="14" a="1"/>
  <c r="AP435" i="14" s="1"/>
  <c r="AP509" i="14" s="1"/>
  <c r="B743" i="14" a="1"/>
  <c r="B743" i="14" s="1"/>
  <c r="B817" i="14" s="1"/>
  <c r="G743" i="14" a="1"/>
  <c r="G743" i="14" s="1"/>
  <c r="G817" i="14" s="1"/>
  <c r="AA435" i="14" a="1"/>
  <c r="AA435" i="14" s="1"/>
  <c r="AA509" i="14" s="1"/>
  <c r="A233" i="19" a="1"/>
  <c r="A233" i="4" a="1"/>
  <c r="X298" i="19" l="1"/>
  <c r="X285" i="19"/>
  <c r="E291" i="19"/>
  <c r="E266" i="19"/>
  <c r="E252" i="19"/>
  <c r="E238" i="19"/>
  <c r="U277" i="19"/>
  <c r="X239" i="19"/>
  <c r="N271" i="19"/>
  <c r="X256" i="19"/>
  <c r="N263" i="19"/>
  <c r="O263" i="19" s="1"/>
  <c r="N286" i="19"/>
  <c r="N251" i="19"/>
  <c r="E298" i="19"/>
  <c r="X284" i="19"/>
  <c r="AE290" i="19"/>
  <c r="AE265" i="19"/>
  <c r="AE251" i="19"/>
  <c r="AE237" i="19"/>
  <c r="E277" i="19"/>
  <c r="U237" i="19"/>
  <c r="N269" i="19"/>
  <c r="X254" i="19"/>
  <c r="X261" i="19"/>
  <c r="E276" i="19"/>
  <c r="N245" i="19"/>
  <c r="AE295" i="19"/>
  <c r="X283" i="19"/>
  <c r="AE288" i="19"/>
  <c r="E265" i="19"/>
  <c r="E251" i="19"/>
  <c r="E237" i="19"/>
  <c r="AE275" i="19"/>
  <c r="N236" i="19"/>
  <c r="O236" i="19" s="1"/>
  <c r="U267" i="19"/>
  <c r="N253" i="19"/>
  <c r="X260" i="19"/>
  <c r="U274" i="19"/>
  <c r="U306" i="19"/>
  <c r="X294" i="19"/>
  <c r="X281" i="19"/>
  <c r="N288" i="19"/>
  <c r="E264" i="19"/>
  <c r="E250" i="19"/>
  <c r="E236" i="19"/>
  <c r="E272" i="19"/>
  <c r="AE300" i="19"/>
  <c r="X265" i="19"/>
  <c r="X249" i="19"/>
  <c r="N258" i="19"/>
  <c r="E268" i="19"/>
  <c r="N235" i="19"/>
  <c r="O235" i="19" s="1"/>
  <c r="N293" i="19"/>
  <c r="E263" i="19"/>
  <c r="AE270" i="19"/>
  <c r="X264" i="19"/>
  <c r="E305" i="19"/>
  <c r="U303" i="19"/>
  <c r="U284" i="19"/>
  <c r="AE234" i="19"/>
  <c r="U285" i="19"/>
  <c r="X244" i="19"/>
  <c r="U275" i="19"/>
  <c r="U305" i="19"/>
  <c r="N294" i="19"/>
  <c r="X280" i="19"/>
  <c r="E287" i="19"/>
  <c r="AE263" i="19"/>
  <c r="AE249" i="19"/>
  <c r="AE235" i="19"/>
  <c r="U271" i="19"/>
  <c r="AE289" i="19"/>
  <c r="N265" i="19"/>
  <c r="U247" i="19"/>
  <c r="U256" i="19"/>
  <c r="U262" i="19"/>
  <c r="AE298" i="19"/>
  <c r="U304" i="19"/>
  <c r="X279" i="19"/>
  <c r="AE284" i="19"/>
  <c r="E249" i="19"/>
  <c r="E235" i="19"/>
  <c r="U286" i="19"/>
  <c r="N247" i="19"/>
  <c r="X250" i="19"/>
  <c r="AE283" i="19"/>
  <c r="N292" i="19"/>
  <c r="X278" i="19"/>
  <c r="AE262" i="19"/>
  <c r="AE248" i="19"/>
  <c r="X267" i="19"/>
  <c r="X262" i="19"/>
  <c r="N246" i="19"/>
  <c r="N262" i="19"/>
  <c r="O262" i="19" s="1"/>
  <c r="B313" i="19"/>
  <c r="X295" i="19"/>
  <c r="AE305" i="19"/>
  <c r="U272" i="19"/>
  <c r="AE256" i="19"/>
  <c r="AE242" i="19"/>
  <c r="N289" i="19"/>
  <c r="X251" i="19"/>
  <c r="X292" i="19"/>
  <c r="N279" i="19"/>
  <c r="X248" i="19"/>
  <c r="N254" i="19"/>
  <c r="U244" i="19"/>
  <c r="X306" i="19"/>
  <c r="AE293" i="19"/>
  <c r="N305" i="19"/>
  <c r="N272" i="19"/>
  <c r="E256" i="19"/>
  <c r="E242" i="19"/>
  <c r="E288" i="19"/>
  <c r="U249" i="19"/>
  <c r="E290" i="19"/>
  <c r="U278" i="19"/>
  <c r="N239" i="19"/>
  <c r="O239" i="19" s="1"/>
  <c r="X252" i="19"/>
  <c r="N243" i="19"/>
  <c r="E306" i="19"/>
  <c r="X276" i="19"/>
  <c r="AE272" i="19"/>
  <c r="E248" i="19"/>
  <c r="AE292" i="19"/>
  <c r="X235" i="19"/>
  <c r="U283" i="19"/>
  <c r="U270" i="19"/>
  <c r="AE277" i="19"/>
  <c r="AE303" i="19"/>
  <c r="X275" i="19"/>
  <c r="E271" i="19"/>
  <c r="AE247" i="19"/>
  <c r="AE291" i="19"/>
  <c r="N282" i="19"/>
  <c r="AE282" i="19"/>
  <c r="N259" i="19"/>
  <c r="AE269" i="19"/>
  <c r="N303" i="19"/>
  <c r="X274" i="19"/>
  <c r="AE268" i="19"/>
  <c r="E247" i="19"/>
  <c r="U287" i="19"/>
  <c r="N281" i="19"/>
  <c r="E280" i="19"/>
  <c r="N241" i="19"/>
  <c r="O241" i="19" s="1"/>
  <c r="U263" i="19"/>
  <c r="X302" i="19"/>
  <c r="X273" i="19"/>
  <c r="U268" i="19"/>
  <c r="AE246" i="19"/>
  <c r="AE286" i="19"/>
  <c r="E274" i="19"/>
  <c r="N275" i="19"/>
  <c r="U240" i="19"/>
  <c r="U246" i="19"/>
  <c r="AE243" i="19"/>
  <c r="X258" i="19"/>
  <c r="E243" i="19"/>
  <c r="N267" i="19"/>
  <c r="X305" i="19"/>
  <c r="E261" i="19"/>
  <c r="N264" i="19"/>
  <c r="O264" i="19" s="1"/>
  <c r="AE297" i="19"/>
  <c r="E241" i="19"/>
  <c r="E302" i="19"/>
  <c r="X272" i="19"/>
  <c r="N268" i="19"/>
  <c r="E246" i="19"/>
  <c r="N283" i="19"/>
  <c r="E273" i="19"/>
  <c r="N274" i="19"/>
  <c r="U238" i="19"/>
  <c r="X237" i="19"/>
  <c r="U266" i="19"/>
  <c r="X269" i="19"/>
  <c r="AE244" i="19"/>
  <c r="N266" i="19"/>
  <c r="N234" i="19"/>
  <c r="O234" i="19" s="1"/>
  <c r="N302" i="19"/>
  <c r="N306" i="19"/>
  <c r="N273" i="19"/>
  <c r="U258" i="19"/>
  <c r="AE306" i="19"/>
  <c r="AE261" i="19"/>
  <c r="E300" i="19"/>
  <c r="U254" i="19"/>
  <c r="AE241" i="19"/>
  <c r="X240" i="19"/>
  <c r="N297" i="19"/>
  <c r="X263" i="19"/>
  <c r="AE299" i="19"/>
  <c r="X271" i="19"/>
  <c r="AE267" i="19"/>
  <c r="AE245" i="19"/>
  <c r="U282" i="19"/>
  <c r="AE271" i="19"/>
  <c r="E270" i="19"/>
  <c r="X236" i="19"/>
  <c r="E289" i="19"/>
  <c r="N299" i="19"/>
  <c r="X270" i="19"/>
  <c r="E267" i="19"/>
  <c r="E245" i="19"/>
  <c r="E282" i="19"/>
  <c r="E269" i="19"/>
  <c r="U235" i="19"/>
  <c r="U281" i="19"/>
  <c r="N295" i="19"/>
  <c r="AE266" i="19"/>
  <c r="AE281" i="19"/>
  <c r="U264" i="19"/>
  <c r="N277" i="19"/>
  <c r="N291" i="19"/>
  <c r="X268" i="19"/>
  <c r="AE264" i="19"/>
  <c r="E244" i="19"/>
  <c r="N278" i="19"/>
  <c r="U259" i="19"/>
  <c r="X303" i="19"/>
  <c r="U269" i="19"/>
  <c r="N290" i="19"/>
  <c r="E262" i="19"/>
  <c r="N301" i="19"/>
  <c r="AE274" i="19"/>
  <c r="AE304" i="19"/>
  <c r="U265" i="19"/>
  <c r="U252" i="19"/>
  <c r="X297" i="19"/>
  <c r="N257" i="19"/>
  <c r="N304" i="19"/>
  <c r="AE260" i="19"/>
  <c r="U242" i="19"/>
  <c r="U300" i="19"/>
  <c r="U293" i="19"/>
  <c r="E283" i="19"/>
  <c r="E257" i="19"/>
  <c r="E234" i="19"/>
  <c r="U253" i="19"/>
  <c r="X266" i="19"/>
  <c r="AE279" i="19"/>
  <c r="X290" i="19"/>
  <c r="U299" i="19"/>
  <c r="E292" i="19"/>
  <c r="AE280" i="19"/>
  <c r="AE255" i="19"/>
  <c r="C316" i="19"/>
  <c r="X287" i="19"/>
  <c r="AE252" i="19"/>
  <c r="N240" i="19"/>
  <c r="O240" i="19" s="1"/>
  <c r="N287" i="19"/>
  <c r="X286" i="19"/>
  <c r="AE250" i="19"/>
  <c r="E281" i="19"/>
  <c r="AE240" i="19"/>
  <c r="AE285" i="19"/>
  <c r="U273" i="19"/>
  <c r="E240" i="19"/>
  <c r="E285" i="19"/>
  <c r="N255" i="19"/>
  <c r="AE238" i="19"/>
  <c r="X242" i="19"/>
  <c r="U288" i="19"/>
  <c r="N261" i="19"/>
  <c r="O261" i="19" s="1"/>
  <c r="X257" i="19"/>
  <c r="U292" i="19"/>
  <c r="AE287" i="19"/>
  <c r="U276" i="19"/>
  <c r="N242" i="19"/>
  <c r="X238" i="19"/>
  <c r="C313" i="19"/>
  <c r="AE301" i="19"/>
  <c r="N300" i="19"/>
  <c r="U289" i="19"/>
  <c r="X293" i="19"/>
  <c r="AE236" i="19"/>
  <c r="X241" i="19"/>
  <c r="U295" i="19"/>
  <c r="E295" i="19"/>
  <c r="N237" i="19"/>
  <c r="E259" i="19"/>
  <c r="X300" i="19"/>
  <c r="N238" i="19"/>
  <c r="X282" i="19"/>
  <c r="X246" i="19"/>
  <c r="AE273" i="19"/>
  <c r="X299" i="19"/>
  <c r="U302" i="19"/>
  <c r="E279" i="19"/>
  <c r="E293" i="19"/>
  <c r="E275" i="19"/>
  <c r="E260" i="19"/>
  <c r="N256" i="19"/>
  <c r="N252" i="19"/>
  <c r="AE296" i="19"/>
  <c r="U250" i="19"/>
  <c r="AE253" i="19"/>
  <c r="A233" i="19"/>
  <c r="X277" i="19"/>
  <c r="X301" i="19"/>
  <c r="U280" i="19"/>
  <c r="X245" i="19"/>
  <c r="E286" i="19"/>
  <c r="B316" i="19"/>
  <c r="U236" i="19"/>
  <c r="N248" i="19"/>
  <c r="E255" i="19"/>
  <c r="X291" i="19"/>
  <c r="E253" i="19"/>
  <c r="X296" i="19"/>
  <c r="AE239" i="19"/>
  <c r="AF239" i="19" s="1"/>
  <c r="U279" i="19"/>
  <c r="N250" i="19"/>
  <c r="E278" i="19"/>
  <c r="E304" i="19"/>
  <c r="N284" i="19"/>
  <c r="N270" i="19"/>
  <c r="N280" i="19"/>
  <c r="AE294" i="19"/>
  <c r="U297" i="19"/>
  <c r="U296" i="19"/>
  <c r="U243" i="19"/>
  <c r="N276" i="19"/>
  <c r="U234" i="19"/>
  <c r="X259" i="19"/>
  <c r="U257" i="19"/>
  <c r="U255" i="19"/>
  <c r="AE258" i="19"/>
  <c r="E296" i="19"/>
  <c r="N298" i="19"/>
  <c r="E297" i="19"/>
  <c r="X288" i="19"/>
  <c r="X304" i="19"/>
  <c r="N296" i="19"/>
  <c r="E239" i="19"/>
  <c r="AE278" i="19"/>
  <c r="N249" i="19"/>
  <c r="U260" i="19"/>
  <c r="E299" i="19"/>
  <c r="X253" i="19"/>
  <c r="U290" i="19"/>
  <c r="AE276" i="19"/>
  <c r="N285" i="19"/>
  <c r="U294" i="19"/>
  <c r="AE259" i="19"/>
  <c r="X255" i="19"/>
  <c r="X234" i="19"/>
  <c r="U251" i="19"/>
  <c r="AE254" i="19"/>
  <c r="E301" i="19"/>
  <c r="U301" i="19"/>
  <c r="U298" i="19"/>
  <c r="U248" i="19"/>
  <c r="E294" i="19"/>
  <c r="U261" i="19"/>
  <c r="E303" i="19"/>
  <c r="E284" i="19"/>
  <c r="U245" i="19"/>
  <c r="U291" i="19"/>
  <c r="AE302" i="19"/>
  <c r="U239" i="19"/>
  <c r="E258" i="19"/>
  <c r="AE257" i="19"/>
  <c r="X247" i="19"/>
  <c r="E254" i="19"/>
  <c r="X289" i="19"/>
  <c r="N260" i="19"/>
  <c r="O260" i="19" s="1"/>
  <c r="N244" i="19"/>
  <c r="X243" i="19"/>
  <c r="U241" i="19"/>
  <c r="Q178" i="19"/>
  <c r="R178" i="19"/>
  <c r="P178" i="19"/>
  <c r="O178" i="19"/>
  <c r="S178" i="19"/>
  <c r="AF152" i="19"/>
  <c r="AJ194" i="19"/>
  <c r="AL194" i="19"/>
  <c r="AH194" i="19"/>
  <c r="AF194" i="19"/>
  <c r="AK194" i="19"/>
  <c r="AL173" i="19"/>
  <c r="AH173" i="19"/>
  <c r="AJ173" i="19"/>
  <c r="AK173" i="19"/>
  <c r="AF173" i="19"/>
  <c r="AF156" i="19"/>
  <c r="O193" i="19"/>
  <c r="S193" i="19"/>
  <c r="Q193" i="19"/>
  <c r="P193" i="19"/>
  <c r="R193" i="19"/>
  <c r="AL172" i="19"/>
  <c r="AH172" i="19"/>
  <c r="AK172" i="19"/>
  <c r="AJ172" i="19"/>
  <c r="AF172" i="19"/>
  <c r="W209" i="19"/>
  <c r="V209" i="19"/>
  <c r="O158" i="19"/>
  <c r="O147" i="19"/>
  <c r="Q147" i="19"/>
  <c r="R147" i="19"/>
  <c r="P147" i="19"/>
  <c r="S147" i="19"/>
  <c r="V206" i="19"/>
  <c r="W206" i="19"/>
  <c r="P187" i="19"/>
  <c r="O187" i="19"/>
  <c r="S187" i="19"/>
  <c r="Q187" i="19"/>
  <c r="R187" i="19"/>
  <c r="O157" i="19"/>
  <c r="AF145" i="19"/>
  <c r="V188" i="19"/>
  <c r="W188" i="19"/>
  <c r="AH177" i="19"/>
  <c r="AF177" i="19"/>
  <c r="P191" i="19"/>
  <c r="O191" i="19"/>
  <c r="R191" i="19"/>
  <c r="S191" i="19"/>
  <c r="Q191" i="19"/>
  <c r="S186" i="19"/>
  <c r="R186" i="19"/>
  <c r="Q186" i="19"/>
  <c r="O186" i="19"/>
  <c r="P186" i="19"/>
  <c r="O182" i="19"/>
  <c r="P182" i="19"/>
  <c r="S182" i="19"/>
  <c r="R182" i="19"/>
  <c r="Q182" i="19"/>
  <c r="AL200" i="19"/>
  <c r="AH200" i="19"/>
  <c r="AK200" i="19"/>
  <c r="AF200" i="19"/>
  <c r="AJ200" i="19"/>
  <c r="AF183" i="19"/>
  <c r="AL183" i="19"/>
  <c r="AH183" i="19"/>
  <c r="AK183" i="19"/>
  <c r="AJ183" i="19"/>
  <c r="AK211" i="19"/>
  <c r="AJ211" i="19"/>
  <c r="AH211" i="19"/>
  <c r="AF211" i="19"/>
  <c r="AL211" i="19"/>
  <c r="AF161" i="19"/>
  <c r="AF149" i="19"/>
  <c r="O203" i="19"/>
  <c r="P203" i="19"/>
  <c r="S203" i="19"/>
  <c r="Q203" i="19"/>
  <c r="R203" i="19"/>
  <c r="AH193" i="19"/>
  <c r="AK193" i="19"/>
  <c r="AL193" i="19"/>
  <c r="AJ193" i="19"/>
  <c r="AF193" i="19"/>
  <c r="AF150" i="19"/>
  <c r="O150" i="19"/>
  <c r="O154" i="19"/>
  <c r="R183" i="19"/>
  <c r="O183" i="19"/>
  <c r="P183" i="19"/>
  <c r="S183" i="19"/>
  <c r="Q183" i="19"/>
  <c r="W180" i="19"/>
  <c r="V180" i="19"/>
  <c r="AL205" i="19"/>
  <c r="AH205" i="19"/>
  <c r="AF205" i="19"/>
  <c r="AK205" i="19"/>
  <c r="AJ205" i="19"/>
  <c r="W178" i="19"/>
  <c r="V178" i="19"/>
  <c r="AL206" i="19"/>
  <c r="AH206" i="19"/>
  <c r="AF206" i="19"/>
  <c r="AJ206" i="19"/>
  <c r="AK206" i="19"/>
  <c r="AF201" i="19"/>
  <c r="AK201" i="19"/>
  <c r="AH201" i="19"/>
  <c r="AJ201" i="19"/>
  <c r="AL201" i="19"/>
  <c r="S172" i="19"/>
  <c r="P172" i="19"/>
  <c r="Q172" i="19"/>
  <c r="R172" i="19"/>
  <c r="O172" i="19"/>
  <c r="AH204" i="19"/>
  <c r="AL204" i="19"/>
  <c r="AK204" i="19"/>
  <c r="AF204" i="19"/>
  <c r="AJ204" i="19"/>
  <c r="AL147" i="19"/>
  <c r="AH147" i="19"/>
  <c r="AK147" i="19"/>
  <c r="AF147" i="19"/>
  <c r="AJ147" i="19"/>
  <c r="AF144" i="19"/>
  <c r="AL179" i="19"/>
  <c r="AH179" i="19"/>
  <c r="AF179" i="19"/>
  <c r="AK179" i="19"/>
  <c r="AJ179" i="19"/>
  <c r="AH171" i="19"/>
  <c r="AF171" i="19"/>
  <c r="O202" i="19"/>
  <c r="P202" i="19"/>
  <c r="R202" i="19"/>
  <c r="Q202" i="19"/>
  <c r="S202" i="19"/>
  <c r="AL182" i="19"/>
  <c r="AH182" i="19"/>
  <c r="AJ182" i="19"/>
  <c r="AK182" i="19"/>
  <c r="AF182" i="19"/>
  <c r="AJ210" i="19"/>
  <c r="AL210" i="19"/>
  <c r="AK210" i="19"/>
  <c r="AH210" i="19"/>
  <c r="AF210" i="19"/>
  <c r="V183" i="19"/>
  <c r="W183" i="19"/>
  <c r="AF169" i="19"/>
  <c r="W193" i="19"/>
  <c r="V193" i="19"/>
  <c r="AF141" i="19"/>
  <c r="V204" i="19"/>
  <c r="W204" i="19"/>
  <c r="O170" i="19"/>
  <c r="P170" i="19"/>
  <c r="R170" i="19" s="1"/>
  <c r="Q170" i="19"/>
  <c r="V167" i="19"/>
  <c r="W167" i="19"/>
  <c r="W197" i="19"/>
  <c r="V197" i="19"/>
  <c r="R207" i="19"/>
  <c r="O207" i="19"/>
  <c r="P207" i="19"/>
  <c r="S207" i="19"/>
  <c r="Q207" i="19"/>
  <c r="AL203" i="19"/>
  <c r="AH203" i="19"/>
  <c r="AJ203" i="19"/>
  <c r="AK203" i="19"/>
  <c r="AF203" i="19"/>
  <c r="W181" i="19"/>
  <c r="V181" i="19"/>
  <c r="W176" i="19"/>
  <c r="V176" i="19"/>
  <c r="P196" i="19"/>
  <c r="O196" i="19"/>
  <c r="R196" i="19"/>
  <c r="S196" i="19"/>
  <c r="Q196" i="19"/>
  <c r="O146" i="19"/>
  <c r="O176" i="19"/>
  <c r="P176" i="19"/>
  <c r="Q176" i="19"/>
  <c r="AF195" i="19"/>
  <c r="AL195" i="19"/>
  <c r="AH195" i="19"/>
  <c r="AJ195" i="19"/>
  <c r="AK195" i="19"/>
  <c r="V187" i="19"/>
  <c r="W187" i="19"/>
  <c r="Q173" i="19"/>
  <c r="S173" i="19"/>
  <c r="R173" i="19"/>
  <c r="P173" i="19"/>
  <c r="O173" i="19"/>
  <c r="AF186" i="19"/>
  <c r="AK186" i="19"/>
  <c r="AL186" i="19"/>
  <c r="AH186" i="19"/>
  <c r="AJ186" i="19"/>
  <c r="S151" i="19"/>
  <c r="P151" i="19"/>
  <c r="R151" i="19"/>
  <c r="O151" i="19"/>
  <c r="Q151" i="19"/>
  <c r="Q180" i="19"/>
  <c r="R180" i="19"/>
  <c r="S180" i="19"/>
  <c r="O180" i="19"/>
  <c r="P180" i="19"/>
  <c r="S210" i="19"/>
  <c r="P210" i="19"/>
  <c r="R210" i="19"/>
  <c r="Q210" i="19"/>
  <c r="O210" i="19"/>
  <c r="W208" i="19"/>
  <c r="V208" i="19"/>
  <c r="AH164" i="19"/>
  <c r="AL164" i="19"/>
  <c r="AF164" i="19"/>
  <c r="AK164" i="19"/>
  <c r="AJ164" i="19"/>
  <c r="P206" i="19"/>
  <c r="S206" i="19"/>
  <c r="O206" i="19"/>
  <c r="R206" i="19"/>
  <c r="Q206" i="19"/>
  <c r="P197" i="19"/>
  <c r="Q197" i="19"/>
  <c r="O197" i="19"/>
  <c r="R197" i="19"/>
  <c r="S197" i="19"/>
  <c r="O155" i="19"/>
  <c r="W190" i="19"/>
  <c r="V190" i="19"/>
  <c r="W189" i="19"/>
  <c r="V189" i="19"/>
  <c r="P181" i="19"/>
  <c r="R181" i="19"/>
  <c r="S181" i="19"/>
  <c r="Q181" i="19"/>
  <c r="O181" i="19"/>
  <c r="O159" i="19"/>
  <c r="W177" i="19"/>
  <c r="V177" i="19"/>
  <c r="V175" i="19"/>
  <c r="W175" i="19"/>
  <c r="W203" i="19"/>
  <c r="V203" i="19"/>
  <c r="AK191" i="19"/>
  <c r="AL191" i="19"/>
  <c r="AH191" i="19"/>
  <c r="AF191" i="19"/>
  <c r="AJ191" i="19"/>
  <c r="AF154" i="19"/>
  <c r="AF163" i="19"/>
  <c r="V139" i="19"/>
  <c r="W139" i="19"/>
  <c r="AH190" i="19"/>
  <c r="AJ190" i="19"/>
  <c r="AK190" i="19"/>
  <c r="AF190" i="19"/>
  <c r="AL190" i="19"/>
  <c r="O152" i="19"/>
  <c r="V173" i="19"/>
  <c r="W173" i="19"/>
  <c r="R189" i="19"/>
  <c r="Q189" i="19"/>
  <c r="O189" i="19"/>
  <c r="S189" i="19"/>
  <c r="P189" i="19"/>
  <c r="S184" i="19"/>
  <c r="R184" i="19"/>
  <c r="Q184" i="19"/>
  <c r="O184" i="19"/>
  <c r="P184" i="19"/>
  <c r="O143" i="19"/>
  <c r="V211" i="19"/>
  <c r="W211" i="19"/>
  <c r="V194" i="19"/>
  <c r="W194" i="19"/>
  <c r="Q185" i="19"/>
  <c r="R185" i="19"/>
  <c r="P185" i="19"/>
  <c r="S185" i="19"/>
  <c r="O185" i="19"/>
  <c r="AH199" i="19"/>
  <c r="AL199" i="19"/>
  <c r="AF199" i="19"/>
  <c r="AJ199" i="19"/>
  <c r="AK199" i="19"/>
  <c r="AL189" i="19"/>
  <c r="AH189" i="19"/>
  <c r="AJ189" i="19"/>
  <c r="AK189" i="19"/>
  <c r="AF189" i="19"/>
  <c r="O165" i="19"/>
  <c r="AE138" i="19"/>
  <c r="AL162" i="19" s="1"/>
  <c r="AK162" i="19" s="1"/>
  <c r="E221" i="19"/>
  <c r="Y138" i="19"/>
  <c r="Y224" i="19" s="1"/>
  <c r="X138" i="19"/>
  <c r="E138" i="19"/>
  <c r="U138" i="19"/>
  <c r="W156" i="19" s="1"/>
  <c r="O63" i="19"/>
  <c r="A221" i="19"/>
  <c r="N138" i="19"/>
  <c r="C29" i="19"/>
  <c r="AF176" i="19"/>
  <c r="AH176" i="19"/>
  <c r="AF159" i="19"/>
  <c r="P175" i="19"/>
  <c r="O175" i="19"/>
  <c r="R175" i="19"/>
  <c r="Q175" i="19"/>
  <c r="W172" i="19"/>
  <c r="V172" i="19"/>
  <c r="V200" i="19"/>
  <c r="W200" i="19"/>
  <c r="W205" i="19"/>
  <c r="V205" i="19"/>
  <c r="AL185" i="19"/>
  <c r="AH185" i="19"/>
  <c r="AK185" i="19"/>
  <c r="AF185" i="19"/>
  <c r="AJ185" i="19"/>
  <c r="P188" i="19"/>
  <c r="Q188" i="19"/>
  <c r="O188" i="19"/>
  <c r="S188" i="19"/>
  <c r="R188" i="19"/>
  <c r="AF160" i="19"/>
  <c r="AJ192" i="19"/>
  <c r="AK192" i="19"/>
  <c r="AL192" i="19"/>
  <c r="AH192" i="19"/>
  <c r="AF192" i="19"/>
  <c r="R200" i="19"/>
  <c r="P200" i="19"/>
  <c r="O200" i="19"/>
  <c r="S200" i="19"/>
  <c r="Q200" i="19"/>
  <c r="O160" i="19"/>
  <c r="V174" i="19"/>
  <c r="W174" i="19"/>
  <c r="O171" i="19"/>
  <c r="Q171" i="19"/>
  <c r="O153" i="19"/>
  <c r="AF143" i="19"/>
  <c r="R164" i="19"/>
  <c r="S164" i="19"/>
  <c r="Q164" i="19"/>
  <c r="P164" i="19"/>
  <c r="O164" i="19"/>
  <c r="V186" i="19"/>
  <c r="W186" i="19"/>
  <c r="P174" i="19"/>
  <c r="R174" i="19" s="1"/>
  <c r="Q174" i="19"/>
  <c r="O174" i="19"/>
  <c r="P204" i="19"/>
  <c r="O204" i="19"/>
  <c r="Q204" i="19"/>
  <c r="S204" i="19"/>
  <c r="R204" i="19"/>
  <c r="O144" i="19"/>
  <c r="O145" i="19"/>
  <c r="AF157" i="19"/>
  <c r="W207" i="19"/>
  <c r="V207" i="19"/>
  <c r="P199" i="19"/>
  <c r="S199" i="19"/>
  <c r="R199" i="19"/>
  <c r="O199" i="19"/>
  <c r="Q199" i="19"/>
  <c r="AL209" i="19"/>
  <c r="AH209" i="19"/>
  <c r="AF209" i="19"/>
  <c r="AJ209" i="19"/>
  <c r="AK209" i="19"/>
  <c r="V182" i="19"/>
  <c r="W182" i="19"/>
  <c r="AF140" i="19"/>
  <c r="AF148" i="19"/>
  <c r="AF146" i="19"/>
  <c r="P192" i="19"/>
  <c r="Q192" i="19"/>
  <c r="S192" i="19"/>
  <c r="R192" i="19"/>
  <c r="O192" i="19"/>
  <c r="P208" i="19"/>
  <c r="Q208" i="19"/>
  <c r="O208" i="19"/>
  <c r="S208" i="19"/>
  <c r="R208" i="19"/>
  <c r="V196" i="19"/>
  <c r="W196" i="19"/>
  <c r="AF153" i="19"/>
  <c r="W201" i="19"/>
  <c r="V201" i="19"/>
  <c r="R194" i="19"/>
  <c r="P194" i="19"/>
  <c r="S194" i="19"/>
  <c r="Q194" i="19"/>
  <c r="O194" i="19"/>
  <c r="AH175" i="19"/>
  <c r="AF175" i="19"/>
  <c r="Q209" i="19"/>
  <c r="O209" i="19"/>
  <c r="R209" i="19"/>
  <c r="P209" i="19"/>
  <c r="S209" i="19"/>
  <c r="V191" i="19"/>
  <c r="W191" i="19"/>
  <c r="AF139" i="19"/>
  <c r="AF180" i="19"/>
  <c r="AK180" i="19"/>
  <c r="AL180" i="19"/>
  <c r="AH180" i="19"/>
  <c r="AJ180" i="19"/>
  <c r="P205" i="19"/>
  <c r="R205" i="19"/>
  <c r="S205" i="19"/>
  <c r="Q205" i="19"/>
  <c r="O205" i="19"/>
  <c r="AF198" i="19"/>
  <c r="AK198" i="19"/>
  <c r="AJ198" i="19"/>
  <c r="AL198" i="19"/>
  <c r="AH198" i="19"/>
  <c r="AF142" i="19"/>
  <c r="AF165" i="19"/>
  <c r="V210" i="19"/>
  <c r="W210" i="19"/>
  <c r="V170" i="19"/>
  <c r="W170" i="19"/>
  <c r="V192" i="19"/>
  <c r="W192" i="19"/>
  <c r="O149" i="19"/>
  <c r="AH170" i="19"/>
  <c r="AF170" i="19"/>
  <c r="W184" i="19"/>
  <c r="V184" i="19"/>
  <c r="R190" i="19"/>
  <c r="P190" i="19"/>
  <c r="S190" i="19"/>
  <c r="Q190" i="19"/>
  <c r="O190" i="19"/>
  <c r="P198" i="19"/>
  <c r="Q198" i="19"/>
  <c r="R198" i="19"/>
  <c r="O198" i="19"/>
  <c r="S198" i="19"/>
  <c r="V195" i="19"/>
  <c r="W195" i="19"/>
  <c r="AF208" i="19"/>
  <c r="AL208" i="19"/>
  <c r="AJ208" i="19"/>
  <c r="AH208" i="19"/>
  <c r="AK208" i="19"/>
  <c r="Q195" i="19"/>
  <c r="O195" i="19"/>
  <c r="P195" i="19"/>
  <c r="S195" i="19"/>
  <c r="R195" i="19"/>
  <c r="AJ196" i="19"/>
  <c r="AL196" i="19"/>
  <c r="AH196" i="19"/>
  <c r="AK196" i="19"/>
  <c r="AF196" i="19"/>
  <c r="W202" i="19"/>
  <c r="V202" i="19"/>
  <c r="AL184" i="19"/>
  <c r="AH184" i="19"/>
  <c r="AJ184" i="19"/>
  <c r="AF184" i="19"/>
  <c r="AK184" i="19"/>
  <c r="P201" i="19"/>
  <c r="Q201" i="19"/>
  <c r="S201" i="19"/>
  <c r="R201" i="19"/>
  <c r="O201" i="19"/>
  <c r="W198" i="19"/>
  <c r="V198" i="19"/>
  <c r="AL181" i="19"/>
  <c r="AK181" i="19"/>
  <c r="AH181" i="19"/>
  <c r="AJ181" i="19"/>
  <c r="AF181" i="19"/>
  <c r="O148" i="19"/>
  <c r="AF167" i="19"/>
  <c r="R179" i="19"/>
  <c r="P179" i="19"/>
  <c r="O179" i="19"/>
  <c r="Q179" i="19"/>
  <c r="S179" i="19"/>
  <c r="AF155" i="19"/>
  <c r="AJ197" i="19"/>
  <c r="AF197" i="19"/>
  <c r="AK197" i="19"/>
  <c r="AL197" i="19"/>
  <c r="AH197" i="19"/>
  <c r="R211" i="19"/>
  <c r="Q211" i="19"/>
  <c r="P211" i="19"/>
  <c r="S211" i="19"/>
  <c r="O211" i="19"/>
  <c r="AF187" i="19"/>
  <c r="AJ187" i="19"/>
  <c r="AL187" i="19"/>
  <c r="AH187" i="19"/>
  <c r="AK187" i="19"/>
  <c r="AL151" i="19"/>
  <c r="AH151" i="19"/>
  <c r="AK151" i="19"/>
  <c r="AF151" i="19"/>
  <c r="AJ151" i="19"/>
  <c r="W179" i="19"/>
  <c r="V179" i="19"/>
  <c r="W171" i="19"/>
  <c r="V171" i="19"/>
  <c r="V166" i="19"/>
  <c r="W166" i="19"/>
  <c r="AF168" i="19"/>
  <c r="AL202" i="19"/>
  <c r="AH202" i="19"/>
  <c r="AJ202" i="19"/>
  <c r="AK202" i="19"/>
  <c r="AF202" i="19"/>
  <c r="AF162" i="19"/>
  <c r="AF158" i="19"/>
  <c r="AK188" i="19"/>
  <c r="AJ188" i="19"/>
  <c r="AF188" i="19"/>
  <c r="AL188" i="19"/>
  <c r="AH188" i="19"/>
  <c r="W185" i="19"/>
  <c r="V185" i="19"/>
  <c r="AJ178" i="19"/>
  <c r="AH178" i="19"/>
  <c r="AL178" i="19"/>
  <c r="AF178" i="19"/>
  <c r="AK178" i="19"/>
  <c r="AL207" i="19"/>
  <c r="AH207" i="19"/>
  <c r="AF207" i="19"/>
  <c r="AK207" i="19"/>
  <c r="AJ207" i="19"/>
  <c r="P177" i="19"/>
  <c r="Q177" i="19"/>
  <c r="R177" i="19"/>
  <c r="O177" i="19"/>
  <c r="AH174" i="19"/>
  <c r="AF174" i="19"/>
  <c r="O156" i="19"/>
  <c r="W199" i="19"/>
  <c r="V199" i="19"/>
  <c r="F137" i="18"/>
  <c r="F138" i="18"/>
  <c r="F139" i="18"/>
  <c r="F140" i="18"/>
  <c r="C29" i="4"/>
  <c r="N138" i="4"/>
  <c r="P158" i="4" s="1"/>
  <c r="L509" i="14"/>
  <c r="AE138" i="4"/>
  <c r="X237" i="4"/>
  <c r="C313" i="4"/>
  <c r="AE295" i="4"/>
  <c r="U288" i="4"/>
  <c r="N281" i="4"/>
  <c r="E257" i="4"/>
  <c r="X278" i="4"/>
  <c r="E301" i="4"/>
  <c r="N304" i="4"/>
  <c r="U286" i="4"/>
  <c r="AE251" i="4"/>
  <c r="E292" i="4"/>
  <c r="U282" i="4"/>
  <c r="N275" i="4"/>
  <c r="AE254" i="4"/>
  <c r="X272" i="4"/>
  <c r="AE289" i="4"/>
  <c r="U276" i="4"/>
  <c r="N269" i="4"/>
  <c r="E251" i="4"/>
  <c r="X266" i="4"/>
  <c r="E295" i="4"/>
  <c r="AE288" i="4"/>
  <c r="X280" i="4"/>
  <c r="X238" i="4"/>
  <c r="E280" i="4"/>
  <c r="U258" i="4"/>
  <c r="N251" i="4"/>
  <c r="AE242" i="4"/>
  <c r="X248" i="4"/>
  <c r="AE277" i="4"/>
  <c r="U252" i="4"/>
  <c r="N245" i="4"/>
  <c r="E239" i="4"/>
  <c r="X242" i="4"/>
  <c r="E283" i="4"/>
  <c r="N256" i="4"/>
  <c r="AE240" i="4"/>
  <c r="AE276" i="4"/>
  <c r="E274" i="4"/>
  <c r="U246" i="4"/>
  <c r="N239" i="4"/>
  <c r="AE236" i="4"/>
  <c r="X236" i="4"/>
  <c r="AE259" i="4"/>
  <c r="X289" i="4"/>
  <c r="E293" i="4"/>
  <c r="U277" i="4"/>
  <c r="N294" i="4"/>
  <c r="E265" i="4"/>
  <c r="N271" i="4"/>
  <c r="E288" i="4"/>
  <c r="U305" i="4"/>
  <c r="X267" i="4"/>
  <c r="X258" i="4"/>
  <c r="E266" i="4"/>
  <c r="N302" i="4"/>
  <c r="AE239" i="4"/>
  <c r="E256" i="4"/>
  <c r="X283" i="4"/>
  <c r="AE290" i="4"/>
  <c r="U271" i="4"/>
  <c r="N288" i="4"/>
  <c r="AE262" i="4"/>
  <c r="U269" i="4"/>
  <c r="N265" i="4"/>
  <c r="X299" i="4"/>
  <c r="N262" i="4"/>
  <c r="U249" i="4"/>
  <c r="U254" i="4"/>
  <c r="E302" i="4"/>
  <c r="U239" i="4"/>
  <c r="N274" i="4"/>
  <c r="AE253" i="4"/>
  <c r="X277" i="4"/>
  <c r="E287" i="4"/>
  <c r="U265" i="4"/>
  <c r="N282" i="4"/>
  <c r="E259" i="4"/>
  <c r="X263" i="4"/>
  <c r="U263" i="4"/>
  <c r="AE291" i="4"/>
  <c r="U250" i="4"/>
  <c r="AE243" i="4"/>
  <c r="AE245" i="4"/>
  <c r="U279" i="4"/>
  <c r="AE246" i="4"/>
  <c r="E250" i="4"/>
  <c r="X271" i="4"/>
  <c r="AE284" i="4"/>
  <c r="U259" i="4"/>
  <c r="N276" i="4"/>
  <c r="AE256" i="4"/>
  <c r="AE255" i="4"/>
  <c r="X257" i="4"/>
  <c r="N284" i="4"/>
  <c r="N247" i="4"/>
  <c r="U238" i="4"/>
  <c r="E240" i="4"/>
  <c r="N266" i="4"/>
  <c r="N301" i="4"/>
  <c r="AE247" i="4"/>
  <c r="X265" i="4"/>
  <c r="E281" i="4"/>
  <c r="U253" i="4"/>
  <c r="N270" i="4"/>
  <c r="E253" i="4"/>
  <c r="N248" i="4"/>
  <c r="AE249" i="4"/>
  <c r="E282" i="4"/>
  <c r="X244" i="4"/>
  <c r="U302" i="4"/>
  <c r="AE294" i="4"/>
  <c r="AE257" i="4"/>
  <c r="N286" i="4"/>
  <c r="E244" i="4"/>
  <c r="X259" i="4"/>
  <c r="AE278" i="4"/>
  <c r="U247" i="4"/>
  <c r="N264" i="4"/>
  <c r="AE250" i="4"/>
  <c r="E246" i="4"/>
  <c r="U303" i="4"/>
  <c r="N259" i="4"/>
  <c r="E306" i="4"/>
  <c r="U299" i="4"/>
  <c r="N285" i="4"/>
  <c r="X270" i="4"/>
  <c r="X269" i="4"/>
  <c r="E298" i="4"/>
  <c r="N287" i="4"/>
  <c r="X284" i="4"/>
  <c r="E241" i="4"/>
  <c r="N235" i="4"/>
  <c r="N280" i="4"/>
  <c r="U261" i="4"/>
  <c r="X292" i="4"/>
  <c r="N283" i="4"/>
  <c r="AE267" i="4"/>
  <c r="AE237" i="4"/>
  <c r="E286" i="4"/>
  <c r="N263" i="4"/>
  <c r="X260" i="4"/>
  <c r="AE238" i="4"/>
  <c r="X305" i="4"/>
  <c r="U268" i="4"/>
  <c r="U293" i="4"/>
  <c r="U237" i="4"/>
  <c r="N253" i="4"/>
  <c r="U273" i="4"/>
  <c r="AE283" i="4"/>
  <c r="N257" i="4"/>
  <c r="X254" i="4"/>
  <c r="E235" i="4"/>
  <c r="AE297" i="4"/>
  <c r="AE264" i="4"/>
  <c r="U287" i="4"/>
  <c r="N279" i="4"/>
  <c r="X306" i="4"/>
  <c r="AE263" i="4"/>
  <c r="AE271" i="4"/>
  <c r="E305" i="4"/>
  <c r="A233" i="4"/>
  <c r="C316" i="4"/>
  <c r="N290" i="4"/>
  <c r="X262" i="4"/>
  <c r="E284" i="4"/>
  <c r="AE279" i="4"/>
  <c r="U291" i="4"/>
  <c r="X250" i="4"/>
  <c r="E268" i="4"/>
  <c r="AE302" i="4"/>
  <c r="U292" i="4"/>
  <c r="AE299" i="4"/>
  <c r="E255" i="4"/>
  <c r="AE275" i="4"/>
  <c r="U267" i="4"/>
  <c r="AE273" i="4"/>
  <c r="X273" i="4"/>
  <c r="AE265" i="4"/>
  <c r="E299" i="4"/>
  <c r="N306" i="4"/>
  <c r="X286" i="4"/>
  <c r="E290" i="4"/>
  <c r="U243" i="4"/>
  <c r="U272" i="4"/>
  <c r="AE258" i="4"/>
  <c r="E248" i="4"/>
  <c r="E260" i="4"/>
  <c r="E262" i="4"/>
  <c r="AE296" i="4"/>
  <c r="N300" i="4"/>
  <c r="E279" i="4"/>
  <c r="X282" i="4"/>
  <c r="N303" i="4"/>
  <c r="N261" i="4"/>
  <c r="U245" i="4"/>
  <c r="X235" i="4"/>
  <c r="E243" i="4"/>
  <c r="AE241" i="4"/>
  <c r="E275" i="4"/>
  <c r="N258" i="4"/>
  <c r="X261" i="4"/>
  <c r="U278" i="4"/>
  <c r="E297" i="4"/>
  <c r="U296" i="4"/>
  <c r="X241" i="4"/>
  <c r="X239" i="4"/>
  <c r="X276" i="4"/>
  <c r="U294" i="4"/>
  <c r="V294" i="4" s="1"/>
  <c r="AE260" i="4"/>
  <c r="AE304" i="4"/>
  <c r="E294" i="4"/>
  <c r="N292" i="4"/>
  <c r="E270" i="4"/>
  <c r="N278" i="4"/>
  <c r="U275" i="4"/>
  <c r="B313" i="4"/>
  <c r="N268" i="4"/>
  <c r="N291" i="4"/>
  <c r="U270" i="4"/>
  <c r="AE248" i="4"/>
  <c r="AE298" i="4"/>
  <c r="U242" i="4"/>
  <c r="U280" i="4"/>
  <c r="E300" i="4"/>
  <c r="X275" i="4"/>
  <c r="U262" i="4"/>
  <c r="U260" i="4"/>
  <c r="U304" i="4"/>
  <c r="AE269" i="4"/>
  <c r="U264" i="4"/>
  <c r="E245" i="4"/>
  <c r="AE292" i="4"/>
  <c r="AE305" i="4"/>
  <c r="X274" i="4"/>
  <c r="X287" i="4"/>
  <c r="E258" i="4"/>
  <c r="E254" i="4"/>
  <c r="E252" i="4"/>
  <c r="N277" i="4"/>
  <c r="U283" i="4"/>
  <c r="U240" i="4"/>
  <c r="U301" i="4"/>
  <c r="E289" i="4"/>
  <c r="E296" i="4"/>
  <c r="E267" i="4"/>
  <c r="AE281" i="4"/>
  <c r="X243" i="4"/>
  <c r="N249" i="4"/>
  <c r="N260" i="4"/>
  <c r="X234" i="4"/>
  <c r="E277" i="4"/>
  <c r="U234" i="4"/>
  <c r="U295" i="4"/>
  <c r="AE286" i="4"/>
  <c r="X288" i="4"/>
  <c r="X249" i="4"/>
  <c r="X264" i="4"/>
  <c r="N241" i="4"/>
  <c r="E236" i="4"/>
  <c r="E276" i="4"/>
  <c r="X291" i="4"/>
  <c r="N242" i="4"/>
  <c r="X301" i="4"/>
  <c r="U289" i="4"/>
  <c r="AE280" i="4"/>
  <c r="X303" i="4"/>
  <c r="N244" i="4"/>
  <c r="AE261" i="4"/>
  <c r="E278" i="4"/>
  <c r="E249" i="4"/>
  <c r="AE300" i="4"/>
  <c r="X256" i="4"/>
  <c r="X295" i="4"/>
  <c r="N298" i="4"/>
  <c r="N236" i="4"/>
  <c r="N237" i="4"/>
  <c r="X246" i="4"/>
  <c r="X247" i="4"/>
  <c r="AE303" i="4"/>
  <c r="E264" i="4"/>
  <c r="AE285" i="4"/>
  <c r="N305" i="4"/>
  <c r="N296" i="4"/>
  <c r="U290" i="4"/>
  <c r="X268" i="4"/>
  <c r="N272" i="4"/>
  <c r="N289" i="4"/>
  <c r="U236" i="4"/>
  <c r="X245" i="4"/>
  <c r="E234" i="4"/>
  <c r="N299" i="4"/>
  <c r="AE282" i="4"/>
  <c r="E261" i="4"/>
  <c r="U251" i="4"/>
  <c r="U244" i="4"/>
  <c r="B316" i="4"/>
  <c r="N293" i="4"/>
  <c r="E273" i="4"/>
  <c r="AE252" i="4"/>
  <c r="N243" i="4"/>
  <c r="E285" i="4"/>
  <c r="U284" i="4"/>
  <c r="U300" i="4"/>
  <c r="AE272" i="4"/>
  <c r="X255" i="4"/>
  <c r="U281" i="4"/>
  <c r="X300" i="4"/>
  <c r="N254" i="4"/>
  <c r="U257" i="4"/>
  <c r="U298" i="4"/>
  <c r="AE306" i="4"/>
  <c r="X293" i="4"/>
  <c r="E269" i="4"/>
  <c r="N250" i="4"/>
  <c r="U266" i="4"/>
  <c r="N238" i="4"/>
  <c r="X251" i="4"/>
  <c r="AE266" i="4"/>
  <c r="E237" i="4"/>
  <c r="N255" i="4"/>
  <c r="U285" i="4"/>
  <c r="X296" i="4"/>
  <c r="E271" i="4"/>
  <c r="E238" i="4"/>
  <c r="N273" i="4"/>
  <c r="E263" i="4"/>
  <c r="N267" i="4"/>
  <c r="X252" i="4"/>
  <c r="AE234" i="4"/>
  <c r="E247" i="4"/>
  <c r="U241" i="4"/>
  <c r="U255" i="4"/>
  <c r="X304" i="4"/>
  <c r="E272" i="4"/>
  <c r="X297" i="4"/>
  <c r="X294" i="4"/>
  <c r="AE287" i="4"/>
  <c r="AE244" i="4"/>
  <c r="U235" i="4"/>
  <c r="X240" i="4"/>
  <c r="X298" i="4"/>
  <c r="U256" i="4"/>
  <c r="X302" i="4"/>
  <c r="AE268" i="4"/>
  <c r="AE235" i="4"/>
  <c r="N295" i="4"/>
  <c r="X290" i="4"/>
  <c r="N297" i="4"/>
  <c r="N252" i="4"/>
  <c r="E242" i="4"/>
  <c r="X279" i="4"/>
  <c r="N240" i="4"/>
  <c r="X253" i="4"/>
  <c r="N246" i="4"/>
  <c r="E303" i="4"/>
  <c r="U248" i="4"/>
  <c r="X285" i="4"/>
  <c r="AE274" i="4"/>
  <c r="E291" i="4"/>
  <c r="AE270" i="4"/>
  <c r="U306" i="4"/>
  <c r="X281" i="4"/>
  <c r="U297" i="4"/>
  <c r="E304" i="4"/>
  <c r="AE301" i="4"/>
  <c r="N234" i="4"/>
  <c r="AE293" i="4"/>
  <c r="U274" i="4"/>
  <c r="O179" i="4"/>
  <c r="AL189" i="4"/>
  <c r="AK189" i="4" s="1"/>
  <c r="AF189" i="4"/>
  <c r="O165" i="4"/>
  <c r="AH206" i="4"/>
  <c r="AL206" i="4"/>
  <c r="AF206" i="4"/>
  <c r="AK206" i="4"/>
  <c r="AJ206" i="4"/>
  <c r="AF148" i="4"/>
  <c r="AH148" i="4"/>
  <c r="AL201" i="4"/>
  <c r="AH201" i="4"/>
  <c r="AF201" i="4"/>
  <c r="AJ201" i="4"/>
  <c r="AK201" i="4"/>
  <c r="AL198" i="4"/>
  <c r="AK198" i="4" s="1"/>
  <c r="AF198" i="4"/>
  <c r="AH198" i="4"/>
  <c r="O186" i="4"/>
  <c r="AF140" i="4"/>
  <c r="AJ160" i="4"/>
  <c r="AK160" i="4"/>
  <c r="AH160" i="4"/>
  <c r="AF160" i="4"/>
  <c r="AL160" i="4"/>
  <c r="AF199" i="4"/>
  <c r="AH199" i="4"/>
  <c r="O193" i="4"/>
  <c r="AF191" i="4"/>
  <c r="AL191" i="4"/>
  <c r="AK191" i="4" s="1"/>
  <c r="AF177" i="4"/>
  <c r="O192" i="4"/>
  <c r="O167" i="4"/>
  <c r="O191" i="4"/>
  <c r="V198" i="4"/>
  <c r="W198" i="4"/>
  <c r="W202" i="4"/>
  <c r="V202" i="4"/>
  <c r="O169" i="4"/>
  <c r="AL195" i="4"/>
  <c r="AK195" i="4" s="1"/>
  <c r="AF195" i="4"/>
  <c r="V210" i="4"/>
  <c r="W210" i="4"/>
  <c r="O194" i="4"/>
  <c r="O153" i="4"/>
  <c r="W209" i="4"/>
  <c r="V209" i="4"/>
  <c r="AL204" i="4"/>
  <c r="AK204" i="4"/>
  <c r="AH204" i="4"/>
  <c r="AF204" i="4"/>
  <c r="AJ204" i="4"/>
  <c r="Q200" i="4"/>
  <c r="P200" i="4"/>
  <c r="O200" i="4"/>
  <c r="AF167" i="4"/>
  <c r="AH197" i="4"/>
  <c r="AF197" i="4"/>
  <c r="P209" i="4"/>
  <c r="O209" i="4"/>
  <c r="S209" i="4"/>
  <c r="Q209" i="4"/>
  <c r="R209" i="4"/>
  <c r="S147" i="4"/>
  <c r="O147" i="4"/>
  <c r="Q147" i="4"/>
  <c r="R147" i="4"/>
  <c r="P147" i="4"/>
  <c r="AF149" i="4"/>
  <c r="AL149" i="4"/>
  <c r="AK149" i="4" s="1"/>
  <c r="W200" i="4"/>
  <c r="V200" i="4"/>
  <c r="AU509" i="14"/>
  <c r="Q148" i="4"/>
  <c r="P148" i="4"/>
  <c r="O148" i="4"/>
  <c r="AL207" i="4"/>
  <c r="AJ207" i="4"/>
  <c r="AH207" i="4"/>
  <c r="AF207" i="4"/>
  <c r="AK207" i="4"/>
  <c r="AF145" i="4"/>
  <c r="O180" i="4"/>
  <c r="AJ202" i="4"/>
  <c r="AL202" i="4"/>
  <c r="AK202" i="4"/>
  <c r="AF202" i="4"/>
  <c r="AH202" i="4"/>
  <c r="AL211" i="4"/>
  <c r="AK211" i="4"/>
  <c r="AH211" i="4"/>
  <c r="AF211" i="4"/>
  <c r="AJ211" i="4"/>
  <c r="AF179" i="4"/>
  <c r="AF153" i="4"/>
  <c r="AK192" i="4"/>
  <c r="AH192" i="4"/>
  <c r="AL192" i="4"/>
  <c r="AJ192" i="4"/>
  <c r="AF192" i="4"/>
  <c r="R202" i="4"/>
  <c r="Q202" i="4"/>
  <c r="S202" i="4"/>
  <c r="P202" i="4"/>
  <c r="O202" i="4"/>
  <c r="AJ172" i="4"/>
  <c r="AK172" i="4"/>
  <c r="AL172" i="4"/>
  <c r="AF172" i="4"/>
  <c r="AH172" i="4"/>
  <c r="S204" i="4"/>
  <c r="R204" i="4"/>
  <c r="Q204" i="4"/>
  <c r="P204" i="4"/>
  <c r="O204" i="4"/>
  <c r="O166" i="4"/>
  <c r="AH158" i="4"/>
  <c r="AF158" i="4"/>
  <c r="AF183" i="4"/>
  <c r="O188" i="4"/>
  <c r="AF174" i="4"/>
  <c r="Y138" i="4"/>
  <c r="Y224" i="4" s="1"/>
  <c r="X138" i="4"/>
  <c r="E138" i="4"/>
  <c r="O63" i="4"/>
  <c r="U138" i="4"/>
  <c r="E221" i="4"/>
  <c r="A221" i="4"/>
  <c r="O175" i="4"/>
  <c r="O174" i="4"/>
  <c r="O155" i="4"/>
  <c r="AF144" i="4"/>
  <c r="O160" i="4"/>
  <c r="O145" i="4"/>
  <c r="O150" i="4"/>
  <c r="AF143" i="4"/>
  <c r="AF155" i="4"/>
  <c r="AF193" i="4"/>
  <c r="O190" i="4"/>
  <c r="W195" i="4"/>
  <c r="V195" i="4"/>
  <c r="O181" i="4"/>
  <c r="AF186" i="4"/>
  <c r="AF139" i="4"/>
  <c r="AH209" i="4"/>
  <c r="AL209" i="4"/>
  <c r="AK209" i="4"/>
  <c r="AJ209" i="4"/>
  <c r="AF209" i="4"/>
  <c r="S208" i="4"/>
  <c r="R208" i="4"/>
  <c r="Q208" i="4"/>
  <c r="P208" i="4"/>
  <c r="O208" i="4"/>
  <c r="O182" i="4"/>
  <c r="O149" i="4"/>
  <c r="O195" i="4"/>
  <c r="W211" i="4"/>
  <c r="V211" i="4"/>
  <c r="O140" i="4"/>
  <c r="O170" i="4"/>
  <c r="O189" i="4"/>
  <c r="AF181" i="4"/>
  <c r="Q207" i="4"/>
  <c r="P207" i="4"/>
  <c r="S207" i="4"/>
  <c r="O207" i="4"/>
  <c r="R207" i="4"/>
  <c r="Q197" i="4"/>
  <c r="O197" i="4"/>
  <c r="P197" i="4"/>
  <c r="O162" i="4"/>
  <c r="AK208" i="4"/>
  <c r="AJ208" i="4"/>
  <c r="AH208" i="4"/>
  <c r="AF208" i="4"/>
  <c r="AL208" i="4"/>
  <c r="V204" i="4"/>
  <c r="W204" i="4"/>
  <c r="Q172" i="4"/>
  <c r="O172" i="4"/>
  <c r="S172" i="4"/>
  <c r="P172" i="4"/>
  <c r="R172" i="4"/>
  <c r="AL171" i="4"/>
  <c r="AK171" i="4" s="1"/>
  <c r="AF171" i="4"/>
  <c r="O142" i="4"/>
  <c r="O183" i="4"/>
  <c r="O159" i="4"/>
  <c r="AK205" i="4"/>
  <c r="AJ205" i="4"/>
  <c r="AH205" i="4"/>
  <c r="AF205" i="4"/>
  <c r="AL205" i="4"/>
  <c r="V203" i="4"/>
  <c r="W203" i="4"/>
  <c r="O151" i="4"/>
  <c r="AF163" i="4"/>
  <c r="Q157" i="4"/>
  <c r="P157" i="4"/>
  <c r="O157" i="4"/>
  <c r="AF162" i="4"/>
  <c r="O205" i="4"/>
  <c r="R205" i="4"/>
  <c r="Q205" i="4"/>
  <c r="P205" i="4"/>
  <c r="S205" i="4"/>
  <c r="O141" i="4"/>
  <c r="O210" i="4"/>
  <c r="S210" i="4"/>
  <c r="R210" i="4"/>
  <c r="P210" i="4"/>
  <c r="Q210" i="4"/>
  <c r="Q201" i="4"/>
  <c r="O201" i="4"/>
  <c r="R201" i="4"/>
  <c r="S201" i="4"/>
  <c r="P201" i="4"/>
  <c r="AK147" i="4"/>
  <c r="AL147" i="4"/>
  <c r="AF147" i="4"/>
  <c r="AJ147" i="4"/>
  <c r="AH147" i="4"/>
  <c r="AF152" i="4"/>
  <c r="AL190" i="4"/>
  <c r="AK190" i="4" s="1"/>
  <c r="AF190" i="4"/>
  <c r="AJ184" i="4"/>
  <c r="AF184" i="4"/>
  <c r="AK184" i="4"/>
  <c r="AH184" i="4"/>
  <c r="AL184" i="4"/>
  <c r="O176" i="4"/>
  <c r="AF156" i="4"/>
  <c r="AF166" i="4"/>
  <c r="O146" i="4"/>
  <c r="AF173" i="4"/>
  <c r="AF178" i="4"/>
  <c r="AF188" i="4"/>
  <c r="O187" i="4"/>
  <c r="AF142" i="4"/>
  <c r="O177" i="4"/>
  <c r="AF182" i="4"/>
  <c r="AF194" i="4"/>
  <c r="P198" i="4"/>
  <c r="O198" i="4"/>
  <c r="Q198" i="4"/>
  <c r="AF161" i="4"/>
  <c r="W199" i="4"/>
  <c r="V199" i="4"/>
  <c r="AF170" i="4"/>
  <c r="AL170" i="4"/>
  <c r="AK170" i="4" s="1"/>
  <c r="O163" i="4"/>
  <c r="AJ196" i="4"/>
  <c r="AH196" i="4"/>
  <c r="AK196" i="4"/>
  <c r="AF196" i="4"/>
  <c r="AL196" i="4"/>
  <c r="O184" i="4"/>
  <c r="S184" i="4"/>
  <c r="P184" i="4"/>
  <c r="Q184" i="4"/>
  <c r="R184" i="4"/>
  <c r="O171" i="4"/>
  <c r="AF151" i="4"/>
  <c r="Q196" i="4"/>
  <c r="O196" i="4"/>
  <c r="P196" i="4"/>
  <c r="R196" i="4"/>
  <c r="S196" i="4"/>
  <c r="O173" i="4"/>
  <c r="Q164" i="4"/>
  <c r="P164" i="4"/>
  <c r="O164" i="4"/>
  <c r="AL210" i="4"/>
  <c r="AK210" i="4"/>
  <c r="AH210" i="4"/>
  <c r="AF210" i="4"/>
  <c r="AJ210" i="4"/>
  <c r="O144" i="4"/>
  <c r="O185" i="4"/>
  <c r="O154" i="4"/>
  <c r="O199" i="4"/>
  <c r="Q199" i="4"/>
  <c r="P199" i="4"/>
  <c r="AF187" i="4"/>
  <c r="AF141" i="4"/>
  <c r="P211" i="4"/>
  <c r="R211" i="4"/>
  <c r="O211" i="4"/>
  <c r="S211" i="4"/>
  <c r="Q211" i="4"/>
  <c r="V208" i="4"/>
  <c r="W208" i="4"/>
  <c r="AF154" i="4"/>
  <c r="AF175" i="4"/>
  <c r="V206" i="4"/>
  <c r="W206" i="4"/>
  <c r="O152" i="4"/>
  <c r="AJ168" i="4"/>
  <c r="AH168" i="4"/>
  <c r="AF168" i="4"/>
  <c r="AL168" i="4"/>
  <c r="AK168" i="4"/>
  <c r="AH157" i="4"/>
  <c r="AF157" i="4"/>
  <c r="O178" i="4"/>
  <c r="AK176" i="4"/>
  <c r="AH176" i="4"/>
  <c r="AJ176" i="4"/>
  <c r="AL176" i="4"/>
  <c r="AF176" i="4"/>
  <c r="W139" i="4"/>
  <c r="V139" i="4"/>
  <c r="AF150" i="4"/>
  <c r="AH159" i="4"/>
  <c r="AF159" i="4"/>
  <c r="W201" i="4"/>
  <c r="V201" i="4"/>
  <c r="AH200" i="4"/>
  <c r="AF200" i="4"/>
  <c r="Q158" i="4"/>
  <c r="O158" i="4"/>
  <c r="O143" i="4"/>
  <c r="AL180" i="4"/>
  <c r="AK180" i="4"/>
  <c r="AH180" i="4"/>
  <c r="AF180" i="4"/>
  <c r="AJ180" i="4"/>
  <c r="O161" i="4"/>
  <c r="AF169" i="4"/>
  <c r="AL169" i="4"/>
  <c r="AK169" i="4" s="1"/>
  <c r="AH203" i="4"/>
  <c r="AF203" i="4"/>
  <c r="AL203" i="4"/>
  <c r="AJ203" i="4"/>
  <c r="AK203" i="4"/>
  <c r="AF165" i="4"/>
  <c r="AF164" i="4"/>
  <c r="AH164" i="4"/>
  <c r="AF185" i="4"/>
  <c r="AL185" i="4"/>
  <c r="AK185" i="4" s="1"/>
  <c r="O206" i="4"/>
  <c r="S206" i="4"/>
  <c r="R206" i="4"/>
  <c r="Q206" i="4"/>
  <c r="P206" i="4"/>
  <c r="W205" i="4"/>
  <c r="V205" i="4"/>
  <c r="O156" i="4"/>
  <c r="O168" i="4"/>
  <c r="P203" i="4"/>
  <c r="Q203" i="4"/>
  <c r="O203" i="4"/>
  <c r="S203" i="4"/>
  <c r="R203" i="4"/>
  <c r="AF146" i="4"/>
  <c r="W207" i="4"/>
  <c r="V207" i="4"/>
  <c r="O139" i="4"/>
  <c r="H597" i="18"/>
  <c r="C596" i="18" s="1"/>
  <c r="AF509" i="14"/>
  <c r="C483" i="18"/>
  <c r="AL157" i="19" l="1"/>
  <c r="AK157" i="19" s="1"/>
  <c r="AL156" i="19"/>
  <c r="AK156" i="19" s="1"/>
  <c r="AL170" i="19"/>
  <c r="AK170" i="19" s="1"/>
  <c r="R176" i="19"/>
  <c r="AL175" i="19"/>
  <c r="AK175" i="19" s="1"/>
  <c r="AL176" i="19"/>
  <c r="AK176" i="19" s="1"/>
  <c r="AL171" i="19"/>
  <c r="AK171" i="19" s="1"/>
  <c r="AL177" i="19"/>
  <c r="AK177" i="19" s="1"/>
  <c r="AL174" i="19"/>
  <c r="AK174" i="19" s="1"/>
  <c r="P171" i="19"/>
  <c r="AL152" i="19"/>
  <c r="AK152" i="19" s="1"/>
  <c r="AL150" i="19"/>
  <c r="AK150" i="19" s="1"/>
  <c r="W140" i="19"/>
  <c r="W141" i="19"/>
  <c r="W142" i="19"/>
  <c r="AL148" i="19"/>
  <c r="AK148" i="19" s="1"/>
  <c r="AL149" i="19"/>
  <c r="AK149" i="19" s="1"/>
  <c r="W167" i="4"/>
  <c r="O60" i="4"/>
  <c r="AL155" i="19"/>
  <c r="AK155" i="19" s="1"/>
  <c r="AL154" i="19"/>
  <c r="AK154" i="19" s="1"/>
  <c r="AL158" i="19"/>
  <c r="AK158" i="19" s="1"/>
  <c r="AL159" i="19"/>
  <c r="AK159" i="19" s="1"/>
  <c r="AL160" i="19"/>
  <c r="AK160" i="19" s="1"/>
  <c r="AL153" i="19"/>
  <c r="AK153" i="19" s="1"/>
  <c r="AL146" i="19"/>
  <c r="AK146" i="19" s="1"/>
  <c r="AL143" i="19"/>
  <c r="AK143" i="19" s="1"/>
  <c r="AL145" i="19"/>
  <c r="AK145" i="19" s="1"/>
  <c r="AL144" i="19"/>
  <c r="AK144" i="19" s="1"/>
  <c r="AL165" i="19"/>
  <c r="AK165" i="19" s="1"/>
  <c r="W162" i="19"/>
  <c r="W168" i="19"/>
  <c r="W163" i="19"/>
  <c r="W169" i="19"/>
  <c r="W161" i="19"/>
  <c r="AL142" i="19"/>
  <c r="AK142" i="19" s="1"/>
  <c r="AL140" i="19"/>
  <c r="AK140" i="19" s="1"/>
  <c r="AL139" i="19"/>
  <c r="AK139" i="19" s="1"/>
  <c r="AL141" i="19"/>
  <c r="AK141" i="19" s="1"/>
  <c r="W153" i="19"/>
  <c r="W148" i="19"/>
  <c r="W151" i="19"/>
  <c r="W145" i="19"/>
  <c r="W149" i="19"/>
  <c r="W144" i="19"/>
  <c r="W150" i="19"/>
  <c r="W143" i="19"/>
  <c r="W152" i="19"/>
  <c r="W147" i="19"/>
  <c r="W154" i="19"/>
  <c r="AL161" i="19"/>
  <c r="AK161" i="19" s="1"/>
  <c r="AL168" i="19"/>
  <c r="AK168" i="19" s="1"/>
  <c r="Y257" i="19"/>
  <c r="W158" i="19"/>
  <c r="W165" i="19"/>
  <c r="W155" i="19"/>
  <c r="W164" i="19"/>
  <c r="W159" i="19"/>
  <c r="W160" i="19"/>
  <c r="AL163" i="19"/>
  <c r="AK163" i="19" s="1"/>
  <c r="O303" i="19"/>
  <c r="P303" i="19"/>
  <c r="S303" i="19"/>
  <c r="Q303" i="19"/>
  <c r="R303" i="19"/>
  <c r="AI173" i="19"/>
  <c r="AG173" i="19"/>
  <c r="Y295" i="19"/>
  <c r="W295" i="19"/>
  <c r="V295" i="19"/>
  <c r="AL267" i="19"/>
  <c r="AH267" i="19"/>
  <c r="AF267" i="19"/>
  <c r="AK267" i="19"/>
  <c r="AJ267" i="19"/>
  <c r="AH269" i="19"/>
  <c r="AF269" i="19"/>
  <c r="R305" i="19"/>
  <c r="P305" i="19"/>
  <c r="Q305" i="19"/>
  <c r="O305" i="19"/>
  <c r="S305" i="19"/>
  <c r="Q245" i="19"/>
  <c r="O245" i="19"/>
  <c r="AG197" i="19"/>
  <c r="AI197" i="19"/>
  <c r="Y239" i="19"/>
  <c r="Y236" i="19"/>
  <c r="AF252" i="19"/>
  <c r="Y269" i="19"/>
  <c r="W269" i="19"/>
  <c r="V269" i="19"/>
  <c r="O259" i="19"/>
  <c r="AK293" i="19"/>
  <c r="AL293" i="19"/>
  <c r="AJ293" i="19"/>
  <c r="AF293" i="19"/>
  <c r="AH293" i="19"/>
  <c r="O293" i="19"/>
  <c r="P293" i="19"/>
  <c r="S293" i="19"/>
  <c r="Q293" i="19"/>
  <c r="R293" i="19"/>
  <c r="O272" i="19"/>
  <c r="P272" i="19"/>
  <c r="Q272" i="19"/>
  <c r="R272" i="19" s="1"/>
  <c r="R296" i="19"/>
  <c r="S296" i="19"/>
  <c r="Q296" i="19"/>
  <c r="O296" i="19"/>
  <c r="P296" i="19"/>
  <c r="N221" i="19"/>
  <c r="C30" i="19"/>
  <c r="O138" i="19"/>
  <c r="AH302" i="19"/>
  <c r="AL302" i="19"/>
  <c r="AK302" i="19"/>
  <c r="AJ302" i="19"/>
  <c r="AF302" i="19"/>
  <c r="AF236" i="19"/>
  <c r="AL299" i="19"/>
  <c r="AH299" i="19"/>
  <c r="AJ299" i="19"/>
  <c r="AK299" i="19"/>
  <c r="AF299" i="19"/>
  <c r="AL297" i="19"/>
  <c r="AH297" i="19"/>
  <c r="AF297" i="19"/>
  <c r="AK297" i="19"/>
  <c r="AJ297" i="19"/>
  <c r="AJ282" i="19"/>
  <c r="AF282" i="19"/>
  <c r="AK282" i="19"/>
  <c r="AH282" i="19"/>
  <c r="AL282" i="19"/>
  <c r="AK284" i="19"/>
  <c r="AJ284" i="19"/>
  <c r="AF284" i="19"/>
  <c r="AL284" i="19"/>
  <c r="AH284" i="19"/>
  <c r="O237" i="19"/>
  <c r="AG208" i="19"/>
  <c r="AI208" i="19"/>
  <c r="AF270" i="19"/>
  <c r="AH270" i="19"/>
  <c r="AG207" i="19"/>
  <c r="AI207" i="19"/>
  <c r="AG185" i="19"/>
  <c r="AI185" i="19"/>
  <c r="AG211" i="19"/>
  <c r="AI211" i="19"/>
  <c r="Y291" i="19"/>
  <c r="W291" i="19"/>
  <c r="V291" i="19"/>
  <c r="Y259" i="19"/>
  <c r="R282" i="19"/>
  <c r="P282" i="19"/>
  <c r="S282" i="19"/>
  <c r="O282" i="19"/>
  <c r="Q282" i="19"/>
  <c r="Y244" i="19"/>
  <c r="AJ295" i="19"/>
  <c r="AK295" i="19"/>
  <c r="AF295" i="19"/>
  <c r="AL295" i="19"/>
  <c r="AH295" i="19"/>
  <c r="P290" i="19"/>
  <c r="R290" i="19"/>
  <c r="S290" i="19"/>
  <c r="Q290" i="19"/>
  <c r="O290" i="19"/>
  <c r="AG186" i="19"/>
  <c r="AI186" i="19"/>
  <c r="AG190" i="19"/>
  <c r="AI190" i="19"/>
  <c r="AI179" i="19"/>
  <c r="AG179" i="19"/>
  <c r="Y245" i="19"/>
  <c r="R298" i="19"/>
  <c r="P298" i="19"/>
  <c r="S298" i="19"/>
  <c r="O298" i="19"/>
  <c r="Q298" i="19"/>
  <c r="V289" i="19"/>
  <c r="W289" i="19"/>
  <c r="Y289" i="19"/>
  <c r="AF255" i="19"/>
  <c r="O278" i="19"/>
  <c r="Q278" i="19"/>
  <c r="R278" i="19"/>
  <c r="P278" i="19"/>
  <c r="S278" i="19"/>
  <c r="S297" i="19"/>
  <c r="O297" i="19"/>
  <c r="Q297" i="19"/>
  <c r="P297" i="19"/>
  <c r="R297" i="19"/>
  <c r="AH291" i="19"/>
  <c r="AL291" i="19"/>
  <c r="AJ291" i="19"/>
  <c r="AF291" i="19"/>
  <c r="AK291" i="19"/>
  <c r="O254" i="19"/>
  <c r="Y304" i="19"/>
  <c r="V304" i="19"/>
  <c r="W304" i="19"/>
  <c r="O258" i="19"/>
  <c r="P269" i="19"/>
  <c r="O269" i="19"/>
  <c r="Q269" i="19"/>
  <c r="R269" i="19"/>
  <c r="AK278" i="19"/>
  <c r="AH278" i="19"/>
  <c r="AF278" i="19"/>
  <c r="AJ278" i="19"/>
  <c r="AL278" i="19"/>
  <c r="V286" i="19"/>
  <c r="W286" i="19"/>
  <c r="Y286" i="19"/>
  <c r="AI209" i="19"/>
  <c r="AG209" i="19"/>
  <c r="O248" i="19"/>
  <c r="W146" i="19"/>
  <c r="O60" i="19"/>
  <c r="O61" i="19"/>
  <c r="W138" i="19"/>
  <c r="AF61" i="19"/>
  <c r="AF62" i="19"/>
  <c r="V138" i="19"/>
  <c r="O62" i="19"/>
  <c r="AF60" i="19"/>
  <c r="AI164" i="19"/>
  <c r="AG164" i="19"/>
  <c r="AG201" i="19"/>
  <c r="AI201" i="19"/>
  <c r="Y280" i="19"/>
  <c r="W280" i="19"/>
  <c r="V280" i="19"/>
  <c r="S300" i="19"/>
  <c r="O300" i="19"/>
  <c r="R300" i="19"/>
  <c r="Q300" i="19"/>
  <c r="P300" i="19"/>
  <c r="AF280" i="19"/>
  <c r="AH280" i="19"/>
  <c r="AK280" i="19"/>
  <c r="AJ280" i="19"/>
  <c r="AL280" i="19"/>
  <c r="AF247" i="19"/>
  <c r="AF298" i="19"/>
  <c r="AL298" i="19"/>
  <c r="AH298" i="19"/>
  <c r="AK298" i="19"/>
  <c r="AJ298" i="19"/>
  <c r="Y237" i="19"/>
  <c r="AL169" i="19"/>
  <c r="AK169" i="19" s="1"/>
  <c r="AI194" i="19"/>
  <c r="AG194" i="19"/>
  <c r="AF258" i="19"/>
  <c r="AK301" i="19"/>
  <c r="AL301" i="19"/>
  <c r="AH301" i="19"/>
  <c r="AJ301" i="19"/>
  <c r="AF301" i="19"/>
  <c r="AF264" i="19"/>
  <c r="AF241" i="19"/>
  <c r="P267" i="19"/>
  <c r="O267" i="19"/>
  <c r="Q267" i="19"/>
  <c r="S267" i="19"/>
  <c r="R267" i="19"/>
  <c r="R279" i="19"/>
  <c r="S279" i="19"/>
  <c r="O279" i="19"/>
  <c r="P279" i="19"/>
  <c r="Q279" i="19"/>
  <c r="Y262" i="19"/>
  <c r="AF251" i="19"/>
  <c r="AG206" i="19"/>
  <c r="AI206" i="19"/>
  <c r="Y248" i="19"/>
  <c r="AF253" i="19"/>
  <c r="Q242" i="19"/>
  <c r="O242" i="19"/>
  <c r="R242" i="19"/>
  <c r="P242" i="19"/>
  <c r="S242" i="19"/>
  <c r="AL279" i="19"/>
  <c r="AK279" i="19"/>
  <c r="AJ279" i="19"/>
  <c r="AF279" i="19"/>
  <c r="AH279" i="19"/>
  <c r="S277" i="19"/>
  <c r="O277" i="19"/>
  <c r="P277" i="19"/>
  <c r="R277" i="19"/>
  <c r="Q277" i="19"/>
  <c r="AF261" i="19"/>
  <c r="AF243" i="19"/>
  <c r="AF277" i="19"/>
  <c r="AK277" i="19"/>
  <c r="AL277" i="19"/>
  <c r="AH277" i="19"/>
  <c r="AJ277" i="19"/>
  <c r="S289" i="19"/>
  <c r="O289" i="19"/>
  <c r="P289" i="19"/>
  <c r="Q289" i="19"/>
  <c r="R289" i="19"/>
  <c r="O265" i="19"/>
  <c r="Q265" i="19"/>
  <c r="S265" i="19"/>
  <c r="P265" i="19"/>
  <c r="R265" i="19"/>
  <c r="AK265" i="19"/>
  <c r="AF265" i="19"/>
  <c r="AL265" i="19"/>
  <c r="AJ265" i="19"/>
  <c r="AH265" i="19"/>
  <c r="R301" i="19"/>
  <c r="P301" i="19"/>
  <c r="Q301" i="19"/>
  <c r="S301" i="19"/>
  <c r="O301" i="19"/>
  <c r="Y234" i="19"/>
  <c r="AI183" i="19"/>
  <c r="AG183" i="19"/>
  <c r="Y301" i="19"/>
  <c r="W301" i="19"/>
  <c r="V301" i="19"/>
  <c r="S276" i="19"/>
  <c r="Q276" i="19"/>
  <c r="P276" i="19"/>
  <c r="O276" i="19"/>
  <c r="R276" i="19"/>
  <c r="AL296" i="19"/>
  <c r="AH296" i="19"/>
  <c r="AK296" i="19"/>
  <c r="AF296" i="19"/>
  <c r="AJ296" i="19"/>
  <c r="AH287" i="19"/>
  <c r="AK287" i="19"/>
  <c r="AF287" i="19"/>
  <c r="AL287" i="19"/>
  <c r="AJ287" i="19"/>
  <c r="Y253" i="19"/>
  <c r="AK281" i="19"/>
  <c r="AL281" i="19"/>
  <c r="AF281" i="19"/>
  <c r="AH281" i="19"/>
  <c r="AJ281" i="19"/>
  <c r="Y258" i="19"/>
  <c r="Y240" i="19"/>
  <c r="Y283" i="19"/>
  <c r="V283" i="19"/>
  <c r="W283" i="19"/>
  <c r="AF256" i="19"/>
  <c r="Y271" i="19"/>
  <c r="W271" i="19"/>
  <c r="V271" i="19"/>
  <c r="V298" i="19"/>
  <c r="W298" i="19"/>
  <c r="Y298" i="19"/>
  <c r="AI151" i="19"/>
  <c r="AG151" i="19"/>
  <c r="W157" i="19"/>
  <c r="Y243" i="19"/>
  <c r="O252" i="19"/>
  <c r="W292" i="19"/>
  <c r="Y292" i="19"/>
  <c r="V292" i="19"/>
  <c r="AL266" i="19"/>
  <c r="AH266" i="19"/>
  <c r="AK266" i="19"/>
  <c r="AJ266" i="19"/>
  <c r="AF266" i="19"/>
  <c r="Q273" i="19"/>
  <c r="R273" i="19"/>
  <c r="S273" i="19"/>
  <c r="O273" i="19"/>
  <c r="P273" i="19"/>
  <c r="S275" i="19"/>
  <c r="O275" i="19"/>
  <c r="R275" i="19"/>
  <c r="Q275" i="19"/>
  <c r="P275" i="19"/>
  <c r="W272" i="19"/>
  <c r="V272" i="19"/>
  <c r="Y272" i="19"/>
  <c r="AF235" i="19"/>
  <c r="O288" i="19"/>
  <c r="S288" i="19"/>
  <c r="P288" i="19"/>
  <c r="R288" i="19"/>
  <c r="Q288" i="19"/>
  <c r="Y221" i="19"/>
  <c r="O64" i="19" s="1"/>
  <c r="AF63" i="19"/>
  <c r="AG203" i="19"/>
  <c r="AI203" i="19"/>
  <c r="AF237" i="19"/>
  <c r="AI210" i="19"/>
  <c r="AG210" i="19"/>
  <c r="Y246" i="19"/>
  <c r="AG196" i="19"/>
  <c r="AI196" i="19"/>
  <c r="AI198" i="19"/>
  <c r="AG198" i="19"/>
  <c r="AG147" i="19"/>
  <c r="AI147" i="19"/>
  <c r="AI193" i="19"/>
  <c r="AG193" i="19"/>
  <c r="AI200" i="19"/>
  <c r="AG200" i="19"/>
  <c r="AG172" i="19"/>
  <c r="AI172" i="19"/>
  <c r="AF254" i="19"/>
  <c r="Y296" i="19"/>
  <c r="W296" i="19"/>
  <c r="V296" i="19"/>
  <c r="O256" i="19"/>
  <c r="P295" i="19"/>
  <c r="S295" i="19"/>
  <c r="Q295" i="19"/>
  <c r="O295" i="19"/>
  <c r="R295" i="19"/>
  <c r="P306" i="19"/>
  <c r="R306" i="19"/>
  <c r="Q306" i="19"/>
  <c r="O306" i="19"/>
  <c r="S306" i="19"/>
  <c r="AK292" i="19"/>
  <c r="AF292" i="19"/>
  <c r="AJ292" i="19"/>
  <c r="AH292" i="19"/>
  <c r="AL292" i="19"/>
  <c r="AH305" i="19"/>
  <c r="AL305" i="19"/>
  <c r="AK305" i="19"/>
  <c r="AJ305" i="19"/>
  <c r="AF305" i="19"/>
  <c r="AF249" i="19"/>
  <c r="AH249" i="19"/>
  <c r="O251" i="19"/>
  <c r="Y282" i="19"/>
  <c r="V282" i="19"/>
  <c r="W282" i="19"/>
  <c r="V276" i="19"/>
  <c r="Y276" i="19"/>
  <c r="W276" i="19"/>
  <c r="AL167" i="19"/>
  <c r="AK167" i="19" s="1"/>
  <c r="Y251" i="19"/>
  <c r="Y297" i="19"/>
  <c r="V297" i="19"/>
  <c r="W297" i="19"/>
  <c r="V281" i="19"/>
  <c r="Y281" i="19"/>
  <c r="W281" i="19"/>
  <c r="R302" i="19"/>
  <c r="S302" i="19"/>
  <c r="P302" i="19"/>
  <c r="Q302" i="19"/>
  <c r="O302" i="19"/>
  <c r="AH286" i="19"/>
  <c r="AK286" i="19"/>
  <c r="AF286" i="19"/>
  <c r="AL286" i="19"/>
  <c r="AJ286" i="19"/>
  <c r="AF263" i="19"/>
  <c r="Q286" i="19"/>
  <c r="R286" i="19"/>
  <c r="S286" i="19"/>
  <c r="O286" i="19"/>
  <c r="P286" i="19"/>
  <c r="Q268" i="19"/>
  <c r="O268" i="19"/>
  <c r="P268" i="19"/>
  <c r="W299" i="19"/>
  <c r="V299" i="19"/>
  <c r="Y299" i="19"/>
  <c r="AI188" i="19"/>
  <c r="AG188" i="19"/>
  <c r="AG192" i="19"/>
  <c r="AI192" i="19"/>
  <c r="AG195" i="19"/>
  <c r="AI195" i="19"/>
  <c r="AG182" i="19"/>
  <c r="AI182" i="19"/>
  <c r="AL294" i="19"/>
  <c r="AH294" i="19"/>
  <c r="AJ294" i="19"/>
  <c r="AF294" i="19"/>
  <c r="AK294" i="19"/>
  <c r="V288" i="19"/>
  <c r="W288" i="19"/>
  <c r="Y288" i="19"/>
  <c r="Y293" i="19"/>
  <c r="W293" i="19"/>
  <c r="V293" i="19"/>
  <c r="Y235" i="19"/>
  <c r="AF246" i="19"/>
  <c r="AH246" i="19"/>
  <c r="AH272" i="19"/>
  <c r="AF272" i="19"/>
  <c r="V306" i="19"/>
  <c r="Y306" i="19"/>
  <c r="W306" i="19"/>
  <c r="Y255" i="19"/>
  <c r="AI205" i="19"/>
  <c r="AG205" i="19"/>
  <c r="S280" i="19"/>
  <c r="O280" i="19"/>
  <c r="Q280" i="19"/>
  <c r="P280" i="19"/>
  <c r="R280" i="19"/>
  <c r="Y300" i="19"/>
  <c r="V300" i="19"/>
  <c r="W300" i="19"/>
  <c r="Q266" i="19"/>
  <c r="P266" i="19"/>
  <c r="R266" i="19"/>
  <c r="S266" i="19"/>
  <c r="O266" i="19"/>
  <c r="W268" i="19"/>
  <c r="Y268" i="19"/>
  <c r="V268" i="19"/>
  <c r="W274" i="19"/>
  <c r="Y274" i="19"/>
  <c r="V274" i="19"/>
  <c r="R291" i="19"/>
  <c r="P291" i="19"/>
  <c r="Q291" i="19"/>
  <c r="S291" i="19"/>
  <c r="O291" i="19"/>
  <c r="Y250" i="19"/>
  <c r="AF259" i="19"/>
  <c r="P270" i="19"/>
  <c r="R270" i="19"/>
  <c r="O270" i="19"/>
  <c r="Q270" i="19"/>
  <c r="AF238" i="19"/>
  <c r="Y242" i="19"/>
  <c r="AF244" i="19"/>
  <c r="Q246" i="19"/>
  <c r="O246" i="19"/>
  <c r="S294" i="19"/>
  <c r="R294" i="19"/>
  <c r="O294" i="19"/>
  <c r="P294" i="19"/>
  <c r="Q294" i="19"/>
  <c r="P271" i="19"/>
  <c r="R271" i="19" s="1"/>
  <c r="Q271" i="19"/>
  <c r="O271" i="19"/>
  <c r="Y261" i="19"/>
  <c r="U233" i="19"/>
  <c r="W237" i="19" s="1"/>
  <c r="X233" i="19"/>
  <c r="AE233" i="19"/>
  <c r="AL241" i="19" s="1"/>
  <c r="AK241" i="19" s="1"/>
  <c r="U63" i="19"/>
  <c r="E233" i="19"/>
  <c r="E313" i="19"/>
  <c r="N233" i="19"/>
  <c r="A313" i="19"/>
  <c r="E316" i="19"/>
  <c r="Y264" i="19"/>
  <c r="AI189" i="19"/>
  <c r="AG189" i="19"/>
  <c r="AI191" i="19"/>
  <c r="AG191" i="19"/>
  <c r="AG204" i="19"/>
  <c r="AI204" i="19"/>
  <c r="W294" i="19"/>
  <c r="Y294" i="19"/>
  <c r="V294" i="19"/>
  <c r="P284" i="19"/>
  <c r="R284" i="19"/>
  <c r="Q284" i="19"/>
  <c r="O284" i="19"/>
  <c r="S284" i="19"/>
  <c r="Y302" i="19"/>
  <c r="V302" i="19"/>
  <c r="W302" i="19"/>
  <c r="O255" i="19"/>
  <c r="AF260" i="19"/>
  <c r="O243" i="19"/>
  <c r="W305" i="19"/>
  <c r="V305" i="19"/>
  <c r="Y305" i="19"/>
  <c r="O253" i="19"/>
  <c r="W270" i="19"/>
  <c r="V270" i="19"/>
  <c r="Y270" i="19"/>
  <c r="S285" i="19"/>
  <c r="P285" i="19"/>
  <c r="Q285" i="19"/>
  <c r="O285" i="19"/>
  <c r="R285" i="19"/>
  <c r="P304" i="19"/>
  <c r="O304" i="19"/>
  <c r="Q304" i="19"/>
  <c r="S304" i="19"/>
  <c r="R304" i="19"/>
  <c r="Y266" i="19"/>
  <c r="V263" i="19"/>
  <c r="Y263" i="19"/>
  <c r="Y275" i="19"/>
  <c r="V275" i="19"/>
  <c r="W275" i="19"/>
  <c r="Y267" i="19"/>
  <c r="V277" i="19"/>
  <c r="W277" i="19"/>
  <c r="Y277" i="19"/>
  <c r="O247" i="19"/>
  <c r="AG184" i="19"/>
  <c r="AI184" i="19"/>
  <c r="AL303" i="19"/>
  <c r="AH303" i="19"/>
  <c r="AJ303" i="19"/>
  <c r="AF303" i="19"/>
  <c r="AK303" i="19"/>
  <c r="AF306" i="19"/>
  <c r="AJ306" i="19"/>
  <c r="AL306" i="19"/>
  <c r="AK306" i="19"/>
  <c r="AH306" i="19"/>
  <c r="AG187" i="19"/>
  <c r="AI187" i="19"/>
  <c r="Y241" i="19"/>
  <c r="AL276" i="19"/>
  <c r="AK276" i="19"/>
  <c r="AJ276" i="19"/>
  <c r="AF276" i="19"/>
  <c r="AH276" i="19"/>
  <c r="AK273" i="19"/>
  <c r="AJ273" i="19"/>
  <c r="AF273" i="19"/>
  <c r="AL273" i="19"/>
  <c r="AH273" i="19"/>
  <c r="O257" i="19"/>
  <c r="AF248" i="19"/>
  <c r="AF300" i="19"/>
  <c r="AL300" i="19"/>
  <c r="AH300" i="19"/>
  <c r="AK300" i="19"/>
  <c r="AJ300" i="19"/>
  <c r="Y247" i="19"/>
  <c r="AI181" i="19"/>
  <c r="AG181" i="19"/>
  <c r="W290" i="19"/>
  <c r="V290" i="19"/>
  <c r="Y290" i="19"/>
  <c r="O250" i="19"/>
  <c r="V273" i="19"/>
  <c r="Y273" i="19"/>
  <c r="W273" i="19"/>
  <c r="S299" i="19"/>
  <c r="O299" i="19"/>
  <c r="R299" i="19"/>
  <c r="Q299" i="19"/>
  <c r="P299" i="19"/>
  <c r="Y238" i="19"/>
  <c r="V278" i="19"/>
  <c r="W278" i="19"/>
  <c r="Y278" i="19"/>
  <c r="AF262" i="19"/>
  <c r="Y285" i="19"/>
  <c r="W285" i="19"/>
  <c r="V285" i="19"/>
  <c r="AK275" i="19"/>
  <c r="AL275" i="19"/>
  <c r="AJ275" i="19"/>
  <c r="AH275" i="19"/>
  <c r="AF275" i="19"/>
  <c r="AI178" i="19"/>
  <c r="AG178" i="19"/>
  <c r="Y256" i="19"/>
  <c r="AH289" i="19"/>
  <c r="AJ289" i="19"/>
  <c r="AF289" i="19"/>
  <c r="AL289" i="19"/>
  <c r="AK289" i="19"/>
  <c r="O244" i="19"/>
  <c r="Y279" i="19"/>
  <c r="W279" i="19"/>
  <c r="V279" i="19"/>
  <c r="AJ285" i="19"/>
  <c r="AH285" i="19"/>
  <c r="AF285" i="19"/>
  <c r="AK285" i="19"/>
  <c r="AL285" i="19"/>
  <c r="Y252" i="19"/>
  <c r="Q274" i="19"/>
  <c r="P274" i="19"/>
  <c r="R274" i="19"/>
  <c r="S274" i="19"/>
  <c r="O274" i="19"/>
  <c r="P281" i="19"/>
  <c r="S281" i="19"/>
  <c r="O281" i="19"/>
  <c r="R281" i="19"/>
  <c r="Q281" i="19"/>
  <c r="AF234" i="19"/>
  <c r="AF257" i="19"/>
  <c r="AF242" i="19"/>
  <c r="AJ242" i="19"/>
  <c r="AL242" i="19"/>
  <c r="AH242" i="19"/>
  <c r="AK242" i="19"/>
  <c r="AI180" i="19"/>
  <c r="AG180" i="19"/>
  <c r="O238" i="19"/>
  <c r="AF240" i="19"/>
  <c r="Y265" i="19"/>
  <c r="Y287" i="19"/>
  <c r="W287" i="19"/>
  <c r="V287" i="19"/>
  <c r="Y249" i="19"/>
  <c r="O292" i="19"/>
  <c r="P292" i="19"/>
  <c r="Q292" i="19"/>
  <c r="S292" i="19"/>
  <c r="R292" i="19"/>
  <c r="W284" i="19"/>
  <c r="V284" i="19"/>
  <c r="Y284" i="19"/>
  <c r="AH245" i="19"/>
  <c r="AF245" i="19"/>
  <c r="AF290" i="19"/>
  <c r="AK290" i="19"/>
  <c r="AJ290" i="19"/>
  <c r="AL290" i="19"/>
  <c r="AH290" i="19"/>
  <c r="Y260" i="19"/>
  <c r="AL304" i="19"/>
  <c r="AJ304" i="19"/>
  <c r="AH304" i="19"/>
  <c r="AK304" i="19"/>
  <c r="AF304" i="19"/>
  <c r="S283" i="19"/>
  <c r="O283" i="19"/>
  <c r="R283" i="19"/>
  <c r="Q283" i="19"/>
  <c r="P283" i="19"/>
  <c r="AK283" i="19"/>
  <c r="AH283" i="19"/>
  <c r="AL283" i="19"/>
  <c r="AF283" i="19"/>
  <c r="AJ283" i="19"/>
  <c r="V303" i="19"/>
  <c r="Y303" i="19"/>
  <c r="W303" i="19"/>
  <c r="S287" i="19"/>
  <c r="O287" i="19"/>
  <c r="R287" i="19"/>
  <c r="Q287" i="19"/>
  <c r="P287" i="19"/>
  <c r="Y254" i="19"/>
  <c r="AL166" i="19"/>
  <c r="AE221" i="19"/>
  <c r="AL138" i="19"/>
  <c r="AK138" i="19" s="1"/>
  <c r="AF138" i="19"/>
  <c r="AI202" i="19"/>
  <c r="AG202" i="19"/>
  <c r="AG199" i="19"/>
  <c r="AI199" i="19"/>
  <c r="R249" i="19"/>
  <c r="Q249" i="19"/>
  <c r="O249" i="19"/>
  <c r="P249" i="19"/>
  <c r="AF250" i="19"/>
  <c r="AL274" i="19"/>
  <c r="AF274" i="19"/>
  <c r="AK274" i="19"/>
  <c r="AH274" i="19"/>
  <c r="AJ274" i="19"/>
  <c r="AF271" i="19"/>
  <c r="AH271" i="19"/>
  <c r="AH268" i="19"/>
  <c r="AF268" i="19"/>
  <c r="AL288" i="19"/>
  <c r="AK288" i="19"/>
  <c r="AJ288" i="19"/>
  <c r="AH288" i="19"/>
  <c r="AF288" i="19"/>
  <c r="AE221" i="4"/>
  <c r="AL148" i="4"/>
  <c r="AK148" i="4" s="1"/>
  <c r="AL175" i="4"/>
  <c r="AK175" i="4" s="1"/>
  <c r="AL178" i="4"/>
  <c r="AK178" i="4" s="1"/>
  <c r="AL177" i="4"/>
  <c r="AK177" i="4" s="1"/>
  <c r="AL174" i="4"/>
  <c r="AK174" i="4" s="1"/>
  <c r="AL173" i="4"/>
  <c r="AK173" i="4" s="1"/>
  <c r="AL179" i="4"/>
  <c r="AK179" i="4" s="1"/>
  <c r="R157" i="4"/>
  <c r="AL159" i="4"/>
  <c r="AK159" i="4" s="1"/>
  <c r="AL157" i="4"/>
  <c r="AK157" i="4" s="1"/>
  <c r="AL158" i="4"/>
  <c r="AK158" i="4" s="1"/>
  <c r="R158" i="4"/>
  <c r="W192" i="4"/>
  <c r="AL194" i="4"/>
  <c r="AK194" i="4" s="1"/>
  <c r="AL193" i="4"/>
  <c r="AK193" i="4" s="1"/>
  <c r="W197" i="4"/>
  <c r="W187" i="4"/>
  <c r="W191" i="4"/>
  <c r="W186" i="4"/>
  <c r="AL151" i="4"/>
  <c r="AK151" i="4" s="1"/>
  <c r="AL153" i="4"/>
  <c r="AK153" i="4" s="1"/>
  <c r="AL150" i="4"/>
  <c r="AK150" i="4" s="1"/>
  <c r="AL154" i="4"/>
  <c r="AK154" i="4" s="1"/>
  <c r="AL152" i="4"/>
  <c r="AK152" i="4" s="1"/>
  <c r="W190" i="4"/>
  <c r="V194" i="4"/>
  <c r="R197" i="4"/>
  <c r="AL183" i="4"/>
  <c r="AK183" i="4" s="1"/>
  <c r="AL200" i="4"/>
  <c r="AK200" i="4" s="1"/>
  <c r="AL197" i="4"/>
  <c r="AK197" i="4" s="1"/>
  <c r="AL199" i="4"/>
  <c r="AK199" i="4" s="1"/>
  <c r="AL188" i="4"/>
  <c r="AK188" i="4" s="1"/>
  <c r="W185" i="4"/>
  <c r="R200" i="4"/>
  <c r="R198" i="4"/>
  <c r="V193" i="4"/>
  <c r="R199" i="4"/>
  <c r="W193" i="4"/>
  <c r="W194" i="4"/>
  <c r="W196" i="4"/>
  <c r="AL163" i="4"/>
  <c r="AK163" i="4" s="1"/>
  <c r="AL164" i="4"/>
  <c r="AK164" i="4" s="1"/>
  <c r="R164" i="4"/>
  <c r="EV16" i="17"/>
  <c r="EX14" i="17"/>
  <c r="EX22" i="17" s="1"/>
  <c r="EX13" i="17"/>
  <c r="EX21" i="17" s="1"/>
  <c r="EX16" i="17"/>
  <c r="EX32" i="17" s="1"/>
  <c r="EX15" i="17"/>
  <c r="EX31" i="17" s="1"/>
  <c r="EV14" i="17"/>
  <c r="EV22" i="17" s="1"/>
  <c r="EV13" i="17"/>
  <c r="EV21" i="17" s="1"/>
  <c r="EV15" i="17"/>
  <c r="R148" i="4"/>
  <c r="N511" i="18"/>
  <c r="AF138" i="4"/>
  <c r="AF33" i="4" s="1"/>
  <c r="L511" i="18"/>
  <c r="W179" i="4"/>
  <c r="W182" i="4"/>
  <c r="W175" i="4"/>
  <c r="W189" i="4"/>
  <c r="W180" i="4"/>
  <c r="W181" i="4"/>
  <c r="W177" i="4"/>
  <c r="W188" i="4"/>
  <c r="W178" i="4"/>
  <c r="W184" i="4"/>
  <c r="W183" i="4"/>
  <c r="AL181" i="4"/>
  <c r="AK181" i="4" s="1"/>
  <c r="AL156" i="4"/>
  <c r="AK156" i="4" s="1"/>
  <c r="AL182" i="4"/>
  <c r="AK182" i="4" s="1"/>
  <c r="AL186" i="4"/>
  <c r="AK186" i="4" s="1"/>
  <c r="AL187" i="4"/>
  <c r="AK187" i="4" s="1"/>
  <c r="AL155" i="4"/>
  <c r="AK155" i="4" s="1"/>
  <c r="W170" i="4"/>
  <c r="W174" i="4"/>
  <c r="W176" i="4"/>
  <c r="W173" i="4"/>
  <c r="W166" i="4"/>
  <c r="W171" i="4"/>
  <c r="W172" i="4"/>
  <c r="W165" i="4"/>
  <c r="C30" i="4"/>
  <c r="AL141" i="4"/>
  <c r="AK141" i="4" s="1"/>
  <c r="W148" i="4"/>
  <c r="L229" i="18"/>
  <c r="W162" i="4"/>
  <c r="AL167" i="4"/>
  <c r="AK167" i="4" s="1"/>
  <c r="W168" i="4"/>
  <c r="W161" i="4"/>
  <c r="W169" i="4"/>
  <c r="AL146" i="4"/>
  <c r="AK146" i="4" s="1"/>
  <c r="AL144" i="4"/>
  <c r="AK144" i="4" s="1"/>
  <c r="AL145" i="4"/>
  <c r="AK145" i="4" s="1"/>
  <c r="AL143" i="4"/>
  <c r="AK143" i="4" s="1"/>
  <c r="AL142" i="4"/>
  <c r="AK142" i="4" s="1"/>
  <c r="W150" i="4"/>
  <c r="W149" i="4"/>
  <c r="W157" i="4"/>
  <c r="W153" i="4"/>
  <c r="W158" i="4"/>
  <c r="W152" i="4"/>
  <c r="AL166" i="4"/>
  <c r="AK166" i="4" s="1"/>
  <c r="W164" i="4"/>
  <c r="W154" i="4"/>
  <c r="W155" i="4"/>
  <c r="W163" i="4"/>
  <c r="W156" i="4"/>
  <c r="W160" i="4"/>
  <c r="AL165" i="4"/>
  <c r="AK165" i="4" s="1"/>
  <c r="AL161" i="4"/>
  <c r="AK161" i="4" s="1"/>
  <c r="W151" i="4"/>
  <c r="W159" i="4"/>
  <c r="W147" i="4"/>
  <c r="W145" i="4"/>
  <c r="W140" i="4"/>
  <c r="W141" i="4"/>
  <c r="W144" i="4"/>
  <c r="AL139" i="4"/>
  <c r="AK139" i="4" s="1"/>
  <c r="W146" i="4"/>
  <c r="R297" i="4"/>
  <c r="S297" i="4"/>
  <c r="O297" i="4"/>
  <c r="Q297" i="4"/>
  <c r="P297" i="4"/>
  <c r="AF269" i="4"/>
  <c r="Y302" i="4"/>
  <c r="W302" i="4"/>
  <c r="V302" i="4"/>
  <c r="Y271" i="4"/>
  <c r="AF281" i="4"/>
  <c r="AF241" i="4"/>
  <c r="O245" i="4"/>
  <c r="Q245" i="4"/>
  <c r="AI205" i="4"/>
  <c r="AG205" i="4"/>
  <c r="AL298" i="4"/>
  <c r="AK298" i="4"/>
  <c r="AH298" i="4"/>
  <c r="AJ298" i="4"/>
  <c r="AF298" i="4"/>
  <c r="O257" i="4"/>
  <c r="Y252" i="4"/>
  <c r="Y296" i="4"/>
  <c r="W296" i="4"/>
  <c r="V296" i="4"/>
  <c r="O275" i="4"/>
  <c r="Y274" i="4"/>
  <c r="AF243" i="4"/>
  <c r="O249" i="4"/>
  <c r="Y250" i="4"/>
  <c r="O234" i="4"/>
  <c r="Y267" i="4"/>
  <c r="O270" i="4"/>
  <c r="AF239" i="4"/>
  <c r="AF266" i="4"/>
  <c r="Y242" i="4"/>
  <c r="Y253" i="4"/>
  <c r="Y263" i="4"/>
  <c r="Q302" i="4"/>
  <c r="P302" i="4"/>
  <c r="S302" i="4"/>
  <c r="O302" i="4"/>
  <c r="R302" i="4"/>
  <c r="P304" i="4"/>
  <c r="O304" i="4"/>
  <c r="Q304" i="4"/>
  <c r="R304" i="4"/>
  <c r="S304" i="4"/>
  <c r="AL162" i="4"/>
  <c r="AK162" i="4" s="1"/>
  <c r="AL138" i="4"/>
  <c r="AK138" i="4" s="1"/>
  <c r="V297" i="4"/>
  <c r="Y297" i="4"/>
  <c r="W297" i="4"/>
  <c r="Y235" i="4"/>
  <c r="O238" i="4"/>
  <c r="AF282" i="4"/>
  <c r="AF261" i="4"/>
  <c r="AF248" i="4"/>
  <c r="AH299" i="4"/>
  <c r="AF299" i="4"/>
  <c r="AK299" i="4"/>
  <c r="AJ299" i="4"/>
  <c r="AL299" i="4"/>
  <c r="AF283" i="4"/>
  <c r="O285" i="4"/>
  <c r="AF277" i="4"/>
  <c r="AF244" i="4"/>
  <c r="Y266" i="4"/>
  <c r="R299" i="4"/>
  <c r="S299" i="4"/>
  <c r="P299" i="4"/>
  <c r="O299" i="4"/>
  <c r="Q299" i="4"/>
  <c r="O244" i="4"/>
  <c r="Y270" i="4"/>
  <c r="Y245" i="4"/>
  <c r="V292" i="4"/>
  <c r="W292" i="4"/>
  <c r="Y292" i="4"/>
  <c r="Y273" i="4"/>
  <c r="Y299" i="4"/>
  <c r="W299" i="4"/>
  <c r="V299" i="4"/>
  <c r="AF247" i="4"/>
  <c r="O282" i="4"/>
  <c r="AI147" i="4"/>
  <c r="AG147" i="4"/>
  <c r="AI202" i="4"/>
  <c r="AG202" i="4"/>
  <c r="O138" i="4"/>
  <c r="N221" i="4"/>
  <c r="AI204" i="4"/>
  <c r="AG204" i="4"/>
  <c r="V306" i="4"/>
  <c r="Y306" i="4"/>
  <c r="W306" i="4"/>
  <c r="AF287" i="4"/>
  <c r="O250" i="4"/>
  <c r="V301" i="4"/>
  <c r="Y301" i="4"/>
  <c r="W301" i="4"/>
  <c r="O291" i="4"/>
  <c r="O261" i="4"/>
  <c r="O253" i="4"/>
  <c r="R301" i="4"/>
  <c r="O301" i="4"/>
  <c r="Q301" i="4"/>
  <c r="P301" i="4"/>
  <c r="S301" i="4"/>
  <c r="Y265" i="4"/>
  <c r="V305" i="4"/>
  <c r="Y305" i="4"/>
  <c r="W305" i="4"/>
  <c r="AF242" i="4"/>
  <c r="AH242" i="4"/>
  <c r="O281" i="4"/>
  <c r="Y244" i="4"/>
  <c r="AL301" i="4"/>
  <c r="AK301" i="4"/>
  <c r="AH301" i="4"/>
  <c r="AJ301" i="4"/>
  <c r="AF301" i="4"/>
  <c r="AG208" i="4"/>
  <c r="AI208" i="4"/>
  <c r="AG209" i="4"/>
  <c r="AI209" i="4"/>
  <c r="AF270" i="4"/>
  <c r="AF280" i="4"/>
  <c r="Y240" i="4"/>
  <c r="O268" i="4"/>
  <c r="S303" i="4"/>
  <c r="R303" i="4"/>
  <c r="Q303" i="4"/>
  <c r="O303" i="4"/>
  <c r="P303" i="4"/>
  <c r="AH302" i="4"/>
  <c r="AF302" i="4"/>
  <c r="AL302" i="4"/>
  <c r="AJ302" i="4"/>
  <c r="AK302" i="4"/>
  <c r="Y237" i="4"/>
  <c r="O259" i="4"/>
  <c r="O266" i="4"/>
  <c r="O251" i="4"/>
  <c r="Y288" i="4"/>
  <c r="AK300" i="4"/>
  <c r="AJ300" i="4"/>
  <c r="AL300" i="4"/>
  <c r="AF300" i="4"/>
  <c r="AH300" i="4"/>
  <c r="W143" i="4"/>
  <c r="AF62" i="4"/>
  <c r="W138" i="4"/>
  <c r="V138" i="4"/>
  <c r="AF61" i="4"/>
  <c r="O62" i="4"/>
  <c r="O61" i="4"/>
  <c r="AF60" i="4"/>
  <c r="W142" i="4"/>
  <c r="Y236" i="4"/>
  <c r="Y289" i="4"/>
  <c r="Y283" i="4"/>
  <c r="V293" i="4"/>
  <c r="Y293" i="4"/>
  <c r="W293" i="4"/>
  <c r="V303" i="4"/>
  <c r="Y303" i="4"/>
  <c r="W303" i="4"/>
  <c r="O271" i="4"/>
  <c r="Y258" i="4"/>
  <c r="AF295" i="4"/>
  <c r="Y280" i="4"/>
  <c r="Y251" i="4"/>
  <c r="AI201" i="4"/>
  <c r="AG201" i="4"/>
  <c r="AF274" i="4"/>
  <c r="AK306" i="4"/>
  <c r="AH306" i="4"/>
  <c r="AL306" i="4"/>
  <c r="AF306" i="4"/>
  <c r="AJ306" i="4"/>
  <c r="O289" i="4"/>
  <c r="Q289" i="4"/>
  <c r="O277" i="4"/>
  <c r="Y275" i="4"/>
  <c r="Y268" i="4"/>
  <c r="Y238" i="4"/>
  <c r="AF253" i="4"/>
  <c r="Y256" i="4"/>
  <c r="AI172" i="4"/>
  <c r="AG172" i="4"/>
  <c r="AF275" i="4"/>
  <c r="AG160" i="4"/>
  <c r="AI160" i="4"/>
  <c r="Y298" i="4"/>
  <c r="W298" i="4"/>
  <c r="V298" i="4"/>
  <c r="O272" i="4"/>
  <c r="O242" i="4"/>
  <c r="O278" i="4"/>
  <c r="Q300" i="4"/>
  <c r="P300" i="4"/>
  <c r="O300" i="4"/>
  <c r="S300" i="4"/>
  <c r="R300" i="4"/>
  <c r="Y291" i="4"/>
  <c r="AF250" i="4"/>
  <c r="O247" i="4"/>
  <c r="O274" i="4"/>
  <c r="O294" i="4"/>
  <c r="AG192" i="4"/>
  <c r="AI192" i="4"/>
  <c r="AG206" i="4"/>
  <c r="AI206" i="4"/>
  <c r="Y248" i="4"/>
  <c r="Y255" i="4"/>
  <c r="Y257" i="4"/>
  <c r="AL296" i="4"/>
  <c r="AH296" i="4"/>
  <c r="AF296" i="4"/>
  <c r="AK296" i="4"/>
  <c r="AJ296" i="4"/>
  <c r="AF279" i="4"/>
  <c r="AF238" i="4"/>
  <c r="O264" i="4"/>
  <c r="O284" i="4"/>
  <c r="Y239" i="4"/>
  <c r="Y277" i="4"/>
  <c r="Y286" i="4"/>
  <c r="AG184" i="4"/>
  <c r="AI184" i="4"/>
  <c r="Y221" i="4"/>
  <c r="O64" i="4" s="1"/>
  <c r="AF63" i="4"/>
  <c r="C578" i="18" s="1"/>
  <c r="Y241" i="4"/>
  <c r="O254" i="4"/>
  <c r="Y290" i="4"/>
  <c r="O292" i="4"/>
  <c r="Y247" i="4"/>
  <c r="AF288" i="4"/>
  <c r="Y304" i="4"/>
  <c r="W304" i="4"/>
  <c r="V304" i="4"/>
  <c r="O288" i="4"/>
  <c r="AG168" i="4"/>
  <c r="AI168" i="4"/>
  <c r="O295" i="4"/>
  <c r="Y260" i="4"/>
  <c r="O279" i="4"/>
  <c r="AF240" i="4"/>
  <c r="Q298" i="4"/>
  <c r="P298" i="4"/>
  <c r="O298" i="4"/>
  <c r="S298" i="4"/>
  <c r="R298" i="4"/>
  <c r="AF249" i="4"/>
  <c r="AF268" i="4"/>
  <c r="O260" i="4"/>
  <c r="AF264" i="4"/>
  <c r="O258" i="4"/>
  <c r="AF291" i="4"/>
  <c r="O246" i="4"/>
  <c r="S296" i="4"/>
  <c r="Q296" i="4"/>
  <c r="O296" i="4"/>
  <c r="R296" i="4"/>
  <c r="P296" i="4"/>
  <c r="O263" i="4"/>
  <c r="AF278" i="4"/>
  <c r="AF255" i="4"/>
  <c r="Y254" i="4"/>
  <c r="O273" i="4"/>
  <c r="AF254" i="4"/>
  <c r="O236" i="4"/>
  <c r="O235" i="4"/>
  <c r="Y287" i="4"/>
  <c r="AF273" i="4"/>
  <c r="Y281" i="4"/>
  <c r="Q305" i="4"/>
  <c r="O305" i="4"/>
  <c r="P305" i="4"/>
  <c r="S305" i="4"/>
  <c r="R305" i="4"/>
  <c r="O241" i="4"/>
  <c r="AL304" i="4"/>
  <c r="AK304" i="4"/>
  <c r="AJ304" i="4"/>
  <c r="AF304" i="4"/>
  <c r="AH304" i="4"/>
  <c r="O290" i="4"/>
  <c r="Q290" i="4"/>
  <c r="AF256" i="4"/>
  <c r="Y249" i="4"/>
  <c r="AF259" i="4"/>
  <c r="AF235" i="4"/>
  <c r="AL265" i="4"/>
  <c r="AF265" i="4"/>
  <c r="AJ265" i="4"/>
  <c r="AK265" i="4"/>
  <c r="AH265" i="4"/>
  <c r="AF245" i="4"/>
  <c r="AH245" i="4"/>
  <c r="O256" i="4"/>
  <c r="O240" i="4"/>
  <c r="AF234" i="4"/>
  <c r="AF285" i="4"/>
  <c r="AF305" i="4"/>
  <c r="AJ305" i="4"/>
  <c r="AK305" i="4"/>
  <c r="AH305" i="4"/>
  <c r="AL305" i="4"/>
  <c r="AF260" i="4"/>
  <c r="AF258" i="4"/>
  <c r="AF237" i="4"/>
  <c r="O276" i="4"/>
  <c r="O262" i="4"/>
  <c r="AI203" i="4"/>
  <c r="AG203" i="4"/>
  <c r="AF263" i="4"/>
  <c r="AF262" i="4"/>
  <c r="O243" i="4"/>
  <c r="R306" i="4"/>
  <c r="S306" i="4"/>
  <c r="Q306" i="4"/>
  <c r="P306" i="4"/>
  <c r="O306" i="4"/>
  <c r="AF246" i="4"/>
  <c r="AI211" i="4"/>
  <c r="AG211" i="4"/>
  <c r="AF252" i="4"/>
  <c r="AG180" i="4"/>
  <c r="AI180" i="4"/>
  <c r="Y278" i="4"/>
  <c r="Y285" i="4"/>
  <c r="O248" i="4"/>
  <c r="AH297" i="4"/>
  <c r="AF297" i="4"/>
  <c r="AJ297" i="4"/>
  <c r="AL297" i="4"/>
  <c r="AK297" i="4"/>
  <c r="AF251" i="4"/>
  <c r="AI196" i="4"/>
  <c r="AG196" i="4"/>
  <c r="AI176" i="4"/>
  <c r="AG176" i="4"/>
  <c r="AI210" i="4"/>
  <c r="AG210" i="4"/>
  <c r="AF272" i="4"/>
  <c r="AF292" i="4"/>
  <c r="W294" i="4"/>
  <c r="Y294" i="4"/>
  <c r="Y272" i="4"/>
  <c r="N233" i="4"/>
  <c r="P289" i="4" s="1"/>
  <c r="E233" i="4"/>
  <c r="EV18" i="17" s="1"/>
  <c r="E313" i="4"/>
  <c r="AE233" i="4"/>
  <c r="AE313" i="4" s="1"/>
  <c r="U233" i="4"/>
  <c r="X233" i="4"/>
  <c r="Y313" i="4" s="1"/>
  <c r="U63" i="4"/>
  <c r="A313" i="4"/>
  <c r="E316" i="4"/>
  <c r="AF267" i="4"/>
  <c r="O286" i="4"/>
  <c r="Y259" i="4"/>
  <c r="AF236" i="4"/>
  <c r="O269" i="4"/>
  <c r="Y234" i="4"/>
  <c r="O280" i="4"/>
  <c r="Y279" i="4"/>
  <c r="Y262" i="4"/>
  <c r="AH290" i="4"/>
  <c r="AF290" i="4"/>
  <c r="Y282" i="4"/>
  <c r="O293" i="4"/>
  <c r="AI207" i="4"/>
  <c r="AG207" i="4"/>
  <c r="AL140" i="4"/>
  <c r="AK140" i="4" s="1"/>
  <c r="O267" i="4"/>
  <c r="V300" i="4"/>
  <c r="Y300" i="4"/>
  <c r="W300" i="4"/>
  <c r="AJ303" i="4"/>
  <c r="AK303" i="4"/>
  <c r="AH303" i="4"/>
  <c r="AF303" i="4"/>
  <c r="AL303" i="4"/>
  <c r="Y243" i="4"/>
  <c r="O283" i="4"/>
  <c r="AF257" i="4"/>
  <c r="AF284" i="4"/>
  <c r="S265" i="4"/>
  <c r="R265" i="4"/>
  <c r="Q265" i="4"/>
  <c r="P265" i="4"/>
  <c r="O265" i="4"/>
  <c r="O239" i="4"/>
  <c r="Y276" i="4"/>
  <c r="Y295" i="4"/>
  <c r="W295" i="4"/>
  <c r="V295" i="4"/>
  <c r="Y261" i="4"/>
  <c r="O237" i="4"/>
  <c r="AF276" i="4"/>
  <c r="AF293" i="4"/>
  <c r="O255" i="4"/>
  <c r="O287" i="4"/>
  <c r="O252" i="4"/>
  <c r="Y284" i="4"/>
  <c r="AF286" i="4"/>
  <c r="Y264" i="4"/>
  <c r="AF271" i="4"/>
  <c r="AF294" i="4"/>
  <c r="AL294" i="4"/>
  <c r="AK294" i="4" s="1"/>
  <c r="Y269" i="4"/>
  <c r="Y246" i="4"/>
  <c r="AF289" i="4"/>
  <c r="AH289" i="4"/>
  <c r="F596" i="18"/>
  <c r="G619" i="18"/>
  <c r="F239" i="17" s="1"/>
  <c r="F597" i="18"/>
  <c r="I619" i="18" s="1"/>
  <c r="G239" i="17" s="1"/>
  <c r="C597" i="18"/>
  <c r="E619" i="18" s="1"/>
  <c r="D239" i="17" s="1"/>
  <c r="O8" i="17" s="1"/>
  <c r="B619" i="18"/>
  <c r="B239" i="17" s="1"/>
  <c r="AL238" i="19" l="1"/>
  <c r="AK238" i="19" s="1"/>
  <c r="W266" i="19"/>
  <c r="W261" i="19"/>
  <c r="AL270" i="19"/>
  <c r="AK270" i="19" s="1"/>
  <c r="AL271" i="19"/>
  <c r="AK271" i="19" s="1"/>
  <c r="V261" i="19"/>
  <c r="R268" i="19"/>
  <c r="R171" i="19"/>
  <c r="W264" i="19"/>
  <c r="AL269" i="19"/>
  <c r="AK269" i="19" s="1"/>
  <c r="W265" i="19"/>
  <c r="V264" i="19"/>
  <c r="V260" i="19"/>
  <c r="V265" i="19"/>
  <c r="W267" i="19"/>
  <c r="V266" i="19"/>
  <c r="W260" i="19"/>
  <c r="V267" i="19"/>
  <c r="AL272" i="19"/>
  <c r="AK272" i="19" s="1"/>
  <c r="V262" i="19"/>
  <c r="W262" i="19"/>
  <c r="AL268" i="19"/>
  <c r="AK268" i="19" s="1"/>
  <c r="W263" i="19"/>
  <c r="O65" i="4"/>
  <c r="P245" i="19"/>
  <c r="R245" i="19" s="1"/>
  <c r="P246" i="19"/>
  <c r="R246" i="19" s="1"/>
  <c r="W236" i="19"/>
  <c r="AL245" i="4"/>
  <c r="AK245" i="4" s="1"/>
  <c r="AL246" i="19"/>
  <c r="AK246" i="19" s="1"/>
  <c r="AL245" i="19"/>
  <c r="AK245" i="19" s="1"/>
  <c r="P245" i="4"/>
  <c r="AL234" i="19"/>
  <c r="AK234" i="19" s="1"/>
  <c r="AL247" i="19"/>
  <c r="AK247" i="19" s="1"/>
  <c r="W235" i="19"/>
  <c r="AL244" i="19"/>
  <c r="AK244" i="19" s="1"/>
  <c r="AL243" i="19"/>
  <c r="AK243" i="19" s="1"/>
  <c r="AL250" i="19"/>
  <c r="AK250" i="19" s="1"/>
  <c r="AL255" i="19"/>
  <c r="AK255" i="19" s="1"/>
  <c r="AL252" i="19"/>
  <c r="AK252" i="19" s="1"/>
  <c r="AL249" i="19"/>
  <c r="AK249" i="19" s="1"/>
  <c r="AL251" i="19"/>
  <c r="AK251" i="19" s="1"/>
  <c r="AL253" i="19"/>
  <c r="AK253" i="19" s="1"/>
  <c r="AL254" i="19"/>
  <c r="AK254" i="19" s="1"/>
  <c r="AL248" i="19"/>
  <c r="AK248" i="19" s="1"/>
  <c r="W241" i="19"/>
  <c r="AL257" i="19"/>
  <c r="AK257" i="19" s="1"/>
  <c r="W239" i="19"/>
  <c r="AL256" i="19"/>
  <c r="AK256" i="19" s="1"/>
  <c r="W240" i="19"/>
  <c r="W234" i="19"/>
  <c r="AL236" i="19"/>
  <c r="AK236" i="19" s="1"/>
  <c r="EV17" i="17"/>
  <c r="AL259" i="19"/>
  <c r="AK259" i="19" s="1"/>
  <c r="AL235" i="19"/>
  <c r="AK235" i="19" s="1"/>
  <c r="AL258" i="19"/>
  <c r="AK258" i="19" s="1"/>
  <c r="AL237" i="19"/>
  <c r="AK237" i="19" s="1"/>
  <c r="AL260" i="19"/>
  <c r="AK260" i="19" s="1"/>
  <c r="W248" i="19"/>
  <c r="AL264" i="19"/>
  <c r="AK264" i="19" s="1"/>
  <c r="W252" i="19"/>
  <c r="AL262" i="19"/>
  <c r="AK262" i="19" s="1"/>
  <c r="AL261" i="19"/>
  <c r="AK261" i="19" s="1"/>
  <c r="AL263" i="19"/>
  <c r="AK263" i="19" s="1"/>
  <c r="AL240" i="19"/>
  <c r="AK240" i="19" s="1"/>
  <c r="AF64" i="19"/>
  <c r="W244" i="19"/>
  <c r="W251" i="19"/>
  <c r="W243" i="19"/>
  <c r="W253" i="19"/>
  <c r="W247" i="19"/>
  <c r="W245" i="19"/>
  <c r="W259" i="19"/>
  <c r="W238" i="19"/>
  <c r="W250" i="19"/>
  <c r="W246" i="19"/>
  <c r="W255" i="19"/>
  <c r="W256" i="19"/>
  <c r="W249" i="19"/>
  <c r="W254" i="19"/>
  <c r="W242" i="19"/>
  <c r="W221" i="19"/>
  <c r="W258" i="19"/>
  <c r="AI276" i="19"/>
  <c r="AG276" i="19"/>
  <c r="AG305" i="19"/>
  <c r="AI305" i="19"/>
  <c r="AI298" i="19"/>
  <c r="AG298" i="19"/>
  <c r="AG295" i="19"/>
  <c r="AI295" i="19"/>
  <c r="AG293" i="19"/>
  <c r="AI293" i="19"/>
  <c r="AG285" i="19"/>
  <c r="AI285" i="19"/>
  <c r="AG283" i="19"/>
  <c r="AI283" i="19"/>
  <c r="AG277" i="19"/>
  <c r="AI277" i="19"/>
  <c r="AG281" i="19"/>
  <c r="AI281" i="19"/>
  <c r="AG302" i="19"/>
  <c r="AI302" i="19"/>
  <c r="AG301" i="19"/>
  <c r="AI301" i="19"/>
  <c r="AI292" i="19"/>
  <c r="AG292" i="19"/>
  <c r="AG288" i="19"/>
  <c r="AI288" i="19"/>
  <c r="AG242" i="19"/>
  <c r="AI242" i="19"/>
  <c r="O224" i="19"/>
  <c r="O37" i="19" s="1"/>
  <c r="O221" i="19"/>
  <c r="O34" i="19" s="1"/>
  <c r="R224" i="19"/>
  <c r="O33" i="19"/>
  <c r="AI300" i="19"/>
  <c r="AG300" i="19"/>
  <c r="AI280" i="19"/>
  <c r="AG280" i="19"/>
  <c r="AG304" i="19"/>
  <c r="AI304" i="19"/>
  <c r="AG287" i="19"/>
  <c r="AI287" i="19"/>
  <c r="AI306" i="19"/>
  <c r="AG306" i="19"/>
  <c r="AI291" i="19"/>
  <c r="AG291" i="19"/>
  <c r="AI284" i="19"/>
  <c r="AG284" i="19"/>
  <c r="AI267" i="19"/>
  <c r="AG267" i="19"/>
  <c r="AJ224" i="19"/>
  <c r="AF33" i="19"/>
  <c r="AF224" i="19"/>
  <c r="AF37" i="19" s="1"/>
  <c r="AF221" i="19"/>
  <c r="AF34" i="19" s="1"/>
  <c r="AI289" i="19"/>
  <c r="AG289" i="19"/>
  <c r="AG296" i="19"/>
  <c r="AI296" i="19"/>
  <c r="AI265" i="19"/>
  <c r="AG265" i="19"/>
  <c r="AI303" i="19"/>
  <c r="AG303" i="19"/>
  <c r="AI294" i="19"/>
  <c r="AG294" i="19"/>
  <c r="AG279" i="19"/>
  <c r="AI279" i="19"/>
  <c r="AK166" i="19"/>
  <c r="AK221" i="19" s="1"/>
  <c r="AI286" i="19"/>
  <c r="AG286" i="19"/>
  <c r="AI278" i="19"/>
  <c r="AG278" i="19"/>
  <c r="AG282" i="19"/>
  <c r="AI282" i="19"/>
  <c r="N313" i="19"/>
  <c r="C47" i="19"/>
  <c r="O233" i="19"/>
  <c r="U33" i="19"/>
  <c r="AI266" i="19"/>
  <c r="AG266" i="19"/>
  <c r="AG297" i="19"/>
  <c r="AI297" i="19"/>
  <c r="AG275" i="19"/>
  <c r="AI275" i="19"/>
  <c r="AI273" i="19"/>
  <c r="AG273" i="19"/>
  <c r="AL239" i="19"/>
  <c r="AE313" i="19"/>
  <c r="AF233" i="19"/>
  <c r="AL233" i="19"/>
  <c r="AK233" i="19" s="1"/>
  <c r="AL33" i="19"/>
  <c r="O65" i="19"/>
  <c r="V5" i="19" s="1"/>
  <c r="Y313" i="19"/>
  <c r="AL63" i="19"/>
  <c r="AG299" i="19"/>
  <c r="AI299" i="19"/>
  <c r="AG274" i="19"/>
  <c r="AI274" i="19"/>
  <c r="AG290" i="19"/>
  <c r="AI290" i="19"/>
  <c r="W257" i="19"/>
  <c r="U62" i="19"/>
  <c r="U60" i="19"/>
  <c r="AL62" i="19"/>
  <c r="AL61" i="19"/>
  <c r="AL60" i="19"/>
  <c r="Y233" i="19"/>
  <c r="Y316" i="19" s="1"/>
  <c r="U61" i="19"/>
  <c r="W233" i="19"/>
  <c r="C46" i="19"/>
  <c r="AF65" i="19"/>
  <c r="AT5" i="19" s="1"/>
  <c r="H99" i="17"/>
  <c r="H91" i="18" s="1"/>
  <c r="AL277" i="4"/>
  <c r="AK277" i="4" s="1"/>
  <c r="AL278" i="4"/>
  <c r="AK278" i="4" s="1"/>
  <c r="AL279" i="4"/>
  <c r="AK279" i="4" s="1"/>
  <c r="W291" i="4"/>
  <c r="P290" i="4"/>
  <c r="R290" i="4" s="1"/>
  <c r="R289" i="4"/>
  <c r="AL289" i="4"/>
  <c r="AK289" i="4" s="1"/>
  <c r="AL290" i="4"/>
  <c r="AK290" i="4" s="1"/>
  <c r="AL250" i="4"/>
  <c r="AK250" i="4" s="1"/>
  <c r="AL257" i="4"/>
  <c r="AK257" i="4" s="1"/>
  <c r="EX17" i="17"/>
  <c r="EX18" i="17"/>
  <c r="C47" i="4"/>
  <c r="L166" i="18" s="1"/>
  <c r="AL242" i="4"/>
  <c r="AK242" i="4" s="1"/>
  <c r="N470" i="18"/>
  <c r="AL283" i="4"/>
  <c r="AK283" i="4" s="1"/>
  <c r="L470" i="18"/>
  <c r="AL286" i="4"/>
  <c r="AK286" i="4" s="1"/>
  <c r="AL288" i="4"/>
  <c r="AK288" i="4" s="1"/>
  <c r="AL287" i="4"/>
  <c r="AK287" i="4" s="1"/>
  <c r="AL285" i="4"/>
  <c r="AK285" i="4" s="1"/>
  <c r="AL244" i="4"/>
  <c r="AK244" i="4" s="1"/>
  <c r="AL243" i="4"/>
  <c r="AK243" i="4" s="1"/>
  <c r="AL249" i="4"/>
  <c r="AK249" i="4" s="1"/>
  <c r="AL246" i="4"/>
  <c r="AK246" i="4" s="1"/>
  <c r="AL284" i="4"/>
  <c r="AK284" i="4" s="1"/>
  <c r="AL280" i="4"/>
  <c r="AK280" i="4" s="1"/>
  <c r="AL282" i="4"/>
  <c r="AK282" i="4" s="1"/>
  <c r="AL281" i="4"/>
  <c r="AK281" i="4" s="1"/>
  <c r="C576" i="18"/>
  <c r="C577" i="18"/>
  <c r="AL291" i="4"/>
  <c r="AK291" i="4" s="1"/>
  <c r="AL33" i="4"/>
  <c r="AL256" i="4"/>
  <c r="AK256" i="4" s="1"/>
  <c r="AL264" i="4"/>
  <c r="AK264" i="4" s="1"/>
  <c r="AL263" i="4"/>
  <c r="AK263" i="4" s="1"/>
  <c r="AL262" i="4"/>
  <c r="AK262" i="4" s="1"/>
  <c r="W279" i="4"/>
  <c r="W276" i="4"/>
  <c r="W289" i="4"/>
  <c r="W273" i="4"/>
  <c r="W284" i="4"/>
  <c r="W271" i="4"/>
  <c r="W288" i="4"/>
  <c r="W290" i="4"/>
  <c r="W287" i="4"/>
  <c r="W282" i="4"/>
  <c r="W274" i="4"/>
  <c r="W275" i="4"/>
  <c r="W277" i="4"/>
  <c r="W286" i="4"/>
  <c r="W280" i="4"/>
  <c r="W281" i="4"/>
  <c r="W278" i="4"/>
  <c r="W285" i="4"/>
  <c r="W272" i="4"/>
  <c r="W283" i="4"/>
  <c r="AL261" i="4"/>
  <c r="AK261" i="4" s="1"/>
  <c r="AL292" i="4"/>
  <c r="AK292" i="4" s="1"/>
  <c r="AL267" i="4"/>
  <c r="AK267" i="4" s="1"/>
  <c r="AL293" i="4"/>
  <c r="AK293" i="4" s="1"/>
  <c r="AL266" i="4"/>
  <c r="AK266" i="4" s="1"/>
  <c r="AL295" i="4"/>
  <c r="AK295" i="4" s="1"/>
  <c r="W269" i="4"/>
  <c r="W259" i="4"/>
  <c r="AL271" i="4"/>
  <c r="AK271" i="4" s="1"/>
  <c r="AL268" i="4"/>
  <c r="AK268" i="4" s="1"/>
  <c r="AL269" i="4"/>
  <c r="AK269" i="4" s="1"/>
  <c r="AL270" i="4"/>
  <c r="AK270" i="4" s="1"/>
  <c r="W234" i="4"/>
  <c r="W261" i="4"/>
  <c r="AL272" i="4"/>
  <c r="AK272" i="4" s="1"/>
  <c r="W248" i="4"/>
  <c r="W267" i="4"/>
  <c r="W263" i="4"/>
  <c r="W266" i="4"/>
  <c r="W265" i="4"/>
  <c r="W258" i="4"/>
  <c r="W262" i="4"/>
  <c r="W268" i="4"/>
  <c r="W264" i="4"/>
  <c r="W260" i="4"/>
  <c r="W270" i="4"/>
  <c r="AL235" i="4"/>
  <c r="AK235" i="4" s="1"/>
  <c r="AL273" i="4"/>
  <c r="AK273" i="4" s="1"/>
  <c r="AL275" i="4"/>
  <c r="AK275" i="4" s="1"/>
  <c r="AL240" i="4"/>
  <c r="AK240" i="4" s="1"/>
  <c r="AL274" i="4"/>
  <c r="AK274" i="4" s="1"/>
  <c r="AL239" i="4"/>
  <c r="AK239" i="4" s="1"/>
  <c r="AL276" i="4"/>
  <c r="AK276" i="4" s="1"/>
  <c r="AL241" i="4"/>
  <c r="AK241" i="4" s="1"/>
  <c r="AL247" i="4"/>
  <c r="AK247" i="4" s="1"/>
  <c r="AL248" i="4"/>
  <c r="AK248" i="4" s="1"/>
  <c r="BU48" i="17"/>
  <c r="BU38" i="17"/>
  <c r="BU52" i="17"/>
  <c r="BU43" i="17"/>
  <c r="BU62" i="17"/>
  <c r="BU56" i="17"/>
  <c r="BU42" i="17"/>
  <c r="BU57" i="17"/>
  <c r="AL253" i="4"/>
  <c r="AK253" i="4" s="1"/>
  <c r="AL255" i="4"/>
  <c r="AK255" i="4" s="1"/>
  <c r="AL254" i="4"/>
  <c r="AK254" i="4" s="1"/>
  <c r="AL260" i="4"/>
  <c r="AK260" i="4" s="1"/>
  <c r="W252" i="4"/>
  <c r="AL251" i="4"/>
  <c r="AK251" i="4" s="1"/>
  <c r="W237" i="4"/>
  <c r="W245" i="4"/>
  <c r="W241" i="4"/>
  <c r="W249" i="4"/>
  <c r="AF64" i="4"/>
  <c r="W238" i="4"/>
  <c r="AL236" i="4"/>
  <c r="AK236" i="4" s="1"/>
  <c r="AL252" i="4"/>
  <c r="AK252" i="4" s="1"/>
  <c r="W246" i="4"/>
  <c r="W221" i="4"/>
  <c r="W251" i="4"/>
  <c r="W257" i="4"/>
  <c r="W239" i="4"/>
  <c r="W243" i="4"/>
  <c r="W235" i="4"/>
  <c r="W247" i="4"/>
  <c r="W244" i="4"/>
  <c r="AI296" i="4"/>
  <c r="AG296" i="4"/>
  <c r="O221" i="4"/>
  <c r="O34" i="4" s="1"/>
  <c r="O33" i="4"/>
  <c r="L490" i="18" s="1"/>
  <c r="O224" i="4"/>
  <c r="O37" i="4" s="1"/>
  <c r="R224" i="4"/>
  <c r="AI299" i="4"/>
  <c r="AG299" i="4"/>
  <c r="W250" i="4"/>
  <c r="AG300" i="4"/>
  <c r="AI300" i="4"/>
  <c r="AF65" i="4"/>
  <c r="AT5" i="4" s="1"/>
  <c r="AG302" i="4"/>
  <c r="AI302" i="4"/>
  <c r="W255" i="4"/>
  <c r="AK221" i="4"/>
  <c r="AI177" i="4" s="1"/>
  <c r="AI304" i="4"/>
  <c r="AG304" i="4"/>
  <c r="AL234" i="4"/>
  <c r="AK234" i="4" s="1"/>
  <c r="AJ224" i="4"/>
  <c r="AF221" i="4"/>
  <c r="AF34" i="4" s="1"/>
  <c r="AF224" i="4"/>
  <c r="AF37" i="4" s="1"/>
  <c r="AI298" i="4"/>
  <c r="AG298" i="4"/>
  <c r="AG305" i="4"/>
  <c r="AI305" i="4"/>
  <c r="AI265" i="4"/>
  <c r="AG265" i="4"/>
  <c r="W254" i="4"/>
  <c r="AL63" i="4"/>
  <c r="C573" i="18" s="1"/>
  <c r="W256" i="4"/>
  <c r="Y233" i="4"/>
  <c r="Y316" i="4" s="1"/>
  <c r="AL62" i="4"/>
  <c r="W233" i="4"/>
  <c r="U61" i="4"/>
  <c r="C46" i="4"/>
  <c r="U62" i="4"/>
  <c r="AL60" i="4"/>
  <c r="AL61" i="4"/>
  <c r="U60" i="4"/>
  <c r="AG306" i="4"/>
  <c r="AI306" i="4"/>
  <c r="W236" i="4"/>
  <c r="W253" i="4"/>
  <c r="AL237" i="4"/>
  <c r="AK237" i="4" s="1"/>
  <c r="AF233" i="4"/>
  <c r="AJ316" i="4" s="1"/>
  <c r="AL233" i="4"/>
  <c r="AK233" i="4" s="1"/>
  <c r="AI297" i="4"/>
  <c r="AG297" i="4"/>
  <c r="AL259" i="4"/>
  <c r="AK259" i="4" s="1"/>
  <c r="O233" i="4"/>
  <c r="N313" i="4"/>
  <c r="U33" i="4"/>
  <c r="AL238" i="4"/>
  <c r="AK238" i="4" s="1"/>
  <c r="W242" i="4"/>
  <c r="AL258" i="4"/>
  <c r="AK258" i="4" s="1"/>
  <c r="W240" i="4"/>
  <c r="AI303" i="4"/>
  <c r="AG303" i="4"/>
  <c r="AG301" i="4"/>
  <c r="AI301" i="4"/>
  <c r="AI175" i="19" l="1"/>
  <c r="AG175" i="19" s="1"/>
  <c r="AJ175" i="19" s="1"/>
  <c r="AI156" i="19"/>
  <c r="S177" i="19"/>
  <c r="S176" i="19"/>
  <c r="S175" i="19"/>
  <c r="S170" i="19"/>
  <c r="S174" i="19"/>
  <c r="S171" i="19"/>
  <c r="AI268" i="19"/>
  <c r="AG268" i="19" s="1"/>
  <c r="AI177" i="19"/>
  <c r="AG177" i="19" s="1"/>
  <c r="AJ177" i="19" s="1"/>
  <c r="AI174" i="19"/>
  <c r="AG174" i="19" s="1"/>
  <c r="AJ174" i="19" s="1"/>
  <c r="AI171" i="19"/>
  <c r="AG171" i="19" s="1"/>
  <c r="AJ171" i="19" s="1"/>
  <c r="AI176" i="19"/>
  <c r="AG176" i="19" s="1"/>
  <c r="AJ176" i="19" s="1"/>
  <c r="AI170" i="19"/>
  <c r="AG170" i="19" s="1"/>
  <c r="AJ170" i="19" s="1"/>
  <c r="AI272" i="19"/>
  <c r="AG272" i="19" s="1"/>
  <c r="R245" i="4"/>
  <c r="AI152" i="19"/>
  <c r="AI150" i="19"/>
  <c r="AI148" i="19"/>
  <c r="AI149" i="19"/>
  <c r="AI155" i="19"/>
  <c r="AI154" i="19"/>
  <c r="AI160" i="19"/>
  <c r="AI153" i="19"/>
  <c r="AI157" i="19"/>
  <c r="AI158" i="19"/>
  <c r="AI159" i="19"/>
  <c r="AI143" i="19"/>
  <c r="AI144" i="19"/>
  <c r="AI145" i="19"/>
  <c r="AI146" i="19"/>
  <c r="AI138" i="19"/>
  <c r="AI165" i="19"/>
  <c r="AI140" i="19"/>
  <c r="AI139" i="19"/>
  <c r="AI141" i="19"/>
  <c r="AI142" i="19"/>
  <c r="W313" i="19"/>
  <c r="AI161" i="19"/>
  <c r="AI168" i="19"/>
  <c r="AI162" i="19"/>
  <c r="AI163" i="19"/>
  <c r="AI167" i="19"/>
  <c r="AI169" i="19"/>
  <c r="AI166" i="19"/>
  <c r="AI233" i="19"/>
  <c r="AF316" i="19"/>
  <c r="AL37" i="19" s="1"/>
  <c r="AJ316" i="19"/>
  <c r="AF313" i="19"/>
  <c r="AL34" i="19" s="1"/>
  <c r="U65" i="19"/>
  <c r="W5" i="19" s="1"/>
  <c r="AK239" i="19"/>
  <c r="AK313" i="19" s="1"/>
  <c r="AI238" i="19" s="1"/>
  <c r="AL65" i="19"/>
  <c r="AU5" i="19" s="1"/>
  <c r="R316" i="19"/>
  <c r="O316" i="19"/>
  <c r="U37" i="19" s="1"/>
  <c r="O313" i="19"/>
  <c r="U34" i="19" s="1"/>
  <c r="U64" i="19"/>
  <c r="AL64" i="19"/>
  <c r="EV32" i="17"/>
  <c r="AI189" i="4"/>
  <c r="AI179" i="4"/>
  <c r="AI178" i="4"/>
  <c r="AI173" i="4"/>
  <c r="S158" i="4"/>
  <c r="S157" i="4"/>
  <c r="AI158" i="4"/>
  <c r="AG158" i="4" s="1"/>
  <c r="AJ158" i="4" s="1"/>
  <c r="AI159" i="4"/>
  <c r="AG159" i="4" s="1"/>
  <c r="AJ159" i="4" s="1"/>
  <c r="AI157" i="4"/>
  <c r="AG157" i="4" s="1"/>
  <c r="AJ157" i="4" s="1"/>
  <c r="AI195" i="4"/>
  <c r="AI194" i="4"/>
  <c r="AI193" i="4"/>
  <c r="AI151" i="4"/>
  <c r="AI154" i="4"/>
  <c r="AI153" i="4"/>
  <c r="AI152" i="4"/>
  <c r="AI199" i="4"/>
  <c r="AG199" i="4" s="1"/>
  <c r="AJ199" i="4" s="1"/>
  <c r="AI198" i="4"/>
  <c r="AG198" i="4" s="1"/>
  <c r="AJ198" i="4" s="1"/>
  <c r="AI188" i="4"/>
  <c r="AI200" i="4"/>
  <c r="AG200" i="4" s="1"/>
  <c r="AJ200" i="4" s="1"/>
  <c r="AI197" i="4"/>
  <c r="AG197" i="4" s="1"/>
  <c r="AJ197" i="4" s="1"/>
  <c r="S197" i="4"/>
  <c r="S198" i="4"/>
  <c r="S199" i="4"/>
  <c r="S200" i="4"/>
  <c r="AI148" i="4"/>
  <c r="AG148" i="4" s="1"/>
  <c r="AI164" i="4"/>
  <c r="AG164" i="4" s="1"/>
  <c r="AJ164" i="4" s="1"/>
  <c r="AI163" i="4"/>
  <c r="S148" i="4"/>
  <c r="S164" i="4"/>
  <c r="AJ148" i="4"/>
  <c r="N495" i="18"/>
  <c r="N450" i="18"/>
  <c r="N491" i="18"/>
  <c r="N490" i="18"/>
  <c r="L450" i="18"/>
  <c r="L491" i="18"/>
  <c r="L495" i="18"/>
  <c r="AI190" i="4"/>
  <c r="AI185" i="4"/>
  <c r="AI191" i="4"/>
  <c r="AI150" i="4"/>
  <c r="AI149" i="4"/>
  <c r="AI156" i="4"/>
  <c r="AI155" i="4"/>
  <c r="AI183" i="4"/>
  <c r="AI181" i="4"/>
  <c r="AI187" i="4"/>
  <c r="AI182" i="4"/>
  <c r="AI186" i="4"/>
  <c r="AI170" i="4"/>
  <c r="AI171" i="4"/>
  <c r="AI169" i="4"/>
  <c r="AI175" i="4"/>
  <c r="AI174" i="4"/>
  <c r="C572" i="18"/>
  <c r="C571" i="18"/>
  <c r="AI167" i="4"/>
  <c r="AI135" i="4"/>
  <c r="AI146" i="4"/>
  <c r="AI145" i="4"/>
  <c r="AI143" i="4"/>
  <c r="AI144" i="4"/>
  <c r="AI142" i="4"/>
  <c r="V5" i="4"/>
  <c r="C579" i="18"/>
  <c r="AI165" i="4"/>
  <c r="AI162" i="4"/>
  <c r="AI166" i="4"/>
  <c r="AI161" i="4"/>
  <c r="AI213" i="4"/>
  <c r="AG213" i="4" s="1"/>
  <c r="AI212" i="4"/>
  <c r="AG212" i="4" s="1"/>
  <c r="U65" i="4"/>
  <c r="AL65" i="4"/>
  <c r="AU5" i="4" s="1"/>
  <c r="AI138" i="4"/>
  <c r="AI136" i="4"/>
  <c r="AG136" i="4" s="1"/>
  <c r="AI137" i="4"/>
  <c r="AG137" i="4" s="1"/>
  <c r="AI141" i="4"/>
  <c r="AI139" i="4"/>
  <c r="W313" i="4"/>
  <c r="AK313" i="4"/>
  <c r="AI245" i="4" s="1"/>
  <c r="AG245" i="4" s="1"/>
  <c r="AJ245" i="4" s="1"/>
  <c r="L384" i="18"/>
  <c r="EX33" i="17"/>
  <c r="EX34" i="17" s="1"/>
  <c r="O316" i="4"/>
  <c r="U37" i="4" s="1"/>
  <c r="R316" i="4"/>
  <c r="S245" i="4" s="1"/>
  <c r="O313" i="4"/>
  <c r="U34" i="4" s="1"/>
  <c r="U64" i="4"/>
  <c r="AL64" i="4"/>
  <c r="AF316" i="4"/>
  <c r="AL37" i="4" s="1"/>
  <c r="AF313" i="4"/>
  <c r="AL34" i="4" s="1"/>
  <c r="AI140" i="4"/>
  <c r="EX23" i="17"/>
  <c r="T384" i="18"/>
  <c r="T394" i="18" s="1"/>
  <c r="T403" i="18"/>
  <c r="T414" i="18" s="1"/>
  <c r="P403" i="18"/>
  <c r="P414" i="18" s="1"/>
  <c r="R403" i="18"/>
  <c r="R414" i="18" s="1"/>
  <c r="L403" i="18"/>
  <c r="N403" i="18"/>
  <c r="N414" i="18" s="1"/>
  <c r="T355" i="18"/>
  <c r="P384" i="18"/>
  <c r="P394" i="18" s="1"/>
  <c r="R384" i="18"/>
  <c r="N384" i="18"/>
  <c r="N394" i="18" s="1"/>
  <c r="P355" i="18"/>
  <c r="R355" i="18"/>
  <c r="L355" i="18"/>
  <c r="N355" i="18"/>
  <c r="T229" i="18"/>
  <c r="R320" i="18"/>
  <c r="T320" i="18"/>
  <c r="N320" i="18"/>
  <c r="P320" i="18"/>
  <c r="L320" i="18"/>
  <c r="P229" i="18"/>
  <c r="R229" i="18"/>
  <c r="N229" i="18"/>
  <c r="L212" i="18"/>
  <c r="T212" i="18"/>
  <c r="T220" i="18" s="1"/>
  <c r="T221" i="18" s="1"/>
  <c r="P212" i="18"/>
  <c r="P220" i="18" s="1"/>
  <c r="P221" i="18" s="1"/>
  <c r="R212" i="18"/>
  <c r="N212" i="18"/>
  <c r="N220" i="18" s="1"/>
  <c r="N221" i="18" s="1"/>
  <c r="AI251" i="19" l="1"/>
  <c r="AJ272" i="19"/>
  <c r="AJ268" i="19"/>
  <c r="S270" i="19"/>
  <c r="S268" i="19"/>
  <c r="S269" i="19"/>
  <c r="S272" i="19"/>
  <c r="S271" i="19"/>
  <c r="AI271" i="19"/>
  <c r="AG271" i="19" s="1"/>
  <c r="AJ271" i="19" s="1"/>
  <c r="AI269" i="19"/>
  <c r="AG269" i="19" s="1"/>
  <c r="AJ269" i="19" s="1"/>
  <c r="AI270" i="19"/>
  <c r="AG270" i="19" s="1"/>
  <c r="AJ270" i="19" s="1"/>
  <c r="AI247" i="19"/>
  <c r="AI246" i="19"/>
  <c r="AG246" i="19" s="1"/>
  <c r="AJ246" i="19" s="1"/>
  <c r="AI245" i="19"/>
  <c r="AG245" i="19" s="1"/>
  <c r="AJ245" i="19" s="1"/>
  <c r="S246" i="19"/>
  <c r="S245" i="19"/>
  <c r="AI234" i="19"/>
  <c r="AI253" i="19"/>
  <c r="AI243" i="19"/>
  <c r="AI244" i="19"/>
  <c r="S249" i="19"/>
  <c r="AI258" i="19"/>
  <c r="AI249" i="19"/>
  <c r="AG249" i="19" s="1"/>
  <c r="AJ249" i="19" s="1"/>
  <c r="AI255" i="19"/>
  <c r="AI250" i="19"/>
  <c r="AI252" i="19"/>
  <c r="AI254" i="19"/>
  <c r="AI248" i="19"/>
  <c r="AI236" i="19"/>
  <c r="AI237" i="19"/>
  <c r="AI257" i="19"/>
  <c r="AI256" i="19"/>
  <c r="AI235" i="19"/>
  <c r="AI259" i="19"/>
  <c r="AI221" i="19"/>
  <c r="AF35" i="19" s="1"/>
  <c r="AF17" i="19" s="1"/>
  <c r="AI240" i="19"/>
  <c r="AI262" i="19"/>
  <c r="AI261" i="19"/>
  <c r="AI263" i="19"/>
  <c r="AI264" i="19"/>
  <c r="AI241" i="19"/>
  <c r="AI260" i="19"/>
  <c r="AI239" i="19"/>
  <c r="FF8" i="17"/>
  <c r="AG135" i="4"/>
  <c r="AI221" i="4"/>
  <c r="AI278" i="4"/>
  <c r="AI277" i="4"/>
  <c r="AI279" i="4"/>
  <c r="AI250" i="4"/>
  <c r="AI289" i="4"/>
  <c r="AG289" i="4" s="1"/>
  <c r="AJ289" i="4" s="1"/>
  <c r="AI290" i="4"/>
  <c r="AG290" i="4" s="1"/>
  <c r="AJ290" i="4" s="1"/>
  <c r="S289" i="4"/>
  <c r="S290" i="4"/>
  <c r="AI242" i="4"/>
  <c r="AG242" i="4" s="1"/>
  <c r="AJ242" i="4" s="1"/>
  <c r="AI257" i="4"/>
  <c r="EV33" i="17"/>
  <c r="EV31" i="17"/>
  <c r="EV23" i="17"/>
  <c r="EV25" i="17" s="1"/>
  <c r="N451" i="18"/>
  <c r="N455" i="18"/>
  <c r="L451" i="18"/>
  <c r="L455" i="18"/>
  <c r="AI288" i="4"/>
  <c r="AI287" i="4"/>
  <c r="AI285" i="4"/>
  <c r="AI286" i="4"/>
  <c r="AI244" i="4"/>
  <c r="AI243" i="4"/>
  <c r="AI249" i="4"/>
  <c r="AI246" i="4"/>
  <c r="AI283" i="4"/>
  <c r="AI282" i="4"/>
  <c r="AI281" i="4"/>
  <c r="AI284" i="4"/>
  <c r="AI280" i="4"/>
  <c r="T416" i="18"/>
  <c r="T417" i="18" s="1"/>
  <c r="T418" i="18" s="1"/>
  <c r="P416" i="18"/>
  <c r="P417" i="18" s="1"/>
  <c r="P418" i="18" s="1"/>
  <c r="N416" i="18"/>
  <c r="N417" i="18" s="1"/>
  <c r="N418" i="18" s="1"/>
  <c r="T396" i="18"/>
  <c r="T397" i="18" s="1"/>
  <c r="T398" i="18" s="1"/>
  <c r="P396" i="18"/>
  <c r="P397" i="18" s="1"/>
  <c r="N396" i="18"/>
  <c r="N397" i="18" s="1"/>
  <c r="N398" i="18" s="1"/>
  <c r="C574" i="18"/>
  <c r="C581" i="18" s="1"/>
  <c r="AI256" i="4"/>
  <c r="AI230" i="4"/>
  <c r="AG230" i="4" s="1"/>
  <c r="AI295" i="4"/>
  <c r="AI263" i="4"/>
  <c r="AI264" i="4"/>
  <c r="AI262" i="4"/>
  <c r="AI294" i="4"/>
  <c r="AI293" i="4"/>
  <c r="AI266" i="4"/>
  <c r="AI291" i="4"/>
  <c r="AI292" i="4"/>
  <c r="Q291" i="4"/>
  <c r="Q266" i="4"/>
  <c r="P291" i="4"/>
  <c r="AH291" i="4"/>
  <c r="Q267" i="4"/>
  <c r="P267" i="4"/>
  <c r="AH266" i="4"/>
  <c r="P266" i="4"/>
  <c r="AH294" i="4"/>
  <c r="AH295" i="4"/>
  <c r="AG295" i="4" s="1"/>
  <c r="AJ295" i="4" s="1"/>
  <c r="AH267" i="4"/>
  <c r="AI267" i="4"/>
  <c r="AI239" i="4"/>
  <c r="AI269" i="4"/>
  <c r="AI271" i="4"/>
  <c r="AI270" i="4"/>
  <c r="AI268" i="4"/>
  <c r="AI276" i="4"/>
  <c r="AI274" i="4"/>
  <c r="AI241" i="4"/>
  <c r="AI235" i="4"/>
  <c r="AI275" i="4"/>
  <c r="AI272" i="4"/>
  <c r="AI273" i="4"/>
  <c r="AI240" i="4"/>
  <c r="AI247" i="4"/>
  <c r="AI248" i="4"/>
  <c r="W5" i="4"/>
  <c r="AI238" i="4"/>
  <c r="AI253" i="4"/>
  <c r="AI255" i="4"/>
  <c r="AI254" i="4"/>
  <c r="AI308" i="4"/>
  <c r="AG308" i="4" s="1"/>
  <c r="AI252" i="4"/>
  <c r="AI251" i="4"/>
  <c r="AI236" i="4"/>
  <c r="AI233" i="4"/>
  <c r="EX35" i="17"/>
  <c r="EX39" i="17" s="1"/>
  <c r="AI231" i="4"/>
  <c r="AG231" i="4" s="1"/>
  <c r="AI232" i="4"/>
  <c r="AG232" i="4" s="1"/>
  <c r="AI234" i="4"/>
  <c r="AI260" i="4"/>
  <c r="AI261" i="4"/>
  <c r="AI237" i="4"/>
  <c r="AI258" i="4"/>
  <c r="AI259" i="4"/>
  <c r="EX24" i="17"/>
  <c r="EX25" i="17"/>
  <c r="C384" i="18"/>
  <c r="C320" i="18"/>
  <c r="C229" i="18"/>
  <c r="C355" i="18"/>
  <c r="R416" i="18"/>
  <c r="R417" i="18" s="1"/>
  <c r="C403" i="18"/>
  <c r="R220" i="18"/>
  <c r="R221" i="18" s="1"/>
  <c r="C212" i="18"/>
  <c r="R394" i="18"/>
  <c r="R396" i="18" s="1"/>
  <c r="R397" i="18" s="1"/>
  <c r="T302" i="18"/>
  <c r="T312" i="18" s="1"/>
  <c r="L337" i="18"/>
  <c r="L414" i="18"/>
  <c r="L416" i="18" s="1"/>
  <c r="L417" i="18" s="1"/>
  <c r="L394" i="18"/>
  <c r="T337" i="18"/>
  <c r="P337" i="18"/>
  <c r="R337" i="18"/>
  <c r="N337" i="18"/>
  <c r="P302" i="18"/>
  <c r="P312" i="18" s="1"/>
  <c r="R302" i="18"/>
  <c r="N302" i="18"/>
  <c r="L302" i="18"/>
  <c r="T166" i="18"/>
  <c r="T173" i="18" s="1"/>
  <c r="L233" i="18"/>
  <c r="L215" i="18"/>
  <c r="T179" i="18"/>
  <c r="T186" i="18" s="1"/>
  <c r="P179" i="18"/>
  <c r="P186" i="18" s="1"/>
  <c r="R179" i="18"/>
  <c r="L179" i="18"/>
  <c r="N179" i="18"/>
  <c r="N186" i="18" s="1"/>
  <c r="P166" i="18"/>
  <c r="P173" i="18" s="1"/>
  <c r="R166" i="18"/>
  <c r="L169" i="18"/>
  <c r="L447" i="18" s="1"/>
  <c r="N166" i="18"/>
  <c r="N173" i="18" s="1"/>
  <c r="C447" i="18" l="1"/>
  <c r="C49" i="19" s="1"/>
  <c r="Q259" i="19"/>
  <c r="P258" i="19"/>
  <c r="AH259" i="19"/>
  <c r="AG259" i="19" s="1"/>
  <c r="AJ259" i="19" s="1"/>
  <c r="AH256" i="19"/>
  <c r="AG256" i="19" s="1"/>
  <c r="AJ256" i="19" s="1"/>
  <c r="AH258" i="19"/>
  <c r="AG258" i="19" s="1"/>
  <c r="AJ258" i="19" s="1"/>
  <c r="P257" i="19"/>
  <c r="Q257" i="19"/>
  <c r="AH257" i="19"/>
  <c r="AG257" i="19" s="1"/>
  <c r="AJ257" i="19" s="1"/>
  <c r="P259" i="19"/>
  <c r="Q258" i="19"/>
  <c r="Q256" i="19"/>
  <c r="P256" i="19"/>
  <c r="EV35" i="17"/>
  <c r="FF14" i="17"/>
  <c r="C281" i="18" s="1"/>
  <c r="AF42" i="19"/>
  <c r="AI313" i="19"/>
  <c r="AL17" i="19" s="1"/>
  <c r="AW5" i="19" s="1"/>
  <c r="AH17" i="19"/>
  <c r="AV5" i="19"/>
  <c r="Q235" i="19"/>
  <c r="P234" i="19"/>
  <c r="AH235" i="19"/>
  <c r="AG235" i="19" s="1"/>
  <c r="AJ235" i="19" s="1"/>
  <c r="Q234" i="19"/>
  <c r="AH234" i="19"/>
  <c r="AG234" i="19" s="1"/>
  <c r="AJ234" i="19" s="1"/>
  <c r="P233" i="19"/>
  <c r="AH233" i="19"/>
  <c r="Q233" i="19"/>
  <c r="FF15" i="17"/>
  <c r="AH224" i="4"/>
  <c r="AF50" i="4" s="1"/>
  <c r="AI313" i="4"/>
  <c r="AL17" i="4" s="1"/>
  <c r="EM5" i="17"/>
  <c r="EM18" i="17"/>
  <c r="P398" i="18"/>
  <c r="P420" i="18" s="1"/>
  <c r="EV34" i="17"/>
  <c r="EV24" i="17"/>
  <c r="EV29" i="17" s="1"/>
  <c r="T420" i="18"/>
  <c r="N420" i="18"/>
  <c r="C416" i="18"/>
  <c r="L396" i="18"/>
  <c r="L397" i="18" s="1"/>
  <c r="T314" i="18"/>
  <c r="T315" i="18" s="1"/>
  <c r="P314" i="18"/>
  <c r="P315" i="18" s="1"/>
  <c r="C169" i="18"/>
  <c r="FF22" i="17"/>
  <c r="C275" i="18"/>
  <c r="FF21" i="17"/>
  <c r="AH316" i="4"/>
  <c r="AL50" i="4" s="1"/>
  <c r="AF35" i="4"/>
  <c r="AF42" i="4" s="1"/>
  <c r="AG266" i="4"/>
  <c r="AJ266" i="4" s="1"/>
  <c r="R267" i="4"/>
  <c r="S267" i="4"/>
  <c r="R291" i="4"/>
  <c r="S291" i="4"/>
  <c r="R266" i="4"/>
  <c r="S266" i="4"/>
  <c r="AG267" i="4"/>
  <c r="AJ267" i="4" s="1"/>
  <c r="AG294" i="4"/>
  <c r="AJ294" i="4" s="1"/>
  <c r="AG291" i="4"/>
  <c r="AJ291" i="4" s="1"/>
  <c r="EM64" i="17"/>
  <c r="EM60" i="17"/>
  <c r="EM61" i="17"/>
  <c r="EM57" i="17"/>
  <c r="EM53" i="17"/>
  <c r="EM62" i="17"/>
  <c r="EM58" i="17"/>
  <c r="EM54" i="17"/>
  <c r="EM63" i="17"/>
  <c r="EM56" i="17"/>
  <c r="EM50" i="17"/>
  <c r="EM49" i="17"/>
  <c r="EM48" i="17"/>
  <c r="EM47" i="17"/>
  <c r="EM46" i="17"/>
  <c r="EM45" i="17"/>
  <c r="EM44" i="17"/>
  <c r="EM59" i="17"/>
  <c r="EM55" i="17"/>
  <c r="EM51" i="17"/>
  <c r="EM43" i="17"/>
  <c r="EM42" i="17"/>
  <c r="EM41" i="17"/>
  <c r="EM40" i="17"/>
  <c r="EM39" i="17"/>
  <c r="EM38" i="17"/>
  <c r="EM37" i="17"/>
  <c r="EM52" i="17"/>
  <c r="EX38" i="17"/>
  <c r="EX29" i="17"/>
  <c r="EX43" i="17" s="1"/>
  <c r="EX28" i="17"/>
  <c r="EM32" i="17"/>
  <c r="EM24" i="17"/>
  <c r="EM16" i="17"/>
  <c r="EM8" i="17"/>
  <c r="EM14" i="17"/>
  <c r="EM6" i="17"/>
  <c r="EM25" i="17"/>
  <c r="EM31" i="17"/>
  <c r="EM23" i="17"/>
  <c r="EM15" i="17"/>
  <c r="EM7" i="17"/>
  <c r="EM22" i="17"/>
  <c r="EM10" i="17"/>
  <c r="EM17" i="17"/>
  <c r="EM30" i="17"/>
  <c r="EM29" i="17"/>
  <c r="EM21" i="17"/>
  <c r="EM13" i="17"/>
  <c r="EM19" i="17"/>
  <c r="EM11" i="17"/>
  <c r="EM28" i="17"/>
  <c r="EM20" i="17"/>
  <c r="EM12" i="17"/>
  <c r="EM27" i="17"/>
  <c r="EM26" i="17"/>
  <c r="EM9" i="17"/>
  <c r="L220" i="18"/>
  <c r="L221" i="18" s="1"/>
  <c r="C215" i="18"/>
  <c r="L238" i="18"/>
  <c r="L239" i="18" s="1"/>
  <c r="C233" i="18"/>
  <c r="C337" i="18"/>
  <c r="R186" i="18"/>
  <c r="C179" i="18"/>
  <c r="C414" i="18"/>
  <c r="C394" i="18"/>
  <c r="R312" i="18"/>
  <c r="R314" i="18" s="1"/>
  <c r="R315" i="18" s="1"/>
  <c r="C302" i="18"/>
  <c r="R173" i="18"/>
  <c r="C166" i="18"/>
  <c r="L173" i="18"/>
  <c r="N312" i="18"/>
  <c r="L312" i="18"/>
  <c r="L182" i="18"/>
  <c r="L487" i="18" s="1"/>
  <c r="P237" i="19" l="1"/>
  <c r="AH244" i="19"/>
  <c r="AG244" i="19" s="1"/>
  <c r="AJ244" i="19" s="1"/>
  <c r="Q243" i="19"/>
  <c r="Q244" i="19"/>
  <c r="AH243" i="19"/>
  <c r="AG243" i="19" s="1"/>
  <c r="AJ243" i="19" s="1"/>
  <c r="P243" i="19"/>
  <c r="P244" i="19"/>
  <c r="AH237" i="19"/>
  <c r="AG237" i="19" s="1"/>
  <c r="AJ237" i="19" s="1"/>
  <c r="Q237" i="19"/>
  <c r="R237" i="19" s="1"/>
  <c r="AH238" i="19"/>
  <c r="AG238" i="19" s="1"/>
  <c r="AJ238" i="19" s="1"/>
  <c r="Q238" i="19"/>
  <c r="P238" i="19"/>
  <c r="Q250" i="19"/>
  <c r="AH250" i="19"/>
  <c r="AG250" i="19" s="1"/>
  <c r="AJ250" i="19" s="1"/>
  <c r="AH251" i="19"/>
  <c r="AG251" i="19" s="1"/>
  <c r="AJ251" i="19" s="1"/>
  <c r="Q251" i="19"/>
  <c r="P251" i="19"/>
  <c r="P250" i="19"/>
  <c r="P235" i="19"/>
  <c r="R235" i="19" s="1"/>
  <c r="P262" i="19"/>
  <c r="S262" i="19" s="1"/>
  <c r="Q255" i="19"/>
  <c r="AH255" i="19"/>
  <c r="AG255" i="19" s="1"/>
  <c r="AJ255" i="19" s="1"/>
  <c r="AH254" i="19"/>
  <c r="AG254" i="19" s="1"/>
  <c r="AJ254" i="19" s="1"/>
  <c r="AH252" i="19"/>
  <c r="AG252" i="19" s="1"/>
  <c r="AJ252" i="19" s="1"/>
  <c r="AH253" i="19"/>
  <c r="AG253" i="19" s="1"/>
  <c r="AJ253" i="19" s="1"/>
  <c r="Q254" i="19"/>
  <c r="Q252" i="19"/>
  <c r="Q253" i="19"/>
  <c r="P252" i="19"/>
  <c r="P255" i="19"/>
  <c r="P254" i="19"/>
  <c r="P253" i="19"/>
  <c r="AH264" i="19"/>
  <c r="AG264" i="19" s="1"/>
  <c r="AJ264" i="19" s="1"/>
  <c r="Q263" i="19"/>
  <c r="AH263" i="19"/>
  <c r="AG263" i="19" s="1"/>
  <c r="AJ263" i="19" s="1"/>
  <c r="AH262" i="19"/>
  <c r="AG262" i="19" s="1"/>
  <c r="AJ262" i="19" s="1"/>
  <c r="P240" i="19"/>
  <c r="S240" i="19" s="1"/>
  <c r="P241" i="19"/>
  <c r="P261" i="19"/>
  <c r="S261" i="19" s="1"/>
  <c r="Q261" i="19"/>
  <c r="P260" i="19"/>
  <c r="Q260" i="19"/>
  <c r="P264" i="19"/>
  <c r="S264" i="19" s="1"/>
  <c r="P263" i="19"/>
  <c r="S263" i="19" s="1"/>
  <c r="AH240" i="19"/>
  <c r="AG240" i="19" s="1"/>
  <c r="AJ240" i="19" s="1"/>
  <c r="Q239" i="19"/>
  <c r="Q241" i="19"/>
  <c r="AH260" i="19"/>
  <c r="AG260" i="19" s="1"/>
  <c r="AJ260" i="19" s="1"/>
  <c r="AH261" i="19"/>
  <c r="AG261" i="19" s="1"/>
  <c r="AJ261" i="19" s="1"/>
  <c r="Q262" i="19"/>
  <c r="P239" i="19"/>
  <c r="S239" i="19" s="1"/>
  <c r="AH241" i="19"/>
  <c r="AG241" i="19" s="1"/>
  <c r="AJ241" i="19" s="1"/>
  <c r="Q240" i="19"/>
  <c r="Q264" i="19"/>
  <c r="AH239" i="19"/>
  <c r="AG239" i="19" s="1"/>
  <c r="AJ239" i="19" s="1"/>
  <c r="C49" i="4"/>
  <c r="P244" i="4" s="1"/>
  <c r="S244" i="4" s="1"/>
  <c r="AH247" i="19"/>
  <c r="AG247" i="19" s="1"/>
  <c r="AJ247" i="19" s="1"/>
  <c r="P248" i="19"/>
  <c r="AH236" i="19"/>
  <c r="AG236" i="19" s="1"/>
  <c r="AJ236" i="19" s="1"/>
  <c r="Q248" i="19"/>
  <c r="Q236" i="19"/>
  <c r="Q247" i="19"/>
  <c r="AH248" i="19"/>
  <c r="AG248" i="19" s="1"/>
  <c r="AJ248" i="19" s="1"/>
  <c r="P247" i="19"/>
  <c r="P236" i="19"/>
  <c r="S236" i="19" s="1"/>
  <c r="R248" i="19"/>
  <c r="S248" i="19"/>
  <c r="S256" i="19"/>
  <c r="R256" i="19"/>
  <c r="S257" i="19"/>
  <c r="R257" i="19"/>
  <c r="S237" i="19"/>
  <c r="R259" i="19"/>
  <c r="S259" i="19"/>
  <c r="R258" i="19"/>
  <c r="S258" i="19"/>
  <c r="FF11" i="17"/>
  <c r="AL35" i="19"/>
  <c r="S234" i="19"/>
  <c r="R234" i="19"/>
  <c r="AG233" i="19"/>
  <c r="R233" i="19"/>
  <c r="S233" i="19"/>
  <c r="P270" i="4"/>
  <c r="S270" i="4" s="1"/>
  <c r="P271" i="4"/>
  <c r="S271" i="4" s="1"/>
  <c r="AH269" i="4"/>
  <c r="AG269" i="4" s="1"/>
  <c r="AJ269" i="4" s="1"/>
  <c r="Q270" i="4"/>
  <c r="AH268" i="4"/>
  <c r="AG268" i="4" s="1"/>
  <c r="AJ268" i="4" s="1"/>
  <c r="P269" i="4"/>
  <c r="S269" i="4" s="1"/>
  <c r="Q268" i="4"/>
  <c r="AH270" i="4"/>
  <c r="AG270" i="4" s="1"/>
  <c r="AJ270" i="4" s="1"/>
  <c r="Q269" i="4"/>
  <c r="P268" i="4"/>
  <c r="S268" i="4" s="1"/>
  <c r="Q271" i="4"/>
  <c r="AH271" i="4"/>
  <c r="AG271" i="4" s="1"/>
  <c r="AJ271" i="4" s="1"/>
  <c r="AH275" i="4"/>
  <c r="AG275" i="4" s="1"/>
  <c r="AJ275" i="4" s="1"/>
  <c r="Q273" i="4"/>
  <c r="Q275" i="4"/>
  <c r="P274" i="4"/>
  <c r="S274" i="4" s="1"/>
  <c r="P275" i="4"/>
  <c r="S275" i="4" s="1"/>
  <c r="AH273" i="4"/>
  <c r="AG273" i="4" s="1"/>
  <c r="AJ273" i="4" s="1"/>
  <c r="Q272" i="4"/>
  <c r="P273" i="4"/>
  <c r="S273" i="4" s="1"/>
  <c r="AH274" i="4"/>
  <c r="AG274" i="4" s="1"/>
  <c r="AJ274" i="4" s="1"/>
  <c r="AH272" i="4"/>
  <c r="AG272" i="4" s="1"/>
  <c r="AJ272" i="4" s="1"/>
  <c r="P272" i="4"/>
  <c r="S272" i="4" s="1"/>
  <c r="Q274" i="4"/>
  <c r="AH249" i="4"/>
  <c r="AG249" i="4" s="1"/>
  <c r="AJ249" i="4" s="1"/>
  <c r="AH248" i="4"/>
  <c r="AG248" i="4" s="1"/>
  <c r="AJ248" i="4" s="1"/>
  <c r="AH276" i="4"/>
  <c r="AG276" i="4" s="1"/>
  <c r="AJ276" i="4" s="1"/>
  <c r="Q276" i="4"/>
  <c r="P276" i="4"/>
  <c r="S276" i="4" s="1"/>
  <c r="P258" i="4"/>
  <c r="S258" i="4" s="1"/>
  <c r="AH279" i="4"/>
  <c r="AG279" i="4" s="1"/>
  <c r="AJ279" i="4" s="1"/>
  <c r="AH277" i="4"/>
  <c r="AG277" i="4" s="1"/>
  <c r="AJ277" i="4" s="1"/>
  <c r="Q279" i="4"/>
  <c r="AH278" i="4"/>
  <c r="AG278" i="4" s="1"/>
  <c r="AJ278" i="4" s="1"/>
  <c r="Q277" i="4"/>
  <c r="Q278" i="4"/>
  <c r="P278" i="4"/>
  <c r="P279" i="4"/>
  <c r="P277" i="4"/>
  <c r="Q294" i="4"/>
  <c r="Q295" i="4"/>
  <c r="P295" i="4"/>
  <c r="AH292" i="4"/>
  <c r="AG292" i="4" s="1"/>
  <c r="AJ292" i="4" s="1"/>
  <c r="Q292" i="4"/>
  <c r="P294" i="4"/>
  <c r="Q293" i="4"/>
  <c r="P292" i="4"/>
  <c r="AH293" i="4"/>
  <c r="AG293" i="4" s="1"/>
  <c r="AJ293" i="4" s="1"/>
  <c r="P293" i="4"/>
  <c r="AH259" i="4"/>
  <c r="AG259" i="4" s="1"/>
  <c r="AJ259" i="4" s="1"/>
  <c r="Q259" i="4"/>
  <c r="AH258" i="4"/>
  <c r="AG258" i="4" s="1"/>
  <c r="AJ258" i="4" s="1"/>
  <c r="Q258" i="4"/>
  <c r="Q257" i="4"/>
  <c r="AH257" i="4"/>
  <c r="AG257" i="4" s="1"/>
  <c r="AJ257" i="4" s="1"/>
  <c r="P257" i="4"/>
  <c r="P259" i="4"/>
  <c r="S259" i="4" s="1"/>
  <c r="Q242" i="4"/>
  <c r="P242" i="4"/>
  <c r="Q243" i="4"/>
  <c r="EV39" i="17"/>
  <c r="EV43" i="17" s="1"/>
  <c r="O11" i="17" s="1"/>
  <c r="EV38" i="17"/>
  <c r="EV28" i="17"/>
  <c r="AF17" i="4"/>
  <c r="Q286" i="4"/>
  <c r="AH287" i="4"/>
  <c r="AG287" i="4" s="1"/>
  <c r="AJ287" i="4" s="1"/>
  <c r="AH288" i="4"/>
  <c r="AG288" i="4" s="1"/>
  <c r="AJ288" i="4" s="1"/>
  <c r="P286" i="4"/>
  <c r="S286" i="4" s="1"/>
  <c r="Q288" i="4"/>
  <c r="P285" i="4"/>
  <c r="S285" i="4" s="1"/>
  <c r="P288" i="4"/>
  <c r="Q285" i="4"/>
  <c r="P287" i="4"/>
  <c r="S287" i="4" s="1"/>
  <c r="Q287" i="4"/>
  <c r="Q283" i="4"/>
  <c r="AH286" i="4"/>
  <c r="AG286" i="4" s="1"/>
  <c r="AJ286" i="4" s="1"/>
  <c r="AH285" i="4"/>
  <c r="AG285" i="4" s="1"/>
  <c r="AJ285" i="4" s="1"/>
  <c r="P249" i="4"/>
  <c r="S249" i="4" s="1"/>
  <c r="P246" i="4"/>
  <c r="S246" i="4" s="1"/>
  <c r="Q248" i="4"/>
  <c r="Q246" i="4"/>
  <c r="Q247" i="4"/>
  <c r="P248" i="4"/>
  <c r="S248" i="4" s="1"/>
  <c r="Q249" i="4"/>
  <c r="AH247" i="4"/>
  <c r="AG247" i="4" s="1"/>
  <c r="AJ247" i="4" s="1"/>
  <c r="AH246" i="4"/>
  <c r="AG246" i="4" s="1"/>
  <c r="AJ246" i="4" s="1"/>
  <c r="P247" i="4"/>
  <c r="S247" i="4" s="1"/>
  <c r="AH281" i="4"/>
  <c r="AG281" i="4" s="1"/>
  <c r="AJ281" i="4" s="1"/>
  <c r="Q282" i="4"/>
  <c r="AH280" i="4"/>
  <c r="AG280" i="4" s="1"/>
  <c r="AJ280" i="4" s="1"/>
  <c r="P280" i="4"/>
  <c r="S280" i="4" s="1"/>
  <c r="P282" i="4"/>
  <c r="S282" i="4" s="1"/>
  <c r="AH282" i="4"/>
  <c r="AG282" i="4" s="1"/>
  <c r="AJ282" i="4" s="1"/>
  <c r="Q284" i="4"/>
  <c r="AH283" i="4"/>
  <c r="AG283" i="4" s="1"/>
  <c r="AJ283" i="4" s="1"/>
  <c r="P283" i="4"/>
  <c r="S283" i="4" s="1"/>
  <c r="P281" i="4"/>
  <c r="S281" i="4" s="1"/>
  <c r="AH284" i="4"/>
  <c r="AG284" i="4" s="1"/>
  <c r="AJ284" i="4" s="1"/>
  <c r="Q281" i="4"/>
  <c r="P284" i="4"/>
  <c r="Q280" i="4"/>
  <c r="C192" i="17"/>
  <c r="C396" i="18"/>
  <c r="N314" i="18"/>
  <c r="N315" i="18" s="1"/>
  <c r="L314" i="18"/>
  <c r="C182" i="18"/>
  <c r="C487" i="18"/>
  <c r="C32" i="19" s="1"/>
  <c r="C193" i="17"/>
  <c r="C282" i="18"/>
  <c r="AL35" i="4"/>
  <c r="EX42" i="17"/>
  <c r="C220" i="18"/>
  <c r="C221" i="18"/>
  <c r="W237" i="17" s="1"/>
  <c r="C173" i="18"/>
  <c r="U237" i="17" s="1"/>
  <c r="C312" i="18"/>
  <c r="R418" i="18"/>
  <c r="C417" i="18"/>
  <c r="R398" i="18"/>
  <c r="C397" i="18"/>
  <c r="L186" i="18"/>
  <c r="C186" i="18" s="1"/>
  <c r="U238" i="17" s="1"/>
  <c r="L418" i="18"/>
  <c r="L398" i="18"/>
  <c r="Q244" i="4" l="1"/>
  <c r="P243" i="4"/>
  <c r="Q251" i="4"/>
  <c r="AH244" i="4"/>
  <c r="AG244" i="4" s="1"/>
  <c r="AJ244" i="4" s="1"/>
  <c r="R244" i="19"/>
  <c r="S244" i="19"/>
  <c r="R243" i="19"/>
  <c r="S243" i="19"/>
  <c r="AH243" i="4"/>
  <c r="AG243" i="4" s="1"/>
  <c r="AJ243" i="4" s="1"/>
  <c r="AH149" i="19"/>
  <c r="AG149" i="19" s="1"/>
  <c r="AJ149" i="19" s="1"/>
  <c r="AH148" i="19"/>
  <c r="AG148" i="19" s="1"/>
  <c r="AJ148" i="19" s="1"/>
  <c r="Q149" i="19"/>
  <c r="Q148" i="19"/>
  <c r="P148" i="19"/>
  <c r="P149" i="19"/>
  <c r="R262" i="19"/>
  <c r="AH237" i="4"/>
  <c r="AG237" i="4" s="1"/>
  <c r="AJ237" i="4" s="1"/>
  <c r="AH156" i="19"/>
  <c r="AG156" i="19" s="1"/>
  <c r="AJ156" i="19" s="1"/>
  <c r="Q156" i="19"/>
  <c r="P156" i="19"/>
  <c r="V236" i="19"/>
  <c r="Q237" i="4"/>
  <c r="Q238" i="4"/>
  <c r="R238" i="19"/>
  <c r="S238" i="19"/>
  <c r="P237" i="4"/>
  <c r="S237" i="4" s="1"/>
  <c r="AH238" i="4"/>
  <c r="AG238" i="4" s="1"/>
  <c r="AJ238" i="4" s="1"/>
  <c r="P238" i="4"/>
  <c r="S238" i="4" s="1"/>
  <c r="S235" i="19"/>
  <c r="AH250" i="4"/>
  <c r="AG250" i="4" s="1"/>
  <c r="AJ250" i="4" s="1"/>
  <c r="Q250" i="4"/>
  <c r="P251" i="4"/>
  <c r="R251" i="4" s="1"/>
  <c r="P250" i="4"/>
  <c r="AH251" i="4"/>
  <c r="AG251" i="4" s="1"/>
  <c r="AJ251" i="4" s="1"/>
  <c r="R251" i="19"/>
  <c r="S251" i="19"/>
  <c r="R250" i="19"/>
  <c r="S250" i="19"/>
  <c r="AH157" i="19"/>
  <c r="AG157" i="19" s="1"/>
  <c r="AJ157" i="19" s="1"/>
  <c r="Q157" i="19"/>
  <c r="P157" i="19"/>
  <c r="Q256" i="4"/>
  <c r="AH256" i="4"/>
  <c r="AG256" i="4" s="1"/>
  <c r="AJ256" i="4" s="1"/>
  <c r="P256" i="4"/>
  <c r="S256" i="4" s="1"/>
  <c r="Q255" i="4"/>
  <c r="AH253" i="4"/>
  <c r="AG253" i="4" s="1"/>
  <c r="AJ253" i="4" s="1"/>
  <c r="Q254" i="4"/>
  <c r="Q253" i="4"/>
  <c r="AH254" i="4"/>
  <c r="AG254" i="4" s="1"/>
  <c r="AJ254" i="4" s="1"/>
  <c r="P253" i="4"/>
  <c r="S253" i="4" s="1"/>
  <c r="Q252" i="4"/>
  <c r="R253" i="19"/>
  <c r="S253" i="19"/>
  <c r="R254" i="19"/>
  <c r="S254" i="19"/>
  <c r="R255" i="19"/>
  <c r="S255" i="19"/>
  <c r="R252" i="19"/>
  <c r="S252" i="19"/>
  <c r="AH159" i="19"/>
  <c r="AG159" i="19" s="1"/>
  <c r="AJ159" i="19" s="1"/>
  <c r="AH158" i="19"/>
  <c r="AG158" i="19" s="1"/>
  <c r="AJ158" i="19" s="1"/>
  <c r="Q155" i="19"/>
  <c r="Q160" i="19"/>
  <c r="Q159" i="19"/>
  <c r="AH154" i="19"/>
  <c r="AG154" i="19" s="1"/>
  <c r="AJ154" i="19" s="1"/>
  <c r="Q158" i="19"/>
  <c r="Q154" i="19"/>
  <c r="AH160" i="19"/>
  <c r="AG160" i="19" s="1"/>
  <c r="AJ160" i="19" s="1"/>
  <c r="AH155" i="19"/>
  <c r="AG155" i="19" s="1"/>
  <c r="AJ155" i="19" s="1"/>
  <c r="P159" i="19"/>
  <c r="P155" i="19"/>
  <c r="P160" i="19"/>
  <c r="P158" i="19"/>
  <c r="P154" i="19"/>
  <c r="R240" i="19"/>
  <c r="AH255" i="4"/>
  <c r="AG255" i="4" s="1"/>
  <c r="AJ255" i="4" s="1"/>
  <c r="P255" i="4"/>
  <c r="S255" i="4" s="1"/>
  <c r="P254" i="4"/>
  <c r="S254" i="4" s="1"/>
  <c r="AH252" i="4"/>
  <c r="AG252" i="4" s="1"/>
  <c r="AJ252" i="4" s="1"/>
  <c r="P252" i="4"/>
  <c r="S252" i="4" s="1"/>
  <c r="R261" i="19"/>
  <c r="R263" i="19"/>
  <c r="R239" i="19"/>
  <c r="R260" i="19"/>
  <c r="P239" i="4"/>
  <c r="S239" i="4" s="1"/>
  <c r="AH241" i="4"/>
  <c r="AG241" i="4" s="1"/>
  <c r="AJ241" i="4" s="1"/>
  <c r="S260" i="19"/>
  <c r="Q261" i="4"/>
  <c r="P263" i="4"/>
  <c r="S263" i="4" s="1"/>
  <c r="P261" i="4"/>
  <c r="S261" i="4" s="1"/>
  <c r="P260" i="4"/>
  <c r="S260" i="4" s="1"/>
  <c r="AH262" i="4"/>
  <c r="AG262" i="4" s="1"/>
  <c r="AJ262" i="4" s="1"/>
  <c r="R241" i="19"/>
  <c r="P236" i="4"/>
  <c r="S236" i="4" s="1"/>
  <c r="Q260" i="4"/>
  <c r="Q241" i="4"/>
  <c r="AH263" i="4"/>
  <c r="AG263" i="4" s="1"/>
  <c r="AJ263" i="4" s="1"/>
  <c r="Q234" i="4"/>
  <c r="Q262" i="4"/>
  <c r="P240" i="4"/>
  <c r="S240" i="4" s="1"/>
  <c r="Q264" i="4"/>
  <c r="P233" i="4"/>
  <c r="S233" i="4" s="1"/>
  <c r="P264" i="4"/>
  <c r="S264" i="4" s="1"/>
  <c r="AH261" i="4"/>
  <c r="AG261" i="4" s="1"/>
  <c r="AJ261" i="4" s="1"/>
  <c r="Q236" i="4"/>
  <c r="Q235" i="4"/>
  <c r="R264" i="19"/>
  <c r="Q263" i="4"/>
  <c r="P262" i="4"/>
  <c r="S262" i="4" s="1"/>
  <c r="P234" i="4"/>
  <c r="S234" i="4" s="1"/>
  <c r="AH260" i="4"/>
  <c r="AG260" i="4" s="1"/>
  <c r="AJ260" i="4" s="1"/>
  <c r="Q233" i="4"/>
  <c r="Q239" i="4"/>
  <c r="AH264" i="4"/>
  <c r="AG264" i="4" s="1"/>
  <c r="AJ264" i="4" s="1"/>
  <c r="AH235" i="4"/>
  <c r="AG235" i="4" s="1"/>
  <c r="AJ235" i="4" s="1"/>
  <c r="AH234" i="4"/>
  <c r="AG234" i="4" s="1"/>
  <c r="AJ234" i="4" s="1"/>
  <c r="P241" i="4"/>
  <c r="S241" i="4" s="1"/>
  <c r="AH239" i="4"/>
  <c r="AG239" i="4" s="1"/>
  <c r="AJ239" i="4" s="1"/>
  <c r="S241" i="19"/>
  <c r="AH240" i="4"/>
  <c r="AG240" i="4" s="1"/>
  <c r="AJ240" i="4" s="1"/>
  <c r="AH233" i="4"/>
  <c r="AG233" i="4" s="1"/>
  <c r="AJ233" i="4" s="1"/>
  <c r="P235" i="4"/>
  <c r="S235" i="4" s="1"/>
  <c r="Q240" i="4"/>
  <c r="AH236" i="4"/>
  <c r="AG236" i="4" s="1"/>
  <c r="AJ236" i="4" s="1"/>
  <c r="R247" i="19"/>
  <c r="AL57" i="19"/>
  <c r="AL56" i="19"/>
  <c r="V142" i="19"/>
  <c r="V140" i="19"/>
  <c r="V141" i="19"/>
  <c r="U55" i="19"/>
  <c r="Q316" i="19"/>
  <c r="U56" i="19"/>
  <c r="U57" i="19"/>
  <c r="S247" i="19"/>
  <c r="R236" i="19"/>
  <c r="O5" i="19"/>
  <c r="P313" i="19"/>
  <c r="U36" i="19" s="1"/>
  <c r="P316" i="19"/>
  <c r="U47" i="19" s="1"/>
  <c r="AL55" i="19"/>
  <c r="Q152" i="19"/>
  <c r="AH153" i="19"/>
  <c r="AG153" i="19" s="1"/>
  <c r="AJ153" i="19" s="1"/>
  <c r="AH150" i="19"/>
  <c r="AG150" i="19" s="1"/>
  <c r="AJ150" i="19" s="1"/>
  <c r="Q153" i="19"/>
  <c r="AH152" i="19"/>
  <c r="AG152" i="19" s="1"/>
  <c r="AJ152" i="19" s="1"/>
  <c r="Q150" i="19"/>
  <c r="P152" i="19"/>
  <c r="P150" i="19"/>
  <c r="P153" i="19"/>
  <c r="V235" i="19"/>
  <c r="R258" i="4"/>
  <c r="AH145" i="19"/>
  <c r="AG145" i="19" s="1"/>
  <c r="AJ145" i="19" s="1"/>
  <c r="AH144" i="19"/>
  <c r="AG144" i="19" s="1"/>
  <c r="AJ144" i="19" s="1"/>
  <c r="AH143" i="19"/>
  <c r="AG143" i="19" s="1"/>
  <c r="AJ143" i="19" s="1"/>
  <c r="AH146" i="19"/>
  <c r="AG146" i="19" s="1"/>
  <c r="AJ146" i="19" s="1"/>
  <c r="P143" i="19"/>
  <c r="Q143" i="19"/>
  <c r="Q144" i="19"/>
  <c r="P144" i="19"/>
  <c r="Q145" i="19"/>
  <c r="P146" i="19"/>
  <c r="Q146" i="19"/>
  <c r="P145" i="19"/>
  <c r="V169" i="19"/>
  <c r="P165" i="19"/>
  <c r="AH165" i="19"/>
  <c r="AG165" i="19" s="1"/>
  <c r="AJ165" i="19" s="1"/>
  <c r="V162" i="19"/>
  <c r="Q165" i="19"/>
  <c r="V168" i="19"/>
  <c r="V161" i="19"/>
  <c r="V163" i="19"/>
  <c r="V234" i="19"/>
  <c r="V240" i="19"/>
  <c r="V241" i="19"/>
  <c r="V239" i="19"/>
  <c r="V233" i="19"/>
  <c r="AH166" i="19"/>
  <c r="AG166" i="19" s="1"/>
  <c r="AJ166" i="19" s="1"/>
  <c r="AH141" i="19"/>
  <c r="AG141" i="19" s="1"/>
  <c r="AJ141" i="19" s="1"/>
  <c r="AH142" i="19"/>
  <c r="AG142" i="19" s="1"/>
  <c r="AJ142" i="19" s="1"/>
  <c r="AH169" i="19"/>
  <c r="AG169" i="19" s="1"/>
  <c r="AJ169" i="19" s="1"/>
  <c r="AH162" i="19"/>
  <c r="AG162" i="19" s="1"/>
  <c r="AJ162" i="19" s="1"/>
  <c r="AH163" i="19"/>
  <c r="AG163" i="19" s="1"/>
  <c r="AJ163" i="19" s="1"/>
  <c r="AH168" i="19"/>
  <c r="AG168" i="19" s="1"/>
  <c r="AJ168" i="19" s="1"/>
  <c r="AH167" i="19"/>
  <c r="AG167" i="19" s="1"/>
  <c r="AJ167" i="19" s="1"/>
  <c r="AH161" i="19"/>
  <c r="AG161" i="19" s="1"/>
  <c r="AJ161" i="19" s="1"/>
  <c r="AH139" i="19"/>
  <c r="AG139" i="19" s="1"/>
  <c r="AJ139" i="19" s="1"/>
  <c r="AH140" i="19"/>
  <c r="AG140" i="19" s="1"/>
  <c r="AJ140" i="19" s="1"/>
  <c r="AH138" i="19"/>
  <c r="V149" i="19"/>
  <c r="V152" i="19"/>
  <c r="V151" i="19"/>
  <c r="V150" i="19"/>
  <c r="Q167" i="19"/>
  <c r="V153" i="19"/>
  <c r="P169" i="19"/>
  <c r="Q163" i="19"/>
  <c r="P168" i="19"/>
  <c r="Q162" i="19"/>
  <c r="P166" i="19"/>
  <c r="V158" i="19"/>
  <c r="P161" i="19"/>
  <c r="V155" i="19"/>
  <c r="P167" i="19"/>
  <c r="V156" i="19"/>
  <c r="V160" i="19"/>
  <c r="V164" i="19"/>
  <c r="Q166" i="19"/>
  <c r="V159" i="19"/>
  <c r="Q168" i="19"/>
  <c r="P162" i="19"/>
  <c r="V157" i="19"/>
  <c r="Q169" i="19"/>
  <c r="P163" i="19"/>
  <c r="V165" i="19"/>
  <c r="V154" i="19"/>
  <c r="Q161" i="19"/>
  <c r="AG313" i="19"/>
  <c r="AL36" i="19" s="1"/>
  <c r="AG316" i="19"/>
  <c r="AJ233" i="19"/>
  <c r="AJ313" i="19" s="1"/>
  <c r="AM5" i="19"/>
  <c r="Q141" i="19"/>
  <c r="V257" i="19"/>
  <c r="V144" i="19"/>
  <c r="V148" i="19"/>
  <c r="P142" i="19"/>
  <c r="V147" i="19"/>
  <c r="V247" i="19"/>
  <c r="V145" i="19"/>
  <c r="V246" i="19"/>
  <c r="V238" i="19"/>
  <c r="V259" i="19"/>
  <c r="P139" i="19"/>
  <c r="P140" i="19"/>
  <c r="Q142" i="19"/>
  <c r="V143" i="19"/>
  <c r="V255" i="19"/>
  <c r="Q140" i="19"/>
  <c r="V248" i="19"/>
  <c r="V256" i="19"/>
  <c r="V254" i="19"/>
  <c r="P141" i="19"/>
  <c r="V250" i="19"/>
  <c r="V249" i="19"/>
  <c r="V242" i="19"/>
  <c r="V252" i="19"/>
  <c r="V146" i="19"/>
  <c r="Q139" i="19"/>
  <c r="V245" i="19"/>
  <c r="V243" i="19"/>
  <c r="V244" i="19"/>
  <c r="V258" i="19"/>
  <c r="V251" i="19"/>
  <c r="V237" i="19"/>
  <c r="V253" i="19"/>
  <c r="Q138" i="19"/>
  <c r="P138" i="19"/>
  <c r="R269" i="4"/>
  <c r="R271" i="4"/>
  <c r="R270" i="4"/>
  <c r="R268" i="4"/>
  <c r="R274" i="4"/>
  <c r="R275" i="4"/>
  <c r="R273" i="4"/>
  <c r="R272" i="4"/>
  <c r="R250" i="4"/>
  <c r="S250" i="4"/>
  <c r="R276" i="4"/>
  <c r="U239" i="17"/>
  <c r="S293" i="4"/>
  <c r="R293" i="4"/>
  <c r="S294" i="4"/>
  <c r="R294" i="4"/>
  <c r="R278" i="4"/>
  <c r="S278" i="4"/>
  <c r="S292" i="4"/>
  <c r="R292" i="4"/>
  <c r="R277" i="4"/>
  <c r="S277" i="4"/>
  <c r="R295" i="4"/>
  <c r="S295" i="4"/>
  <c r="R279" i="4"/>
  <c r="S279" i="4"/>
  <c r="R280" i="4"/>
  <c r="R259" i="4"/>
  <c r="R257" i="4"/>
  <c r="S257" i="4"/>
  <c r="R244" i="4"/>
  <c r="R242" i="4"/>
  <c r="S242" i="4"/>
  <c r="R243" i="4"/>
  <c r="S243" i="4"/>
  <c r="EV42" i="17"/>
  <c r="C314" i="18"/>
  <c r="R284" i="4"/>
  <c r="R287" i="4"/>
  <c r="R286" i="4"/>
  <c r="R285" i="4"/>
  <c r="R288" i="4"/>
  <c r="S288" i="4"/>
  <c r="R249" i="4"/>
  <c r="R246" i="4"/>
  <c r="R247" i="4"/>
  <c r="R248" i="4"/>
  <c r="R283" i="4"/>
  <c r="R282" i="4"/>
  <c r="S284" i="4"/>
  <c r="R281" i="4"/>
  <c r="L315" i="18"/>
  <c r="L332" i="18" s="1"/>
  <c r="C32" i="4"/>
  <c r="AH165" i="4" s="1"/>
  <c r="AG165" i="4" s="1"/>
  <c r="AJ165" i="4" s="1"/>
  <c r="C278" i="18"/>
  <c r="AV5" i="4"/>
  <c r="AH17" i="4"/>
  <c r="AW5" i="4"/>
  <c r="CW62" i="17"/>
  <c r="DC62" i="17" s="1"/>
  <c r="DE62" i="17" s="1"/>
  <c r="CW63" i="17"/>
  <c r="DC63" i="17" s="1"/>
  <c r="DE63" i="17" s="1"/>
  <c r="CW59" i="17"/>
  <c r="DC59" i="17" s="1"/>
  <c r="DE59" i="17" s="1"/>
  <c r="CW55" i="17"/>
  <c r="DC55" i="17" s="1"/>
  <c r="DE55" i="17" s="1"/>
  <c r="CW64" i="17"/>
  <c r="DC64" i="17" s="1"/>
  <c r="DE64" i="17" s="1"/>
  <c r="CW60" i="17"/>
  <c r="DC60" i="17" s="1"/>
  <c r="DE60" i="17" s="1"/>
  <c r="CW56" i="17"/>
  <c r="DC56" i="17" s="1"/>
  <c r="DE56" i="17" s="1"/>
  <c r="CW52" i="17"/>
  <c r="DC52" i="17" s="1"/>
  <c r="DE52" i="17" s="1"/>
  <c r="CW61" i="17"/>
  <c r="DC61" i="17" s="1"/>
  <c r="DE61" i="17" s="1"/>
  <c r="CW54" i="17"/>
  <c r="DC54" i="17" s="1"/>
  <c r="DE54" i="17" s="1"/>
  <c r="CW57" i="17"/>
  <c r="DC57" i="17" s="1"/>
  <c r="DE57" i="17" s="1"/>
  <c r="CW58" i="17"/>
  <c r="DC58" i="17" s="1"/>
  <c r="DE58" i="17" s="1"/>
  <c r="CW50" i="17"/>
  <c r="DC50" i="17" s="1"/>
  <c r="DE50" i="17" s="1"/>
  <c r="CW48" i="17"/>
  <c r="DC48" i="17" s="1"/>
  <c r="DE48" i="17" s="1"/>
  <c r="CW46" i="17"/>
  <c r="DC46" i="17" s="1"/>
  <c r="DE46" i="17" s="1"/>
  <c r="CW39" i="17"/>
  <c r="DC39" i="17" s="1"/>
  <c r="DE39" i="17" s="1"/>
  <c r="CW53" i="17"/>
  <c r="DC53" i="17" s="1"/>
  <c r="DE53" i="17" s="1"/>
  <c r="CW38" i="17"/>
  <c r="DC38" i="17" s="1"/>
  <c r="DE38" i="17" s="1"/>
  <c r="CW37" i="17"/>
  <c r="DC37" i="17" s="1"/>
  <c r="DE37" i="17" s="1"/>
  <c r="CW51" i="17"/>
  <c r="DC51" i="17" s="1"/>
  <c r="DE51" i="17" s="1"/>
  <c r="CW49" i="17"/>
  <c r="DC49" i="17" s="1"/>
  <c r="DE49" i="17" s="1"/>
  <c r="CW47" i="17"/>
  <c r="DC47" i="17" s="1"/>
  <c r="DE47" i="17" s="1"/>
  <c r="CW45" i="17"/>
  <c r="DC45" i="17" s="1"/>
  <c r="DE45" i="17" s="1"/>
  <c r="CW44" i="17"/>
  <c r="DC44" i="17" s="1"/>
  <c r="DE44" i="17" s="1"/>
  <c r="CW43" i="17"/>
  <c r="DC43" i="17" s="1"/>
  <c r="DE43" i="17" s="1"/>
  <c r="CW42" i="17"/>
  <c r="DC42" i="17" s="1"/>
  <c r="DE42" i="17" s="1"/>
  <c r="CW41" i="17"/>
  <c r="DC41" i="17" s="1"/>
  <c r="DE41" i="17" s="1"/>
  <c r="CW40" i="17"/>
  <c r="DC40" i="17" s="1"/>
  <c r="DE40" i="17" s="1"/>
  <c r="C418" i="18"/>
  <c r="Z238" i="17" s="1"/>
  <c r="R420" i="18"/>
  <c r="C398" i="18"/>
  <c r="Z237" i="17" s="1"/>
  <c r="CW5" i="17"/>
  <c r="CW20" i="17"/>
  <c r="CW31" i="17"/>
  <c r="CW24" i="17"/>
  <c r="CW27" i="17"/>
  <c r="CW30" i="17"/>
  <c r="CW26" i="17"/>
  <c r="CW29" i="17"/>
  <c r="CW25" i="17"/>
  <c r="CW32" i="17"/>
  <c r="CW21" i="17"/>
  <c r="CW28" i="17"/>
  <c r="CW23" i="17"/>
  <c r="CW19" i="17"/>
  <c r="CW22" i="17"/>
  <c r="CW16" i="17"/>
  <c r="CW13" i="17"/>
  <c r="CW9" i="17"/>
  <c r="CW18" i="17"/>
  <c r="CW7" i="17"/>
  <c r="CW14" i="17"/>
  <c r="CW17" i="17"/>
  <c r="CW12" i="17"/>
  <c r="CW10" i="17"/>
  <c r="CW15" i="17"/>
  <c r="CW11" i="17"/>
  <c r="CW8" i="17"/>
  <c r="CW6" i="17"/>
  <c r="L420" i="18"/>
  <c r="R149" i="19" l="1"/>
  <c r="S149" i="19"/>
  <c r="R148" i="19"/>
  <c r="S148" i="19"/>
  <c r="S251" i="4"/>
  <c r="S313" i="4" s="1"/>
  <c r="R237" i="4"/>
  <c r="R238" i="4"/>
  <c r="R156" i="19"/>
  <c r="S156" i="19"/>
  <c r="R157" i="19"/>
  <c r="S157" i="19"/>
  <c r="R256" i="4"/>
  <c r="R253" i="4"/>
  <c r="R252" i="4"/>
  <c r="R154" i="19"/>
  <c r="S154" i="19"/>
  <c r="R160" i="19"/>
  <c r="S160" i="19"/>
  <c r="R155" i="19"/>
  <c r="S155" i="19"/>
  <c r="R158" i="19"/>
  <c r="S158" i="19"/>
  <c r="R255" i="4"/>
  <c r="R254" i="4"/>
  <c r="R159" i="19"/>
  <c r="S159" i="19"/>
  <c r="R263" i="4"/>
  <c r="R261" i="4"/>
  <c r="R239" i="4"/>
  <c r="U55" i="4"/>
  <c r="R236" i="4"/>
  <c r="Q316" i="4"/>
  <c r="U56" i="4"/>
  <c r="U57" i="4"/>
  <c r="R260" i="4"/>
  <c r="R235" i="4"/>
  <c r="AJ313" i="4"/>
  <c r="AG316" i="4"/>
  <c r="AL49" i="4" s="1"/>
  <c r="AL51" i="4" s="1"/>
  <c r="AG313" i="4"/>
  <c r="AL36" i="4" s="1"/>
  <c r="P313" i="4"/>
  <c r="U36" i="4" s="1"/>
  <c r="AL55" i="4"/>
  <c r="AP5" i="19"/>
  <c r="AP8" i="19" s="1"/>
  <c r="AL57" i="4"/>
  <c r="AL56" i="4"/>
  <c r="R234" i="4"/>
  <c r="R233" i="4"/>
  <c r="O5" i="4"/>
  <c r="S313" i="19"/>
  <c r="S316" i="19" s="1"/>
  <c r="U38" i="19" s="1"/>
  <c r="R264" i="4"/>
  <c r="P316" i="4"/>
  <c r="U47" i="4" s="1"/>
  <c r="R241" i="4"/>
  <c r="AM5" i="4"/>
  <c r="R262" i="4"/>
  <c r="R240" i="4"/>
  <c r="R313" i="19"/>
  <c r="U35" i="19" s="1"/>
  <c r="O10" i="17"/>
  <c r="A63" i="17" s="1"/>
  <c r="R153" i="19"/>
  <c r="S153" i="19"/>
  <c r="R150" i="19"/>
  <c r="S150" i="19"/>
  <c r="R152" i="19"/>
  <c r="S152" i="19"/>
  <c r="R145" i="19"/>
  <c r="S145" i="19"/>
  <c r="R144" i="19"/>
  <c r="S144" i="19"/>
  <c r="S146" i="19"/>
  <c r="R146" i="19"/>
  <c r="R143" i="19"/>
  <c r="S143" i="19"/>
  <c r="AH177" i="4"/>
  <c r="AG177" i="4" s="1"/>
  <c r="AJ177" i="4" s="1"/>
  <c r="Q165" i="4"/>
  <c r="P165" i="4"/>
  <c r="S165" i="19"/>
  <c r="R165" i="19"/>
  <c r="AF57" i="19"/>
  <c r="AF55" i="19"/>
  <c r="AF56" i="19"/>
  <c r="AG138" i="19"/>
  <c r="R167" i="19"/>
  <c r="S167" i="19"/>
  <c r="R166" i="19"/>
  <c r="S166" i="19"/>
  <c r="S169" i="19"/>
  <c r="R169" i="19"/>
  <c r="S162" i="19"/>
  <c r="R162" i="19"/>
  <c r="R163" i="19"/>
  <c r="S163" i="19"/>
  <c r="R161" i="19"/>
  <c r="S161" i="19"/>
  <c r="S168" i="19"/>
  <c r="R168" i="19"/>
  <c r="V313" i="19"/>
  <c r="V316" i="19"/>
  <c r="S141" i="19"/>
  <c r="R141" i="19"/>
  <c r="R140" i="19"/>
  <c r="S140" i="19"/>
  <c r="R142" i="19"/>
  <c r="S142" i="19"/>
  <c r="Q224" i="19"/>
  <c r="P221" i="19"/>
  <c r="O36" i="19" s="1"/>
  <c r="N5" i="19"/>
  <c r="P5" i="19" s="1"/>
  <c r="P224" i="19"/>
  <c r="S138" i="19"/>
  <c r="R138" i="19"/>
  <c r="S139" i="19"/>
  <c r="R139" i="19"/>
  <c r="O55" i="19"/>
  <c r="O56" i="19"/>
  <c r="O57" i="19"/>
  <c r="V224" i="19"/>
  <c r="V221" i="19"/>
  <c r="AK316" i="19"/>
  <c r="AL41" i="19" s="1"/>
  <c r="AL49" i="19"/>
  <c r="AL51" i="19" s="1"/>
  <c r="AH173" i="4"/>
  <c r="AG173" i="4" s="1"/>
  <c r="AJ173" i="4" s="1"/>
  <c r="AH178" i="4"/>
  <c r="AG178" i="4" s="1"/>
  <c r="AJ178" i="4" s="1"/>
  <c r="AH179" i="4"/>
  <c r="AG179" i="4" s="1"/>
  <c r="AJ179" i="4" s="1"/>
  <c r="P180" i="4"/>
  <c r="Q173" i="4"/>
  <c r="Q178" i="4"/>
  <c r="Q179" i="4"/>
  <c r="Q180" i="4"/>
  <c r="P179" i="4"/>
  <c r="P178" i="4"/>
  <c r="P173" i="4"/>
  <c r="AH163" i="4"/>
  <c r="AG163" i="4" s="1"/>
  <c r="AJ163" i="4" s="1"/>
  <c r="AH167" i="4"/>
  <c r="AG167" i="4" s="1"/>
  <c r="AJ167" i="4" s="1"/>
  <c r="AH166" i="4"/>
  <c r="AG166" i="4" s="1"/>
  <c r="AJ166" i="4" s="1"/>
  <c r="Q168" i="4"/>
  <c r="Q163" i="4"/>
  <c r="P168" i="4"/>
  <c r="P163" i="4"/>
  <c r="Q167" i="4"/>
  <c r="P167" i="4"/>
  <c r="P162" i="4"/>
  <c r="P161" i="4"/>
  <c r="Q161" i="4"/>
  <c r="Q166" i="4"/>
  <c r="P166" i="4"/>
  <c r="Q162" i="4"/>
  <c r="AH189" i="4"/>
  <c r="AG189" i="4" s="1"/>
  <c r="AJ189" i="4" s="1"/>
  <c r="AH188" i="4"/>
  <c r="AG188" i="4" s="1"/>
  <c r="AJ188" i="4" s="1"/>
  <c r="Q181" i="4"/>
  <c r="Q189" i="4"/>
  <c r="Q183" i="4"/>
  <c r="P188" i="4"/>
  <c r="Q182" i="4"/>
  <c r="P189" i="4"/>
  <c r="P183" i="4"/>
  <c r="Q188" i="4"/>
  <c r="P181" i="4"/>
  <c r="P182" i="4"/>
  <c r="P145" i="4"/>
  <c r="Q145" i="4"/>
  <c r="Q144" i="4"/>
  <c r="Q146" i="4"/>
  <c r="AH144" i="4"/>
  <c r="AG144" i="4" s="1"/>
  <c r="AJ144" i="4" s="1"/>
  <c r="P144" i="4"/>
  <c r="P146" i="4"/>
  <c r="AH145" i="4"/>
  <c r="AG145" i="4" s="1"/>
  <c r="AJ145" i="4" s="1"/>
  <c r="AH195" i="4"/>
  <c r="AG195" i="4" s="1"/>
  <c r="AJ195" i="4" s="1"/>
  <c r="AH193" i="4"/>
  <c r="AG193" i="4" s="1"/>
  <c r="AJ193" i="4" s="1"/>
  <c r="AH194" i="4"/>
  <c r="AG194" i="4" s="1"/>
  <c r="AJ194" i="4" s="1"/>
  <c r="Q194" i="4"/>
  <c r="P195" i="4"/>
  <c r="P194" i="4"/>
  <c r="Q195" i="4"/>
  <c r="V186" i="4"/>
  <c r="V196" i="4"/>
  <c r="V197" i="4"/>
  <c r="V191" i="4"/>
  <c r="V187" i="4"/>
  <c r="V190" i="4"/>
  <c r="V192" i="4"/>
  <c r="V185" i="4"/>
  <c r="Z239" i="17"/>
  <c r="P151" i="4"/>
  <c r="P152" i="4"/>
  <c r="AH153" i="4"/>
  <c r="AG153" i="4" s="1"/>
  <c r="AJ153" i="4" s="1"/>
  <c r="Q151" i="4"/>
  <c r="AH152" i="4"/>
  <c r="AG152" i="4" s="1"/>
  <c r="AJ152" i="4" s="1"/>
  <c r="AH151" i="4"/>
  <c r="AG151" i="4" s="1"/>
  <c r="AJ151" i="4" s="1"/>
  <c r="AH154" i="4"/>
  <c r="AG154" i="4" s="1"/>
  <c r="AJ154" i="4" s="1"/>
  <c r="Q152" i="4"/>
  <c r="V291" i="4"/>
  <c r="V289" i="4"/>
  <c r="V285" i="4"/>
  <c r="V284" i="4"/>
  <c r="V290" i="4"/>
  <c r="V288" i="4"/>
  <c r="V286" i="4"/>
  <c r="V287" i="4"/>
  <c r="V233" i="4"/>
  <c r="AH143" i="4"/>
  <c r="AG143" i="4" s="1"/>
  <c r="AJ143" i="4" s="1"/>
  <c r="Q143" i="4"/>
  <c r="V234" i="4"/>
  <c r="P143" i="4"/>
  <c r="AH191" i="4"/>
  <c r="AG191" i="4" s="1"/>
  <c r="AJ191" i="4" s="1"/>
  <c r="AH185" i="4"/>
  <c r="AG185" i="4" s="1"/>
  <c r="AJ185" i="4" s="1"/>
  <c r="AH190" i="4"/>
  <c r="AG190" i="4" s="1"/>
  <c r="AJ190" i="4" s="1"/>
  <c r="P192" i="4"/>
  <c r="Q190" i="4"/>
  <c r="V181" i="4"/>
  <c r="P186" i="4"/>
  <c r="V182" i="4"/>
  <c r="V179" i="4"/>
  <c r="Q187" i="4"/>
  <c r="Q185" i="4"/>
  <c r="P187" i="4"/>
  <c r="Q193" i="4"/>
  <c r="Q191" i="4"/>
  <c r="V178" i="4"/>
  <c r="P190" i="4"/>
  <c r="P185" i="4"/>
  <c r="V189" i="4"/>
  <c r="V177" i="4"/>
  <c r="V188" i="4"/>
  <c r="V183" i="4"/>
  <c r="Q186" i="4"/>
  <c r="V184" i="4"/>
  <c r="P193" i="4"/>
  <c r="Q192" i="4"/>
  <c r="P191" i="4"/>
  <c r="V180" i="4"/>
  <c r="AH149" i="4"/>
  <c r="AG149" i="4" s="1"/>
  <c r="AJ149" i="4" s="1"/>
  <c r="AH150" i="4"/>
  <c r="AG150" i="4" s="1"/>
  <c r="AJ150" i="4" s="1"/>
  <c r="Q153" i="4"/>
  <c r="P149" i="4"/>
  <c r="P150" i="4"/>
  <c r="Q154" i="4"/>
  <c r="P154" i="4"/>
  <c r="P153" i="4"/>
  <c r="Q150" i="4"/>
  <c r="Q149" i="4"/>
  <c r="P160" i="4"/>
  <c r="Q155" i="4"/>
  <c r="P159" i="4"/>
  <c r="Q156" i="4"/>
  <c r="P155" i="4"/>
  <c r="Q160" i="4"/>
  <c r="Q159" i="4"/>
  <c r="P156" i="4"/>
  <c r="N454" i="18"/>
  <c r="N472" i="18"/>
  <c r="AH156" i="4"/>
  <c r="AG156" i="4" s="1"/>
  <c r="AJ156" i="4" s="1"/>
  <c r="AH155" i="4"/>
  <c r="AG155" i="4" s="1"/>
  <c r="AJ155" i="4" s="1"/>
  <c r="AH162" i="4"/>
  <c r="AG162" i="4" s="1"/>
  <c r="AJ162" i="4" s="1"/>
  <c r="AH161" i="4"/>
  <c r="AG161" i="4" s="1"/>
  <c r="AJ161" i="4" s="1"/>
  <c r="AH186" i="4"/>
  <c r="AG186" i="4" s="1"/>
  <c r="AJ186" i="4" s="1"/>
  <c r="AH181" i="4"/>
  <c r="AG181" i="4" s="1"/>
  <c r="AJ181" i="4" s="1"/>
  <c r="AH183" i="4"/>
  <c r="AG183" i="4" s="1"/>
  <c r="AJ183" i="4" s="1"/>
  <c r="AH187" i="4"/>
  <c r="AG187" i="4" s="1"/>
  <c r="AJ187" i="4" s="1"/>
  <c r="AH182" i="4"/>
  <c r="AG182" i="4" s="1"/>
  <c r="AJ182" i="4" s="1"/>
  <c r="AH146" i="4"/>
  <c r="AG146" i="4" s="1"/>
  <c r="AJ146" i="4" s="1"/>
  <c r="V176" i="4"/>
  <c r="V175" i="4"/>
  <c r="V174" i="4"/>
  <c r="V283" i="4"/>
  <c r="V280" i="4"/>
  <c r="V281" i="4"/>
  <c r="V282" i="4"/>
  <c r="V173" i="4"/>
  <c r="Q170" i="4"/>
  <c r="Q176" i="4"/>
  <c r="Q169" i="4"/>
  <c r="Q175" i="4"/>
  <c r="P170" i="4"/>
  <c r="P176" i="4"/>
  <c r="Q177" i="4"/>
  <c r="P171" i="4"/>
  <c r="P169" i="4"/>
  <c r="P175" i="4"/>
  <c r="Q174" i="4"/>
  <c r="Q171" i="4"/>
  <c r="P177" i="4"/>
  <c r="P174" i="4"/>
  <c r="AH171" i="4"/>
  <c r="AG171" i="4" s="1"/>
  <c r="AJ171" i="4" s="1"/>
  <c r="AH175" i="4"/>
  <c r="AG175" i="4" s="1"/>
  <c r="AJ175" i="4" s="1"/>
  <c r="AH170" i="4"/>
  <c r="AG170" i="4" s="1"/>
  <c r="AJ170" i="4" s="1"/>
  <c r="AH174" i="4"/>
  <c r="AG174" i="4" s="1"/>
  <c r="AJ174" i="4" s="1"/>
  <c r="AH169" i="4"/>
  <c r="AG169" i="4" s="1"/>
  <c r="AJ169" i="4" s="1"/>
  <c r="V142" i="4"/>
  <c r="V140" i="4"/>
  <c r="V141" i="4"/>
  <c r="V235" i="4"/>
  <c r="V239" i="4"/>
  <c r="V241" i="4"/>
  <c r="V236" i="4"/>
  <c r="V240" i="4"/>
  <c r="V148" i="4"/>
  <c r="V170" i="4"/>
  <c r="V171" i="4"/>
  <c r="V172" i="4"/>
  <c r="V166" i="4"/>
  <c r="V165" i="4"/>
  <c r="V167" i="4"/>
  <c r="V162" i="4"/>
  <c r="V169" i="4"/>
  <c r="V275" i="4"/>
  <c r="V276" i="4"/>
  <c r="V264" i="4"/>
  <c r="V267" i="4"/>
  <c r="V156" i="4"/>
  <c r="V159" i="4"/>
  <c r="V153" i="4"/>
  <c r="V274" i="4"/>
  <c r="V278" i="4"/>
  <c r="V273" i="4"/>
  <c r="V269" i="4"/>
  <c r="V266" i="4"/>
  <c r="V265" i="4"/>
  <c r="V260" i="4"/>
  <c r="V150" i="4"/>
  <c r="V160" i="4"/>
  <c r="V164" i="4"/>
  <c r="V161" i="4"/>
  <c r="V261" i="4"/>
  <c r="V270" i="4"/>
  <c r="V168" i="4"/>
  <c r="V262" i="4"/>
  <c r="V271" i="4"/>
  <c r="V268" i="4"/>
  <c r="V263" i="4"/>
  <c r="V149" i="4"/>
  <c r="V163" i="4"/>
  <c r="V152" i="4"/>
  <c r="V151" i="4"/>
  <c r="V272" i="4"/>
  <c r="V155" i="4"/>
  <c r="V277" i="4"/>
  <c r="V279" i="4"/>
  <c r="V157" i="4"/>
  <c r="V158" i="4"/>
  <c r="V154" i="4"/>
  <c r="C315" i="18"/>
  <c r="V249" i="4"/>
  <c r="P138" i="4"/>
  <c r="P140" i="4"/>
  <c r="S140" i="4" s="1"/>
  <c r="V250" i="4"/>
  <c r="Q141" i="4"/>
  <c r="V242" i="4"/>
  <c r="AH140" i="4"/>
  <c r="AG140" i="4" s="1"/>
  <c r="AJ140" i="4" s="1"/>
  <c r="P142" i="4"/>
  <c r="S142" i="4" s="1"/>
  <c r="V254" i="4"/>
  <c r="V237" i="4"/>
  <c r="V257" i="4"/>
  <c r="V243" i="4"/>
  <c r="P141" i="4"/>
  <c r="S141" i="4" s="1"/>
  <c r="AH139" i="4"/>
  <c r="AG139" i="4" s="1"/>
  <c r="AJ139" i="4" s="1"/>
  <c r="Q138" i="4"/>
  <c r="Q142" i="4"/>
  <c r="P139" i="4"/>
  <c r="S139" i="4" s="1"/>
  <c r="V238" i="4"/>
  <c r="V244" i="4"/>
  <c r="V146" i="4"/>
  <c r="Q140" i="4"/>
  <c r="V251" i="4"/>
  <c r="V144" i="4"/>
  <c r="AH141" i="4"/>
  <c r="AG141" i="4" s="1"/>
  <c r="AJ141" i="4" s="1"/>
  <c r="V245" i="4"/>
  <c r="Q139" i="4"/>
  <c r="V247" i="4"/>
  <c r="V248" i="4"/>
  <c r="V147" i="4"/>
  <c r="V143" i="4"/>
  <c r="V145" i="4"/>
  <c r="V253" i="4"/>
  <c r="V246" i="4"/>
  <c r="V256" i="4"/>
  <c r="V259" i="4"/>
  <c r="V255" i="4"/>
  <c r="V258" i="4"/>
  <c r="AH138" i="4"/>
  <c r="V252" i="4"/>
  <c r="AH142" i="4"/>
  <c r="AG142" i="4" s="1"/>
  <c r="AJ142" i="4" s="1"/>
  <c r="DC23" i="17"/>
  <c r="DC27" i="17"/>
  <c r="DC24" i="17"/>
  <c r="DC25" i="17"/>
  <c r="DC28" i="17"/>
  <c r="DC29" i="17"/>
  <c r="DC22" i="17"/>
  <c r="DC21" i="17"/>
  <c r="DC26" i="17"/>
  <c r="DC31" i="17"/>
  <c r="DC19" i="17"/>
  <c r="DC32" i="17"/>
  <c r="DC30" i="17"/>
  <c r="DC20" i="17"/>
  <c r="DC6" i="17"/>
  <c r="DC10" i="17"/>
  <c r="DC7" i="17"/>
  <c r="DC16" i="17"/>
  <c r="DC8" i="17"/>
  <c r="DC12" i="17"/>
  <c r="DC18" i="17"/>
  <c r="DC11" i="17"/>
  <c r="DC17" i="17"/>
  <c r="DC9" i="17"/>
  <c r="DC15" i="17"/>
  <c r="DC14" i="17"/>
  <c r="DC13" i="17"/>
  <c r="C420" i="18"/>
  <c r="DC5" i="17"/>
  <c r="L472" i="18" l="1"/>
  <c r="L454" i="18"/>
  <c r="AK316" i="4"/>
  <c r="AL41" i="4" s="1"/>
  <c r="AP37" i="4" s="1"/>
  <c r="AP5" i="4"/>
  <c r="AP8" i="4" s="1"/>
  <c r="R313" i="4"/>
  <c r="U17" i="4" s="1"/>
  <c r="R5" i="4" s="1"/>
  <c r="R7" i="4" s="1"/>
  <c r="Y38" i="19"/>
  <c r="U39" i="19"/>
  <c r="W16" i="19" s="1"/>
  <c r="Y37" i="19"/>
  <c r="S316" i="4"/>
  <c r="U38" i="4" s="1"/>
  <c r="Y38" i="4" s="1"/>
  <c r="U17" i="19"/>
  <c r="R5" i="19" s="1"/>
  <c r="R7" i="19" s="1"/>
  <c r="L474" i="18" s="1"/>
  <c r="R165" i="4"/>
  <c r="S165" i="4"/>
  <c r="AJ138" i="19"/>
  <c r="AJ221" i="19" s="1"/>
  <c r="AL5" i="19"/>
  <c r="AN5" i="19" s="1"/>
  <c r="AN6" i="19" s="1"/>
  <c r="AG221" i="19"/>
  <c r="AF36" i="19" s="1"/>
  <c r="N494" i="18" s="1"/>
  <c r="AG224" i="19"/>
  <c r="AO5" i="19"/>
  <c r="R221" i="19"/>
  <c r="O17" i="19" s="1"/>
  <c r="AP38" i="19"/>
  <c r="AP37" i="19"/>
  <c r="AL42" i="19"/>
  <c r="S221" i="19"/>
  <c r="S224" i="19" s="1"/>
  <c r="O38" i="19" s="1"/>
  <c r="O39" i="19" s="1"/>
  <c r="O47" i="19"/>
  <c r="R173" i="4"/>
  <c r="S173" i="4"/>
  <c r="R178" i="4"/>
  <c r="S178" i="4"/>
  <c r="R179" i="4"/>
  <c r="S179" i="4"/>
  <c r="S180" i="4"/>
  <c r="R180" i="4"/>
  <c r="R161" i="4"/>
  <c r="S161" i="4"/>
  <c r="S166" i="4"/>
  <c r="R166" i="4"/>
  <c r="R162" i="4"/>
  <c r="S162" i="4"/>
  <c r="R168" i="4"/>
  <c r="S168" i="4"/>
  <c r="R163" i="4"/>
  <c r="S163" i="4"/>
  <c r="R167" i="4"/>
  <c r="S167" i="4"/>
  <c r="R188" i="4"/>
  <c r="S188" i="4"/>
  <c r="R183" i="4"/>
  <c r="S183" i="4"/>
  <c r="R182" i="4"/>
  <c r="S182" i="4"/>
  <c r="S189" i="4"/>
  <c r="R189" i="4"/>
  <c r="R181" i="4"/>
  <c r="S181" i="4"/>
  <c r="S145" i="4"/>
  <c r="R145" i="4"/>
  <c r="R146" i="4"/>
  <c r="S146" i="4"/>
  <c r="S144" i="4"/>
  <c r="R144" i="4"/>
  <c r="R194" i="4"/>
  <c r="S194" i="4"/>
  <c r="R195" i="4"/>
  <c r="S195" i="4"/>
  <c r="R152" i="4"/>
  <c r="S152" i="4"/>
  <c r="R151" i="4"/>
  <c r="S151" i="4"/>
  <c r="R143" i="4"/>
  <c r="S143" i="4"/>
  <c r="R186" i="4"/>
  <c r="S186" i="4"/>
  <c r="R191" i="4"/>
  <c r="S191" i="4"/>
  <c r="R185" i="4"/>
  <c r="S185" i="4"/>
  <c r="S193" i="4"/>
  <c r="R193" i="4"/>
  <c r="R190" i="4"/>
  <c r="S190" i="4"/>
  <c r="R187" i="4"/>
  <c r="S187" i="4"/>
  <c r="S192" i="4"/>
  <c r="R192" i="4"/>
  <c r="R150" i="4"/>
  <c r="S150" i="4"/>
  <c r="R153" i="4"/>
  <c r="S153" i="4"/>
  <c r="R149" i="4"/>
  <c r="S149" i="4"/>
  <c r="S154" i="4"/>
  <c r="R154" i="4"/>
  <c r="R156" i="4"/>
  <c r="S156" i="4"/>
  <c r="S159" i="4"/>
  <c r="R159" i="4"/>
  <c r="S155" i="4"/>
  <c r="R155" i="4"/>
  <c r="R160" i="4"/>
  <c r="S160" i="4"/>
  <c r="N453" i="18"/>
  <c r="N460" i="18"/>
  <c r="S174" i="4"/>
  <c r="R174" i="4"/>
  <c r="R175" i="4"/>
  <c r="S175" i="4"/>
  <c r="S176" i="4"/>
  <c r="R176" i="4"/>
  <c r="S177" i="4"/>
  <c r="R177" i="4"/>
  <c r="S169" i="4"/>
  <c r="R169" i="4"/>
  <c r="R170" i="4"/>
  <c r="S170" i="4"/>
  <c r="R171" i="4"/>
  <c r="S171" i="4"/>
  <c r="S138" i="4"/>
  <c r="R140" i="4"/>
  <c r="R142" i="4"/>
  <c r="Q224" i="4"/>
  <c r="R138" i="4"/>
  <c r="P224" i="4"/>
  <c r="O47" i="4" s="1"/>
  <c r="R141" i="4"/>
  <c r="N5" i="4"/>
  <c r="R139" i="4"/>
  <c r="O56" i="4"/>
  <c r="O55" i="4"/>
  <c r="P221" i="4"/>
  <c r="O36" i="4" s="1"/>
  <c r="O57" i="4"/>
  <c r="V221" i="4"/>
  <c r="V224" i="4"/>
  <c r="V313" i="4"/>
  <c r="AF55" i="4"/>
  <c r="AF56" i="4"/>
  <c r="V316" i="4"/>
  <c r="AF57" i="4"/>
  <c r="AG138" i="4"/>
  <c r="AG221" i="4" s="1"/>
  <c r="DV63" i="17"/>
  <c r="DZ63" i="17" s="1"/>
  <c r="EB63" i="17" s="1"/>
  <c r="DV59" i="17"/>
  <c r="DZ59" i="17" s="1"/>
  <c r="EB59" i="17" s="1"/>
  <c r="DV64" i="17"/>
  <c r="DZ64" i="17" s="1"/>
  <c r="EB64" i="17" s="1"/>
  <c r="DV60" i="17"/>
  <c r="DZ60" i="17" s="1"/>
  <c r="EB60" i="17" s="1"/>
  <c r="DV56" i="17"/>
  <c r="DZ56" i="17" s="1"/>
  <c r="EB56" i="17" s="1"/>
  <c r="DV61" i="17"/>
  <c r="DZ61" i="17" s="1"/>
  <c r="EB61" i="17" s="1"/>
  <c r="DV57" i="17"/>
  <c r="DZ57" i="17" s="1"/>
  <c r="EB57" i="17" s="1"/>
  <c r="DV53" i="17"/>
  <c r="DZ53" i="17" s="1"/>
  <c r="EB53" i="17" s="1"/>
  <c r="DV54" i="17"/>
  <c r="DZ54" i="17" s="1"/>
  <c r="EB54" i="17" s="1"/>
  <c r="DV62" i="17"/>
  <c r="DZ62" i="17" s="1"/>
  <c r="EB62" i="17" s="1"/>
  <c r="DV58" i="17"/>
  <c r="DZ58" i="17" s="1"/>
  <c r="EB58" i="17" s="1"/>
  <c r="DV55" i="17"/>
  <c r="DZ55" i="17" s="1"/>
  <c r="EB55" i="17" s="1"/>
  <c r="DV52" i="17"/>
  <c r="DZ52" i="17" s="1"/>
  <c r="EB52" i="17" s="1"/>
  <c r="DV51" i="17"/>
  <c r="DZ51" i="17" s="1"/>
  <c r="EB51" i="17" s="1"/>
  <c r="DV50" i="17"/>
  <c r="DZ50" i="17" s="1"/>
  <c r="EB50" i="17" s="1"/>
  <c r="DV49" i="17"/>
  <c r="DZ49" i="17" s="1"/>
  <c r="EB49" i="17" s="1"/>
  <c r="DV48" i="17"/>
  <c r="DZ48" i="17" s="1"/>
  <c r="EB48" i="17" s="1"/>
  <c r="DV47" i="17"/>
  <c r="DZ47" i="17" s="1"/>
  <c r="EB47" i="17" s="1"/>
  <c r="DV46" i="17"/>
  <c r="DZ46" i="17" s="1"/>
  <c r="EB46" i="17" s="1"/>
  <c r="DV45" i="17"/>
  <c r="DZ45" i="17" s="1"/>
  <c r="EB45" i="17" s="1"/>
  <c r="DV44" i="17"/>
  <c r="DZ44" i="17" s="1"/>
  <c r="EB44" i="17" s="1"/>
  <c r="DV43" i="17"/>
  <c r="DZ43" i="17" s="1"/>
  <c r="EB43" i="17" s="1"/>
  <c r="DV42" i="17"/>
  <c r="DZ42" i="17" s="1"/>
  <c r="EB42" i="17" s="1"/>
  <c r="DV41" i="17"/>
  <c r="DZ41" i="17" s="1"/>
  <c r="EB41" i="17" s="1"/>
  <c r="DV40" i="17"/>
  <c r="DZ40" i="17" s="1"/>
  <c r="EB40" i="17" s="1"/>
  <c r="DV39" i="17"/>
  <c r="DZ39" i="17" s="1"/>
  <c r="EB39" i="17" s="1"/>
  <c r="DV38" i="17"/>
  <c r="DZ38" i="17" s="1"/>
  <c r="EB38" i="17" s="1"/>
  <c r="DV37" i="17"/>
  <c r="DZ37" i="17" s="1"/>
  <c r="EB37" i="17" s="1"/>
  <c r="DE20" i="17"/>
  <c r="DE32" i="17"/>
  <c r="DE31" i="17"/>
  <c r="DE21" i="17"/>
  <c r="DE29" i="17"/>
  <c r="DE25" i="17"/>
  <c r="DE27" i="17"/>
  <c r="DE30" i="17"/>
  <c r="DE19" i="17"/>
  <c r="DE26" i="17"/>
  <c r="DE22" i="17"/>
  <c r="DE28" i="17"/>
  <c r="DE24" i="17"/>
  <c r="DE23" i="17"/>
  <c r="DE14" i="17"/>
  <c r="DE9" i="17"/>
  <c r="DE11" i="17"/>
  <c r="DE12" i="17"/>
  <c r="DE16" i="17"/>
  <c r="DE10" i="17"/>
  <c r="DE13" i="17"/>
  <c r="DE15" i="17"/>
  <c r="DE17" i="17"/>
  <c r="DE18" i="17"/>
  <c r="DE8" i="17"/>
  <c r="DE7" i="17"/>
  <c r="DE6" i="17"/>
  <c r="DE5" i="17"/>
  <c r="DV6" i="17"/>
  <c r="DV10" i="17"/>
  <c r="DV14" i="17"/>
  <c r="DV18" i="17"/>
  <c r="DV22" i="17"/>
  <c r="DV26" i="17"/>
  <c r="DV30" i="17"/>
  <c r="DV9" i="17"/>
  <c r="DV13" i="17"/>
  <c r="DV17" i="17"/>
  <c r="DV21" i="17"/>
  <c r="DV29" i="17"/>
  <c r="DV25" i="17"/>
  <c r="DV8" i="17"/>
  <c r="DV12" i="17"/>
  <c r="DV16" i="17"/>
  <c r="DV20" i="17"/>
  <c r="DV24" i="17"/>
  <c r="DV28" i="17"/>
  <c r="DV32" i="17"/>
  <c r="DV7" i="17"/>
  <c r="DV11" i="17"/>
  <c r="DV15" i="17"/>
  <c r="DV19" i="17"/>
  <c r="DV23" i="17"/>
  <c r="DV27" i="17"/>
  <c r="DV31" i="17"/>
  <c r="DV5" i="17"/>
  <c r="Y39" i="19" l="1"/>
  <c r="AL42" i="4"/>
  <c r="AN16" i="4" s="1"/>
  <c r="U46" i="19"/>
  <c r="U48" i="19" s="1"/>
  <c r="AP38" i="4"/>
  <c r="AP41" i="4" s="1"/>
  <c r="N473" i="18"/>
  <c r="U35" i="4"/>
  <c r="L453" i="18" s="1"/>
  <c r="U39" i="4"/>
  <c r="W16" i="4" s="1"/>
  <c r="L460" i="18"/>
  <c r="Y37" i="4"/>
  <c r="Y39" i="4" s="1"/>
  <c r="AF49" i="19"/>
  <c r="AF51" i="19" s="1"/>
  <c r="AF52" i="19" s="1"/>
  <c r="N251" i="17" s="1"/>
  <c r="AK224" i="19"/>
  <c r="AF41" i="19" s="1"/>
  <c r="AO8" i="19"/>
  <c r="AQ5" i="19"/>
  <c r="AQ8" i="19" s="1"/>
  <c r="AP41" i="19"/>
  <c r="AP40" i="19" s="1"/>
  <c r="O35" i="19"/>
  <c r="N493" i="18" s="1"/>
  <c r="Q16" i="19"/>
  <c r="O46" i="19"/>
  <c r="O48" i="19" s="1"/>
  <c r="M37" i="19"/>
  <c r="M38" i="19"/>
  <c r="AN16" i="19"/>
  <c r="AL46" i="19"/>
  <c r="AL48" i="19" s="1"/>
  <c r="AL52" i="19" s="1"/>
  <c r="Q17" i="19"/>
  <c r="Q5" i="19"/>
  <c r="AF36" i="4"/>
  <c r="L494" i="18" s="1"/>
  <c r="P5" i="4"/>
  <c r="EC14" i="17" s="1"/>
  <c r="N474" i="18"/>
  <c r="L473" i="18"/>
  <c r="N519" i="18"/>
  <c r="N515" i="18"/>
  <c r="N465" i="18"/>
  <c r="N464" i="18"/>
  <c r="N466" i="18"/>
  <c r="S221" i="4"/>
  <c r="S224" i="4" s="1"/>
  <c r="O38" i="4" s="1"/>
  <c r="O39" i="4" s="1"/>
  <c r="R221" i="4"/>
  <c r="O17" i="4" s="1"/>
  <c r="AG224" i="4"/>
  <c r="AL5" i="4"/>
  <c r="L515" i="18" s="1"/>
  <c r="AO5" i="4"/>
  <c r="AJ138" i="4"/>
  <c r="AJ221" i="4" s="1"/>
  <c r="DZ32" i="17"/>
  <c r="DZ30" i="17"/>
  <c r="DZ23" i="17"/>
  <c r="DZ20" i="17"/>
  <c r="DZ22" i="17"/>
  <c r="DZ19" i="17"/>
  <c r="DZ29" i="17"/>
  <c r="DZ31" i="17"/>
  <c r="DZ28" i="17"/>
  <c r="DZ21" i="17"/>
  <c r="DZ27" i="17"/>
  <c r="DZ24" i="17"/>
  <c r="DZ26" i="17"/>
  <c r="DZ25" i="17"/>
  <c r="DZ11" i="17"/>
  <c r="DZ8" i="17"/>
  <c r="DZ17" i="17"/>
  <c r="DZ7" i="17"/>
  <c r="DZ10" i="17"/>
  <c r="H199" i="18"/>
  <c r="G615" i="18" s="1"/>
  <c r="F234" i="17" s="1"/>
  <c r="DZ13" i="17"/>
  <c r="DZ16" i="17"/>
  <c r="DZ9" i="17"/>
  <c r="DZ18" i="17"/>
  <c r="DZ6" i="17"/>
  <c r="DZ15" i="17"/>
  <c r="DZ12" i="17"/>
  <c r="DZ14" i="17"/>
  <c r="DZ5" i="17"/>
  <c r="L465" i="18" l="1"/>
  <c r="AL46" i="4"/>
  <c r="AL48" i="4" s="1"/>
  <c r="AL52" i="4" s="1"/>
  <c r="L464" i="18"/>
  <c r="L466" i="18"/>
  <c r="U46" i="4"/>
  <c r="U48" i="4" s="1"/>
  <c r="AP39" i="19"/>
  <c r="AP42" i="19" s="1"/>
  <c r="AF44" i="19"/>
  <c r="AD38" i="19"/>
  <c r="N505" i="18" s="1"/>
  <c r="AD39" i="19"/>
  <c r="N506" i="18" s="1"/>
  <c r="AE44" i="19"/>
  <c r="M39" i="19"/>
  <c r="S5" i="19"/>
  <c r="Q7" i="19"/>
  <c r="N501" i="18"/>
  <c r="AK224" i="4"/>
  <c r="AF41" i="4" s="1"/>
  <c r="L501" i="18" s="1"/>
  <c r="AQ5" i="4"/>
  <c r="AQ8" i="4" s="1"/>
  <c r="EC18" i="17"/>
  <c r="EC10" i="17"/>
  <c r="EC6" i="17"/>
  <c r="EC9" i="17"/>
  <c r="EC12" i="17"/>
  <c r="EC17" i="17"/>
  <c r="EC5" i="17"/>
  <c r="EC13" i="17"/>
  <c r="EC7" i="17"/>
  <c r="EC11" i="17"/>
  <c r="EC8" i="17"/>
  <c r="EC15" i="17"/>
  <c r="EC16" i="17"/>
  <c r="EC52" i="17"/>
  <c r="EC63" i="17"/>
  <c r="EC59" i="17"/>
  <c r="EC60" i="17"/>
  <c r="EC51" i="17"/>
  <c r="EC57" i="17"/>
  <c r="EC64" i="17"/>
  <c r="EC55" i="17"/>
  <c r="EC62" i="17"/>
  <c r="EC58" i="17"/>
  <c r="EC54" i="17"/>
  <c r="EC56" i="17"/>
  <c r="EC61" i="17"/>
  <c r="EC53" i="17"/>
  <c r="M38" i="4"/>
  <c r="M37" i="4"/>
  <c r="AF49" i="4"/>
  <c r="AF51" i="4" s="1"/>
  <c r="AF52" i="4" s="1"/>
  <c r="AP40" i="4"/>
  <c r="AP39" i="4"/>
  <c r="O35" i="4"/>
  <c r="L493" i="18" s="1"/>
  <c r="AO8" i="4"/>
  <c r="AN5" i="4"/>
  <c r="Q17" i="4"/>
  <c r="Q5" i="4"/>
  <c r="C199" i="18"/>
  <c r="E615" i="18" s="1"/>
  <c r="D234" i="17" s="1"/>
  <c r="F198" i="18"/>
  <c r="C198" i="18"/>
  <c r="F199" i="18"/>
  <c r="I615" i="18" s="1"/>
  <c r="G234" i="17" s="1"/>
  <c r="EB25" i="17"/>
  <c r="EB24" i="17"/>
  <c r="EB21" i="17"/>
  <c r="EB31" i="17"/>
  <c r="EB19" i="17"/>
  <c r="EB20" i="17"/>
  <c r="EB30" i="17"/>
  <c r="EB26" i="17"/>
  <c r="EB27" i="17"/>
  <c r="EB28" i="17"/>
  <c r="EB29" i="17"/>
  <c r="EB22" i="17"/>
  <c r="EB23" i="17"/>
  <c r="EB32" i="17"/>
  <c r="EB9" i="17"/>
  <c r="EB7" i="17"/>
  <c r="EB8" i="17"/>
  <c r="EB14" i="17"/>
  <c r="EB15" i="17"/>
  <c r="EB12" i="17"/>
  <c r="EB6" i="17"/>
  <c r="EB18" i="17"/>
  <c r="EB16" i="17"/>
  <c r="EB13" i="17"/>
  <c r="EB10" i="17"/>
  <c r="EB17" i="17"/>
  <c r="EB11" i="17"/>
  <c r="EB5" i="17"/>
  <c r="AD42" i="19" l="1"/>
  <c r="S7" i="19"/>
  <c r="AQ6" i="19"/>
  <c r="N250" i="17"/>
  <c r="M246" i="17"/>
  <c r="M242" i="17"/>
  <c r="L519" i="18"/>
  <c r="M39" i="4"/>
  <c r="L517" i="18"/>
  <c r="CD51" i="17"/>
  <c r="CK58" i="17"/>
  <c r="CL58" i="17" s="1"/>
  <c r="CK53" i="17"/>
  <c r="CL53" i="17" s="1"/>
  <c r="CK59" i="17"/>
  <c r="CL59" i="17" s="1"/>
  <c r="CK57" i="17"/>
  <c r="CL57" i="17" s="1"/>
  <c r="CD52" i="17"/>
  <c r="CE52" i="17" s="1"/>
  <c r="CF52" i="17" s="1"/>
  <c r="CG52" i="17" s="1"/>
  <c r="CD53" i="17"/>
  <c r="CE53" i="17" s="1"/>
  <c r="CF53" i="17" s="1"/>
  <c r="CG53" i="17" s="1"/>
  <c r="CK62" i="17"/>
  <c r="CL62" i="17" s="1"/>
  <c r="CK61" i="17"/>
  <c r="CL61" i="17" s="1"/>
  <c r="CK63" i="17"/>
  <c r="CL63" i="17" s="1"/>
  <c r="CD54" i="17"/>
  <c r="CE54" i="17" s="1"/>
  <c r="CF54" i="17" s="1"/>
  <c r="CG54" i="17" s="1"/>
  <c r="CD55" i="17"/>
  <c r="CE55" i="17" s="1"/>
  <c r="CF55" i="17" s="1"/>
  <c r="CG55" i="17" s="1"/>
  <c r="CD56" i="17"/>
  <c r="CE56" i="17" s="1"/>
  <c r="CF56" i="17" s="1"/>
  <c r="CG56" i="17" s="1"/>
  <c r="CD57" i="17"/>
  <c r="CE57" i="17" s="1"/>
  <c r="CF57" i="17" s="1"/>
  <c r="CG57" i="17" s="1"/>
  <c r="CK52" i="17"/>
  <c r="CL52" i="17" s="1"/>
  <c r="CK51" i="17"/>
  <c r="CL51" i="17" s="1"/>
  <c r="CK56" i="17"/>
  <c r="CL56" i="17" s="1"/>
  <c r="CD58" i="17"/>
  <c r="CE58" i="17" s="1"/>
  <c r="CF58" i="17" s="1"/>
  <c r="CG58" i="17" s="1"/>
  <c r="CD59" i="17"/>
  <c r="CE59" i="17" s="1"/>
  <c r="CF59" i="17" s="1"/>
  <c r="CG59" i="17" s="1"/>
  <c r="CD60" i="17"/>
  <c r="CE60" i="17" s="1"/>
  <c r="CF60" i="17" s="1"/>
  <c r="CG60" i="17" s="1"/>
  <c r="CD61" i="17"/>
  <c r="CE61" i="17" s="1"/>
  <c r="CF61" i="17" s="1"/>
  <c r="CG61" i="17" s="1"/>
  <c r="CK54" i="17"/>
  <c r="CL54" i="17" s="1"/>
  <c r="CK60" i="17"/>
  <c r="CL60" i="17" s="1"/>
  <c r="CK55" i="17"/>
  <c r="CL55" i="17" s="1"/>
  <c r="CK64" i="17"/>
  <c r="CL64" i="17" s="1"/>
  <c r="CD62" i="17"/>
  <c r="CE62" i="17" s="1"/>
  <c r="CF62" i="17" s="1"/>
  <c r="CG62" i="17" s="1"/>
  <c r="CD63" i="17"/>
  <c r="CE63" i="17" s="1"/>
  <c r="CF63" i="17" s="1"/>
  <c r="CG63" i="17" s="1"/>
  <c r="CD64" i="17"/>
  <c r="CE64" i="17" s="1"/>
  <c r="CF64" i="17" s="1"/>
  <c r="CG64" i="17" s="1"/>
  <c r="Q16" i="4"/>
  <c r="O46" i="4"/>
  <c r="O48" i="4" s="1"/>
  <c r="AP42" i="4"/>
  <c r="EC45" i="17"/>
  <c r="EC39" i="17"/>
  <c r="EC41" i="17"/>
  <c r="EC48" i="17"/>
  <c r="EC46" i="17"/>
  <c r="EC40" i="17"/>
  <c r="EC47" i="17"/>
  <c r="EC49" i="17"/>
  <c r="EC37" i="17"/>
  <c r="EC38" i="17"/>
  <c r="EC44" i="17"/>
  <c r="EC50" i="17"/>
  <c r="AN6" i="4"/>
  <c r="EC43" i="17"/>
  <c r="EC42" i="17"/>
  <c r="Q7" i="4"/>
  <c r="S5" i="4"/>
  <c r="S7" i="4" s="1"/>
  <c r="CD5" i="17" s="1"/>
  <c r="CD44" i="17"/>
  <c r="CE44" i="17" s="1"/>
  <c r="CF44" i="17" s="1"/>
  <c r="CG44" i="17" s="1"/>
  <c r="CD38" i="17"/>
  <c r="CE38" i="17" s="1"/>
  <c r="CF38" i="17" s="1"/>
  <c r="CG38" i="17" s="1"/>
  <c r="CH38" i="17" s="1"/>
  <c r="CK49" i="17"/>
  <c r="CL49" i="17" s="1"/>
  <c r="CD41" i="17"/>
  <c r="CE41" i="17" s="1"/>
  <c r="CF41" i="17" s="1"/>
  <c r="CG41" i="17" s="1"/>
  <c r="CH41" i="17" s="1"/>
  <c r="CK43" i="17"/>
  <c r="CL43" i="17" s="1"/>
  <c r="CD43" i="17"/>
  <c r="CE43" i="17" s="1"/>
  <c r="CF43" i="17" s="1"/>
  <c r="CG43" i="17" s="1"/>
  <c r="CH43" i="17" s="1"/>
  <c r="CK46" i="17"/>
  <c r="CL46" i="17" s="1"/>
  <c r="CD49" i="17"/>
  <c r="CE49" i="17" s="1"/>
  <c r="CF49" i="17" s="1"/>
  <c r="CG49" i="17" s="1"/>
  <c r="CD40" i="17"/>
  <c r="CE40" i="17" s="1"/>
  <c r="CF40" i="17" s="1"/>
  <c r="CG40" i="17" s="1"/>
  <c r="CH40" i="17" s="1"/>
  <c r="CK44" i="17"/>
  <c r="CL44" i="17" s="1"/>
  <c r="CK37" i="17"/>
  <c r="CL37" i="17" s="1"/>
  <c r="CK40" i="17"/>
  <c r="CL40" i="17" s="1"/>
  <c r="CD50" i="17"/>
  <c r="CE50" i="17" s="1"/>
  <c r="CF50" i="17" s="1"/>
  <c r="CG50" i="17" s="1"/>
  <c r="CH50" i="17" s="1"/>
  <c r="CK41" i="17"/>
  <c r="CL41" i="17" s="1"/>
  <c r="CK39" i="17"/>
  <c r="CL39" i="17" s="1"/>
  <c r="CK45" i="17"/>
  <c r="CL45" i="17" s="1"/>
  <c r="CD45" i="17"/>
  <c r="CE45" i="17" s="1"/>
  <c r="CF45" i="17" s="1"/>
  <c r="CG45" i="17" s="1"/>
  <c r="CK47" i="17"/>
  <c r="CL47" i="17" s="1"/>
  <c r="CD47" i="17"/>
  <c r="CE47" i="17" s="1"/>
  <c r="CF47" i="17" s="1"/>
  <c r="CG47" i="17" s="1"/>
  <c r="CH47" i="17" s="1"/>
  <c r="CK50" i="17"/>
  <c r="CL50" i="17" s="1"/>
  <c r="CD42" i="17"/>
  <c r="CE42" i="17" s="1"/>
  <c r="CF42" i="17" s="1"/>
  <c r="CG42" i="17" s="1"/>
  <c r="CH42" i="17" s="1"/>
  <c r="CD37" i="17"/>
  <c r="CD39" i="17"/>
  <c r="CE39" i="17" s="1"/>
  <c r="CF39" i="17" s="1"/>
  <c r="CG39" i="17" s="1"/>
  <c r="CD46" i="17"/>
  <c r="CE46" i="17" s="1"/>
  <c r="CF46" i="17" s="1"/>
  <c r="CG46" i="17" s="1"/>
  <c r="CH46" i="17" s="1"/>
  <c r="CK48" i="17"/>
  <c r="CL48" i="17" s="1"/>
  <c r="CK42" i="17"/>
  <c r="CL42" i="17" s="1"/>
  <c r="CK38" i="17"/>
  <c r="CL38" i="17" s="1"/>
  <c r="CD48" i="17"/>
  <c r="CE48" i="17" s="1"/>
  <c r="CF48" i="17" s="1"/>
  <c r="CG48" i="17" s="1"/>
  <c r="CH48" i="17" s="1"/>
  <c r="B615" i="18"/>
  <c r="B234" i="17" s="1"/>
  <c r="H427" i="18"/>
  <c r="P234" i="18"/>
  <c r="AD41" i="19" l="1"/>
  <c r="AD40" i="19"/>
  <c r="N245" i="17"/>
  <c r="CE51" i="17"/>
  <c r="CF51" i="17" s="1"/>
  <c r="CG51" i="17" s="1"/>
  <c r="CI51" i="17" s="1"/>
  <c r="N246" i="17"/>
  <c r="CE37" i="17"/>
  <c r="CF37" i="17" s="1"/>
  <c r="CG37" i="17" s="1"/>
  <c r="M245" i="17"/>
  <c r="N516" i="18"/>
  <c r="N517" i="18"/>
  <c r="L516" i="18"/>
  <c r="AF44" i="4"/>
  <c r="AE44" i="4"/>
  <c r="AD39" i="4"/>
  <c r="L506" i="18" s="1"/>
  <c r="AD38" i="4"/>
  <c r="L505" i="18" s="1"/>
  <c r="CM56" i="17"/>
  <c r="CN56" i="17" s="1"/>
  <c r="CO56" i="17" s="1"/>
  <c r="CM55" i="17"/>
  <c r="CN55" i="17" s="1"/>
  <c r="CO55" i="17" s="1"/>
  <c r="CM52" i="17"/>
  <c r="CN52" i="17" s="1"/>
  <c r="CO52" i="17" s="1"/>
  <c r="CM60" i="17"/>
  <c r="CN60" i="17" s="1"/>
  <c r="CO60" i="17" s="1"/>
  <c r="CH63" i="17"/>
  <c r="CH59" i="17"/>
  <c r="CH54" i="17"/>
  <c r="CM59" i="17"/>
  <c r="CN59" i="17" s="1"/>
  <c r="CO59" i="17" s="1"/>
  <c r="CH62" i="17"/>
  <c r="CM54" i="17"/>
  <c r="CN54" i="17" s="1"/>
  <c r="CO54" i="17" s="1"/>
  <c r="CH58" i="17"/>
  <c r="CI57" i="17"/>
  <c r="CH57" i="17"/>
  <c r="CB57" i="17"/>
  <c r="CM63" i="17"/>
  <c r="CN63" i="17" s="1"/>
  <c r="CO63" i="17" s="1"/>
  <c r="CH53" i="17"/>
  <c r="CM53" i="17"/>
  <c r="CN53" i="17" s="1"/>
  <c r="CO53" i="17" s="1"/>
  <c r="CM64" i="17"/>
  <c r="CN64" i="17" s="1"/>
  <c r="CO64" i="17" s="1"/>
  <c r="CH61" i="17"/>
  <c r="CB56" i="17"/>
  <c r="CI56" i="17"/>
  <c r="CH56" i="17"/>
  <c r="CM61" i="17"/>
  <c r="CN61" i="17" s="1"/>
  <c r="CO61" i="17" s="1"/>
  <c r="CB52" i="17"/>
  <c r="CI52" i="17"/>
  <c r="CH52" i="17"/>
  <c r="CM58" i="17"/>
  <c r="CN58" i="17" s="1"/>
  <c r="CO58" i="17" s="1"/>
  <c r="CH64" i="17"/>
  <c r="CH60" i="17"/>
  <c r="CH55" i="17"/>
  <c r="CM62" i="17"/>
  <c r="CN62" i="17" s="1"/>
  <c r="CO62" i="17" s="1"/>
  <c r="CM57" i="17"/>
  <c r="CN57" i="17" s="1"/>
  <c r="CO57" i="17" s="1"/>
  <c r="CM50" i="17"/>
  <c r="CN50" i="17" s="1"/>
  <c r="CB50" i="17" s="1"/>
  <c r="CM41" i="17"/>
  <c r="CN41" i="17" s="1"/>
  <c r="CO41" i="17" s="1"/>
  <c r="CM42" i="17"/>
  <c r="CN42" i="17" s="1"/>
  <c r="CB42" i="17" s="1"/>
  <c r="CM47" i="17"/>
  <c r="CN47" i="17" s="1"/>
  <c r="CI47" i="17" s="1"/>
  <c r="CM39" i="17"/>
  <c r="CN39" i="17" s="1"/>
  <c r="CO39" i="17" s="1"/>
  <c r="CM46" i="17"/>
  <c r="CN46" i="17" s="1"/>
  <c r="CO46" i="17" s="1"/>
  <c r="CM49" i="17"/>
  <c r="CN49" i="17" s="1"/>
  <c r="CO49" i="17" s="1"/>
  <c r="CM48" i="17"/>
  <c r="CN48" i="17" s="1"/>
  <c r="CO48" i="17" s="1"/>
  <c r="CM44" i="17"/>
  <c r="CN44" i="17" s="1"/>
  <c r="CO44" i="17" s="1"/>
  <c r="CM40" i="17"/>
  <c r="CN40" i="17" s="1"/>
  <c r="CO40" i="17" s="1"/>
  <c r="AQ6" i="4"/>
  <c r="CH45" i="17"/>
  <c r="CM45" i="17"/>
  <c r="CN45" i="17" s="1"/>
  <c r="CO45" i="17" s="1"/>
  <c r="CM43" i="17"/>
  <c r="CN43" i="17" s="1"/>
  <c r="CB43" i="17" s="1"/>
  <c r="CH44" i="17"/>
  <c r="CM38" i="17"/>
  <c r="CN38" i="17" s="1"/>
  <c r="CT38" i="17" s="1"/>
  <c r="EF38" i="17" s="1"/>
  <c r="CH39" i="17"/>
  <c r="CH49" i="17"/>
  <c r="G618" i="18"/>
  <c r="F237" i="17" s="1"/>
  <c r="C426" i="18"/>
  <c r="B618" i="18" s="1"/>
  <c r="B237" i="17" s="1"/>
  <c r="F427" i="18"/>
  <c r="I618" i="18" s="1"/>
  <c r="G237" i="17" s="1"/>
  <c r="F426" i="18"/>
  <c r="C427" i="18"/>
  <c r="E618" i="18" s="1"/>
  <c r="D237" i="17" s="1"/>
  <c r="P238" i="18"/>
  <c r="P239" i="18" s="1"/>
  <c r="T236" i="18"/>
  <c r="T234" i="18"/>
  <c r="N234" i="18"/>
  <c r="AD43" i="19" l="1"/>
  <c r="AF43" i="19" s="1"/>
  <c r="AH16" i="19" s="1"/>
  <c r="CH37" i="17"/>
  <c r="L522" i="18"/>
  <c r="CD19" i="17"/>
  <c r="CB49" i="17"/>
  <c r="CB39" i="17"/>
  <c r="CB44" i="17"/>
  <c r="CB45" i="17"/>
  <c r="CI44" i="17"/>
  <c r="CI45" i="17"/>
  <c r="CI39" i="17"/>
  <c r="CI49" i="17"/>
  <c r="CM51" i="17"/>
  <c r="CN51" i="17" s="1"/>
  <c r="CO51" i="17" s="1"/>
  <c r="CH51" i="17"/>
  <c r="CB51" i="17"/>
  <c r="CR51" i="17" s="1"/>
  <c r="DT51" i="17" s="1"/>
  <c r="CM37" i="17"/>
  <c r="CN37" i="17" s="1"/>
  <c r="CO37" i="17" s="1"/>
  <c r="N522" i="18"/>
  <c r="N521" i="18"/>
  <c r="L521" i="18"/>
  <c r="CB55" i="17"/>
  <c r="CI60" i="17"/>
  <c r="CB60" i="17"/>
  <c r="CI55" i="17"/>
  <c r="CI54" i="17"/>
  <c r="CI64" i="17"/>
  <c r="CB54" i="17"/>
  <c r="CI63" i="17"/>
  <c r="CI58" i="17"/>
  <c r="CB64" i="17"/>
  <c r="CI61" i="17"/>
  <c r="CB53" i="17"/>
  <c r="CB63" i="17"/>
  <c r="CI62" i="17"/>
  <c r="CB59" i="17"/>
  <c r="CI53" i="17"/>
  <c r="CB61" i="17"/>
  <c r="CB58" i="17"/>
  <c r="CB62" i="17"/>
  <c r="CI59" i="17"/>
  <c r="AD42" i="4"/>
  <c r="AD40" i="4" s="1"/>
  <c r="CT56" i="17"/>
  <c r="EF56" i="17" s="1"/>
  <c r="CT55" i="17"/>
  <c r="EF55" i="17" s="1"/>
  <c r="CT52" i="17"/>
  <c r="EF52" i="17" s="1"/>
  <c r="EN52" i="17" s="1"/>
  <c r="CT60" i="17"/>
  <c r="EF60" i="17" s="1"/>
  <c r="EN60" i="17" s="1"/>
  <c r="CT64" i="17"/>
  <c r="EF64" i="17" s="1"/>
  <c r="EN64" i="17" s="1"/>
  <c r="CT61" i="17"/>
  <c r="EF61" i="17" s="1"/>
  <c r="BR56" i="17"/>
  <c r="CR56" i="17"/>
  <c r="DT56" i="17" s="1"/>
  <c r="CQ56" i="17"/>
  <c r="DO56" i="17" s="1"/>
  <c r="CT59" i="17"/>
  <c r="EF59" i="17" s="1"/>
  <c r="CT63" i="17"/>
  <c r="EF63" i="17" s="1"/>
  <c r="CT53" i="17"/>
  <c r="EF53" i="17" s="1"/>
  <c r="CT54" i="17"/>
  <c r="EF54" i="17" s="1"/>
  <c r="CD30" i="17"/>
  <c r="CD32" i="17"/>
  <c r="CD27" i="17"/>
  <c r="CD20" i="17"/>
  <c r="CD21" i="17"/>
  <c r="CD31" i="17"/>
  <c r="CD24" i="17"/>
  <c r="CD29" i="17"/>
  <c r="CD23" i="17"/>
  <c r="CD22" i="17"/>
  <c r="CD25" i="17"/>
  <c r="CD28" i="17"/>
  <c r="CD26" i="17"/>
  <c r="CT57" i="17"/>
  <c r="EF57" i="17" s="1"/>
  <c r="CT58" i="17"/>
  <c r="EF58" i="17" s="1"/>
  <c r="CQ52" i="17"/>
  <c r="DO52" i="17" s="1"/>
  <c r="CR52" i="17"/>
  <c r="DT52" i="17" s="1"/>
  <c r="BR52" i="17"/>
  <c r="CR57" i="17"/>
  <c r="DT57" i="17" s="1"/>
  <c r="CQ57" i="17"/>
  <c r="DO57" i="17" s="1"/>
  <c r="BR57" i="17"/>
  <c r="CT62" i="17"/>
  <c r="EF62" i="17" s="1"/>
  <c r="CI50" i="17"/>
  <c r="CQ50" i="17" s="1"/>
  <c r="DO50" i="17" s="1"/>
  <c r="CO50" i="17"/>
  <c r="CT50" i="17"/>
  <c r="EF50" i="17" s="1"/>
  <c r="CO42" i="17"/>
  <c r="CT42" i="17"/>
  <c r="CI42" i="17"/>
  <c r="BR42" i="17" s="1"/>
  <c r="CT41" i="17"/>
  <c r="EF41" i="17" s="1"/>
  <c r="CT49" i="17"/>
  <c r="EF49" i="17" s="1"/>
  <c r="CI41" i="17"/>
  <c r="CB41" i="17"/>
  <c r="CT39" i="17"/>
  <c r="CT44" i="17"/>
  <c r="CT46" i="17"/>
  <c r="EF46" i="17" s="1"/>
  <c r="CB46" i="17"/>
  <c r="CI48" i="17"/>
  <c r="CB48" i="17"/>
  <c r="CT48" i="17"/>
  <c r="CO47" i="17"/>
  <c r="CT47" i="17"/>
  <c r="CB47" i="17"/>
  <c r="CI40" i="17"/>
  <c r="CB40" i="17"/>
  <c r="CT40" i="17"/>
  <c r="CI46" i="17"/>
  <c r="CO38" i="17"/>
  <c r="CB38" i="17"/>
  <c r="CI38" i="17"/>
  <c r="CO43" i="17"/>
  <c r="CT43" i="17"/>
  <c r="CI43" i="17"/>
  <c r="BR43" i="17" s="1"/>
  <c r="CK10" i="17"/>
  <c r="CL10" i="17" s="1"/>
  <c r="CD18" i="17"/>
  <c r="CE18" i="17" s="1"/>
  <c r="CF18" i="17" s="1"/>
  <c r="CG18" i="17" s="1"/>
  <c r="CK8" i="17"/>
  <c r="CL8" i="17" s="1"/>
  <c r="CK16" i="17"/>
  <c r="CL16" i="17" s="1"/>
  <c r="CK9" i="17"/>
  <c r="CL9" i="17" s="1"/>
  <c r="CD17" i="17"/>
  <c r="CE17" i="17" s="1"/>
  <c r="CF17" i="17" s="1"/>
  <c r="CG17" i="17" s="1"/>
  <c r="CD10" i="17"/>
  <c r="CE10" i="17" s="1"/>
  <c r="CF10" i="17" s="1"/>
  <c r="CG10" i="17" s="1"/>
  <c r="CD16" i="17"/>
  <c r="CE16" i="17" s="1"/>
  <c r="CF16" i="17" s="1"/>
  <c r="CG16" i="17" s="1"/>
  <c r="CK7" i="17"/>
  <c r="CL7" i="17" s="1"/>
  <c r="CK6" i="17"/>
  <c r="CL6" i="17" s="1"/>
  <c r="CK14" i="17"/>
  <c r="CL14" i="17" s="1"/>
  <c r="CD7" i="17"/>
  <c r="CE7" i="17" s="1"/>
  <c r="CF7" i="17" s="1"/>
  <c r="CG7" i="17" s="1"/>
  <c r="CK11" i="17"/>
  <c r="CL11" i="17" s="1"/>
  <c r="CK12" i="17"/>
  <c r="CL12" i="17" s="1"/>
  <c r="CK13" i="17"/>
  <c r="CL13" i="17" s="1"/>
  <c r="CK5" i="17"/>
  <c r="CL5" i="17" s="1"/>
  <c r="CD9" i="17"/>
  <c r="CE9" i="17" s="1"/>
  <c r="CF9" i="17" s="1"/>
  <c r="CG9" i="17" s="1"/>
  <c r="CE5" i="17"/>
  <c r="CF5" i="17" s="1"/>
  <c r="CK15" i="17"/>
  <c r="CL15" i="17" s="1"/>
  <c r="CD13" i="17"/>
  <c r="CE13" i="17" s="1"/>
  <c r="CF13" i="17" s="1"/>
  <c r="CG13" i="17" s="1"/>
  <c r="CD12" i="17"/>
  <c r="CE12" i="17" s="1"/>
  <c r="CF12" i="17" s="1"/>
  <c r="CG12" i="17" s="1"/>
  <c r="CD15" i="17"/>
  <c r="CE15" i="17" s="1"/>
  <c r="CF15" i="17" s="1"/>
  <c r="CG15" i="17" s="1"/>
  <c r="CK18" i="17"/>
  <c r="CL18" i="17" s="1"/>
  <c r="CD6" i="17"/>
  <c r="CE6" i="17" s="1"/>
  <c r="CF6" i="17" s="1"/>
  <c r="CG6" i="17" s="1"/>
  <c r="CD8" i="17"/>
  <c r="CE8" i="17" s="1"/>
  <c r="CF8" i="17" s="1"/>
  <c r="CG8" i="17" s="1"/>
  <c r="CD14" i="17"/>
  <c r="CE14" i="17" s="1"/>
  <c r="CF14" i="17" s="1"/>
  <c r="CG14" i="17" s="1"/>
  <c r="CK17" i="17"/>
  <c r="CL17" i="17" s="1"/>
  <c r="CD11" i="17"/>
  <c r="CE11" i="17" s="1"/>
  <c r="CF11" i="17" s="1"/>
  <c r="CG11" i="17" s="1"/>
  <c r="CT45" i="17"/>
  <c r="EN38" i="17"/>
  <c r="N238" i="18"/>
  <c r="N239" i="18" s="1"/>
  <c r="T238" i="18"/>
  <c r="T239" i="18" s="1"/>
  <c r="R234" i="18"/>
  <c r="C234" i="18" s="1"/>
  <c r="R236" i="18"/>
  <c r="C236" i="18" s="1"/>
  <c r="T344" i="18"/>
  <c r="R362" i="18"/>
  <c r="N344" i="18"/>
  <c r="N347" i="18" s="1"/>
  <c r="P348" i="18"/>
  <c r="P365" i="18"/>
  <c r="P366" i="18" s="1"/>
  <c r="R346" i="18"/>
  <c r="C346" i="18" s="1"/>
  <c r="T346" i="18"/>
  <c r="L362" i="18"/>
  <c r="L344" i="18"/>
  <c r="CE19" i="17" l="1"/>
  <c r="CB37" i="17"/>
  <c r="BR49" i="17"/>
  <c r="BR39" i="17"/>
  <c r="CQ44" i="17"/>
  <c r="DO44" i="17" s="1"/>
  <c r="BR44" i="17"/>
  <c r="CR44" i="17"/>
  <c r="DT44" i="17" s="1"/>
  <c r="CR39" i="17"/>
  <c r="DT39" i="17" s="1"/>
  <c r="BR45" i="17"/>
  <c r="CQ39" i="17"/>
  <c r="DO39" i="17" s="1"/>
  <c r="CQ45" i="17"/>
  <c r="DO45" i="17" s="1"/>
  <c r="CR45" i="17"/>
  <c r="DT45" i="17" s="1"/>
  <c r="CQ49" i="17"/>
  <c r="DO49" i="17" s="1"/>
  <c r="EO49" i="17" s="1"/>
  <c r="EP49" i="17" s="1"/>
  <c r="CR49" i="17"/>
  <c r="DT49" i="17" s="1"/>
  <c r="CT51" i="17"/>
  <c r="EF51" i="17" s="1"/>
  <c r="EN51" i="17" s="1"/>
  <c r="ER51" i="17" s="1"/>
  <c r="BR51" i="17"/>
  <c r="CQ51" i="17"/>
  <c r="DO51" i="17" s="1"/>
  <c r="CT37" i="17"/>
  <c r="EF37" i="17" s="1"/>
  <c r="CI37" i="17"/>
  <c r="N242" i="17"/>
  <c r="CR64" i="17"/>
  <c r="DT64" i="17" s="1"/>
  <c r="N507" i="18"/>
  <c r="CQ64" i="17"/>
  <c r="DO64" i="17" s="1"/>
  <c r="BR64" i="17"/>
  <c r="BR55" i="17"/>
  <c r="CQ55" i="17"/>
  <c r="DO55" i="17" s="1"/>
  <c r="CR55" i="17"/>
  <c r="DT55" i="17" s="1"/>
  <c r="CQ60" i="17"/>
  <c r="DO60" i="17" s="1"/>
  <c r="CR54" i="17"/>
  <c r="DT54" i="17" s="1"/>
  <c r="BR54" i="17"/>
  <c r="CR61" i="17"/>
  <c r="DT61" i="17" s="1"/>
  <c r="CQ54" i="17"/>
  <c r="DO54" i="17" s="1"/>
  <c r="CR58" i="17"/>
  <c r="DT58" i="17" s="1"/>
  <c r="CR60" i="17"/>
  <c r="DT60" i="17" s="1"/>
  <c r="BR60" i="17"/>
  <c r="CR62" i="17"/>
  <c r="DT62" i="17" s="1"/>
  <c r="CR53" i="17"/>
  <c r="DT53" i="17" s="1"/>
  <c r="BR53" i="17"/>
  <c r="CQ53" i="17"/>
  <c r="DO53" i="17" s="1"/>
  <c r="BR59" i="17"/>
  <c r="CQ63" i="17"/>
  <c r="DO63" i="17" s="1"/>
  <c r="CQ59" i="17"/>
  <c r="DO59" i="17" s="1"/>
  <c r="CQ62" i="17"/>
  <c r="DO62" i="17" s="1"/>
  <c r="CR59" i="17"/>
  <c r="DT59" i="17" s="1"/>
  <c r="BR62" i="17"/>
  <c r="CQ61" i="17"/>
  <c r="DO61" i="17" s="1"/>
  <c r="BR63" i="17"/>
  <c r="CR63" i="17"/>
  <c r="DT63" i="17" s="1"/>
  <c r="BR61" i="17"/>
  <c r="CQ58" i="17"/>
  <c r="DO58" i="17" s="1"/>
  <c r="BR58" i="17"/>
  <c r="AD41" i="4"/>
  <c r="EN56" i="17"/>
  <c r="EN55" i="17"/>
  <c r="EP55" i="17" s="1"/>
  <c r="EN61" i="17"/>
  <c r="EP61" i="17" s="1"/>
  <c r="EN62" i="17"/>
  <c r="EN58" i="17"/>
  <c r="EN53" i="17"/>
  <c r="EN63" i="17"/>
  <c r="EP52" i="17"/>
  <c r="ER52" i="17"/>
  <c r="EQ52" i="17"/>
  <c r="EN57" i="17"/>
  <c r="EP60" i="17"/>
  <c r="EN59" i="17"/>
  <c r="EP64" i="17"/>
  <c r="EN54" i="17"/>
  <c r="EP54" i="17" s="1"/>
  <c r="EF42" i="17"/>
  <c r="EN42" i="17" s="1"/>
  <c r="CR50" i="17"/>
  <c r="DT50" i="17" s="1"/>
  <c r="EO50" i="17"/>
  <c r="EP50" i="17" s="1"/>
  <c r="BR50" i="17"/>
  <c r="EN50" i="17"/>
  <c r="CR42" i="17"/>
  <c r="DT42" i="17" s="1"/>
  <c r="CQ42" i="17"/>
  <c r="DO42" i="17" s="1"/>
  <c r="EN41" i="17"/>
  <c r="EN49" i="17"/>
  <c r="BR41" i="17"/>
  <c r="CR41" i="17"/>
  <c r="DT41" i="17" s="1"/>
  <c r="CQ41" i="17"/>
  <c r="DO41" i="17" s="1"/>
  <c r="EO41" i="17" s="1"/>
  <c r="EP41" i="17" s="1"/>
  <c r="EF39" i="17"/>
  <c r="CM7" i="17"/>
  <c r="CN7" i="17" s="1"/>
  <c r="CO7" i="17" s="1"/>
  <c r="EF44" i="17"/>
  <c r="CR46" i="17"/>
  <c r="DT46" i="17" s="1"/>
  <c r="CQ48" i="17"/>
  <c r="DO48" i="17" s="1"/>
  <c r="CR48" i="17"/>
  <c r="DT48" i="17" s="1"/>
  <c r="EN46" i="17"/>
  <c r="BR48" i="17"/>
  <c r="CM10" i="17"/>
  <c r="CN10" i="17" s="1"/>
  <c r="CO10" i="17" s="1"/>
  <c r="EF48" i="17"/>
  <c r="BR40" i="17"/>
  <c r="CR40" i="17"/>
  <c r="DT40" i="17" s="1"/>
  <c r="CQ40" i="17"/>
  <c r="DO40" i="17" s="1"/>
  <c r="BR46" i="17"/>
  <c r="CQ46" i="17"/>
  <c r="DO46" i="17" s="1"/>
  <c r="EO46" i="17" s="1"/>
  <c r="EP46" i="17" s="1"/>
  <c r="EF40" i="17"/>
  <c r="BR47" i="17"/>
  <c r="CR47" i="17"/>
  <c r="DT47" i="17" s="1"/>
  <c r="CQ47" i="17"/>
  <c r="DO47" i="17" s="1"/>
  <c r="EF47" i="17"/>
  <c r="CQ43" i="17"/>
  <c r="DO43" i="17" s="1"/>
  <c r="CM17" i="17"/>
  <c r="CN17" i="17" s="1"/>
  <c r="CO17" i="17" s="1"/>
  <c r="CM18" i="17"/>
  <c r="CN18" i="17" s="1"/>
  <c r="CO18" i="17" s="1"/>
  <c r="CH13" i="17"/>
  <c r="CH7" i="17"/>
  <c r="CH16" i="17"/>
  <c r="CM9" i="17"/>
  <c r="CN9" i="17" s="1"/>
  <c r="CO9" i="17" s="1"/>
  <c r="CH14" i="17"/>
  <c r="CM15" i="17"/>
  <c r="CN15" i="17" s="1"/>
  <c r="CO15" i="17" s="1"/>
  <c r="CM13" i="17"/>
  <c r="CN13" i="17" s="1"/>
  <c r="CO13" i="17" s="1"/>
  <c r="CM14" i="17"/>
  <c r="CN14" i="17" s="1"/>
  <c r="CO14" i="17" s="1"/>
  <c r="CH10" i="17"/>
  <c r="CM16" i="17"/>
  <c r="CN16" i="17" s="1"/>
  <c r="CO16" i="17" s="1"/>
  <c r="CH11" i="17"/>
  <c r="CH6" i="17"/>
  <c r="CH12" i="17"/>
  <c r="CH9" i="17"/>
  <c r="CM11" i="17"/>
  <c r="CN11" i="17" s="1"/>
  <c r="CO11" i="17" s="1"/>
  <c r="CH17" i="17"/>
  <c r="CH18" i="17"/>
  <c r="EF43" i="17"/>
  <c r="EF45" i="17"/>
  <c r="CH8" i="17"/>
  <c r="CH15" i="17"/>
  <c r="CM12" i="17"/>
  <c r="CN12" i="17" s="1"/>
  <c r="CO12" i="17" s="1"/>
  <c r="CM6" i="17"/>
  <c r="CN6" i="17" s="1"/>
  <c r="CO6" i="17" s="1"/>
  <c r="CM8" i="17"/>
  <c r="CN8" i="17" s="1"/>
  <c r="CO8" i="17" s="1"/>
  <c r="CQ38" i="17"/>
  <c r="DO38" i="17" s="1"/>
  <c r="EO38" i="17" s="1"/>
  <c r="EP38" i="17" s="1"/>
  <c r="CR38" i="17"/>
  <c r="DT38" i="17" s="1"/>
  <c r="BR38" i="17"/>
  <c r="CR43" i="17"/>
  <c r="DT43" i="17" s="1"/>
  <c r="R238" i="18"/>
  <c r="R239" i="18" s="1"/>
  <c r="L347" i="18"/>
  <c r="L349" i="18" s="1"/>
  <c r="L350" i="18" s="1"/>
  <c r="P362" i="18"/>
  <c r="C362" i="18" s="1"/>
  <c r="P344" i="18"/>
  <c r="P347" i="18" s="1"/>
  <c r="P349" i="18" s="1"/>
  <c r="P350" i="18" s="1"/>
  <c r="R348" i="18"/>
  <c r="N365" i="18"/>
  <c r="N366" i="18" s="1"/>
  <c r="N348" i="18"/>
  <c r="N349" i="18" s="1"/>
  <c r="N350" i="18" s="1"/>
  <c r="T347" i="18"/>
  <c r="T348" i="18"/>
  <c r="R344" i="18"/>
  <c r="EN44" i="17" l="1"/>
  <c r="CM5" i="17"/>
  <c r="CN5" i="17" s="1"/>
  <c r="CO5" i="17" s="1"/>
  <c r="CG5" i="17"/>
  <c r="EO39" i="17"/>
  <c r="EP39" i="17" s="1"/>
  <c r="CB12" i="17"/>
  <c r="CI7" i="17"/>
  <c r="CB17" i="17"/>
  <c r="CI17" i="17"/>
  <c r="CI12" i="17"/>
  <c r="CB7" i="17"/>
  <c r="CB13" i="17"/>
  <c r="CI13" i="17"/>
  <c r="M251" i="17"/>
  <c r="CR37" i="17"/>
  <c r="DT37" i="17" s="1"/>
  <c r="CQ37" i="17"/>
  <c r="DO37" i="17" s="1"/>
  <c r="EO37" i="17" s="1"/>
  <c r="EP37" i="17" s="1"/>
  <c r="BR37" i="17"/>
  <c r="AD43" i="4"/>
  <c r="AF43" i="4" s="1"/>
  <c r="AH16" i="4" s="1"/>
  <c r="EP56" i="17"/>
  <c r="EQ51" i="17"/>
  <c r="EP51" i="17"/>
  <c r="EP57" i="17"/>
  <c r="ER57" i="17"/>
  <c r="EQ57" i="17"/>
  <c r="EP63" i="17"/>
  <c r="EP58" i="17"/>
  <c r="EP59" i="17"/>
  <c r="EP53" i="17"/>
  <c r="EP62" i="17"/>
  <c r="EO42" i="17"/>
  <c r="EP42" i="17" s="1"/>
  <c r="T349" i="18"/>
  <c r="T350" i="18" s="1"/>
  <c r="CT7" i="17"/>
  <c r="CB15" i="17"/>
  <c r="EN39" i="17"/>
  <c r="EO44" i="17"/>
  <c r="EP44" i="17" s="1"/>
  <c r="CT10" i="17"/>
  <c r="CT15" i="17"/>
  <c r="CB18" i="17"/>
  <c r="CI15" i="17"/>
  <c r="CI18" i="17"/>
  <c r="CT9" i="17"/>
  <c r="CT8" i="17"/>
  <c r="CI10" i="17"/>
  <c r="CB10" i="17"/>
  <c r="EO48" i="17"/>
  <c r="EP48" i="17" s="1"/>
  <c r="EN48" i="17"/>
  <c r="CT17" i="17"/>
  <c r="CT6" i="17"/>
  <c r="CT14" i="17"/>
  <c r="CT13" i="17"/>
  <c r="CT11" i="17"/>
  <c r="CI11" i="17"/>
  <c r="EN37" i="17"/>
  <c r="EN47" i="17"/>
  <c r="EO47" i="17"/>
  <c r="EP47" i="17" s="1"/>
  <c r="CT12" i="17"/>
  <c r="EN40" i="17"/>
  <c r="EO40" i="17"/>
  <c r="EP40" i="17" s="1"/>
  <c r="CB16" i="17"/>
  <c r="CB14" i="17"/>
  <c r="CI16" i="17"/>
  <c r="CB8" i="17"/>
  <c r="EN43" i="17"/>
  <c r="EO43" i="17"/>
  <c r="EP43" i="17" s="1"/>
  <c r="CI9" i="17"/>
  <c r="CI6" i="17"/>
  <c r="CI14" i="17"/>
  <c r="CI8" i="17"/>
  <c r="EN45" i="17"/>
  <c r="EO45" i="17"/>
  <c r="EP45" i="17" s="1"/>
  <c r="CT18" i="17"/>
  <c r="CB9" i="17"/>
  <c r="CB6" i="17"/>
  <c r="CB11" i="17"/>
  <c r="CT16" i="17"/>
  <c r="C348" i="18"/>
  <c r="R347" i="18"/>
  <c r="C344" i="18"/>
  <c r="C239" i="18"/>
  <c r="W238" i="17" s="1"/>
  <c r="W239" i="17" s="1"/>
  <c r="C238" i="18"/>
  <c r="R330" i="18"/>
  <c r="T330" i="18"/>
  <c r="T331" i="18" s="1"/>
  <c r="T332" i="18" s="1"/>
  <c r="T327" i="18"/>
  <c r="P327" i="18"/>
  <c r="N330" i="18"/>
  <c r="N331" i="18" s="1"/>
  <c r="N332" i="18" s="1"/>
  <c r="N327" i="18"/>
  <c r="L327" i="18"/>
  <c r="CB5" i="17" l="1"/>
  <c r="M250" i="17"/>
  <c r="CQ17" i="17"/>
  <c r="DO17" i="17" s="1"/>
  <c r="CQ7" i="17"/>
  <c r="DO7" i="17" s="1"/>
  <c r="CQ12" i="17"/>
  <c r="DO12" i="17" s="1"/>
  <c r="BR13" i="17"/>
  <c r="BR17" i="17"/>
  <c r="CR17" i="17"/>
  <c r="DT17" i="17" s="1"/>
  <c r="CR7" i="17"/>
  <c r="DT7" i="17" s="1"/>
  <c r="CR12" i="17"/>
  <c r="DT12" i="17" s="1"/>
  <c r="BR12" i="17"/>
  <c r="BR7" i="17"/>
  <c r="CQ13" i="17"/>
  <c r="DO13" i="17" s="1"/>
  <c r="CR13" i="17"/>
  <c r="DT13" i="17" s="1"/>
  <c r="CI5" i="17"/>
  <c r="CT5" i="17"/>
  <c r="EF5" i="17" s="1"/>
  <c r="L507" i="18"/>
  <c r="EF16" i="17"/>
  <c r="D551" i="18"/>
  <c r="E551" i="18"/>
  <c r="B551" i="18"/>
  <c r="C551" i="18"/>
  <c r="C553" i="18"/>
  <c r="B553" i="18"/>
  <c r="D553" i="18"/>
  <c r="EF13" i="17"/>
  <c r="EN13" i="17" s="1"/>
  <c r="E548" i="18"/>
  <c r="B548" i="18"/>
  <c r="C548" i="18"/>
  <c r="D548" i="18"/>
  <c r="EF14" i="17"/>
  <c r="EN14" i="17" s="1"/>
  <c r="E549" i="18"/>
  <c r="B549" i="18"/>
  <c r="C549" i="18"/>
  <c r="D549" i="18"/>
  <c r="EF8" i="17"/>
  <c r="EN8" i="17" s="1"/>
  <c r="B543" i="18"/>
  <c r="C543" i="18"/>
  <c r="D543" i="18"/>
  <c r="E543" i="18"/>
  <c r="EF6" i="17"/>
  <c r="EN6" i="17" s="1"/>
  <c r="E541" i="18"/>
  <c r="D541" i="18"/>
  <c r="C541" i="18"/>
  <c r="B541" i="18"/>
  <c r="EF9" i="17"/>
  <c r="EN9" i="17" s="1"/>
  <c r="B544" i="18"/>
  <c r="E544" i="18"/>
  <c r="C544" i="18"/>
  <c r="D544" i="18"/>
  <c r="EF15" i="17"/>
  <c r="E550" i="18"/>
  <c r="D550" i="18"/>
  <c r="C550" i="18"/>
  <c r="B550" i="18"/>
  <c r="EF12" i="17"/>
  <c r="EN12" i="17" s="1"/>
  <c r="B547" i="18"/>
  <c r="C547" i="18"/>
  <c r="D547" i="18"/>
  <c r="E547" i="18"/>
  <c r="EF11" i="17"/>
  <c r="E546" i="18"/>
  <c r="C546" i="18"/>
  <c r="D546" i="18"/>
  <c r="B546" i="18"/>
  <c r="EF17" i="17"/>
  <c r="EN17" i="17" s="1"/>
  <c r="B552" i="18"/>
  <c r="D552" i="18"/>
  <c r="E552" i="18"/>
  <c r="C552" i="18"/>
  <c r="EF10" i="17"/>
  <c r="EN10" i="17" s="1"/>
  <c r="E545" i="18"/>
  <c r="D545" i="18"/>
  <c r="C545" i="18"/>
  <c r="B545" i="18"/>
  <c r="EF7" i="17"/>
  <c r="E542" i="18"/>
  <c r="C542" i="18"/>
  <c r="D542" i="18"/>
  <c r="B542" i="18"/>
  <c r="C347" i="18"/>
  <c r="R349" i="18"/>
  <c r="BR15" i="17"/>
  <c r="CQ15" i="17"/>
  <c r="DO15" i="17" s="1"/>
  <c r="CR15" i="17"/>
  <c r="DT15" i="17" s="1"/>
  <c r="BR10" i="17"/>
  <c r="CQ18" i="17"/>
  <c r="DO18" i="17" s="1"/>
  <c r="CR18" i="17"/>
  <c r="DT18" i="17" s="1"/>
  <c r="CR10" i="17"/>
  <c r="DT10" i="17" s="1"/>
  <c r="CQ10" i="17"/>
  <c r="DO10" i="17" s="1"/>
  <c r="BR18" i="17"/>
  <c r="E553" i="18"/>
  <c r="EF18" i="17"/>
  <c r="BR16" i="17"/>
  <c r="CR16" i="17"/>
  <c r="DT16" i="17" s="1"/>
  <c r="CQ16" i="17"/>
  <c r="DO16" i="17" s="1"/>
  <c r="CQ11" i="17"/>
  <c r="DO11" i="17" s="1"/>
  <c r="BR11" i="17"/>
  <c r="CR11" i="17"/>
  <c r="DT11" i="17" s="1"/>
  <c r="CQ6" i="17"/>
  <c r="DO6" i="17" s="1"/>
  <c r="CR6" i="17"/>
  <c r="DT6" i="17" s="1"/>
  <c r="BR6" i="17"/>
  <c r="CR8" i="17"/>
  <c r="DT8" i="17" s="1"/>
  <c r="BR8" i="17"/>
  <c r="CQ8" i="17"/>
  <c r="DO8" i="17" s="1"/>
  <c r="BR14" i="17"/>
  <c r="CQ14" i="17"/>
  <c r="DO14" i="17" s="1"/>
  <c r="CR14" i="17"/>
  <c r="DT14" i="17" s="1"/>
  <c r="CR9" i="17"/>
  <c r="DT9" i="17" s="1"/>
  <c r="CQ9" i="17"/>
  <c r="DO9" i="17" s="1"/>
  <c r="BR9" i="17"/>
  <c r="DF63" i="17"/>
  <c r="DN63" i="17" s="1"/>
  <c r="DP63" i="17" s="1"/>
  <c r="EQ63" i="17" s="1"/>
  <c r="DF56" i="17"/>
  <c r="DN56" i="17" s="1"/>
  <c r="DP56" i="17" s="1"/>
  <c r="EQ56" i="17" s="1"/>
  <c r="DF62" i="17"/>
  <c r="DN62" i="17" s="1"/>
  <c r="DP62" i="17" s="1"/>
  <c r="EQ62" i="17" s="1"/>
  <c r="DF55" i="17"/>
  <c r="DN55" i="17" s="1"/>
  <c r="DP55" i="17" s="1"/>
  <c r="DF48" i="17"/>
  <c r="DN48" i="17" s="1"/>
  <c r="DP48" i="17" s="1"/>
  <c r="DF44" i="17"/>
  <c r="DN44" i="17" s="1"/>
  <c r="DP44" i="17" s="1"/>
  <c r="DF40" i="17"/>
  <c r="DN40" i="17" s="1"/>
  <c r="DP40" i="17" s="1"/>
  <c r="DF59" i="17"/>
  <c r="DN59" i="17" s="1"/>
  <c r="DP59" i="17" s="1"/>
  <c r="EQ59" i="17" s="1"/>
  <c r="DF61" i="17"/>
  <c r="DN61" i="17" s="1"/>
  <c r="DP61" i="17" s="1"/>
  <c r="DF54" i="17"/>
  <c r="DN54" i="17" s="1"/>
  <c r="DP54" i="17" s="1"/>
  <c r="DF51" i="17"/>
  <c r="DN51" i="17" s="1"/>
  <c r="DP51" i="17" s="1"/>
  <c r="DF47" i="17"/>
  <c r="DN47" i="17" s="1"/>
  <c r="DP47" i="17" s="1"/>
  <c r="DF43" i="17"/>
  <c r="DN43" i="17" s="1"/>
  <c r="DP43" i="17" s="1"/>
  <c r="DF39" i="17"/>
  <c r="DN39" i="17" s="1"/>
  <c r="DP39" i="17" s="1"/>
  <c r="DF64" i="17"/>
  <c r="DN64" i="17" s="1"/>
  <c r="DP64" i="17" s="1"/>
  <c r="DF57" i="17"/>
  <c r="DN57" i="17" s="1"/>
  <c r="DP57" i="17" s="1"/>
  <c r="DF52" i="17"/>
  <c r="DN52" i="17" s="1"/>
  <c r="DP52" i="17" s="1"/>
  <c r="DF50" i="17"/>
  <c r="DN50" i="17" s="1"/>
  <c r="DP50" i="17" s="1"/>
  <c r="DF46" i="17"/>
  <c r="DN46" i="17" s="1"/>
  <c r="DP46" i="17" s="1"/>
  <c r="DF42" i="17"/>
  <c r="DN42" i="17" s="1"/>
  <c r="DP42" i="17" s="1"/>
  <c r="DF38" i="17"/>
  <c r="DN38" i="17" s="1"/>
  <c r="DP38" i="17" s="1"/>
  <c r="DF60" i="17"/>
  <c r="DN60" i="17" s="1"/>
  <c r="DP60" i="17" s="1"/>
  <c r="DF53" i="17"/>
  <c r="DN53" i="17" s="1"/>
  <c r="DP53" i="17" s="1"/>
  <c r="EQ53" i="17" s="1"/>
  <c r="DF58" i="17"/>
  <c r="DN58" i="17" s="1"/>
  <c r="DP58" i="17" s="1"/>
  <c r="EQ58" i="17" s="1"/>
  <c r="DF49" i="17"/>
  <c r="DN49" i="17" s="1"/>
  <c r="DP49" i="17" s="1"/>
  <c r="DF45" i="17"/>
  <c r="DN45" i="17" s="1"/>
  <c r="DP45" i="17" s="1"/>
  <c r="DF41" i="17"/>
  <c r="DN41" i="17" s="1"/>
  <c r="DP41" i="17" s="1"/>
  <c r="DF37" i="17"/>
  <c r="DN37" i="17" s="1"/>
  <c r="DP37" i="17" s="1"/>
  <c r="DF6" i="17"/>
  <c r="DF11" i="17"/>
  <c r="DF21" i="17"/>
  <c r="DF9" i="17"/>
  <c r="DF19" i="17"/>
  <c r="DF25" i="17"/>
  <c r="DF20" i="17"/>
  <c r="DF26" i="17"/>
  <c r="DF24" i="17"/>
  <c r="DF13" i="17"/>
  <c r="DF10" i="17"/>
  <c r="DF15" i="17"/>
  <c r="DF8" i="17"/>
  <c r="DF17" i="17"/>
  <c r="DF27" i="17"/>
  <c r="DF14" i="17"/>
  <c r="DF12" i="17"/>
  <c r="DF28" i="17"/>
  <c r="DF7" i="17"/>
  <c r="DF18" i="17"/>
  <c r="DF23" i="17"/>
  <c r="DF16" i="17"/>
  <c r="DF29" i="17"/>
  <c r="DF22" i="17"/>
  <c r="DF32" i="17"/>
  <c r="DF31" i="17"/>
  <c r="DF30" i="17"/>
  <c r="DF5" i="17"/>
  <c r="R331" i="18"/>
  <c r="P330" i="18"/>
  <c r="P331" i="18" s="1"/>
  <c r="P332" i="18" s="1"/>
  <c r="R327" i="18"/>
  <c r="C327" i="18" s="1"/>
  <c r="P367" i="18"/>
  <c r="N367" i="18"/>
  <c r="N369" i="18" s="1"/>
  <c r="L367" i="18"/>
  <c r="EO7" i="17" l="1"/>
  <c r="EP7" i="17" s="1"/>
  <c r="BR5" i="17"/>
  <c r="CH5" i="17"/>
  <c r="EO18" i="17"/>
  <c r="EP18" i="17" s="1"/>
  <c r="C540" i="18"/>
  <c r="E540" i="18"/>
  <c r="D540" i="18"/>
  <c r="B540" i="18"/>
  <c r="CR5" i="17"/>
  <c r="DT5" i="17" s="1"/>
  <c r="CQ5" i="17"/>
  <c r="DO5" i="17" s="1"/>
  <c r="R350" i="18"/>
  <c r="C350" i="18" s="1"/>
  <c r="C349" i="18"/>
  <c r="EN5" i="17"/>
  <c r="EO16" i="17"/>
  <c r="EP16" i="17" s="1"/>
  <c r="EN16" i="17"/>
  <c r="EO15" i="17"/>
  <c r="EP15" i="17" s="1"/>
  <c r="EO13" i="17"/>
  <c r="EP13" i="17" s="1"/>
  <c r="EO17" i="17"/>
  <c r="EP17" i="17" s="1"/>
  <c r="EO8" i="17"/>
  <c r="EP8" i="17" s="1"/>
  <c r="EO10" i="17"/>
  <c r="EP10" i="17" s="1"/>
  <c r="EO14" i="17"/>
  <c r="EP14" i="17" s="1"/>
  <c r="EN15" i="17"/>
  <c r="EO11" i="17"/>
  <c r="EP11" i="17" s="1"/>
  <c r="EN11" i="17"/>
  <c r="EO9" i="17"/>
  <c r="EP9" i="17" s="1"/>
  <c r="EO6" i="17"/>
  <c r="EP6" i="17" s="1"/>
  <c r="EO12" i="17"/>
  <c r="EP12" i="17" s="1"/>
  <c r="EN7" i="17"/>
  <c r="EN18" i="17"/>
  <c r="DN30" i="17"/>
  <c r="DN29" i="17"/>
  <c r="DN27" i="17"/>
  <c r="DN20" i="17"/>
  <c r="DN21" i="17"/>
  <c r="DN22" i="17"/>
  <c r="DN26" i="17"/>
  <c r="DN31" i="17"/>
  <c r="DN28" i="17"/>
  <c r="DN25" i="17"/>
  <c r="DN32" i="17"/>
  <c r="DN23" i="17"/>
  <c r="DN24" i="17"/>
  <c r="DN19" i="17"/>
  <c r="DN13" i="17"/>
  <c r="DN12" i="17"/>
  <c r="DN8" i="17"/>
  <c r="DN6" i="17"/>
  <c r="DN18" i="17"/>
  <c r="DN14" i="17"/>
  <c r="DN15" i="17"/>
  <c r="DN9" i="17"/>
  <c r="DN16" i="17"/>
  <c r="DN17" i="17"/>
  <c r="DN11" i="17"/>
  <c r="DN7" i="17"/>
  <c r="DN10" i="17"/>
  <c r="DN5" i="17"/>
  <c r="C331" i="18"/>
  <c r="C330" i="18"/>
  <c r="L369" i="18"/>
  <c r="R332" i="18"/>
  <c r="C332" i="18" s="1"/>
  <c r="X237" i="17" s="1"/>
  <c r="P369" i="18"/>
  <c r="R365" i="18"/>
  <c r="C365" i="18" s="1"/>
  <c r="R364" i="18"/>
  <c r="C364" i="18" s="1"/>
  <c r="T364" i="18"/>
  <c r="EO5" i="17" l="1"/>
  <c r="EP5" i="17" s="1"/>
  <c r="DP7" i="17"/>
  <c r="DP9" i="17"/>
  <c r="DP14" i="17"/>
  <c r="DP6" i="17"/>
  <c r="DP12" i="17"/>
  <c r="DP17" i="17"/>
  <c r="DP10" i="17"/>
  <c r="DP11" i="17"/>
  <c r="DP16" i="17"/>
  <c r="DP15" i="17"/>
  <c r="DP18" i="17"/>
  <c r="DP8" i="17"/>
  <c r="DP13" i="17"/>
  <c r="DP5" i="17"/>
  <c r="R366" i="18"/>
  <c r="C366" i="18" s="1"/>
  <c r="R367" i="18" l="1"/>
  <c r="C367" i="18" s="1"/>
  <c r="X238" i="17" s="1"/>
  <c r="X239" i="17" s="1"/>
  <c r="R369" i="18" l="1"/>
  <c r="C369" i="18" s="1"/>
  <c r="DQ62" i="17" l="1"/>
  <c r="DS62" i="17" s="1"/>
  <c r="DU62" i="17" s="1"/>
  <c r="ER62" i="17" s="1"/>
  <c r="DQ63" i="17"/>
  <c r="DS63" i="17" s="1"/>
  <c r="DU63" i="17" s="1"/>
  <c r="ER63" i="17" s="1"/>
  <c r="DQ59" i="17"/>
  <c r="DS59" i="17" s="1"/>
  <c r="DU59" i="17" s="1"/>
  <c r="ER59" i="17" s="1"/>
  <c r="DQ55" i="17"/>
  <c r="DS55" i="17" s="1"/>
  <c r="DU55" i="17" s="1"/>
  <c r="DQ64" i="17"/>
  <c r="DS64" i="17" s="1"/>
  <c r="DU64" i="17" s="1"/>
  <c r="DQ60" i="17"/>
  <c r="DS60" i="17" s="1"/>
  <c r="DU60" i="17" s="1"/>
  <c r="DQ56" i="17"/>
  <c r="DS56" i="17" s="1"/>
  <c r="DU56" i="17" s="1"/>
  <c r="ER56" i="17" s="1"/>
  <c r="DQ52" i="17"/>
  <c r="DS52" i="17" s="1"/>
  <c r="DU52" i="17" s="1"/>
  <c r="DQ61" i="17"/>
  <c r="DS61" i="17" s="1"/>
  <c r="DU61" i="17" s="1"/>
  <c r="DQ58" i="17"/>
  <c r="DS58" i="17" s="1"/>
  <c r="DU58" i="17" s="1"/>
  <c r="ER58" i="17" s="1"/>
  <c r="DQ57" i="17"/>
  <c r="DS57" i="17" s="1"/>
  <c r="DU57" i="17" s="1"/>
  <c r="DQ53" i="17"/>
  <c r="DS53" i="17" s="1"/>
  <c r="DU53" i="17" s="1"/>
  <c r="ER53" i="17" s="1"/>
  <c r="DQ51" i="17"/>
  <c r="DS51" i="17" s="1"/>
  <c r="DU51" i="17" s="1"/>
  <c r="DQ49" i="17"/>
  <c r="DS49" i="17" s="1"/>
  <c r="DU49" i="17" s="1"/>
  <c r="DQ47" i="17"/>
  <c r="DS47" i="17" s="1"/>
  <c r="DU47" i="17" s="1"/>
  <c r="DQ45" i="17"/>
  <c r="DS45" i="17" s="1"/>
  <c r="DU45" i="17" s="1"/>
  <c r="DQ44" i="17"/>
  <c r="DS44" i="17" s="1"/>
  <c r="DU44" i="17" s="1"/>
  <c r="DQ54" i="17"/>
  <c r="DS54" i="17" s="1"/>
  <c r="DU54" i="17" s="1"/>
  <c r="DQ50" i="17"/>
  <c r="DS50" i="17" s="1"/>
  <c r="DU50" i="17" s="1"/>
  <c r="DQ48" i="17"/>
  <c r="DS48" i="17" s="1"/>
  <c r="DU48" i="17" s="1"/>
  <c r="DQ46" i="17"/>
  <c r="DS46" i="17" s="1"/>
  <c r="DU46" i="17" s="1"/>
  <c r="DQ39" i="17"/>
  <c r="DS39" i="17" s="1"/>
  <c r="DU39" i="17" s="1"/>
  <c r="DQ37" i="17"/>
  <c r="DS37" i="17" s="1"/>
  <c r="DU37" i="17" s="1"/>
  <c r="DQ43" i="17"/>
  <c r="DS43" i="17" s="1"/>
  <c r="DU43" i="17" s="1"/>
  <c r="DQ42" i="17"/>
  <c r="DS42" i="17" s="1"/>
  <c r="DU42" i="17" s="1"/>
  <c r="DQ41" i="17"/>
  <c r="DS41" i="17" s="1"/>
  <c r="DU41" i="17" s="1"/>
  <c r="DQ40" i="17"/>
  <c r="DS40" i="17" s="1"/>
  <c r="DU40" i="17" s="1"/>
  <c r="DQ38" i="17"/>
  <c r="DS38" i="17" s="1"/>
  <c r="DU38" i="17" s="1"/>
  <c r="DQ6" i="17"/>
  <c r="DQ8" i="17"/>
  <c r="DQ26" i="17"/>
  <c r="DQ14" i="17"/>
  <c r="DQ18" i="17"/>
  <c r="DQ22" i="17"/>
  <c r="DQ30" i="17"/>
  <c r="DQ7" i="17"/>
  <c r="DQ9" i="17"/>
  <c r="DQ11" i="17"/>
  <c r="DQ13" i="17"/>
  <c r="DQ15" i="17"/>
  <c r="DQ17" i="17"/>
  <c r="DQ19" i="17"/>
  <c r="DQ21" i="17"/>
  <c r="DQ23" i="17"/>
  <c r="DQ25" i="17"/>
  <c r="DQ27" i="17"/>
  <c r="DQ29" i="17"/>
  <c r="DQ31" i="17"/>
  <c r="DQ12" i="17"/>
  <c r="DQ16" i="17"/>
  <c r="DQ20" i="17"/>
  <c r="DQ28" i="17"/>
  <c r="DQ32" i="17"/>
  <c r="DQ10" i="17"/>
  <c r="DQ24" i="17"/>
  <c r="DQ5" i="17"/>
  <c r="T362" i="18"/>
  <c r="T365" i="18"/>
  <c r="DS23" i="17" l="1"/>
  <c r="DS24" i="17"/>
  <c r="DS29" i="17"/>
  <c r="DS30" i="17"/>
  <c r="DS26" i="17"/>
  <c r="DS28" i="17"/>
  <c r="DS31" i="17"/>
  <c r="DS20" i="17"/>
  <c r="DS21" i="17"/>
  <c r="DS27" i="17"/>
  <c r="DS19" i="17"/>
  <c r="DS22" i="17"/>
  <c r="DS32" i="17"/>
  <c r="DS25" i="17"/>
  <c r="DS11" i="17"/>
  <c r="DS12" i="17"/>
  <c r="DS17" i="17"/>
  <c r="DS9" i="17"/>
  <c r="DS18" i="17"/>
  <c r="DS6" i="17"/>
  <c r="DS16" i="17"/>
  <c r="DS8" i="17"/>
  <c r="DS15" i="17"/>
  <c r="DS7" i="17"/>
  <c r="DS14" i="17"/>
  <c r="DS10" i="17"/>
  <c r="DS13" i="17"/>
  <c r="DS5" i="17"/>
  <c r="T366" i="18"/>
  <c r="DU10" i="17" l="1"/>
  <c r="DU7" i="17"/>
  <c r="DU6" i="17"/>
  <c r="DU9" i="17"/>
  <c r="DU12" i="17"/>
  <c r="DU8" i="17"/>
  <c r="DU13" i="17"/>
  <c r="DU14" i="17"/>
  <c r="DU15" i="17"/>
  <c r="DU16" i="17"/>
  <c r="DU18" i="17"/>
  <c r="DU17" i="17"/>
  <c r="DU11" i="17"/>
  <c r="DU5" i="17"/>
  <c r="T367" i="18"/>
  <c r="T369" i="18" l="1"/>
  <c r="EC32" i="17" l="1"/>
  <c r="EC27" i="17"/>
  <c r="EC19" i="17"/>
  <c r="EC30" i="17"/>
  <c r="EC22" i="17"/>
  <c r="EC25" i="17"/>
  <c r="EC28" i="17"/>
  <c r="EC20" i="17"/>
  <c r="EC31" i="17"/>
  <c r="EC23" i="17"/>
  <c r="EC21" i="17"/>
  <c r="EC24" i="17"/>
  <c r="EC26" i="17"/>
  <c r="EC29" i="17"/>
  <c r="M243" i="17" l="1"/>
  <c r="CK29" i="17"/>
  <c r="CK21" i="17"/>
  <c r="CK32" i="17"/>
  <c r="CK24" i="17"/>
  <c r="CK27" i="17"/>
  <c r="CK19" i="17"/>
  <c r="CK30" i="17"/>
  <c r="CK22" i="17"/>
  <c r="CK26" i="17"/>
  <c r="CK25" i="17"/>
  <c r="CK31" i="17"/>
  <c r="CK28" i="17"/>
  <c r="CK20" i="17"/>
  <c r="CK23" i="17"/>
  <c r="N243" i="17" l="1"/>
  <c r="CL23" i="17"/>
  <c r="CL21" i="17"/>
  <c r="CL20" i="17"/>
  <c r="CL31" i="17"/>
  <c r="CL26" i="17"/>
  <c r="CL19" i="17"/>
  <c r="CL24" i="17"/>
  <c r="CL30" i="17"/>
  <c r="CL22" i="17"/>
  <c r="CL29" i="17"/>
  <c r="CL28" i="17"/>
  <c r="CL25" i="17"/>
  <c r="CL27" i="17"/>
  <c r="CL32" i="17"/>
  <c r="CE32" i="17"/>
  <c r="CE31" i="17"/>
  <c r="CE25" i="17"/>
  <c r="CE28" i="17"/>
  <c r="CE23" i="17"/>
  <c r="CE21" i="17"/>
  <c r="CE24" i="17"/>
  <c r="CE26" i="17"/>
  <c r="CE30" i="17"/>
  <c r="CE22" i="17"/>
  <c r="CE29" i="17"/>
  <c r="CF19" i="17"/>
  <c r="CE27" i="17"/>
  <c r="CE20" i="17"/>
  <c r="CM28" i="17" l="1"/>
  <c r="CM25" i="17"/>
  <c r="CN25" i="17" s="1"/>
  <c r="CM19" i="17"/>
  <c r="CM31" i="17"/>
  <c r="CN31" i="17" s="1"/>
  <c r="CM26" i="17"/>
  <c r="CM29" i="17"/>
  <c r="CM32" i="17"/>
  <c r="CM24" i="17"/>
  <c r="CF24" i="17"/>
  <c r="CF31" i="17"/>
  <c r="CF32" i="17"/>
  <c r="CF22" i="17"/>
  <c r="CF21" i="17"/>
  <c r="CF27" i="17"/>
  <c r="CF30" i="17"/>
  <c r="CF23" i="17"/>
  <c r="CM30" i="17"/>
  <c r="CM22" i="17"/>
  <c r="CF26" i="17"/>
  <c r="CF28" i="17"/>
  <c r="CF20" i="17"/>
  <c r="CM23" i="17"/>
  <c r="CM21" i="17"/>
  <c r="CF29" i="17"/>
  <c r="CF25" i="17"/>
  <c r="CM20" i="17"/>
  <c r="CM27" i="17"/>
  <c r="CN32" i="17" l="1"/>
  <c r="CO32" i="17" s="1"/>
  <c r="CN26" i="17"/>
  <c r="CO26" i="17" s="1"/>
  <c r="CN28" i="17"/>
  <c r="CO28" i="17" s="1"/>
  <c r="CN19" i="17"/>
  <c r="CO19" i="17" s="1"/>
  <c r="CG25" i="17"/>
  <c r="CI25" i="17" s="1"/>
  <c r="CG27" i="17"/>
  <c r="CG28" i="17"/>
  <c r="CH28" i="17" s="1"/>
  <c r="CG21" i="17"/>
  <c r="CG24" i="17"/>
  <c r="CO31" i="17"/>
  <c r="CG20" i="17"/>
  <c r="CI20" i="17" s="1"/>
  <c r="CG29" i="17"/>
  <c r="CG26" i="17"/>
  <c r="CG23" i="17"/>
  <c r="CG22" i="17"/>
  <c r="CN29" i="17"/>
  <c r="CG31" i="17"/>
  <c r="CT31" i="17" s="1"/>
  <c r="CG19" i="17"/>
  <c r="CG30" i="17"/>
  <c r="CG32" i="17"/>
  <c r="CO25" i="17"/>
  <c r="CN30" i="17"/>
  <c r="CN24" i="17"/>
  <c r="CN21" i="17"/>
  <c r="CN27" i="17"/>
  <c r="CN20" i="17"/>
  <c r="CN23" i="17"/>
  <c r="CN22" i="17"/>
  <c r="CI27" i="17" l="1"/>
  <c r="CT19" i="17"/>
  <c r="E566" i="18"/>
  <c r="C566" i="18"/>
  <c r="D566" i="18"/>
  <c r="B566" i="18"/>
  <c r="CI22" i="17"/>
  <c r="CB29" i="17"/>
  <c r="CB23" i="17"/>
  <c r="CI29" i="17"/>
  <c r="CB28" i="17"/>
  <c r="CB21" i="17"/>
  <c r="CH27" i="17"/>
  <c r="CB22" i="17"/>
  <c r="CT26" i="17"/>
  <c r="CH21" i="17"/>
  <c r="CI24" i="17"/>
  <c r="CT28" i="17"/>
  <c r="CH24" i="17"/>
  <c r="CB30" i="17"/>
  <c r="CI28" i="17"/>
  <c r="CB31" i="17"/>
  <c r="CI21" i="17"/>
  <c r="CH29" i="17"/>
  <c r="CI19" i="17"/>
  <c r="CT32" i="17"/>
  <c r="CO22" i="17"/>
  <c r="CO23" i="17"/>
  <c r="CO24" i="17"/>
  <c r="CH22" i="17"/>
  <c r="CO20" i="17"/>
  <c r="CO30" i="17"/>
  <c r="CO21" i="17"/>
  <c r="CO27" i="17"/>
  <c r="CO29" i="17"/>
  <c r="CT30" i="17"/>
  <c r="CT23" i="17"/>
  <c r="CT24" i="17"/>
  <c r="CT22" i="17"/>
  <c r="CT27" i="17"/>
  <c r="CH32" i="17"/>
  <c r="CI32" i="17"/>
  <c r="CB27" i="17"/>
  <c r="CB19" i="17"/>
  <c r="CI31" i="17"/>
  <c r="CT20" i="17"/>
  <c r="CH26" i="17"/>
  <c r="CH20" i="17"/>
  <c r="CB26" i="17"/>
  <c r="CH19" i="17"/>
  <c r="CI23" i="17"/>
  <c r="CI30" i="17"/>
  <c r="CB25" i="17"/>
  <c r="CB32" i="17"/>
  <c r="CT29" i="17"/>
  <c r="CH23" i="17"/>
  <c r="CH30" i="17"/>
  <c r="CH31" i="17"/>
  <c r="CB20" i="17"/>
  <c r="CT25" i="17"/>
  <c r="CH25" i="17"/>
  <c r="CI26" i="17"/>
  <c r="CB24" i="17"/>
  <c r="CT21" i="17"/>
  <c r="EF31" i="17"/>
  <c r="E558" i="18" l="1"/>
  <c r="C558" i="18"/>
  <c r="D558" i="18"/>
  <c r="B558" i="18"/>
  <c r="C560" i="18"/>
  <c r="B560" i="18"/>
  <c r="E560" i="18"/>
  <c r="D560" i="18"/>
  <c r="E562" i="18"/>
  <c r="C562" i="18"/>
  <c r="D562" i="18"/>
  <c r="B562" i="18"/>
  <c r="E564" i="18"/>
  <c r="D564" i="18"/>
  <c r="B564" i="18"/>
  <c r="C564" i="18"/>
  <c r="C557" i="18"/>
  <c r="E557" i="18"/>
  <c r="D557" i="18"/>
  <c r="B557" i="18"/>
  <c r="C561" i="18"/>
  <c r="E561" i="18"/>
  <c r="B561" i="18"/>
  <c r="D561" i="18"/>
  <c r="E556" i="18"/>
  <c r="C556" i="18"/>
  <c r="B556" i="18"/>
  <c r="D556" i="18"/>
  <c r="C565" i="18"/>
  <c r="E565" i="18"/>
  <c r="D565" i="18"/>
  <c r="B565" i="18"/>
  <c r="C555" i="18"/>
  <c r="B555" i="18"/>
  <c r="D555" i="18"/>
  <c r="E555" i="18"/>
  <c r="C559" i="18"/>
  <c r="B559" i="18"/>
  <c r="D559" i="18"/>
  <c r="E559" i="18"/>
  <c r="C567" i="18"/>
  <c r="E567" i="18"/>
  <c r="D567" i="18"/>
  <c r="B567" i="18"/>
  <c r="D563" i="18"/>
  <c r="B563" i="18"/>
  <c r="C563" i="18"/>
  <c r="E563" i="18"/>
  <c r="E554" i="18"/>
  <c r="D554" i="18"/>
  <c r="B554" i="18"/>
  <c r="C554" i="18"/>
  <c r="EF26" i="17"/>
  <c r="EN26" i="17" s="1"/>
  <c r="CR22" i="17"/>
  <c r="DT22" i="17" s="1"/>
  <c r="CQ29" i="17"/>
  <c r="DO29" i="17" s="1"/>
  <c r="BR29" i="17"/>
  <c r="CR29" i="17"/>
  <c r="DT29" i="17" s="1"/>
  <c r="CR21" i="17"/>
  <c r="DT21" i="17" s="1"/>
  <c r="BR22" i="17"/>
  <c r="CQ21" i="17"/>
  <c r="DO21" i="17" s="1"/>
  <c r="CQ22" i="17"/>
  <c r="DO22" i="17" s="1"/>
  <c r="EF28" i="17"/>
  <c r="EN28" i="17" s="1"/>
  <c r="CQ28" i="17"/>
  <c r="DO28" i="17" s="1"/>
  <c r="CR28" i="17"/>
  <c r="DT28" i="17" s="1"/>
  <c r="BR21" i="17"/>
  <c r="BR28" i="17"/>
  <c r="EF32" i="17"/>
  <c r="EN31" i="17"/>
  <c r="EF21" i="17"/>
  <c r="CR30" i="17"/>
  <c r="BR31" i="17"/>
  <c r="EF23" i="17"/>
  <c r="CR25" i="17"/>
  <c r="BR24" i="17"/>
  <c r="BR20" i="17"/>
  <c r="CR23" i="17"/>
  <c r="CQ19" i="17"/>
  <c r="EF30" i="17"/>
  <c r="BR27" i="17"/>
  <c r="EF22" i="17"/>
  <c r="EF24" i="17"/>
  <c r="EF27" i="17"/>
  <c r="CQ27" i="17"/>
  <c r="CR27" i="17"/>
  <c r="CR19" i="17"/>
  <c r="CR20" i="17"/>
  <c r="CQ23" i="17"/>
  <c r="BR19" i="17"/>
  <c r="BR23" i="17"/>
  <c r="CQ20" i="17"/>
  <c r="BR26" i="17"/>
  <c r="CR32" i="17"/>
  <c r="CQ30" i="17"/>
  <c r="CR31" i="17"/>
  <c r="BR30" i="17"/>
  <c r="EF20" i="17"/>
  <c r="BR32" i="17"/>
  <c r="CQ31" i="17"/>
  <c r="BR25" i="17"/>
  <c r="CQ25" i="17"/>
  <c r="CQ26" i="17"/>
  <c r="CQ32" i="17"/>
  <c r="CR26" i="17"/>
  <c r="EF19" i="17"/>
  <c r="CR24" i="17"/>
  <c r="EF29" i="17"/>
  <c r="CQ24" i="17"/>
  <c r="EF25" i="17"/>
  <c r="EP26" i="17" l="1"/>
  <c r="EN32" i="17"/>
  <c r="EP32" i="17" s="1"/>
  <c r="EP28" i="17"/>
  <c r="EP31" i="17"/>
  <c r="DO24" i="17"/>
  <c r="DT20" i="17"/>
  <c r="EN24" i="17"/>
  <c r="EP24" i="17" s="1"/>
  <c r="EN29" i="17"/>
  <c r="DT24" i="17"/>
  <c r="DO25" i="17"/>
  <c r="DO30" i="17"/>
  <c r="DT19" i="17"/>
  <c r="EN27" i="17"/>
  <c r="DU22" i="17"/>
  <c r="DU29" i="17"/>
  <c r="DT23" i="17"/>
  <c r="DU21" i="17"/>
  <c r="DT25" i="17"/>
  <c r="EN23" i="17"/>
  <c r="DT30" i="17"/>
  <c r="EN21" i="17"/>
  <c r="DP28" i="17"/>
  <c r="DP21" i="17"/>
  <c r="EN19" i="17"/>
  <c r="EP19" i="17" s="1"/>
  <c r="DO31" i="17"/>
  <c r="DT31" i="17"/>
  <c r="DO20" i="17"/>
  <c r="DO27" i="17"/>
  <c r="EN25" i="17"/>
  <c r="EP25" i="17" s="1"/>
  <c r="DT26" i="17"/>
  <c r="EN20" i="17"/>
  <c r="DT32" i="17"/>
  <c r="DT27" i="17"/>
  <c r="EN22" i="17"/>
  <c r="DO26" i="17"/>
  <c r="DO32" i="17"/>
  <c r="DO23" i="17"/>
  <c r="EN30" i="17"/>
  <c r="DO19" i="17"/>
  <c r="DU28" i="17"/>
  <c r="DP29" i="17"/>
  <c r="DP22" i="17"/>
  <c r="EP20" i="17" l="1"/>
  <c r="DP19" i="17"/>
  <c r="DP32" i="17"/>
  <c r="DP26" i="17"/>
  <c r="DU27" i="17"/>
  <c r="DP20" i="17"/>
  <c r="DP31" i="17"/>
  <c r="EP21" i="17"/>
  <c r="EP23" i="17"/>
  <c r="DU23" i="17"/>
  <c r="DU19" i="17"/>
  <c r="DP25" i="17"/>
  <c r="EP29" i="17"/>
  <c r="DU20" i="17"/>
  <c r="EP30" i="17"/>
  <c r="DP23" i="17"/>
  <c r="EP22" i="17"/>
  <c r="DU32" i="17"/>
  <c r="DU26" i="17"/>
  <c r="DP27" i="17"/>
  <c r="DU31" i="17"/>
  <c r="DU30" i="17"/>
  <c r="DU25" i="17"/>
  <c r="EP27" i="17"/>
  <c r="DP30" i="17"/>
  <c r="DU24" i="17"/>
  <c r="DP24" i="17"/>
  <c r="H268" i="18" l="1"/>
  <c r="H374" i="18"/>
  <c r="C268" i="18" l="1"/>
  <c r="FF5" i="17" s="1"/>
  <c r="F268" i="18"/>
  <c r="F374" i="18"/>
  <c r="I617" i="18" s="1"/>
  <c r="G236" i="17" s="1"/>
  <c r="G617" i="18"/>
  <c r="F236" i="17" s="1"/>
  <c r="C374" i="18"/>
  <c r="E617" i="18" s="1"/>
  <c r="D236" i="17" s="1"/>
  <c r="C373" i="18"/>
  <c r="B617" i="18" s="1"/>
  <c r="B236" i="17" s="1"/>
  <c r="F373" i="18"/>
  <c r="G616" i="18"/>
  <c r="F235" i="17" s="1"/>
  <c r="F267" i="18"/>
  <c r="FF6" i="17" s="1"/>
  <c r="FF25" i="17" s="1"/>
  <c r="C267" i="18"/>
  <c r="I635" i="18" l="1"/>
  <c r="I636" i="18"/>
  <c r="I616" i="18"/>
  <c r="G235" i="17" s="1"/>
  <c r="C289" i="18"/>
  <c r="B636" i="18"/>
  <c r="FF17" i="17"/>
  <c r="E616" i="18"/>
  <c r="D235" i="17" s="1"/>
  <c r="FF18" i="17"/>
  <c r="C284" i="18" s="1"/>
  <c r="B635" i="18" s="1"/>
  <c r="C273" i="18"/>
  <c r="B616" i="18"/>
  <c r="B235" i="17" s="1"/>
  <c r="FF26" i="17" l="1"/>
  <c r="FF28" i="17" s="1"/>
  <c r="C272" i="18"/>
  <c r="FF19" i="17"/>
  <c r="O17" i="17" l="1"/>
  <c r="A196" i="17" s="1"/>
  <c r="C290" i="18"/>
  <c r="E636" i="18"/>
  <c r="FF27" i="17"/>
  <c r="H288" i="18" s="1"/>
  <c r="G636" i="18" s="1"/>
  <c r="H285" i="18"/>
  <c r="C285" i="18"/>
  <c r="E635" i="18" s="1"/>
  <c r="ED46" i="17"/>
  <c r="EE46" i="17" s="1"/>
  <c r="ED53" i="17"/>
  <c r="EE53" i="17" s="1"/>
  <c r="EG53" i="17" s="1"/>
  <c r="ED30" i="17"/>
  <c r="EE30" i="17" s="1"/>
  <c r="ED24" i="17"/>
  <c r="EE24" i="17" s="1"/>
  <c r="ED58" i="17"/>
  <c r="EE58" i="17" s="1"/>
  <c r="EG58" i="17" s="1"/>
  <c r="ED15" i="17"/>
  <c r="EE15" i="17" s="1"/>
  <c r="ED56" i="17"/>
  <c r="EE56" i="17" s="1"/>
  <c r="EG56" i="17" s="1"/>
  <c r="ED59" i="17"/>
  <c r="EE59" i="17" s="1"/>
  <c r="EG59" i="17" s="1"/>
  <c r="ED57" i="17"/>
  <c r="EE57" i="17" s="1"/>
  <c r="EG57" i="17" s="1"/>
  <c r="ED18" i="17"/>
  <c r="EE18" i="17" s="1"/>
  <c r="ED50" i="17"/>
  <c r="EE50" i="17" s="1"/>
  <c r="ED21" i="17"/>
  <c r="EE21" i="17" s="1"/>
  <c r="ED8" i="17"/>
  <c r="EE8" i="17" s="1"/>
  <c r="ED25" i="17"/>
  <c r="EE25" i="17" s="1"/>
  <c r="ED12" i="17"/>
  <c r="EE12" i="17" s="1"/>
  <c r="EQ12" i="17" s="1"/>
  <c r="ED13" i="17"/>
  <c r="EE13" i="17" s="1"/>
  <c r="ED43" i="17"/>
  <c r="EE43" i="17" s="1"/>
  <c r="EG43" i="17" s="1"/>
  <c r="ER43" i="17" s="1"/>
  <c r="ED9" i="17"/>
  <c r="EE9" i="17" s="1"/>
  <c r="ED10" i="17"/>
  <c r="EE10" i="17" s="1"/>
  <c r="ED49" i="17"/>
  <c r="EE49" i="17" s="1"/>
  <c r="ED44" i="17"/>
  <c r="EE44" i="17" s="1"/>
  <c r="EG44" i="17" s="1"/>
  <c r="ED31" i="17"/>
  <c r="EE31" i="17" s="1"/>
  <c r="ED7" i="17"/>
  <c r="EE7" i="17" s="1"/>
  <c r="ED51" i="17"/>
  <c r="EE51" i="17" s="1"/>
  <c r="EG51" i="17" s="1"/>
  <c r="ED16" i="17"/>
  <c r="EE16" i="17" s="1"/>
  <c r="ED63" i="17"/>
  <c r="EE63" i="17" s="1"/>
  <c r="EG63" i="17" s="1"/>
  <c r="ED47" i="17"/>
  <c r="EE47" i="17" s="1"/>
  <c r="ED19" i="17"/>
  <c r="EE19" i="17" s="1"/>
  <c r="ED52" i="17"/>
  <c r="EE52" i="17" s="1"/>
  <c r="EG52" i="17" s="1"/>
  <c r="ED6" i="17"/>
  <c r="EE6" i="17" s="1"/>
  <c r="ED11" i="17"/>
  <c r="EE11" i="17" s="1"/>
  <c r="EQ11" i="17" s="1"/>
  <c r="ED27" i="17"/>
  <c r="EE27" i="17" s="1"/>
  <c r="ED17" i="17"/>
  <c r="EE17" i="17" s="1"/>
  <c r="ED42" i="17"/>
  <c r="EE42" i="17" s="1"/>
  <c r="ED48" i="17"/>
  <c r="EE48" i="17" s="1"/>
  <c r="EG48" i="17" s="1"/>
  <c r="ER48" i="17" s="1"/>
  <c r="ED20" i="17"/>
  <c r="EE20" i="17" s="1"/>
  <c r="ED45" i="17"/>
  <c r="EE45" i="17" s="1"/>
  <c r="ED14" i="17"/>
  <c r="EE14" i="17" s="1"/>
  <c r="ED61" i="17"/>
  <c r="EE61" i="17" s="1"/>
  <c r="ED40" i="17"/>
  <c r="EE40" i="17" s="1"/>
  <c r="ED32" i="17"/>
  <c r="EE32" i="17" s="1"/>
  <c r="ED55" i="17"/>
  <c r="EE55" i="17" s="1"/>
  <c r="ED38" i="17"/>
  <c r="EE38" i="17" s="1"/>
  <c r="ED23" i="17"/>
  <c r="EE23" i="17" s="1"/>
  <c r="EQ23" i="17" s="1"/>
  <c r="ED28" i="17"/>
  <c r="EE28" i="17" s="1"/>
  <c r="EQ28" i="17" s="1"/>
  <c r="ED41" i="17"/>
  <c r="EE41" i="17" s="1"/>
  <c r="ED5" i="17"/>
  <c r="EE5" i="17" s="1"/>
  <c r="ED64" i="17"/>
  <c r="EE64" i="17" s="1"/>
  <c r="ED29" i="17"/>
  <c r="EE29" i="17" s="1"/>
  <c r="ED26" i="17"/>
  <c r="EE26" i="17" s="1"/>
  <c r="ED39" i="17"/>
  <c r="EE39" i="17" s="1"/>
  <c r="ED60" i="17"/>
  <c r="EE60" i="17" s="1"/>
  <c r="ED22" i="17"/>
  <c r="EE22" i="17" s="1"/>
  <c r="EQ22" i="17" s="1"/>
  <c r="ED54" i="17"/>
  <c r="EE54" i="17" s="1"/>
  <c r="EG54" i="17" s="1"/>
  <c r="ER54" i="17" s="1"/>
  <c r="ED37" i="17"/>
  <c r="EE37" i="17" s="1"/>
  <c r="ED62" i="17"/>
  <c r="EE62" i="17" s="1"/>
  <c r="EG62" i="17" s="1"/>
  <c r="EG31" i="17" l="1"/>
  <c r="ER31" i="17" s="1"/>
  <c r="EQ31" i="17"/>
  <c r="EG25" i="17"/>
  <c r="ER25" i="17" s="1"/>
  <c r="EQ25" i="17"/>
  <c r="EG20" i="17"/>
  <c r="ER20" i="17" s="1"/>
  <c r="EQ20" i="17"/>
  <c r="EG27" i="17"/>
  <c r="ER27" i="17" s="1"/>
  <c r="EQ27" i="17"/>
  <c r="EG26" i="17"/>
  <c r="ER26" i="17" s="1"/>
  <c r="EQ26" i="17"/>
  <c r="EG24" i="17"/>
  <c r="ER24" i="17" s="1"/>
  <c r="EQ24" i="17"/>
  <c r="EG21" i="17"/>
  <c r="ER21" i="17" s="1"/>
  <c r="EQ21" i="17"/>
  <c r="EG19" i="17"/>
  <c r="ER19" i="17" s="1"/>
  <c r="EQ19" i="17"/>
  <c r="EG30" i="17"/>
  <c r="ER30" i="17" s="1"/>
  <c r="EQ30" i="17"/>
  <c r="EG45" i="17"/>
  <c r="ER45" i="17" s="1"/>
  <c r="EQ45" i="17"/>
  <c r="EG17" i="17"/>
  <c r="ER17" i="17" s="1"/>
  <c r="EQ17" i="17"/>
  <c r="EG49" i="17"/>
  <c r="ER49" i="17" s="1"/>
  <c r="EQ49" i="17"/>
  <c r="EG13" i="17"/>
  <c r="ER13" i="17" s="1"/>
  <c r="EQ13" i="17"/>
  <c r="ER44" i="17"/>
  <c r="EQ44" i="17"/>
  <c r="EG39" i="17"/>
  <c r="ER39" i="17" s="1"/>
  <c r="EQ39" i="17"/>
  <c r="EG7" i="17"/>
  <c r="ER7" i="17" s="1"/>
  <c r="EQ7" i="17"/>
  <c r="EG12" i="17"/>
  <c r="ER12" i="17" s="1"/>
  <c r="B286" i="18"/>
  <c r="G635" i="18"/>
  <c r="EG40" i="17"/>
  <c r="ER40" i="17" s="1"/>
  <c r="EQ40" i="17"/>
  <c r="EG47" i="17"/>
  <c r="ER47" i="17" s="1"/>
  <c r="EQ47" i="17"/>
  <c r="EG50" i="17"/>
  <c r="ER50" i="17" s="1"/>
  <c r="EQ50" i="17"/>
  <c r="EG41" i="17"/>
  <c r="ER41" i="17" s="1"/>
  <c r="EQ41" i="17"/>
  <c r="EG46" i="17"/>
  <c r="ER46" i="17" s="1"/>
  <c r="EQ46" i="17"/>
  <c r="EG14" i="17"/>
  <c r="ER14" i="17" s="1"/>
  <c r="EQ14" i="17"/>
  <c r="EG9" i="17"/>
  <c r="ER9" i="17" s="1"/>
  <c r="EQ9" i="17"/>
  <c r="EG18" i="17"/>
  <c r="ER18" i="17" s="1"/>
  <c r="EQ18" i="17"/>
  <c r="EG15" i="17"/>
  <c r="ER15" i="17" s="1"/>
  <c r="EQ15" i="17"/>
  <c r="EG8" i="17"/>
  <c r="ER8" i="17" s="1"/>
  <c r="EQ8" i="17"/>
  <c r="EQ61" i="17"/>
  <c r="EG61" i="17"/>
  <c r="ER61" i="17" s="1"/>
  <c r="EG23" i="17"/>
  <c r="ER23" i="17" s="1"/>
  <c r="EQ54" i="17"/>
  <c r="EG28" i="17"/>
  <c r="ER28" i="17" s="1"/>
  <c r="EG22" i="17"/>
  <c r="ER22" i="17" s="1"/>
  <c r="EG29" i="17"/>
  <c r="ER29" i="17" s="1"/>
  <c r="EQ29" i="17"/>
  <c r="EG55" i="17"/>
  <c r="ER55" i="17" s="1"/>
  <c r="EQ55" i="17"/>
  <c r="EQ16" i="17"/>
  <c r="EG16" i="17"/>
  <c r="ER16" i="17" s="1"/>
  <c r="EQ37" i="17"/>
  <c r="EG37" i="17"/>
  <c r="EG60" i="17"/>
  <c r="ER60" i="17" s="1"/>
  <c r="EQ60" i="17"/>
  <c r="EQ64" i="17"/>
  <c r="EG64" i="17"/>
  <c r="ER64" i="17" s="1"/>
  <c r="EG32" i="17"/>
  <c r="ER32" i="17" s="1"/>
  <c r="EQ32" i="17"/>
  <c r="EG6" i="17"/>
  <c r="ER6" i="17" s="1"/>
  <c r="EQ6" i="17"/>
  <c r="EG5" i="17"/>
  <c r="EQ5" i="17"/>
  <c r="EQ42" i="17"/>
  <c r="EG42" i="17"/>
  <c r="ER42" i="17" s="1"/>
  <c r="EG10" i="17"/>
  <c r="ER10" i="17" s="1"/>
  <c r="EQ10" i="17"/>
  <c r="EQ38" i="17"/>
  <c r="EG38" i="17"/>
  <c r="ER38" i="17" s="1"/>
  <c r="EQ43" i="17"/>
  <c r="EQ48" i="17"/>
  <c r="EG11" i="17"/>
  <c r="ER11" i="17" s="1"/>
  <c r="W21" i="17" l="1"/>
  <c r="V21" i="17" s="1"/>
  <c r="O14" i="17" s="1"/>
  <c r="P9" i="19"/>
  <c r="AN9" i="19"/>
  <c r="AN8" i="19" s="1"/>
  <c r="AN10" i="19"/>
  <c r="P8" i="19"/>
  <c r="P7" i="19" s="1"/>
  <c r="H528" i="18"/>
  <c r="C527" i="18" s="1"/>
  <c r="G624" i="18"/>
  <c r="AN10" i="4"/>
  <c r="M624" i="18"/>
  <c r="J243" i="17"/>
  <c r="M620" i="18"/>
  <c r="AN9" i="4"/>
  <c r="AN8" i="4" s="1"/>
  <c r="J238" i="17"/>
  <c r="ER37" i="17"/>
  <c r="I243" i="17"/>
  <c r="L624" i="18"/>
  <c r="H624" i="18" s="1"/>
  <c r="P9" i="4"/>
  <c r="I238" i="17"/>
  <c r="P8" i="4"/>
  <c r="P7" i="4" s="1"/>
  <c r="L620" i="18"/>
  <c r="H620" i="18" s="1"/>
  <c r="ER5" i="17"/>
  <c r="O15" i="17" l="1"/>
  <c r="O21" i="17" s="1"/>
  <c r="C515" i="18"/>
  <c r="L437" i="18"/>
  <c r="C522" i="18"/>
  <c r="D529" i="18"/>
  <c r="C521" i="18"/>
  <c r="C493" i="18"/>
  <c r="C497" i="18"/>
  <c r="C501" i="18"/>
  <c r="C505" i="18"/>
  <c r="C509" i="18"/>
  <c r="C513" i="18"/>
  <c r="C517" i="18"/>
  <c r="C494" i="18"/>
  <c r="C506" i="18"/>
  <c r="C491" i="18"/>
  <c r="C495" i="18"/>
  <c r="C499" i="18"/>
  <c r="C503" i="18"/>
  <c r="C507" i="18"/>
  <c r="C511" i="18"/>
  <c r="C519" i="18"/>
  <c r="C500" i="18"/>
  <c r="C516" i="18"/>
  <c r="C468" i="18"/>
  <c r="C490" i="18"/>
  <c r="C451" i="18"/>
  <c r="C455" i="18"/>
  <c r="C459" i="18"/>
  <c r="C479" i="18"/>
  <c r="C462" i="18"/>
  <c r="C474" i="18"/>
  <c r="C478" i="18"/>
  <c r="C460" i="18"/>
  <c r="C464" i="18"/>
  <c r="C472" i="18"/>
  <c r="C480" i="18"/>
  <c r="C454" i="18"/>
  <c r="C470" i="18"/>
  <c r="C453" i="18"/>
  <c r="C457" i="18"/>
  <c r="C465" i="18"/>
  <c r="C473" i="18"/>
  <c r="C477" i="18"/>
  <c r="C481" i="18"/>
  <c r="C458" i="18"/>
  <c r="C466" i="18"/>
  <c r="C441" i="18"/>
  <c r="C442" i="18"/>
  <c r="C443" i="18"/>
  <c r="I624" i="18"/>
  <c r="G243" i="17" s="1"/>
  <c r="E243" i="17"/>
  <c r="L628" i="18"/>
  <c r="H628" i="18" s="1"/>
  <c r="I247" i="17"/>
  <c r="G628" i="18"/>
  <c r="J247" i="17"/>
  <c r="M628" i="18"/>
  <c r="F527" i="18"/>
  <c r="C528" i="18"/>
  <c r="E620" i="18" s="1"/>
  <c r="D238" i="17" s="1"/>
  <c r="G620" i="18"/>
  <c r="F238" i="17" s="1"/>
  <c r="B620" i="18"/>
  <c r="B238" i="17" s="1"/>
  <c r="F528" i="18"/>
  <c r="I620" i="18" s="1"/>
  <c r="G238" i="17" s="1"/>
  <c r="C450" i="18" l="1"/>
  <c r="BU51" i="17"/>
  <c r="BU37" i="17"/>
  <c r="A437" i="18"/>
  <c r="I628" i="18"/>
  <c r="G247" i="17" s="1"/>
  <c r="E247"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Philipp Appel</author>
    <author>Andy Böhringer</author>
  </authors>
  <commentList>
    <comment ref="P3" authorId="0" shapeId="0" xr:uid="{204AC391-BF86-421F-9467-FC07F11C5393}">
      <text>
        <r>
          <rPr>
            <b/>
            <sz val="9"/>
            <color indexed="81"/>
            <rFont val="Segoe UI"/>
            <family val="2"/>
          </rPr>
          <t>Philipp Appel:</t>
        </r>
        <r>
          <rPr>
            <sz val="9"/>
            <color indexed="81"/>
            <rFont val="Segoe UI"/>
            <family val="2"/>
          </rPr>
          <t xml:space="preserve">
Überprüfung die Mindestabmessungen gemäß des gewählten MEGANT-Verbinders eingehalten sind. </t>
        </r>
      </text>
    </comment>
    <comment ref="U3" authorId="0" shapeId="0" xr:uid="{AF76FAEA-34D7-46CC-8117-87450100A2A3}">
      <text>
        <r>
          <rPr>
            <b/>
            <sz val="9"/>
            <color indexed="81"/>
            <rFont val="Segoe UI"/>
            <family val="2"/>
          </rPr>
          <t>Philipp Appel:</t>
        </r>
        <r>
          <rPr>
            <sz val="9"/>
            <color indexed="81"/>
            <rFont val="Segoe UI"/>
            <family val="2"/>
          </rPr>
          <t xml:space="preserve">
0 = Nadelholz/BSH
1 = Laubholz
2 = BauBuche
3 = Funierschichtholz
X = Fehler</t>
        </r>
      </text>
    </comment>
    <comment ref="U6" authorId="0" shapeId="0" xr:uid="{F20EA732-C8DC-4A0E-B49E-5DABA71D2084}">
      <text>
        <r>
          <rPr>
            <b/>
            <sz val="9"/>
            <color indexed="81"/>
            <rFont val="Segoe UI"/>
            <family val="2"/>
          </rPr>
          <t>Philipp Appel:</t>
        </r>
        <r>
          <rPr>
            <sz val="9"/>
            <color indexed="81"/>
            <rFont val="Segoe UI"/>
            <family val="2"/>
          </rPr>
          <t xml:space="preserve">
Philipp Appel:
10 = Würth Assy Plus VG
11 = Knapp VG
Bedingung: Es werden auf beiden Seiten immer die gleichen Schrauben verwendet. Daher wenn auf einer Seite Assy Plus erforderlich, dann werden  auf beiden Seiten diese Schrauben verwendet. </t>
        </r>
      </text>
    </comment>
    <comment ref="P8" authorId="0" shapeId="0" xr:uid="{A1AF4597-53A3-4427-A009-0A1CBFF71F68}">
      <text>
        <r>
          <rPr>
            <b/>
            <sz val="9"/>
            <color indexed="81"/>
            <rFont val="Segoe UI"/>
            <family val="2"/>
          </rPr>
          <t>Philipp Appel:</t>
        </r>
        <r>
          <rPr>
            <sz val="9"/>
            <color indexed="81"/>
            <rFont val="Segoe UI"/>
            <family val="2"/>
          </rPr>
          <t xml:space="preserve">
Bedingungen: 
NH oder BSH aus NH mit Knapp Schrauben:
SK 8x160 für 45°- und 90°-Schrauben
SK 8x240 für 0°-Schrauben im NT
oder: 
LH Rodichte 530kg/m³ oder 590kg/m³
Assy Plus 8x160 für 45°- und 90°-Schrauben
Assy Plus 8x240 für 0°-Schrauben im NT</t>
        </r>
      </text>
    </comment>
    <comment ref="U9" authorId="0" shapeId="0" xr:uid="{7F2995CA-D6EB-45CD-A9E6-8AC0DC16C076}">
      <text>
        <r>
          <rPr>
            <b/>
            <sz val="9"/>
            <color indexed="81"/>
            <rFont val="Segoe UI"/>
            <family val="2"/>
          </rPr>
          <t>Philipp Appel:</t>
        </r>
        <r>
          <rPr>
            <sz val="9"/>
            <color indexed="81"/>
            <rFont val="Segoe UI"/>
            <family val="2"/>
          </rPr>
          <t xml:space="preserve">
20 = vert. Anschlusswinkel NT (oben/unten) γAW
21 = horiz. Anschlusswinkel NT (links/rechts) γAW
22 = Regelfall ohne Anschlusswinkel</t>
        </r>
      </text>
    </comment>
    <comment ref="U11" authorId="0" shapeId="0" xr:uid="{A43AFAD2-C055-4715-8764-433B447A9983}">
      <text>
        <r>
          <rPr>
            <b/>
            <sz val="9"/>
            <color indexed="81"/>
            <rFont val="Segoe UI"/>
            <family val="2"/>
          </rPr>
          <t xml:space="preserve">Philipp Appel:
</t>
        </r>
        <r>
          <rPr>
            <sz val="9"/>
            <color indexed="81"/>
            <rFont val="Segoe UI"/>
            <family val="2"/>
          </rPr>
          <t>Für LVL/BauBuche</t>
        </r>
        <r>
          <rPr>
            <sz val="9"/>
            <color indexed="81"/>
            <rFont val="Segoe UI"/>
            <family val="2"/>
          </rPr>
          <t xml:space="preserve">
30: Haupträger Anschluss an Seitenfläche
31: Stütze Anschluss an Deckfläche
32: Stütze Anschluss an Seitenfläche
Für LH/NH/BSH
33: Nebenträger an Hauptträger
34: Nebenträger an Stütze</t>
        </r>
      </text>
    </comment>
    <comment ref="EU12" authorId="1" shapeId="0" xr:uid="{5773C942-6769-443D-9C26-085B1E519782}">
      <text>
        <r>
          <rPr>
            <b/>
            <sz val="9"/>
            <color indexed="81"/>
            <rFont val="Segoe UI"/>
            <family val="2"/>
          </rPr>
          <t>Info:</t>
        </r>
        <r>
          <rPr>
            <sz val="9"/>
            <color indexed="81"/>
            <rFont val="Segoe UI"/>
            <family val="2"/>
          </rPr>
          <t xml:space="preserve">
OK = Oberkante
SK = Seitenkante</t>
        </r>
      </text>
    </comment>
    <comment ref="EW12" authorId="1" shapeId="0" xr:uid="{1B28546A-D91C-4F9E-B4E1-3098994357A6}">
      <text>
        <r>
          <rPr>
            <b/>
            <sz val="9"/>
            <color indexed="81"/>
            <rFont val="Segoe UI"/>
            <family val="2"/>
          </rPr>
          <t>Info:</t>
        </r>
        <r>
          <rPr>
            <sz val="9"/>
            <color indexed="81"/>
            <rFont val="Segoe UI"/>
            <family val="2"/>
          </rPr>
          <t xml:space="preserve">
OK = Oberkante
SK = Seitenkante</t>
        </r>
      </text>
    </comment>
    <comment ref="EZ12" authorId="1" shapeId="0" xr:uid="{35B6091E-56EF-40AE-B9FE-F8B7EA501A3A}">
      <text>
        <r>
          <rPr>
            <b/>
            <sz val="9"/>
            <color indexed="81"/>
            <rFont val="Segoe UI"/>
            <family val="2"/>
          </rPr>
          <t>Info:</t>
        </r>
        <r>
          <rPr>
            <sz val="9"/>
            <color indexed="81"/>
            <rFont val="Segoe UI"/>
            <family val="2"/>
          </rPr>
          <t xml:space="preserve">
OK = Oberkante
SK = Seitenkante</t>
        </r>
      </text>
    </comment>
    <comment ref="FB12" authorId="1" shapeId="0" xr:uid="{BD539148-6AC4-480B-9857-81364F595927}">
      <text>
        <r>
          <rPr>
            <b/>
            <sz val="9"/>
            <color indexed="81"/>
            <rFont val="Segoe UI"/>
            <family val="2"/>
          </rPr>
          <t>Info:</t>
        </r>
        <r>
          <rPr>
            <sz val="9"/>
            <color indexed="81"/>
            <rFont val="Segoe UI"/>
            <family val="2"/>
          </rPr>
          <t xml:space="preserve">
OK = Oberkante
SK = Seitenkante</t>
        </r>
      </text>
    </comment>
    <comment ref="P13" authorId="0" shapeId="0" xr:uid="{26F62489-5968-430B-8100-E77B945107ED}">
      <text>
        <r>
          <rPr>
            <b/>
            <sz val="9"/>
            <color indexed="81"/>
            <rFont val="Segoe UI"/>
            <family val="2"/>
          </rPr>
          <t>Philipp Appel:</t>
        </r>
        <r>
          <rPr>
            <sz val="9"/>
            <color indexed="81"/>
            <rFont val="Segoe UI"/>
            <family val="2"/>
          </rPr>
          <t xml:space="preserve">
Bei Anschlusswinkel: keine Verstärkung zulässig</t>
        </r>
      </text>
    </comment>
    <comment ref="U13" authorId="0" shapeId="0" xr:uid="{A70E49D9-96F7-4381-9CFD-91DF285C1B10}">
      <text>
        <r>
          <rPr>
            <sz val="9"/>
            <color indexed="81"/>
            <rFont val="Segoe UI"/>
            <family val="2"/>
          </rPr>
          <t>41: Verstärkung vorhanden
40: keine Verstärkung vorhanden</t>
        </r>
      </text>
    </comment>
    <comment ref="P14" authorId="0" shapeId="0" xr:uid="{B2BDDE84-2F78-4F1D-AA60-CDB46EC474BD}">
      <text>
        <r>
          <rPr>
            <b/>
            <sz val="9"/>
            <color indexed="81"/>
            <rFont val="Segoe UI"/>
            <family val="2"/>
          </rPr>
          <t>Philipp Appel:</t>
        </r>
        <r>
          <rPr>
            <sz val="9"/>
            <color indexed="81"/>
            <rFont val="Segoe UI"/>
            <family val="2"/>
          </rPr>
          <t xml:space="preserve">
Die ABS(x_eta)/x_Starhlensatz * 100 &gt; 3 % --&gt; Fehler</t>
        </r>
      </text>
    </comment>
    <comment ref="EZ14" authorId="1" shapeId="0" xr:uid="{A33AC8AA-2D9D-426E-A6E2-9175BAEFD642}">
      <text>
        <r>
          <rPr>
            <b/>
            <sz val="9"/>
            <color indexed="81"/>
            <rFont val="Segoe UI"/>
            <family val="2"/>
          </rPr>
          <t>Info:</t>
        </r>
        <r>
          <rPr>
            <sz val="9"/>
            <color indexed="81"/>
            <rFont val="Segoe UI"/>
            <family val="2"/>
          </rPr>
          <t xml:space="preserve">
OK = Oberkante
SK = Seitenkante</t>
        </r>
      </text>
    </comment>
    <comment ref="U15" authorId="0" shapeId="0" xr:uid="{6112A1A4-2E83-4A57-9ACA-760F43C6AC4D}">
      <text>
        <r>
          <rPr>
            <b/>
            <sz val="9"/>
            <color indexed="81"/>
            <rFont val="Segoe UI"/>
            <family val="2"/>
          </rPr>
          <t>Philipp Appel:</t>
        </r>
        <r>
          <rPr>
            <sz val="9"/>
            <color indexed="81"/>
            <rFont val="Segoe UI"/>
            <family val="2"/>
          </rPr>
          <t xml:space="preserve">
50: BSH/NH mit Knapp Schraube
51: BSH/NH mit Würth Schraube
52: LH mit Würth Schraube
53: BauBuche mit Würth Schraube
54: LVL mit Würth Schraube</t>
        </r>
      </text>
    </comment>
    <comment ref="P16" authorId="0" shapeId="0" xr:uid="{03D1FA9B-9440-41AB-8C67-4F56EAE27C2F}">
      <text>
        <r>
          <rPr>
            <b/>
            <sz val="9"/>
            <color indexed="81"/>
            <rFont val="Segoe UI"/>
            <family val="2"/>
          </rPr>
          <t>Philipp Appel:</t>
        </r>
        <r>
          <rPr>
            <sz val="9"/>
            <color indexed="81"/>
            <rFont val="Segoe UI"/>
            <family val="2"/>
          </rPr>
          <t xml:space="preserve">
Überprüfung der Eingabewerte für die Verstärkung auf Plausibilität</t>
        </r>
      </text>
    </comment>
    <comment ref="P17" authorId="0" shapeId="0" xr:uid="{BFD25DF7-DC6C-442B-B933-A94FD2ED635E}">
      <text>
        <r>
          <rPr>
            <b/>
            <sz val="9"/>
            <color indexed="81"/>
            <rFont val="Segoe UI"/>
            <family val="2"/>
          </rPr>
          <t>Philipp Appel:</t>
        </r>
        <r>
          <rPr>
            <sz val="9"/>
            <color indexed="81"/>
            <rFont val="Segoe UI"/>
            <family val="2"/>
          </rPr>
          <t xml:space="preserve">
Überprüfung der Eingabewerte für die Verstärkung auf Plausibilität</t>
        </r>
      </text>
    </comment>
    <comment ref="P18" authorId="0" shapeId="0" xr:uid="{F966B06A-DCB6-42DE-81DD-C24A3A793DF0}">
      <text>
        <r>
          <rPr>
            <b/>
            <sz val="9"/>
            <color indexed="81"/>
            <rFont val="Segoe UI"/>
            <family val="2"/>
          </rPr>
          <t>Philipp Appel:</t>
        </r>
        <r>
          <rPr>
            <sz val="9"/>
            <color indexed="81"/>
            <rFont val="Segoe UI"/>
            <family val="2"/>
          </rPr>
          <t xml:space="preserve">
Anschlusswinkel horizontal: +-10°
Anschlusswinkel vertikal: +-20° </t>
        </r>
      </text>
    </comment>
    <comment ref="U18" authorId="0" shapeId="0" xr:uid="{FAE46388-420F-4268-A8EC-1173B43921AD}">
      <text>
        <r>
          <rPr>
            <b/>
            <sz val="9"/>
            <color indexed="81"/>
            <rFont val="Segoe UI"/>
            <family val="2"/>
          </rPr>
          <t>Philipp Appel:</t>
        </r>
        <r>
          <rPr>
            <sz val="9"/>
            <color indexed="81"/>
            <rFont val="Segoe UI"/>
            <family val="2"/>
          </rPr>
          <t xml:space="preserve">
60: Eine der folgenden Bedingung ist erfüllt:
Bedingung1:
NH oder BSH aus NH mit Knapp Schrauben:
SK 8x160 für 45°- und 90°-Schrauben
SK 8x240 für 0°-Schrauben im NT
Bedingung2:
LH Rodichte 530kg/m³ oder 590kg/m³
Assy Plus 8x160 für 45°- und 90°-Schrauben
Assy Plus 8x240 für 0°-Schrauben im NT
61: Keine der beiden Bedingungen erfüllt = Für die ahtuelle Konfiguration gibt es keine Werte in der ETA15/0667</t>
        </r>
      </text>
    </comment>
    <comment ref="CT19" authorId="1" shapeId="0" xr:uid="{3ADF6068-7A52-42DC-87BB-6D9202346CDB}">
      <text>
        <r>
          <rPr>
            <b/>
            <sz val="9"/>
            <color indexed="81"/>
            <rFont val="Segoe UI"/>
            <family val="2"/>
          </rPr>
          <t>Info: Formelwechsel</t>
        </r>
      </text>
    </comment>
    <comment ref="EP19" authorId="1" shapeId="0" xr:uid="{A57FAAD5-ACA4-435C-85A6-5CBAE57727B4}">
      <text>
        <r>
          <rPr>
            <b/>
            <sz val="9"/>
            <color indexed="81"/>
            <rFont val="Segoe UI"/>
            <family val="2"/>
          </rPr>
          <t>Info: Formelwechsel</t>
        </r>
        <r>
          <rPr>
            <sz val="9"/>
            <color indexed="81"/>
            <rFont val="Segoe UI"/>
            <family val="2"/>
          </rPr>
          <t xml:space="preserve">
</t>
        </r>
      </text>
    </comment>
    <comment ref="EU19" authorId="0" shapeId="0" xr:uid="{77C143E4-8994-45DD-B1E3-180076FA41E8}">
      <text>
        <r>
          <rPr>
            <b/>
            <sz val="9"/>
            <color indexed="81"/>
            <rFont val="Segoe UI"/>
            <family val="2"/>
          </rPr>
          <t>Philipp Appel:</t>
        </r>
        <r>
          <rPr>
            <sz val="9"/>
            <color indexed="81"/>
            <rFont val="Segoe UI"/>
            <family val="2"/>
          </rPr>
          <t xml:space="preserve">
Schraubenlänge innerhalb der Grundplatte konst = 19mm</t>
        </r>
      </text>
    </comment>
    <comment ref="U20" authorId="0" shapeId="0" xr:uid="{E38B522D-F34F-468C-88C1-417C16404D6B}">
      <text>
        <r>
          <rPr>
            <b/>
            <sz val="9"/>
            <color indexed="81"/>
            <rFont val="Segoe UI"/>
            <family val="2"/>
          </rPr>
          <t>Philipp Appel:</t>
        </r>
        <r>
          <rPr>
            <sz val="9"/>
            <color indexed="81"/>
            <rFont val="Segoe UI"/>
            <family val="2"/>
          </rPr>
          <t xml:space="preserve">
Bei maßgebendem Lastfall für M2:
70 = "BZ oben"
71 = "BZ unten"</t>
        </r>
      </text>
    </comment>
    <comment ref="EU21" authorId="1" shapeId="0" xr:uid="{530109A4-BB67-4FBF-A757-A1695E7203D6}">
      <text>
        <r>
          <rPr>
            <b/>
            <sz val="9"/>
            <color indexed="81"/>
            <rFont val="Segoe UI"/>
            <family val="2"/>
          </rPr>
          <t>Info:</t>
        </r>
        <r>
          <rPr>
            <sz val="9"/>
            <color indexed="81"/>
            <rFont val="Segoe UI"/>
            <family val="2"/>
          </rPr>
          <t xml:space="preserve">
Bezugspunkt linke obere NT-Ecke (in der Ansicht)</t>
        </r>
      </text>
    </comment>
    <comment ref="EW21" authorId="1" shapeId="0" xr:uid="{C75FBFD7-EE97-4FD1-B01B-8F6652B9633F}">
      <text>
        <r>
          <rPr>
            <b/>
            <sz val="9"/>
            <color indexed="81"/>
            <rFont val="Segoe UI"/>
            <family val="2"/>
          </rPr>
          <t>Info:</t>
        </r>
        <r>
          <rPr>
            <sz val="9"/>
            <color indexed="81"/>
            <rFont val="Segoe UI"/>
            <family val="2"/>
          </rPr>
          <t xml:space="preserve">
Bezugspunkt linke obere NT-Ecke (in der Draufsicht)</t>
        </r>
      </text>
    </comment>
    <comment ref="EU22" authorId="1" shapeId="0" xr:uid="{772245BF-19A2-4021-9575-4EC5AE951C16}">
      <text>
        <r>
          <rPr>
            <b/>
            <sz val="9"/>
            <color indexed="81"/>
            <rFont val="Segoe UI"/>
            <family val="2"/>
          </rPr>
          <t>Info:</t>
        </r>
        <r>
          <rPr>
            <sz val="9"/>
            <color indexed="81"/>
            <rFont val="Segoe UI"/>
            <family val="2"/>
          </rPr>
          <t xml:space="preserve">
Bezugspunkt linke obere NT-Ecke (in der Ansicht)</t>
        </r>
      </text>
    </comment>
    <comment ref="EW22" authorId="1" shapeId="0" xr:uid="{9A65BB10-DE5E-4CDF-99AA-74C1B80C1345}">
      <text>
        <r>
          <rPr>
            <b/>
            <sz val="9"/>
            <color indexed="81"/>
            <rFont val="Segoe UI"/>
            <family val="2"/>
          </rPr>
          <t>Info:</t>
        </r>
        <r>
          <rPr>
            <sz val="9"/>
            <color indexed="81"/>
            <rFont val="Segoe UI"/>
            <family val="2"/>
          </rPr>
          <t xml:space="preserve">
Bezugspunkt linke obere NT-Ecke (in der Draufsicht)</t>
        </r>
      </text>
    </comment>
    <comment ref="EU23" authorId="1" shapeId="0" xr:uid="{857DAE95-023E-47F8-B997-4D2E01147408}">
      <text>
        <r>
          <rPr>
            <b/>
            <sz val="9"/>
            <color indexed="81"/>
            <rFont val="Segoe UI"/>
            <family val="2"/>
          </rPr>
          <t>Info:</t>
        </r>
        <r>
          <rPr>
            <sz val="9"/>
            <color indexed="81"/>
            <rFont val="Segoe UI"/>
            <family val="2"/>
          </rPr>
          <t xml:space="preserve">
Bezugspunkt linke obere NT-Ecke (in der Ansicht)</t>
        </r>
      </text>
    </comment>
    <comment ref="EW23" authorId="1" shapeId="0" xr:uid="{92AE1223-E05E-413F-8A21-EE39EED51D31}">
      <text>
        <r>
          <rPr>
            <b/>
            <sz val="9"/>
            <color indexed="81"/>
            <rFont val="Segoe UI"/>
            <family val="2"/>
          </rPr>
          <t>Info:</t>
        </r>
        <r>
          <rPr>
            <sz val="9"/>
            <color indexed="81"/>
            <rFont val="Segoe UI"/>
            <family val="2"/>
          </rPr>
          <t xml:space="preserve">
Bezugspunkt linke obere NT-Ecke (in der Draufsicht)</t>
        </r>
      </text>
    </comment>
    <comment ref="EU31" authorId="1" shapeId="0" xr:uid="{56B30CFA-3443-4AE1-BB38-122123CABADC}">
      <text>
        <r>
          <rPr>
            <b/>
            <sz val="9"/>
            <color indexed="81"/>
            <rFont val="Segoe UI"/>
            <family val="2"/>
          </rPr>
          <t>Info:</t>
        </r>
        <r>
          <rPr>
            <sz val="9"/>
            <color indexed="81"/>
            <rFont val="Segoe UI"/>
            <family val="2"/>
          </rPr>
          <t xml:space="preserve">
Bezugspunkt linke obere NT-Ecke (in der Ansicht)</t>
        </r>
      </text>
    </comment>
    <comment ref="EW31" authorId="1" shapeId="0" xr:uid="{CDC0D49D-4C32-4078-9494-06FA8F04D8C9}">
      <text>
        <r>
          <rPr>
            <b/>
            <sz val="9"/>
            <color indexed="81"/>
            <rFont val="Segoe UI"/>
            <family val="2"/>
          </rPr>
          <t>Info:</t>
        </r>
        <r>
          <rPr>
            <sz val="9"/>
            <color indexed="81"/>
            <rFont val="Segoe UI"/>
            <family val="2"/>
          </rPr>
          <t xml:space="preserve">
Bezugspunkt linke obere NT-Ecke (in der Draufsicht)</t>
        </r>
      </text>
    </comment>
    <comment ref="EU32" authorId="1" shapeId="0" xr:uid="{F2C65C2D-8086-4CCF-8651-18D7D908A7A2}">
      <text>
        <r>
          <rPr>
            <b/>
            <sz val="9"/>
            <color indexed="81"/>
            <rFont val="Segoe UI"/>
            <family val="2"/>
          </rPr>
          <t>Info:</t>
        </r>
        <r>
          <rPr>
            <sz val="9"/>
            <color indexed="81"/>
            <rFont val="Segoe UI"/>
            <family val="2"/>
          </rPr>
          <t xml:space="preserve">
Bezugspunkt linke obere NT-Ecke (in der Ansicht)</t>
        </r>
      </text>
    </comment>
    <comment ref="EW32" authorId="1" shapeId="0" xr:uid="{9D2E77D2-8165-4B55-8059-6AE102F9EE98}">
      <text>
        <r>
          <rPr>
            <b/>
            <sz val="9"/>
            <color indexed="81"/>
            <rFont val="Segoe UI"/>
            <family val="2"/>
          </rPr>
          <t>Info:</t>
        </r>
        <r>
          <rPr>
            <sz val="9"/>
            <color indexed="81"/>
            <rFont val="Segoe UI"/>
            <family val="2"/>
          </rPr>
          <t xml:space="preserve">
Bezugspunkt linke obere NT-Ecke (in der Draufsicht)</t>
        </r>
      </text>
    </comment>
    <comment ref="EU33" authorId="1" shapeId="0" xr:uid="{73D7A875-3D8F-45E9-914E-0327AA07197A}">
      <text>
        <r>
          <rPr>
            <b/>
            <sz val="9"/>
            <color indexed="81"/>
            <rFont val="Segoe UI"/>
            <family val="2"/>
          </rPr>
          <t>Info:</t>
        </r>
        <r>
          <rPr>
            <sz val="9"/>
            <color indexed="81"/>
            <rFont val="Segoe UI"/>
            <family val="2"/>
          </rPr>
          <t xml:space="preserve">
Bezugspunkt linke obere NT-Ecke (in der Ansicht)</t>
        </r>
      </text>
    </comment>
    <comment ref="EW33" authorId="1" shapeId="0" xr:uid="{43EAFA52-D68D-4375-8A99-7C6D615F0363}">
      <text>
        <r>
          <rPr>
            <b/>
            <sz val="9"/>
            <color indexed="81"/>
            <rFont val="Segoe UI"/>
            <family val="2"/>
          </rPr>
          <t>Info:</t>
        </r>
        <r>
          <rPr>
            <sz val="9"/>
            <color indexed="81"/>
            <rFont val="Segoe UI"/>
            <family val="2"/>
          </rPr>
          <t xml:space="preserve">
Bezugspunkt linke obere NT-Ecke (in der Draufsicht)</t>
        </r>
      </text>
    </comment>
    <comment ref="CT51" authorId="1" shapeId="0" xr:uid="{2A8ACACC-B7D6-4813-BDC6-0F738C1F3D63}">
      <text>
        <r>
          <rPr>
            <b/>
            <sz val="9"/>
            <color indexed="81"/>
            <rFont val="Segoe UI"/>
            <family val="2"/>
          </rPr>
          <t>Info: Formelwechsel</t>
        </r>
      </text>
    </comment>
    <comment ref="EP51" authorId="1" shapeId="0" xr:uid="{32C2726B-E8F7-46AC-836D-34719B2D24CB}">
      <text>
        <r>
          <rPr>
            <b/>
            <sz val="9"/>
            <color indexed="81"/>
            <rFont val="Segoe UI"/>
            <family val="2"/>
          </rPr>
          <t>Info: Formelwechsel</t>
        </r>
        <r>
          <rPr>
            <sz val="9"/>
            <color indexed="81"/>
            <rFont val="Segoe UI"/>
            <family val="2"/>
          </rPr>
          <t xml:space="preserve">
</t>
        </r>
      </text>
    </comment>
    <comment ref="M249" authorId="0" shapeId="0" xr:uid="{062BFB7F-F140-45FF-B602-8B81A88F0640}">
      <text>
        <r>
          <rPr>
            <b/>
            <sz val="9"/>
            <color indexed="81"/>
            <rFont val="Segoe UI"/>
            <family val="2"/>
          </rPr>
          <t>Philipp Appel:</t>
        </r>
        <r>
          <rPr>
            <sz val="9"/>
            <color indexed="81"/>
            <rFont val="Segoe UI"/>
            <family val="2"/>
          </rPr>
          <t xml:space="preserve">
Abweichung: Interative Berechnung zur Berechnung mittels Strahlensatz: 
Grenzwert 3% (Wenn BZ oben, kann Grenzwert für BZ unten überschritten werden)</t>
        </r>
      </text>
    </comment>
    <comment ref="N249" authorId="0" shapeId="0" xr:uid="{FB358062-DF08-4F77-8F2E-5C1A92085CDB}">
      <text>
        <r>
          <rPr>
            <b/>
            <sz val="9"/>
            <color indexed="81"/>
            <rFont val="Segoe UI"/>
            <family val="2"/>
          </rPr>
          <t>Philipp Appel:</t>
        </r>
        <r>
          <rPr>
            <sz val="9"/>
            <color indexed="81"/>
            <rFont val="Segoe UI"/>
            <family val="2"/>
          </rPr>
          <t xml:space="preserve">
Vergleich 1-Zug/Druck ~ 0% 
Siehe Gleichung (16) aus Gutachten zur ETA-15/0667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Andy Böhringer</author>
  </authors>
  <commentList>
    <comment ref="M313" authorId="0" shapeId="0" xr:uid="{2B77412C-4FFD-48E9-942F-08EF4241A3B1}">
      <text>
        <r>
          <rPr>
            <b/>
            <sz val="9"/>
            <color indexed="81"/>
            <rFont val="Segoe UI"/>
            <family val="2"/>
          </rPr>
          <t>Info: nicht vorgebohrt</t>
        </r>
      </text>
    </comment>
    <comment ref="O313" authorId="0" shapeId="0" xr:uid="{6CF61378-FFCB-43CD-95E1-CEE92D7DE303}">
      <text>
        <r>
          <rPr>
            <b/>
            <sz val="9"/>
            <color indexed="81"/>
            <rFont val="Segoe UI"/>
            <family val="2"/>
          </rPr>
          <t>Info: nicht vorgebohrt</t>
        </r>
      </text>
    </comment>
    <comment ref="Q313" authorId="0" shapeId="0" xr:uid="{81D4C158-861A-4557-A1B8-CDBC3DE6CFC4}">
      <text>
        <r>
          <rPr>
            <b/>
            <sz val="9"/>
            <color indexed="81"/>
            <rFont val="Segoe UI"/>
            <family val="2"/>
          </rPr>
          <t>Info: vorgebohrt</t>
        </r>
      </text>
    </comment>
    <comment ref="U313" authorId="0" shapeId="0" xr:uid="{718060B7-0810-492B-9CE3-F15C032A2AA5}">
      <text>
        <r>
          <rPr>
            <b/>
            <sz val="9"/>
            <color indexed="81"/>
            <rFont val="Segoe UI"/>
            <family val="2"/>
          </rPr>
          <t>Info: nicht vorgebohrt</t>
        </r>
      </text>
    </comment>
    <comment ref="L330" authorId="0" shapeId="0" xr:uid="{6F6AB5A4-54D0-4E6D-91C4-B64DAE55264D}">
      <text>
        <r>
          <rPr>
            <b/>
            <sz val="9"/>
            <color indexed="81"/>
            <rFont val="Segoe UI"/>
            <family val="2"/>
          </rPr>
          <t>Info:</t>
        </r>
        <r>
          <rPr>
            <sz val="9"/>
            <color indexed="81"/>
            <rFont val="Segoe UI"/>
            <family val="2"/>
          </rPr>
          <t xml:space="preserve">
(0,082*rk*d^-0,3/(2,5*cos(a)^2+sin(a)^2) mit Winkel 45° wird eine höhere Lochleibungsfestigkeit erreicht. Wird in der ETA-15/0667 nicht berücksichtigt. </t>
        </r>
      </text>
    </comment>
    <comment ref="M330" authorId="0" shapeId="0" xr:uid="{D14A9774-56BC-4D79-9942-E259BA7D900B}">
      <text>
        <r>
          <rPr>
            <b/>
            <sz val="9"/>
            <color indexed="81"/>
            <rFont val="Segoe UI"/>
            <family val="2"/>
          </rPr>
          <t>Info: nicht vorgebohrt</t>
        </r>
      </text>
    </comment>
    <comment ref="O330" authorId="0" shapeId="0" xr:uid="{1CABE8B6-D304-482C-8DBA-01E408D7A841}">
      <text>
        <r>
          <rPr>
            <b/>
            <sz val="9"/>
            <color indexed="81"/>
            <rFont val="Segoe UI"/>
            <family val="2"/>
          </rPr>
          <t>Info: nicht vorgebohrt</t>
        </r>
      </text>
    </comment>
    <comment ref="Q330" authorId="0" shapeId="0" xr:uid="{D5EFBDA5-6AC5-4F42-B9EF-F6D3F9F6F539}">
      <text>
        <r>
          <rPr>
            <b/>
            <sz val="9"/>
            <color indexed="81"/>
            <rFont val="Segoe UI"/>
            <family val="2"/>
          </rPr>
          <t>Info: vorgebohrt</t>
        </r>
      </text>
    </comment>
    <comment ref="U330" authorId="0" shapeId="0" xr:uid="{6255B0E2-74EC-4242-AFA1-B8C7D66EA553}">
      <text>
        <r>
          <rPr>
            <b/>
            <sz val="9"/>
            <color indexed="81"/>
            <rFont val="Segoe UI"/>
            <family val="2"/>
          </rPr>
          <t>Info: nicht vorgebohrt</t>
        </r>
      </text>
    </comment>
    <comment ref="M348" authorId="0" shapeId="0" xr:uid="{F4206180-8113-49A6-B7E6-1178DBB109F4}">
      <text>
        <r>
          <rPr>
            <b/>
            <sz val="9"/>
            <color indexed="81"/>
            <rFont val="Segoe UI"/>
            <family val="2"/>
          </rPr>
          <t>Info: nicht vorgebohrt</t>
        </r>
      </text>
    </comment>
    <comment ref="O348" authorId="0" shapeId="0" xr:uid="{FCC48736-7CF5-4309-93CE-28302B40EE28}">
      <text>
        <r>
          <rPr>
            <b/>
            <sz val="9"/>
            <color indexed="81"/>
            <rFont val="Segoe UI"/>
            <family val="2"/>
          </rPr>
          <t>Info: nicht vorgebohrt</t>
        </r>
      </text>
    </comment>
    <comment ref="Q348" authorId="0" shapeId="0" xr:uid="{DCC342B0-2F63-4FD7-83B0-23B2E945B9ED}">
      <text>
        <r>
          <rPr>
            <b/>
            <sz val="9"/>
            <color indexed="81"/>
            <rFont val="Segoe UI"/>
            <family val="2"/>
          </rPr>
          <t>Info: vorgebohrt</t>
        </r>
      </text>
    </comment>
    <comment ref="U348" authorId="0" shapeId="0" xr:uid="{B836830A-C7E9-42DB-9486-2CED933CD061}">
      <text>
        <r>
          <rPr>
            <b/>
            <sz val="9"/>
            <color indexed="81"/>
            <rFont val="Segoe UI"/>
            <family val="2"/>
          </rPr>
          <t>Info: nicht vorgebohrt</t>
        </r>
      </text>
    </comment>
    <comment ref="M365" authorId="0" shapeId="0" xr:uid="{881A46F8-5E7F-4CEA-84BF-7449D67B3CB3}">
      <text>
        <r>
          <rPr>
            <b/>
            <sz val="9"/>
            <color indexed="81"/>
            <rFont val="Segoe UI"/>
            <family val="2"/>
          </rPr>
          <t>Info: nicht vorgebohrt</t>
        </r>
      </text>
    </comment>
    <comment ref="O365" authorId="0" shapeId="0" xr:uid="{436CECC9-085C-4328-977C-FD0C2C47747A}">
      <text>
        <r>
          <rPr>
            <b/>
            <sz val="9"/>
            <color indexed="81"/>
            <rFont val="Segoe UI"/>
            <family val="2"/>
          </rPr>
          <t>Info: nicht vorgebohrt</t>
        </r>
      </text>
    </comment>
    <comment ref="Q365" authorId="0" shapeId="0" xr:uid="{99AD063F-78DA-4F30-843B-6CAE2A814868}">
      <text>
        <r>
          <rPr>
            <b/>
            <sz val="9"/>
            <color indexed="81"/>
            <rFont val="Segoe UI"/>
            <family val="2"/>
          </rPr>
          <t>Info: vorgebohrt</t>
        </r>
      </text>
    </comment>
    <comment ref="U365" authorId="0" shapeId="0" xr:uid="{64F34953-0B75-4EC9-BE62-9A213E9540C8}">
      <text>
        <r>
          <rPr>
            <b/>
            <sz val="9"/>
            <color indexed="81"/>
            <rFont val="Segoe UI"/>
            <family val="2"/>
          </rPr>
          <t>Info: nicht vorgebohrt</t>
        </r>
      </text>
    </comment>
    <comment ref="E395" authorId="0" shapeId="0" xr:uid="{10E8F442-B8FB-4959-94A7-BF02E84EDFD8}">
      <text>
        <r>
          <rPr>
            <b/>
            <sz val="9"/>
            <color indexed="81"/>
            <rFont val="Segoe UI"/>
            <family val="2"/>
          </rPr>
          <t>Info: nicht vorgebohrt</t>
        </r>
      </text>
    </comment>
    <comment ref="L395" authorId="0" shapeId="0" xr:uid="{FEF1CC4C-9124-4FCA-A3A7-EDB03C5525F6}">
      <text>
        <r>
          <rPr>
            <b/>
            <sz val="9"/>
            <color indexed="81"/>
            <rFont val="Segoe UI"/>
            <family val="2"/>
          </rPr>
          <t>Info:</t>
        </r>
        <r>
          <rPr>
            <sz val="9"/>
            <color indexed="81"/>
            <rFont val="Segoe UI"/>
            <family val="2"/>
          </rPr>
          <t xml:space="preserve">
(0,082*rk*d^-0,3/(2,5*cos(a)^2+sin(a)^2) mit Winkel 45° wird eine höhere Lochleibungsfestigkeit erreicht. Wird in der ETA-15/0667 nicht berücksichtigt. </t>
        </r>
      </text>
    </comment>
    <comment ref="M395" authorId="0" shapeId="0" xr:uid="{46490B69-9944-46A9-9533-41C16FD6096E}">
      <text>
        <r>
          <rPr>
            <b/>
            <sz val="9"/>
            <color indexed="81"/>
            <rFont val="Segoe UI"/>
            <family val="2"/>
          </rPr>
          <t>Info: nicht vorgebohrt</t>
        </r>
      </text>
    </comment>
    <comment ref="O395" authorId="0" shapeId="0" xr:uid="{B9A0EF67-DCED-49AC-B40A-CA3BEC7AAAC9}">
      <text>
        <r>
          <rPr>
            <b/>
            <sz val="9"/>
            <color indexed="81"/>
            <rFont val="Segoe UI"/>
            <family val="2"/>
          </rPr>
          <t>Info: vorgebohrt</t>
        </r>
      </text>
    </comment>
    <comment ref="Q395" authorId="0" shapeId="0" xr:uid="{E123240C-8FFD-4849-989B-075793E05839}">
      <text>
        <r>
          <rPr>
            <b/>
            <sz val="9"/>
            <color indexed="81"/>
            <rFont val="Segoe UI"/>
            <family val="2"/>
          </rPr>
          <t>Info: vorgebohrt</t>
        </r>
      </text>
    </comment>
    <comment ref="U395" authorId="0" shapeId="0" xr:uid="{F6FAD03E-B954-459E-8EB2-37D537ACE316}">
      <text>
        <r>
          <rPr>
            <b/>
            <sz val="9"/>
            <color indexed="81"/>
            <rFont val="Segoe UI"/>
            <family val="2"/>
          </rPr>
          <t>Info: nicht vorgebohrt</t>
        </r>
      </text>
    </comment>
    <comment ref="E415" authorId="0" shapeId="0" xr:uid="{CD9EF9D5-92A8-4C33-8FC9-61F96FAFA4DE}">
      <text>
        <r>
          <rPr>
            <b/>
            <sz val="9"/>
            <color indexed="81"/>
            <rFont val="Segoe UI"/>
            <family val="2"/>
          </rPr>
          <t>Info: nicht vorgebohrt</t>
        </r>
      </text>
    </comment>
    <comment ref="M415" authorId="0" shapeId="0" xr:uid="{D91F6682-74BB-4C12-AC9A-9F45E10D981D}">
      <text>
        <r>
          <rPr>
            <b/>
            <sz val="9"/>
            <color indexed="81"/>
            <rFont val="Segoe UI"/>
            <family val="2"/>
          </rPr>
          <t>Info: nicht vorgebohrt</t>
        </r>
      </text>
    </comment>
    <comment ref="O415" authorId="0" shapeId="0" xr:uid="{4D481776-15D7-40CB-AD6C-85E0409323FF}">
      <text>
        <r>
          <rPr>
            <b/>
            <sz val="9"/>
            <color indexed="81"/>
            <rFont val="Segoe UI"/>
            <family val="2"/>
          </rPr>
          <t>Info: vorgebohrt</t>
        </r>
      </text>
    </comment>
    <comment ref="Q415" authorId="0" shapeId="0" xr:uid="{11DAC640-ED26-40BE-BB62-80776228EFA5}">
      <text>
        <r>
          <rPr>
            <b/>
            <sz val="9"/>
            <color indexed="81"/>
            <rFont val="Segoe UI"/>
            <family val="2"/>
          </rPr>
          <t>Info: vorgebohrt</t>
        </r>
      </text>
    </comment>
    <comment ref="U415" authorId="0" shapeId="0" xr:uid="{9AED9BCD-EDC4-4A98-AE5F-C210F9521180}">
      <text>
        <r>
          <rPr>
            <b/>
            <sz val="9"/>
            <color indexed="81"/>
            <rFont val="Segoe UI"/>
            <family val="2"/>
          </rPr>
          <t>Info: nicht vorgebohrt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Andy Böhringer</author>
    <author>Philipp Appel</author>
  </authors>
  <commentList>
    <comment ref="X21" authorId="0" shapeId="0" xr:uid="{666F95FF-8EDA-4F0E-84BA-2E00983FB004}">
      <text>
        <r>
          <rPr>
            <b/>
            <sz val="9"/>
            <color indexed="81"/>
            <rFont val="Segoe UI"/>
            <family val="2"/>
          </rPr>
          <t>Andy Böhringer:</t>
        </r>
        <r>
          <rPr>
            <sz val="9"/>
            <color indexed="81"/>
            <rFont val="Segoe UI"/>
            <family val="2"/>
          </rPr>
          <t xml:space="preserve">
Begrenzt auf 590 kg/m³</t>
        </r>
      </text>
    </comment>
    <comment ref="Y21" authorId="0" shapeId="0" xr:uid="{4F35F74B-63E1-43F5-949F-9658623E280C}">
      <text>
        <r>
          <rPr>
            <b/>
            <sz val="9"/>
            <color indexed="81"/>
            <rFont val="Segoe UI"/>
            <family val="2"/>
          </rPr>
          <t>Andy Böhringer:</t>
        </r>
        <r>
          <rPr>
            <sz val="9"/>
            <color indexed="81"/>
            <rFont val="Segoe UI"/>
            <family val="2"/>
          </rPr>
          <t xml:space="preserve">
Begrenzt auf 590 kg/m³</t>
        </r>
      </text>
    </comment>
    <comment ref="Z21" authorId="0" shapeId="0" xr:uid="{119B5AC9-B088-46B0-8120-18ADABA9A468}">
      <text>
        <r>
          <rPr>
            <b/>
            <sz val="9"/>
            <color indexed="81"/>
            <rFont val="Segoe UI"/>
            <family val="2"/>
          </rPr>
          <t>Andy Böhringer:</t>
        </r>
        <r>
          <rPr>
            <sz val="9"/>
            <color indexed="81"/>
            <rFont val="Segoe UI"/>
            <family val="2"/>
          </rPr>
          <t xml:space="preserve">
Begrenzt auf 590 kg/m³</t>
        </r>
      </text>
    </comment>
    <comment ref="AA21" authorId="0" shapeId="0" xr:uid="{D8A7CCEB-9E40-4FA9-A531-698F0A30E538}">
      <text>
        <r>
          <rPr>
            <b/>
            <sz val="9"/>
            <color indexed="81"/>
            <rFont val="Segoe UI"/>
            <family val="2"/>
          </rPr>
          <t>Andy Böhringer:</t>
        </r>
        <r>
          <rPr>
            <sz val="9"/>
            <color indexed="81"/>
            <rFont val="Segoe UI"/>
            <family val="2"/>
          </rPr>
          <t xml:space="preserve">
Begrenzt auf 590 kg/m³</t>
        </r>
      </text>
    </comment>
    <comment ref="AB21" authorId="0" shapeId="0" xr:uid="{04276A34-8149-4EDC-B976-37E5E53B37F3}">
      <text>
        <r>
          <rPr>
            <b/>
            <sz val="9"/>
            <color indexed="81"/>
            <rFont val="Segoe UI"/>
            <family val="2"/>
          </rPr>
          <t>Andy Böhringer:</t>
        </r>
        <r>
          <rPr>
            <sz val="9"/>
            <color indexed="81"/>
            <rFont val="Segoe UI"/>
            <family val="2"/>
          </rPr>
          <t xml:space="preserve">
Begrenzt auf 590 kg/m³</t>
        </r>
      </text>
    </comment>
    <comment ref="AC21" authorId="0" shapeId="0" xr:uid="{88CE3A13-1DC8-43AE-9D27-BD335EDA65E0}">
      <text>
        <r>
          <rPr>
            <b/>
            <sz val="9"/>
            <color indexed="81"/>
            <rFont val="Segoe UI"/>
            <family val="2"/>
          </rPr>
          <t>Andy Böhringer:</t>
        </r>
        <r>
          <rPr>
            <sz val="9"/>
            <color indexed="81"/>
            <rFont val="Segoe UI"/>
            <family val="2"/>
          </rPr>
          <t xml:space="preserve">
Begrenzt auf 590 kg/m³</t>
        </r>
      </text>
    </comment>
    <comment ref="AD21" authorId="0" shapeId="0" xr:uid="{4D534715-352C-4E38-A6BF-24CFADEDCDEC}">
      <text>
        <r>
          <rPr>
            <b/>
            <sz val="9"/>
            <color indexed="81"/>
            <rFont val="Segoe UI"/>
            <family val="2"/>
          </rPr>
          <t>Andy Böhringer:</t>
        </r>
        <r>
          <rPr>
            <sz val="9"/>
            <color indexed="81"/>
            <rFont val="Segoe UI"/>
            <family val="2"/>
          </rPr>
          <t xml:space="preserve">
Begrenzt auf 590 kg/m³</t>
        </r>
      </text>
    </comment>
    <comment ref="B90" authorId="1" shapeId="0" xr:uid="{20F68E3E-6C4B-465D-B248-0FF8B0AAC559}">
      <text>
        <r>
          <rPr>
            <b/>
            <sz val="9"/>
            <color indexed="81"/>
            <rFont val="Segoe UI"/>
            <family val="2"/>
          </rPr>
          <t>Philipp Appel:</t>
        </r>
        <r>
          <rPr>
            <sz val="9"/>
            <color indexed="81"/>
            <rFont val="Segoe UI"/>
            <family val="2"/>
          </rPr>
          <t xml:space="preserve">
Anzahl der Schrauben die in Kraftrichtung wirken: ETA-15/0667 Anhang 5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5">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futureMetadata>
  <cellMetadata count="1">
    <bk>
      <rc t="1" v="0"/>
    </bk>
  </cellMetadata>
  <valueMetadata count="25">
    <bk>
      <rc t="2" v="0"/>
    </bk>
    <bk>
      <rc t="2" v="1"/>
    </bk>
    <bk>
      <rc t="2" v="2"/>
    </bk>
    <bk>
      <rc t="2" v="3"/>
    </bk>
    <bk>
      <rc t="2" v="4"/>
    </bk>
    <bk>
      <rc t="2" v="5"/>
    </bk>
    <bk>
      <rc t="2" v="6"/>
    </bk>
    <bk>
      <rc t="2" v="7"/>
    </bk>
    <bk>
      <rc t="2" v="8"/>
    </bk>
    <bk>
      <rc t="2" v="9"/>
    </bk>
    <bk>
      <rc t="2" v="10"/>
    </bk>
    <bk>
      <rc t="2" v="11"/>
    </bk>
    <bk>
      <rc t="2" v="12"/>
    </bk>
    <bk>
      <rc t="2" v="13"/>
    </bk>
    <bk>
      <rc t="2" v="14"/>
    </bk>
    <bk>
      <rc t="2" v="15"/>
    </bk>
    <bk>
      <rc t="2" v="16"/>
    </bk>
    <bk>
      <rc t="2" v="17"/>
    </bk>
    <bk>
      <rc t="2" v="18"/>
    </bk>
    <bk>
      <rc t="2" v="19"/>
    </bk>
    <bk>
      <rc t="2" v="20"/>
    </bk>
    <bk>
      <rc t="2" v="21"/>
    </bk>
    <bk>
      <rc t="2" v="22"/>
    </bk>
    <bk>
      <rc t="2" v="23"/>
    </bk>
    <bk>
      <rc t="2" v="24"/>
    </bk>
  </valueMetadata>
</metadata>
</file>

<file path=xl/sharedStrings.xml><?xml version="1.0" encoding="utf-8"?>
<sst xmlns="http://schemas.openxmlformats.org/spreadsheetml/2006/main" count="7531" uniqueCount="2686">
  <si>
    <t>Brettschichtholz</t>
  </si>
  <si>
    <t>Hebelarm</t>
  </si>
  <si>
    <t>mm</t>
  </si>
  <si>
    <t>N/mm²</t>
  </si>
  <si>
    <t>N/mm</t>
  </si>
  <si>
    <t>N</t>
  </si>
  <si>
    <t>HT</t>
  </si>
  <si>
    <t>NT</t>
  </si>
  <si>
    <t>Schraubenanschluss HT</t>
  </si>
  <si>
    <t>alpha</t>
  </si>
  <si>
    <t>n</t>
  </si>
  <si>
    <t>Schraubenanschluss NT</t>
  </si>
  <si>
    <t>MEGANT</t>
  </si>
  <si>
    <t>Verhältnis</t>
  </si>
  <si>
    <t>Plausibilitätskontrolle (Zug ungefähr gleich Druck)</t>
  </si>
  <si>
    <t>Ermittlung Drehfedersteifigkeiten</t>
  </si>
  <si>
    <t>Nmm</t>
  </si>
  <si>
    <t>Materialkategorie</t>
  </si>
  <si>
    <t>Vollholz aus NH</t>
  </si>
  <si>
    <t>Vollholz aus LH</t>
  </si>
  <si>
    <t>Normativer Bezug</t>
  </si>
  <si>
    <t>DIN EN 338:2016-07, Tab. 1</t>
  </si>
  <si>
    <t>DIN EN 338:2016-07, Tab. 3</t>
  </si>
  <si>
    <t>DIN EN 14080:2013-09, Tab. 4</t>
  </si>
  <si>
    <t>DIN EN 14080:2013-09, Tab. 5</t>
  </si>
  <si>
    <t>ETA-14/0354 (vom 20.09.2021) mit Leistungserklärung (vom 25.02.2021)</t>
  </si>
  <si>
    <t>Festigkeitsklasse</t>
  </si>
  <si>
    <t>C24</t>
  </si>
  <si>
    <t>C27</t>
  </si>
  <si>
    <t>C30</t>
  </si>
  <si>
    <t>C35</t>
  </si>
  <si>
    <t>C40</t>
  </si>
  <si>
    <t>C45</t>
  </si>
  <si>
    <t>C50</t>
  </si>
  <si>
    <t>D24</t>
  </si>
  <si>
    <t>D27</t>
  </si>
  <si>
    <t>D30</t>
  </si>
  <si>
    <t>D35</t>
  </si>
  <si>
    <t>D40</t>
  </si>
  <si>
    <t>D45</t>
  </si>
  <si>
    <t>D50</t>
  </si>
  <si>
    <t>D55</t>
  </si>
  <si>
    <t>D60</t>
  </si>
  <si>
    <t>D65</t>
  </si>
  <si>
    <t>D70</t>
  </si>
  <si>
    <t>D75</t>
  </si>
  <si>
    <t>D80</t>
  </si>
  <si>
    <t>GL24c</t>
  </si>
  <si>
    <t>GL26c</t>
  </si>
  <si>
    <t>GL28c</t>
  </si>
  <si>
    <t>GL30c</t>
  </si>
  <si>
    <t>GL32c</t>
  </si>
  <si>
    <t>GL24h</t>
  </si>
  <si>
    <t>GL26h</t>
  </si>
  <si>
    <t>GL28h</t>
  </si>
  <si>
    <t>GL30h</t>
  </si>
  <si>
    <t>GL32h</t>
  </si>
  <si>
    <t>GL75</t>
  </si>
  <si>
    <t>Biegung</t>
  </si>
  <si>
    <r>
      <t>f</t>
    </r>
    <r>
      <rPr>
        <vertAlign val="subscript"/>
        <sz val="10"/>
        <color theme="1"/>
        <rFont val="Calibri"/>
        <family val="2"/>
        <scheme val="minor"/>
      </rPr>
      <t>m,k</t>
    </r>
  </si>
  <si>
    <t>[N/mm²]</t>
  </si>
  <si>
    <t>Zug in Faserrichtung</t>
  </si>
  <si>
    <r>
      <t>f</t>
    </r>
    <r>
      <rPr>
        <vertAlign val="subscript"/>
        <sz val="10"/>
        <color theme="1"/>
        <rFont val="Calibri"/>
        <family val="2"/>
        <scheme val="minor"/>
      </rPr>
      <t>t,0,k</t>
    </r>
  </si>
  <si>
    <t>Zug rechtwinklig zur Faserrichtung</t>
  </si>
  <si>
    <r>
      <t>f</t>
    </r>
    <r>
      <rPr>
        <vertAlign val="subscript"/>
        <sz val="10"/>
        <color theme="1"/>
        <rFont val="Calibri"/>
        <family val="2"/>
        <scheme val="minor"/>
      </rPr>
      <t>t,90,k</t>
    </r>
  </si>
  <si>
    <t>Druck in Faserrichtung</t>
  </si>
  <si>
    <r>
      <t>f</t>
    </r>
    <r>
      <rPr>
        <vertAlign val="subscript"/>
        <sz val="10"/>
        <color theme="1"/>
        <rFont val="Calibri"/>
        <family val="2"/>
        <scheme val="minor"/>
      </rPr>
      <t>c,0,k</t>
    </r>
  </si>
  <si>
    <t>Druck rechtwinklig zur Faserrichtung</t>
  </si>
  <si>
    <r>
      <t>f</t>
    </r>
    <r>
      <rPr>
        <vertAlign val="subscript"/>
        <sz val="10"/>
        <color theme="1"/>
        <rFont val="Calibri"/>
        <family val="2"/>
        <scheme val="minor"/>
      </rPr>
      <t>c,90,k</t>
    </r>
  </si>
  <si>
    <t>Schub</t>
  </si>
  <si>
    <r>
      <t>f</t>
    </r>
    <r>
      <rPr>
        <vertAlign val="subscript"/>
        <sz val="10"/>
        <color theme="1"/>
        <rFont val="Calibri"/>
        <family val="2"/>
        <scheme val="minor"/>
      </rPr>
      <t>v,k</t>
    </r>
  </si>
  <si>
    <t>Rollschubfestigkeit</t>
  </si>
  <si>
    <r>
      <t>f</t>
    </r>
    <r>
      <rPr>
        <vertAlign val="subscript"/>
        <sz val="10"/>
        <color theme="1"/>
        <rFont val="Calibri"/>
        <family val="2"/>
        <scheme val="minor"/>
      </rPr>
      <t>v,r,k</t>
    </r>
  </si>
  <si>
    <t>Elastizitätsmodul Biegung 0° - Mittelwert</t>
  </si>
  <si>
    <r>
      <t>E</t>
    </r>
    <r>
      <rPr>
        <vertAlign val="subscript"/>
        <sz val="10"/>
        <color theme="1"/>
        <rFont val="Calibri"/>
        <family val="2"/>
        <scheme val="minor"/>
      </rPr>
      <t>m,0,mean</t>
    </r>
  </si>
  <si>
    <t>Elastizitätsmodul Biegung 0° - 5%-Fraktile</t>
  </si>
  <si>
    <r>
      <t>E</t>
    </r>
    <r>
      <rPr>
        <vertAlign val="subscript"/>
        <sz val="10"/>
        <color theme="1"/>
        <rFont val="Calibri"/>
        <family val="2"/>
        <scheme val="minor"/>
      </rPr>
      <t>m,0,05</t>
    </r>
  </si>
  <si>
    <t>Elastizitätsmodul Biegung 90° - Mittelwert</t>
  </si>
  <si>
    <r>
      <t>E</t>
    </r>
    <r>
      <rPr>
        <vertAlign val="subscript"/>
        <sz val="10"/>
        <color theme="1"/>
        <rFont val="Calibri"/>
        <family val="2"/>
        <scheme val="minor"/>
      </rPr>
      <t>90,mean</t>
    </r>
  </si>
  <si>
    <t>Elastizitätsmodul Biegung 90° - 5%-Fraktile</t>
  </si>
  <si>
    <r>
      <t>E</t>
    </r>
    <r>
      <rPr>
        <vertAlign val="subscript"/>
        <sz val="10"/>
        <color theme="1"/>
        <rFont val="Calibri"/>
        <family val="2"/>
        <scheme val="minor"/>
      </rPr>
      <t>90,05</t>
    </r>
  </si>
  <si>
    <t>Schubmodul - Mittelwert</t>
  </si>
  <si>
    <r>
      <t>G</t>
    </r>
    <r>
      <rPr>
        <vertAlign val="subscript"/>
        <sz val="10"/>
        <color theme="1"/>
        <rFont val="Calibri"/>
        <family val="2"/>
        <scheme val="minor"/>
      </rPr>
      <t>mean</t>
    </r>
  </si>
  <si>
    <t>Schubmodul - 5%-Fraktile</t>
  </si>
  <si>
    <r>
      <t>G</t>
    </r>
    <r>
      <rPr>
        <vertAlign val="subscript"/>
        <sz val="10"/>
        <color theme="1"/>
        <rFont val="Calibri"/>
        <family val="2"/>
        <scheme val="minor"/>
      </rPr>
      <t>05</t>
    </r>
  </si>
  <si>
    <t>Rollschubmodul - Mittelwert</t>
  </si>
  <si>
    <r>
      <t>G</t>
    </r>
    <r>
      <rPr>
        <vertAlign val="subscript"/>
        <sz val="10"/>
        <color theme="1"/>
        <rFont val="Calibri"/>
        <family val="2"/>
        <scheme val="minor"/>
      </rPr>
      <t>r,mean</t>
    </r>
  </si>
  <si>
    <t>Rollschubmodul - 5%-Fraktile</t>
  </si>
  <si>
    <r>
      <t>G</t>
    </r>
    <r>
      <rPr>
        <vertAlign val="subscript"/>
        <sz val="10"/>
        <color theme="1"/>
        <rFont val="Calibri"/>
        <family val="2"/>
        <scheme val="minor"/>
      </rPr>
      <t>r,05</t>
    </r>
  </si>
  <si>
    <t>Rohdichte</t>
  </si>
  <si>
    <r>
      <rPr>
        <sz val="10"/>
        <color theme="1"/>
        <rFont val="Symbol"/>
        <family val="1"/>
        <charset val="2"/>
      </rPr>
      <t>r</t>
    </r>
    <r>
      <rPr>
        <vertAlign val="subscript"/>
        <sz val="10"/>
        <color theme="1"/>
        <rFont val="Calibri"/>
        <family val="2"/>
        <scheme val="minor"/>
      </rPr>
      <t>k</t>
    </r>
  </si>
  <si>
    <t>[kg/m³]</t>
  </si>
  <si>
    <t>Rohdichte - Mittelwert</t>
  </si>
  <si>
    <r>
      <rPr>
        <sz val="10"/>
        <color theme="1"/>
        <rFont val="Symbol"/>
        <family val="1"/>
        <charset val="2"/>
      </rPr>
      <t>r</t>
    </r>
    <r>
      <rPr>
        <vertAlign val="subscript"/>
        <sz val="10"/>
        <color theme="1"/>
        <rFont val="Calibri"/>
        <family val="2"/>
        <scheme val="minor"/>
      </rPr>
      <t>mean</t>
    </r>
  </si>
  <si>
    <t>Hauptträger</t>
  </si>
  <si>
    <t>Nebenträger</t>
  </si>
  <si>
    <r>
      <t>M</t>
    </r>
    <r>
      <rPr>
        <vertAlign val="subscript"/>
        <sz val="10"/>
        <color theme="1"/>
        <rFont val="Century Gothic"/>
        <family val="2"/>
      </rPr>
      <t>2,Rk</t>
    </r>
  </si>
  <si>
    <t>in kNm</t>
  </si>
  <si>
    <t>in kNm/rad</t>
  </si>
  <si>
    <t>in mm</t>
  </si>
  <si>
    <r>
      <t>n</t>
    </r>
    <r>
      <rPr>
        <vertAlign val="subscript"/>
        <sz val="10"/>
        <color theme="1"/>
        <rFont val="Century Gothic"/>
        <family val="2"/>
      </rPr>
      <t>45</t>
    </r>
  </si>
  <si>
    <r>
      <t>x</t>
    </r>
    <r>
      <rPr>
        <vertAlign val="subscript"/>
        <sz val="10"/>
        <color theme="1"/>
        <rFont val="Century Gothic"/>
        <family val="2"/>
      </rPr>
      <t>s</t>
    </r>
  </si>
  <si>
    <r>
      <t>z</t>
    </r>
    <r>
      <rPr>
        <vertAlign val="subscript"/>
        <sz val="10"/>
        <color theme="1"/>
        <rFont val="Century Gothic"/>
        <family val="2"/>
      </rPr>
      <t>s</t>
    </r>
  </si>
  <si>
    <t>W</t>
  </si>
  <si>
    <t>H</t>
  </si>
  <si>
    <r>
      <t>x</t>
    </r>
    <r>
      <rPr>
        <vertAlign val="subscript"/>
        <sz val="10"/>
        <color theme="1"/>
        <rFont val="Century Gothic"/>
        <family val="2"/>
      </rPr>
      <t>i</t>
    </r>
  </si>
  <si>
    <r>
      <t>z</t>
    </r>
    <r>
      <rPr>
        <vertAlign val="subscript"/>
        <sz val="10"/>
        <color theme="1"/>
        <rFont val="Century Gothic"/>
        <family val="2"/>
      </rPr>
      <t>i</t>
    </r>
  </si>
  <si>
    <r>
      <t>z'</t>
    </r>
    <r>
      <rPr>
        <vertAlign val="subscript"/>
        <sz val="10"/>
        <color theme="1"/>
        <rFont val="Century Gothic"/>
        <family val="2"/>
      </rPr>
      <t>i</t>
    </r>
  </si>
  <si>
    <t>Schrauben</t>
  </si>
  <si>
    <t>L</t>
  </si>
  <si>
    <t>B</t>
  </si>
  <si>
    <t>d</t>
  </si>
  <si>
    <t>l</t>
  </si>
  <si>
    <r>
      <t>l</t>
    </r>
    <r>
      <rPr>
        <vertAlign val="subscript"/>
        <sz val="10"/>
        <color theme="1"/>
        <rFont val="Century Gothic"/>
        <family val="2"/>
      </rPr>
      <t>ef</t>
    </r>
  </si>
  <si>
    <r>
      <t>a</t>
    </r>
    <r>
      <rPr>
        <vertAlign val="subscript"/>
        <sz val="10"/>
        <color theme="1"/>
        <rFont val="Century Gothic"/>
        <family val="2"/>
      </rPr>
      <t>i</t>
    </r>
  </si>
  <si>
    <t>kg/m³</t>
  </si>
  <si>
    <r>
      <t>w</t>
    </r>
    <r>
      <rPr>
        <vertAlign val="subscript"/>
        <sz val="10"/>
        <color theme="1"/>
        <rFont val="Century Gothic"/>
        <family val="2"/>
      </rPr>
      <t>ax,i</t>
    </r>
  </si>
  <si>
    <t>untere Spannbacke</t>
  </si>
  <si>
    <t>Biegezug</t>
  </si>
  <si>
    <t>unten</t>
  </si>
  <si>
    <t>BZ</t>
  </si>
  <si>
    <t>Spannbacke oben</t>
  </si>
  <si>
    <t xml:space="preserve">BZ </t>
  </si>
  <si>
    <t>Abkürzungen</t>
  </si>
  <si>
    <t>-</t>
  </si>
  <si>
    <t>in °</t>
  </si>
  <si>
    <t>in N</t>
  </si>
  <si>
    <t>in N/mm</t>
  </si>
  <si>
    <r>
      <t>e</t>
    </r>
    <r>
      <rPr>
        <vertAlign val="subscript"/>
        <sz val="10"/>
        <color theme="1"/>
        <rFont val="Century Gothic"/>
        <family val="2"/>
      </rPr>
      <t>lim,NT</t>
    </r>
  </si>
  <si>
    <r>
      <t>e</t>
    </r>
    <r>
      <rPr>
        <vertAlign val="subscript"/>
        <sz val="10"/>
        <color theme="1"/>
        <rFont val="Century Gothic"/>
        <family val="2"/>
      </rPr>
      <t>lim,HT</t>
    </r>
  </si>
  <si>
    <r>
      <rPr>
        <sz val="10"/>
        <color theme="1"/>
        <rFont val="Symbol"/>
        <family val="1"/>
        <charset val="2"/>
      </rPr>
      <t>S</t>
    </r>
    <r>
      <rPr>
        <sz val="10"/>
        <color theme="1"/>
        <rFont val="Century Gothic"/>
        <family val="2"/>
      </rPr>
      <t>F</t>
    </r>
    <r>
      <rPr>
        <vertAlign val="subscript"/>
        <sz val="10"/>
        <color theme="1"/>
        <rFont val="Century Gothic"/>
        <family val="2"/>
      </rPr>
      <t>ax,i</t>
    </r>
  </si>
  <si>
    <r>
      <t>F</t>
    </r>
    <r>
      <rPr>
        <vertAlign val="subscript"/>
        <sz val="10"/>
        <color theme="1"/>
        <rFont val="Century Gothic"/>
        <family val="2"/>
      </rPr>
      <t>ax,i</t>
    </r>
  </si>
  <si>
    <r>
      <t>K</t>
    </r>
    <r>
      <rPr>
        <vertAlign val="subscript"/>
        <sz val="10"/>
        <color theme="1"/>
        <rFont val="Century Gothic"/>
        <family val="2"/>
      </rPr>
      <t>ax,i</t>
    </r>
  </si>
  <si>
    <r>
      <t>a</t>
    </r>
    <r>
      <rPr>
        <vertAlign val="subscript"/>
        <sz val="10"/>
        <color theme="1"/>
        <rFont val="Century Gothic"/>
        <family val="2"/>
      </rPr>
      <t>max</t>
    </r>
  </si>
  <si>
    <r>
      <t>f</t>
    </r>
    <r>
      <rPr>
        <vertAlign val="subscript"/>
        <sz val="10"/>
        <color theme="1"/>
        <rFont val="Century Gothic"/>
        <family val="2"/>
      </rPr>
      <t>c,90,k</t>
    </r>
  </si>
  <si>
    <r>
      <t>s</t>
    </r>
    <r>
      <rPr>
        <vertAlign val="subscript"/>
        <sz val="10"/>
        <color theme="1"/>
        <rFont val="Century Gothic"/>
        <family val="2"/>
      </rPr>
      <t>c,90,k</t>
    </r>
  </si>
  <si>
    <r>
      <t>k</t>
    </r>
    <r>
      <rPr>
        <vertAlign val="subscript"/>
        <sz val="10"/>
        <color theme="1"/>
        <rFont val="Century Gothic"/>
        <family val="2"/>
      </rPr>
      <t>c,90</t>
    </r>
  </si>
  <si>
    <r>
      <t>k</t>
    </r>
    <r>
      <rPr>
        <vertAlign val="subscript"/>
        <sz val="10"/>
        <color theme="1"/>
        <rFont val="Century Gothic"/>
        <family val="2"/>
      </rPr>
      <t>b</t>
    </r>
  </si>
  <si>
    <r>
      <t>k</t>
    </r>
    <r>
      <rPr>
        <vertAlign val="subscript"/>
        <sz val="10"/>
        <color theme="1"/>
        <rFont val="Century Gothic"/>
        <family val="2"/>
      </rPr>
      <t>a</t>
    </r>
  </si>
  <si>
    <r>
      <t>w</t>
    </r>
    <r>
      <rPr>
        <vertAlign val="subscript"/>
        <sz val="10"/>
        <color theme="1"/>
        <rFont val="Century Gothic"/>
        <family val="2"/>
      </rPr>
      <t>Druck</t>
    </r>
  </si>
  <si>
    <r>
      <t>s</t>
    </r>
    <r>
      <rPr>
        <vertAlign val="subscript"/>
        <sz val="10"/>
        <color theme="1"/>
        <rFont val="Century Gothic"/>
        <family val="2"/>
      </rPr>
      <t>c,90,k</t>
    </r>
    <r>
      <rPr>
        <sz val="10"/>
        <color theme="1"/>
        <rFont val="Century Gothic"/>
        <family val="2"/>
      </rPr>
      <t xml:space="preserve"> </t>
    </r>
    <r>
      <rPr>
        <sz val="10"/>
        <color theme="1"/>
        <rFont val="Symbol"/>
        <family val="1"/>
        <charset val="2"/>
      </rPr>
      <t>×</t>
    </r>
    <r>
      <rPr>
        <sz val="10"/>
        <color theme="1"/>
        <rFont val="Century Gothic"/>
        <family val="2"/>
      </rPr>
      <t xml:space="preserve"> x/2</t>
    </r>
  </si>
  <si>
    <r>
      <rPr>
        <sz val="10"/>
        <color theme="1"/>
        <rFont val="Symbol"/>
        <family val="1"/>
        <charset val="2"/>
      </rPr>
      <t>S</t>
    </r>
    <r>
      <rPr>
        <sz val="10"/>
        <color theme="1"/>
        <rFont val="Century Gothic"/>
        <family val="2"/>
      </rPr>
      <t>a</t>
    </r>
    <r>
      <rPr>
        <vertAlign val="subscript"/>
        <sz val="10"/>
        <color theme="1"/>
        <rFont val="Century Gothic"/>
        <family val="2"/>
      </rPr>
      <t>i</t>
    </r>
  </si>
  <si>
    <r>
      <t>F</t>
    </r>
    <r>
      <rPr>
        <vertAlign val="subscript"/>
        <sz val="10"/>
        <color theme="1"/>
        <rFont val="Century Gothic"/>
        <family val="2"/>
      </rPr>
      <t>ax,max</t>
    </r>
  </si>
  <si>
    <r>
      <t>l</t>
    </r>
    <r>
      <rPr>
        <vertAlign val="subscript"/>
        <sz val="10"/>
        <color theme="1"/>
        <rFont val="Century Gothic"/>
        <family val="2"/>
      </rPr>
      <t>dis</t>
    </r>
  </si>
  <si>
    <r>
      <t>s</t>
    </r>
    <r>
      <rPr>
        <vertAlign val="subscript"/>
        <sz val="10"/>
        <color theme="1"/>
        <rFont val="Century Gothic"/>
        <family val="2"/>
      </rPr>
      <t>c,0,k</t>
    </r>
  </si>
  <si>
    <t>Ermittlung Holzdrucktragfähigkeiten (Blaß/Windeck 2018)</t>
  </si>
  <si>
    <t>Abstand von der Seitenkante des Verbinders</t>
  </si>
  <si>
    <t>Abstand von der Oberkante des Verbinders</t>
  </si>
  <si>
    <r>
      <t>z</t>
    </r>
    <r>
      <rPr>
        <vertAlign val="subscript"/>
        <sz val="10"/>
        <color theme="1"/>
        <rFont val="Century Gothic"/>
        <family val="2"/>
      </rPr>
      <t xml:space="preserve">i </t>
    </r>
  </si>
  <si>
    <t>Verbindergrößen</t>
  </si>
  <si>
    <t>Farben</t>
  </si>
  <si>
    <t>90°-Schrauben in Spannbacke</t>
  </si>
  <si>
    <t>90°-Schrauben im Verbinder</t>
  </si>
  <si>
    <t>45°-Schrauben im Verbinder</t>
  </si>
  <si>
    <r>
      <rPr>
        <sz val="10"/>
        <color theme="1"/>
        <rFont val="Symbol"/>
        <family val="1"/>
        <charset val="2"/>
      </rPr>
      <t>D</t>
    </r>
    <r>
      <rPr>
        <sz val="10"/>
        <color theme="1"/>
        <rFont val="Century Gothic"/>
        <family val="2"/>
      </rPr>
      <t>l</t>
    </r>
    <r>
      <rPr>
        <vertAlign val="subscript"/>
        <sz val="10"/>
        <color theme="1"/>
        <rFont val="Century Gothic"/>
        <family val="2"/>
      </rPr>
      <t>ef,1</t>
    </r>
  </si>
  <si>
    <r>
      <rPr>
        <sz val="10"/>
        <color theme="1"/>
        <rFont val="Symbol"/>
        <family val="1"/>
        <charset val="2"/>
      </rPr>
      <t>D</t>
    </r>
    <r>
      <rPr>
        <sz val="10"/>
        <color theme="1"/>
        <rFont val="Century Gothic"/>
        <family val="2"/>
      </rPr>
      <t>l</t>
    </r>
    <r>
      <rPr>
        <vertAlign val="subscript"/>
        <sz val="10"/>
        <color theme="1"/>
        <rFont val="Century Gothic"/>
        <family val="2"/>
      </rPr>
      <t>ef,2</t>
    </r>
    <r>
      <rPr>
        <sz val="11"/>
        <color theme="1"/>
        <rFont val="Calibri"/>
        <family val="2"/>
        <scheme val="minor"/>
      </rPr>
      <t/>
    </r>
  </si>
  <si>
    <r>
      <rPr>
        <sz val="10"/>
        <color theme="1"/>
        <rFont val="Symbol"/>
        <family val="1"/>
        <charset val="2"/>
      </rPr>
      <t>D</t>
    </r>
    <r>
      <rPr>
        <sz val="10"/>
        <color theme="1"/>
        <rFont val="Century Gothic"/>
        <family val="2"/>
      </rPr>
      <t>l</t>
    </r>
    <r>
      <rPr>
        <vertAlign val="subscript"/>
        <sz val="10"/>
        <color theme="1"/>
        <rFont val="Century Gothic"/>
        <family val="2"/>
      </rPr>
      <t>ef,3</t>
    </r>
    <r>
      <rPr>
        <sz val="11"/>
        <color theme="1"/>
        <rFont val="Calibri"/>
        <family val="2"/>
        <scheme val="minor"/>
      </rPr>
      <t/>
    </r>
  </si>
  <si>
    <r>
      <rPr>
        <sz val="10"/>
        <color theme="1"/>
        <rFont val="Symbol"/>
        <family val="1"/>
        <charset val="2"/>
      </rPr>
      <t>D</t>
    </r>
    <r>
      <rPr>
        <sz val="10"/>
        <color theme="1"/>
        <rFont val="Century Gothic"/>
        <family val="2"/>
      </rPr>
      <t>l</t>
    </r>
    <r>
      <rPr>
        <vertAlign val="subscript"/>
        <sz val="10"/>
        <color theme="1"/>
        <rFont val="Century Gothic"/>
        <family val="2"/>
      </rPr>
      <t>ef,4</t>
    </r>
    <r>
      <rPr>
        <sz val="11"/>
        <color theme="1"/>
        <rFont val="Calibri"/>
        <family val="2"/>
        <scheme val="minor"/>
      </rPr>
      <t/>
    </r>
  </si>
  <si>
    <r>
      <t>d</t>
    </r>
    <r>
      <rPr>
        <vertAlign val="subscript"/>
        <sz val="10"/>
        <color theme="1"/>
        <rFont val="Century Gothic"/>
        <family val="2"/>
      </rPr>
      <t>i</t>
    </r>
    <r>
      <rPr>
        <sz val="10"/>
        <color theme="1"/>
        <rFont val="Century Gothic"/>
        <family val="2"/>
      </rPr>
      <t>(x</t>
    </r>
    <r>
      <rPr>
        <vertAlign val="subscript"/>
        <sz val="10"/>
        <color theme="1"/>
        <rFont val="Century Gothic"/>
        <family val="2"/>
      </rPr>
      <t>i</t>
    </r>
    <r>
      <rPr>
        <sz val="10"/>
        <color theme="1"/>
        <rFont val="Century Gothic"/>
        <family val="2"/>
      </rPr>
      <t>,z</t>
    </r>
    <r>
      <rPr>
        <vertAlign val="subscript"/>
        <sz val="10"/>
        <color theme="1"/>
        <rFont val="Century Gothic"/>
        <family val="2"/>
      </rPr>
      <t>i</t>
    </r>
    <r>
      <rPr>
        <sz val="10"/>
        <color theme="1"/>
        <rFont val="Century Gothic"/>
        <family val="2"/>
      </rPr>
      <t>)</t>
    </r>
  </si>
  <si>
    <r>
      <t>n</t>
    </r>
    <r>
      <rPr>
        <vertAlign val="subscript"/>
        <sz val="10"/>
        <color theme="1"/>
        <rFont val="Century Gothic"/>
        <family val="2"/>
      </rPr>
      <t>45,J/H</t>
    </r>
  </si>
  <si>
    <r>
      <t>n</t>
    </r>
    <r>
      <rPr>
        <vertAlign val="subscript"/>
        <sz val="10"/>
        <color theme="1"/>
        <rFont val="Century Gothic"/>
        <family val="2"/>
      </rPr>
      <t>90,J/H</t>
    </r>
  </si>
  <si>
    <t>nur 45° Schrauben</t>
  </si>
  <si>
    <t>nur 90° Schrauben</t>
  </si>
  <si>
    <t>in Nmm</t>
  </si>
  <si>
    <r>
      <t>n</t>
    </r>
    <r>
      <rPr>
        <vertAlign val="subscript"/>
        <sz val="10"/>
        <color theme="1"/>
        <rFont val="Century Gothic"/>
        <family val="2"/>
      </rPr>
      <t>z,45</t>
    </r>
  </si>
  <si>
    <r>
      <t>z</t>
    </r>
    <r>
      <rPr>
        <vertAlign val="subscript"/>
        <sz val="10"/>
        <color theme="1"/>
        <rFont val="Century Gothic"/>
        <family val="2"/>
      </rPr>
      <t>1,45</t>
    </r>
  </si>
  <si>
    <r>
      <t>z</t>
    </r>
    <r>
      <rPr>
        <vertAlign val="subscript"/>
        <sz val="10"/>
        <color theme="1"/>
        <rFont val="Century Gothic"/>
        <family val="2"/>
      </rPr>
      <t>1,90</t>
    </r>
  </si>
  <si>
    <r>
      <t>x</t>
    </r>
    <r>
      <rPr>
        <vertAlign val="subscript"/>
        <sz val="10"/>
        <color theme="1"/>
        <rFont val="Century Gothic"/>
        <family val="2"/>
      </rPr>
      <t>1,45</t>
    </r>
  </si>
  <si>
    <r>
      <t>x</t>
    </r>
    <r>
      <rPr>
        <vertAlign val="subscript"/>
        <sz val="10"/>
        <color theme="1"/>
        <rFont val="Century Gothic"/>
        <family val="2"/>
      </rPr>
      <t>2,45</t>
    </r>
  </si>
  <si>
    <r>
      <t>x</t>
    </r>
    <r>
      <rPr>
        <vertAlign val="subscript"/>
        <sz val="10"/>
        <color theme="1"/>
        <rFont val="Century Gothic"/>
        <family val="2"/>
      </rPr>
      <t>3,45</t>
    </r>
  </si>
  <si>
    <r>
      <t>x</t>
    </r>
    <r>
      <rPr>
        <vertAlign val="subscript"/>
        <sz val="10"/>
        <color theme="1"/>
        <rFont val="Century Gothic"/>
        <family val="2"/>
      </rPr>
      <t>4,45</t>
    </r>
  </si>
  <si>
    <r>
      <t>x</t>
    </r>
    <r>
      <rPr>
        <vertAlign val="subscript"/>
        <sz val="10"/>
        <color theme="1"/>
        <rFont val="Century Gothic"/>
        <family val="2"/>
      </rPr>
      <t>1,90</t>
    </r>
  </si>
  <si>
    <r>
      <t>x</t>
    </r>
    <r>
      <rPr>
        <vertAlign val="subscript"/>
        <sz val="10"/>
        <color theme="1"/>
        <rFont val="Century Gothic"/>
        <family val="2"/>
      </rPr>
      <t>2,90</t>
    </r>
  </si>
  <si>
    <r>
      <t>x</t>
    </r>
    <r>
      <rPr>
        <vertAlign val="subscript"/>
        <sz val="10"/>
        <color theme="1"/>
        <rFont val="Century Gothic"/>
        <family val="2"/>
      </rPr>
      <t>4,90</t>
    </r>
  </si>
  <si>
    <r>
      <t>z</t>
    </r>
    <r>
      <rPr>
        <vertAlign val="subscript"/>
        <sz val="10"/>
        <color theme="1"/>
        <rFont val="Century Gothic"/>
        <family val="2"/>
      </rPr>
      <t>2,90</t>
    </r>
  </si>
  <si>
    <r>
      <t>x</t>
    </r>
    <r>
      <rPr>
        <vertAlign val="subscript"/>
        <sz val="10"/>
        <color theme="1"/>
        <rFont val="Century Gothic"/>
        <family val="2"/>
      </rPr>
      <t>3,90</t>
    </r>
  </si>
  <si>
    <r>
      <t>x</t>
    </r>
    <r>
      <rPr>
        <vertAlign val="subscript"/>
        <sz val="10"/>
        <color theme="1"/>
        <rFont val="Century Gothic"/>
        <family val="2"/>
      </rPr>
      <t>5,90</t>
    </r>
  </si>
  <si>
    <r>
      <t>z</t>
    </r>
    <r>
      <rPr>
        <vertAlign val="subscript"/>
        <sz val="10"/>
        <color theme="1"/>
        <rFont val="Century Gothic"/>
        <family val="2"/>
      </rPr>
      <t>3,90</t>
    </r>
  </si>
  <si>
    <r>
      <t>x</t>
    </r>
    <r>
      <rPr>
        <vertAlign val="subscript"/>
        <sz val="10"/>
        <color theme="1"/>
        <rFont val="Century Gothic"/>
        <family val="2"/>
      </rPr>
      <t>1,SB</t>
    </r>
  </si>
  <si>
    <r>
      <t>x</t>
    </r>
    <r>
      <rPr>
        <vertAlign val="subscript"/>
        <sz val="10"/>
        <color theme="1"/>
        <rFont val="Century Gothic"/>
        <family val="2"/>
      </rPr>
      <t>2,SB</t>
    </r>
  </si>
  <si>
    <r>
      <t>x</t>
    </r>
    <r>
      <rPr>
        <vertAlign val="subscript"/>
        <sz val="10"/>
        <color theme="1"/>
        <rFont val="Century Gothic"/>
        <family val="2"/>
      </rPr>
      <t>3,SB</t>
    </r>
  </si>
  <si>
    <r>
      <t>x</t>
    </r>
    <r>
      <rPr>
        <vertAlign val="subscript"/>
        <sz val="10"/>
        <color theme="1"/>
        <rFont val="Century Gothic"/>
        <family val="2"/>
      </rPr>
      <t>4,SB</t>
    </r>
  </si>
  <si>
    <r>
      <t>z</t>
    </r>
    <r>
      <rPr>
        <vertAlign val="subscript"/>
        <sz val="10"/>
        <color theme="1"/>
        <rFont val="Century Gothic"/>
        <family val="2"/>
      </rPr>
      <t>4,90</t>
    </r>
  </si>
  <si>
    <r>
      <t>z</t>
    </r>
    <r>
      <rPr>
        <vertAlign val="subscript"/>
        <sz val="10"/>
        <color theme="1"/>
        <rFont val="Century Gothic"/>
        <family val="2"/>
      </rPr>
      <t>1+n,45</t>
    </r>
  </si>
  <si>
    <r>
      <t>z</t>
    </r>
    <r>
      <rPr>
        <vertAlign val="subscript"/>
        <sz val="10"/>
        <color theme="1"/>
        <rFont val="Century Gothic"/>
        <family val="2"/>
      </rPr>
      <t>5,90</t>
    </r>
  </si>
  <si>
    <r>
      <t>n</t>
    </r>
    <r>
      <rPr>
        <vertAlign val="subscript"/>
        <sz val="10"/>
        <color theme="1"/>
        <rFont val="Century Gothic"/>
        <family val="2"/>
      </rPr>
      <t>SB</t>
    </r>
  </si>
  <si>
    <r>
      <t>n</t>
    </r>
    <r>
      <rPr>
        <vertAlign val="subscript"/>
        <sz val="10"/>
        <color theme="1"/>
        <rFont val="Century Gothic"/>
        <family val="2"/>
      </rPr>
      <t>90</t>
    </r>
  </si>
  <si>
    <t>Schraubenlängen im Verbinder</t>
  </si>
  <si>
    <t>45° in Grundplatte</t>
  </si>
  <si>
    <t>Schraubenpositionen in Grundplatte</t>
  </si>
  <si>
    <t>Schraubenpositionen in Spannbacke</t>
  </si>
  <si>
    <r>
      <t>x</t>
    </r>
    <r>
      <rPr>
        <vertAlign val="subscript"/>
        <sz val="10"/>
        <color theme="1"/>
        <rFont val="Century Gothic"/>
        <family val="2"/>
      </rPr>
      <t>6,90</t>
    </r>
  </si>
  <si>
    <r>
      <t>x</t>
    </r>
    <r>
      <rPr>
        <vertAlign val="subscript"/>
        <sz val="10"/>
        <color theme="1"/>
        <rFont val="Century Gothic"/>
        <family val="2"/>
      </rPr>
      <t>7,90</t>
    </r>
  </si>
  <si>
    <r>
      <t>x</t>
    </r>
    <r>
      <rPr>
        <vertAlign val="subscript"/>
        <sz val="10"/>
        <color theme="1"/>
        <rFont val="Century Gothic"/>
        <family val="2"/>
      </rPr>
      <t>8,90</t>
    </r>
  </si>
  <si>
    <r>
      <t>x</t>
    </r>
    <r>
      <rPr>
        <vertAlign val="subscript"/>
        <sz val="10"/>
        <color theme="1"/>
        <rFont val="Century Gothic"/>
        <family val="2"/>
      </rPr>
      <t>9,90</t>
    </r>
  </si>
  <si>
    <r>
      <t>x</t>
    </r>
    <r>
      <rPr>
        <vertAlign val="subscript"/>
        <sz val="10"/>
        <color theme="1"/>
        <rFont val="Century Gothic"/>
        <family val="2"/>
      </rPr>
      <t>10,90</t>
    </r>
  </si>
  <si>
    <r>
      <t>x</t>
    </r>
    <r>
      <rPr>
        <vertAlign val="subscript"/>
        <sz val="10"/>
        <color theme="1"/>
        <rFont val="Century Gothic"/>
        <family val="2"/>
      </rPr>
      <t>11,90</t>
    </r>
  </si>
  <si>
    <r>
      <t>z</t>
    </r>
    <r>
      <rPr>
        <vertAlign val="subscript"/>
        <sz val="10"/>
        <color theme="1"/>
        <rFont val="Century Gothic"/>
        <family val="2"/>
      </rPr>
      <t>6,90</t>
    </r>
  </si>
  <si>
    <r>
      <t>z</t>
    </r>
    <r>
      <rPr>
        <vertAlign val="subscript"/>
        <sz val="10"/>
        <color theme="1"/>
        <rFont val="Century Gothic"/>
        <family val="2"/>
      </rPr>
      <t>7,90</t>
    </r>
  </si>
  <si>
    <r>
      <t>z</t>
    </r>
    <r>
      <rPr>
        <vertAlign val="subscript"/>
        <sz val="10"/>
        <color theme="1"/>
        <rFont val="Century Gothic"/>
        <family val="2"/>
      </rPr>
      <t>8,90</t>
    </r>
  </si>
  <si>
    <r>
      <t>z</t>
    </r>
    <r>
      <rPr>
        <vertAlign val="subscript"/>
        <sz val="10"/>
        <color theme="1"/>
        <rFont val="Century Gothic"/>
        <family val="2"/>
      </rPr>
      <t>9,90</t>
    </r>
  </si>
  <si>
    <r>
      <t>z</t>
    </r>
    <r>
      <rPr>
        <vertAlign val="subscript"/>
        <sz val="10"/>
        <color theme="1"/>
        <rFont val="Century Gothic"/>
        <family val="2"/>
      </rPr>
      <t>10,90</t>
    </r>
  </si>
  <si>
    <r>
      <t>z</t>
    </r>
    <r>
      <rPr>
        <vertAlign val="subscript"/>
        <sz val="10"/>
        <color theme="1"/>
        <rFont val="Century Gothic"/>
        <family val="2"/>
      </rPr>
      <t>11,90</t>
    </r>
  </si>
  <si>
    <t>Dz,45</t>
  </si>
  <si>
    <r>
      <t>n</t>
    </r>
    <r>
      <rPr>
        <vertAlign val="subscript"/>
        <sz val="10"/>
        <color theme="1"/>
        <rFont val="Century Gothic"/>
        <family val="2"/>
      </rPr>
      <t>x,45</t>
    </r>
  </si>
  <si>
    <t>B = 150</t>
  </si>
  <si>
    <t>B = 100</t>
  </si>
  <si>
    <t>B = 60</t>
  </si>
  <si>
    <t>180°/NT</t>
  </si>
  <si>
    <t>0°/HT</t>
  </si>
  <si>
    <r>
      <t>x</t>
    </r>
    <r>
      <rPr>
        <vertAlign val="subscript"/>
        <sz val="10"/>
        <rFont val="Century Gothic"/>
        <family val="2"/>
      </rPr>
      <t>i</t>
    </r>
  </si>
  <si>
    <r>
      <t>z</t>
    </r>
    <r>
      <rPr>
        <vertAlign val="subscript"/>
        <sz val="10"/>
        <rFont val="Century Gothic"/>
        <family val="2"/>
      </rPr>
      <t>i</t>
    </r>
  </si>
  <si>
    <r>
      <t>d</t>
    </r>
    <r>
      <rPr>
        <vertAlign val="subscript"/>
        <sz val="10"/>
        <rFont val="Century Gothic"/>
        <family val="2"/>
      </rPr>
      <t>i</t>
    </r>
    <r>
      <rPr>
        <sz val="10"/>
        <rFont val="Century Gothic"/>
        <family val="2"/>
      </rPr>
      <t>(x</t>
    </r>
    <r>
      <rPr>
        <vertAlign val="subscript"/>
        <sz val="10"/>
        <rFont val="Century Gothic"/>
        <family val="2"/>
      </rPr>
      <t>i</t>
    </r>
    <r>
      <rPr>
        <sz val="10"/>
        <rFont val="Century Gothic"/>
        <family val="2"/>
      </rPr>
      <t>,z</t>
    </r>
    <r>
      <rPr>
        <vertAlign val="subscript"/>
        <sz val="10"/>
        <rFont val="Century Gothic"/>
        <family val="2"/>
      </rPr>
      <t>i</t>
    </r>
    <r>
      <rPr>
        <sz val="10"/>
        <rFont val="Century Gothic"/>
        <family val="2"/>
      </rPr>
      <t>)</t>
    </r>
  </si>
  <si>
    <t>GP</t>
  </si>
  <si>
    <t>GP = Grundplatte</t>
  </si>
  <si>
    <t>HT nach z sortiert</t>
  </si>
  <si>
    <t>NT nach z sortiert</t>
  </si>
  <si>
    <t>SB-U</t>
  </si>
  <si>
    <t>SB-U = Spannbacke unten</t>
  </si>
  <si>
    <t>SB-O = Spannbacke oben</t>
  </si>
  <si>
    <t>SB-O</t>
  </si>
  <si>
    <t>Fall 2: SB-U im NT</t>
  </si>
  <si>
    <t>Fall 1: SB-U im HT</t>
  </si>
  <si>
    <t>Spalte</t>
  </si>
  <si>
    <t>Zeile</t>
  </si>
  <si>
    <t>Spannbackenanordnung</t>
  </si>
  <si>
    <t>Datenauswahl im Tabellenblatt "Geometrie"</t>
  </si>
  <si>
    <t>Startzelle</t>
  </si>
  <si>
    <t>Endzelle</t>
  </si>
  <si>
    <t>Start-Spalte</t>
  </si>
  <si>
    <t>Start-Zeile</t>
  </si>
  <si>
    <t>Startzeile</t>
  </si>
  <si>
    <r>
      <t>B</t>
    </r>
    <r>
      <rPr>
        <vertAlign val="subscript"/>
        <sz val="10"/>
        <rFont val="Century Gothic"/>
        <family val="2"/>
      </rPr>
      <t>min</t>
    </r>
  </si>
  <si>
    <r>
      <t>H</t>
    </r>
    <r>
      <rPr>
        <vertAlign val="subscript"/>
        <sz val="10"/>
        <rFont val="Century Gothic"/>
        <family val="2"/>
      </rPr>
      <t>min</t>
    </r>
  </si>
  <si>
    <t>Verstärkung Zugzone</t>
  </si>
  <si>
    <r>
      <t>M</t>
    </r>
    <r>
      <rPr>
        <vertAlign val="subscript"/>
        <sz val="10"/>
        <color theme="1"/>
        <rFont val="Century Gothic"/>
        <family val="2"/>
      </rPr>
      <t>2,Rk,HT</t>
    </r>
  </si>
  <si>
    <r>
      <t>M</t>
    </r>
    <r>
      <rPr>
        <vertAlign val="subscript"/>
        <sz val="10"/>
        <color theme="1"/>
        <rFont val="Century Gothic"/>
        <family val="2"/>
      </rPr>
      <t>2,Rk,NT</t>
    </r>
  </si>
  <si>
    <r>
      <t>e</t>
    </r>
    <r>
      <rPr>
        <vertAlign val="subscript"/>
        <sz val="11"/>
        <color theme="1"/>
        <rFont val="Calibri"/>
        <family val="2"/>
        <scheme val="minor"/>
      </rPr>
      <t>lim,HT</t>
    </r>
  </si>
  <si>
    <r>
      <t>e</t>
    </r>
    <r>
      <rPr>
        <vertAlign val="subscript"/>
        <sz val="11"/>
        <color theme="1"/>
        <rFont val="Calibri"/>
        <family val="2"/>
        <scheme val="minor"/>
      </rPr>
      <t>lim,NT</t>
    </r>
  </si>
  <si>
    <r>
      <rPr>
        <sz val="10"/>
        <color theme="1"/>
        <rFont val="Symbol"/>
        <family val="1"/>
        <charset val="2"/>
      </rPr>
      <t>D</t>
    </r>
    <r>
      <rPr>
        <sz val="10"/>
        <color theme="1"/>
        <rFont val="Century Gothic"/>
        <family val="2"/>
      </rPr>
      <t>x</t>
    </r>
    <r>
      <rPr>
        <vertAlign val="subscript"/>
        <sz val="10"/>
        <color theme="1"/>
        <rFont val="Century Gothic"/>
        <family val="2"/>
      </rPr>
      <t>45</t>
    </r>
  </si>
  <si>
    <r>
      <rPr>
        <sz val="10"/>
        <color theme="1"/>
        <rFont val="Symbol"/>
        <family val="1"/>
        <charset val="2"/>
      </rPr>
      <t>D</t>
    </r>
    <r>
      <rPr>
        <sz val="10"/>
        <color theme="1"/>
        <rFont val="Century Gothic"/>
        <family val="2"/>
      </rPr>
      <t>z</t>
    </r>
    <r>
      <rPr>
        <vertAlign val="subscript"/>
        <sz val="10"/>
        <color theme="1"/>
        <rFont val="Century Gothic"/>
        <family val="2"/>
      </rPr>
      <t>45</t>
    </r>
  </si>
  <si>
    <r>
      <rPr>
        <sz val="10"/>
        <color theme="1"/>
        <rFont val="Symbol"/>
        <family val="1"/>
        <charset val="2"/>
      </rPr>
      <t>D</t>
    </r>
    <r>
      <rPr>
        <sz val="10"/>
        <color theme="1"/>
        <rFont val="Century Gothic"/>
        <family val="2"/>
      </rPr>
      <t>z</t>
    </r>
    <r>
      <rPr>
        <vertAlign val="subscript"/>
        <sz val="10"/>
        <color theme="1"/>
        <rFont val="Century Gothic"/>
        <family val="2"/>
      </rPr>
      <t>90,1</t>
    </r>
  </si>
  <si>
    <r>
      <rPr>
        <sz val="10"/>
        <color theme="1"/>
        <rFont val="Symbol"/>
        <family val="1"/>
        <charset val="2"/>
      </rPr>
      <t>D</t>
    </r>
    <r>
      <rPr>
        <sz val="10"/>
        <color theme="1"/>
        <rFont val="Century Gothic"/>
        <family val="2"/>
      </rPr>
      <t>z</t>
    </r>
    <r>
      <rPr>
        <vertAlign val="subscript"/>
        <sz val="10"/>
        <color theme="1"/>
        <rFont val="Century Gothic"/>
        <family val="2"/>
      </rPr>
      <t>90,2</t>
    </r>
    <r>
      <rPr>
        <sz val="11"/>
        <color theme="1"/>
        <rFont val="Calibri"/>
        <family val="2"/>
        <scheme val="minor"/>
      </rPr>
      <t/>
    </r>
  </si>
  <si>
    <r>
      <rPr>
        <sz val="10"/>
        <color theme="1"/>
        <rFont val="Symbol"/>
        <family val="1"/>
        <charset val="2"/>
      </rPr>
      <t>D</t>
    </r>
    <r>
      <rPr>
        <sz val="10"/>
        <color theme="1"/>
        <rFont val="Century Gothic"/>
        <family val="2"/>
      </rPr>
      <t>x</t>
    </r>
    <r>
      <rPr>
        <vertAlign val="subscript"/>
        <sz val="10"/>
        <color theme="1"/>
        <rFont val="Century Gothic"/>
        <family val="2"/>
      </rPr>
      <t>90</t>
    </r>
  </si>
  <si>
    <r>
      <t>x</t>
    </r>
    <r>
      <rPr>
        <vertAlign val="subscript"/>
        <sz val="10"/>
        <color theme="1"/>
        <rFont val="Century Gothic"/>
        <family val="2"/>
      </rPr>
      <t>HT</t>
    </r>
  </si>
  <si>
    <r>
      <t>x</t>
    </r>
    <r>
      <rPr>
        <vertAlign val="subscript"/>
        <sz val="10"/>
        <color theme="1"/>
        <rFont val="Century Gothic"/>
        <family val="2"/>
      </rPr>
      <t>NT</t>
    </r>
  </si>
  <si>
    <r>
      <t>z</t>
    </r>
    <r>
      <rPr>
        <vertAlign val="subscript"/>
        <sz val="10"/>
        <color theme="0" tint="-0.249977111117893"/>
        <rFont val="Century Gothic"/>
        <family val="2"/>
      </rPr>
      <t>s</t>
    </r>
  </si>
  <si>
    <t>x</t>
  </si>
  <si>
    <r>
      <t>a</t>
    </r>
    <r>
      <rPr>
        <vertAlign val="subscript"/>
        <sz val="10"/>
        <color theme="1"/>
        <rFont val="Century Gothic"/>
        <family val="2"/>
      </rPr>
      <t xml:space="preserve">i </t>
    </r>
  </si>
  <si>
    <t>Höhe der Druckzone</t>
  </si>
  <si>
    <r>
      <t>F</t>
    </r>
    <r>
      <rPr>
        <vertAlign val="subscript"/>
        <sz val="10"/>
        <color theme="1"/>
        <rFont val="Century Gothic"/>
        <family val="2"/>
      </rPr>
      <t>ax,i</t>
    </r>
    <r>
      <rPr>
        <sz val="10"/>
        <color theme="1"/>
        <rFont val="Century Gothic"/>
        <family val="2"/>
      </rPr>
      <t>/</t>
    </r>
    <r>
      <rPr>
        <sz val="10"/>
        <color theme="1"/>
        <rFont val="Aptos Narrow"/>
        <family val="2"/>
      </rPr>
      <t>√</t>
    </r>
    <r>
      <rPr>
        <sz val="10"/>
        <color theme="1"/>
        <rFont val="Century Gothic"/>
        <family val="2"/>
      </rPr>
      <t>2</t>
    </r>
  </si>
  <si>
    <r>
      <rPr>
        <sz val="10"/>
        <color theme="1"/>
        <rFont val="Symbol"/>
        <family val="1"/>
        <charset val="2"/>
      </rPr>
      <t>S</t>
    </r>
    <r>
      <rPr>
        <sz val="10"/>
        <color theme="1"/>
        <rFont val="Century Gothic"/>
        <family val="2"/>
      </rPr>
      <t>F</t>
    </r>
    <r>
      <rPr>
        <vertAlign val="subscript"/>
        <sz val="10"/>
        <color theme="1"/>
        <rFont val="Century Gothic"/>
        <family val="2"/>
      </rPr>
      <t>ax,i</t>
    </r>
    <r>
      <rPr>
        <sz val="10"/>
        <color theme="1"/>
        <rFont val="Century Gothic"/>
        <family val="1"/>
        <charset val="2"/>
      </rPr>
      <t>/</t>
    </r>
    <r>
      <rPr>
        <sz val="10"/>
        <color theme="1"/>
        <rFont val="Aptos Narrow"/>
        <family val="2"/>
      </rPr>
      <t>√</t>
    </r>
    <r>
      <rPr>
        <sz val="10"/>
        <color theme="1"/>
        <rFont val="Century Gothic"/>
        <family val="1"/>
        <charset val="2"/>
      </rPr>
      <t>2</t>
    </r>
  </si>
  <si>
    <r>
      <t>F</t>
    </r>
    <r>
      <rPr>
        <vertAlign val="subscript"/>
        <sz val="10"/>
        <color theme="1"/>
        <rFont val="Century Gothic"/>
        <family val="2"/>
      </rPr>
      <t>ax,max</t>
    </r>
    <r>
      <rPr>
        <sz val="10"/>
        <color theme="1"/>
        <rFont val="Cambria"/>
        <family val="1"/>
      </rPr>
      <t>/√</t>
    </r>
    <r>
      <rPr>
        <vertAlign val="subscript"/>
        <sz val="10"/>
        <color theme="1"/>
        <rFont val="Century Gothic"/>
        <family val="2"/>
      </rPr>
      <t>2</t>
    </r>
  </si>
  <si>
    <r>
      <rPr>
        <sz val="10"/>
        <rFont val="Symbol"/>
        <family val="1"/>
        <charset val="2"/>
      </rPr>
      <t>S</t>
    </r>
    <r>
      <rPr>
        <sz val="10"/>
        <rFont val="Century Gothic"/>
        <family val="2"/>
      </rPr>
      <t>a</t>
    </r>
    <r>
      <rPr>
        <vertAlign val="subscript"/>
        <sz val="10"/>
        <rFont val="Century Gothic"/>
        <family val="2"/>
      </rPr>
      <t>i</t>
    </r>
  </si>
  <si>
    <t>mm²</t>
  </si>
  <si>
    <r>
      <t>H</t>
    </r>
    <r>
      <rPr>
        <vertAlign val="subscript"/>
        <sz val="10"/>
        <rFont val="Century Gothic"/>
        <family val="2"/>
      </rPr>
      <t xml:space="preserve">i </t>
    </r>
    <r>
      <rPr>
        <sz val="10"/>
        <rFont val="Century Gothic"/>
        <family val="2"/>
      </rPr>
      <t xml:space="preserve">= </t>
    </r>
  </si>
  <si>
    <r>
      <rPr>
        <sz val="10"/>
        <color theme="1"/>
        <rFont val="Symbol"/>
        <family val="1"/>
        <charset val="2"/>
      </rPr>
      <t>S</t>
    </r>
    <r>
      <rPr>
        <sz val="10"/>
        <color theme="1"/>
        <rFont val="Century Gothic"/>
        <family val="2"/>
      </rPr>
      <t>K</t>
    </r>
    <r>
      <rPr>
        <vertAlign val="subscript"/>
        <sz val="10"/>
        <color theme="1"/>
        <rFont val="Century Gothic"/>
        <family val="2"/>
      </rPr>
      <t>ax,i</t>
    </r>
    <r>
      <rPr>
        <sz val="10"/>
        <color theme="1"/>
        <rFont val="Century Gothic"/>
        <family val="2"/>
      </rPr>
      <t xml:space="preserve"> </t>
    </r>
    <r>
      <rPr>
        <sz val="10"/>
        <color theme="1"/>
        <rFont val="Symbol"/>
        <family val="1"/>
        <charset val="2"/>
      </rPr>
      <t>×</t>
    </r>
    <r>
      <rPr>
        <sz val="10"/>
        <color theme="1"/>
        <rFont val="Century Gothic"/>
        <family val="2"/>
      </rPr>
      <t xml:space="preserve"> e</t>
    </r>
    <r>
      <rPr>
        <vertAlign val="subscript"/>
        <sz val="10"/>
        <color theme="1"/>
        <rFont val="Century Gothic"/>
        <family val="2"/>
      </rPr>
      <t>i</t>
    </r>
    <r>
      <rPr>
        <sz val="10"/>
        <color theme="1"/>
        <rFont val="Century Gothic"/>
        <family val="2"/>
      </rPr>
      <t>²</t>
    </r>
  </si>
  <si>
    <r>
      <t>e</t>
    </r>
    <r>
      <rPr>
        <vertAlign val="subscript"/>
        <sz val="10"/>
        <color theme="1"/>
        <rFont val="Century Gothic"/>
        <family val="2"/>
      </rPr>
      <t>i</t>
    </r>
  </si>
  <si>
    <r>
      <t>e</t>
    </r>
    <r>
      <rPr>
        <vertAlign val="subscript"/>
        <sz val="10"/>
        <color theme="1"/>
        <rFont val="Century Gothic"/>
        <family val="2"/>
      </rPr>
      <t xml:space="preserve">i </t>
    </r>
  </si>
  <si>
    <r>
      <t>w</t>
    </r>
    <r>
      <rPr>
        <vertAlign val="subscript"/>
        <sz val="10"/>
        <color theme="1"/>
        <rFont val="Century Gothic"/>
        <family val="2"/>
      </rPr>
      <t>ax,max</t>
    </r>
  </si>
  <si>
    <r>
      <t>Ermittlung e</t>
    </r>
    <r>
      <rPr>
        <b/>
        <vertAlign val="subscript"/>
        <sz val="10"/>
        <rFont val="Century Gothic"/>
        <family val="2"/>
      </rPr>
      <t>lim</t>
    </r>
  </si>
  <si>
    <r>
      <rPr>
        <sz val="10"/>
        <rFont val="Symbol"/>
        <family val="1"/>
        <charset val="2"/>
      </rPr>
      <t>S</t>
    </r>
    <r>
      <rPr>
        <sz val="10"/>
        <rFont val="Century Gothic"/>
        <family val="2"/>
      </rPr>
      <t>e</t>
    </r>
    <r>
      <rPr>
        <vertAlign val="subscript"/>
        <sz val="10"/>
        <rFont val="Century Gothic"/>
        <family val="2"/>
      </rPr>
      <t>45,i</t>
    </r>
  </si>
  <si>
    <r>
      <rPr>
        <sz val="10"/>
        <rFont val="Symbol"/>
        <family val="1"/>
        <charset val="2"/>
      </rPr>
      <t>S</t>
    </r>
    <r>
      <rPr>
        <sz val="10"/>
        <rFont val="Century Gothic"/>
        <family val="2"/>
      </rPr>
      <t>e</t>
    </r>
    <r>
      <rPr>
        <vertAlign val="subscript"/>
        <sz val="10"/>
        <rFont val="Century Gothic"/>
        <family val="2"/>
      </rPr>
      <t>45,i</t>
    </r>
    <r>
      <rPr>
        <sz val="10"/>
        <rFont val="Century Gothic"/>
        <family val="2"/>
      </rPr>
      <t>²</t>
    </r>
  </si>
  <si>
    <r>
      <t>e</t>
    </r>
    <r>
      <rPr>
        <vertAlign val="subscript"/>
        <sz val="10"/>
        <color theme="1"/>
        <rFont val="Century Gothic"/>
        <family val="2"/>
      </rPr>
      <t>45,max</t>
    </r>
  </si>
  <si>
    <t>Material</t>
  </si>
  <si>
    <r>
      <rPr>
        <sz val="10"/>
        <color theme="1"/>
        <rFont val="Century Gothic"/>
        <family val="2"/>
      </rPr>
      <t>a</t>
    </r>
    <r>
      <rPr>
        <vertAlign val="subscript"/>
        <sz val="10"/>
        <color theme="1"/>
        <rFont val="Century Gothic"/>
        <family val="2"/>
      </rPr>
      <t>i,max</t>
    </r>
  </si>
  <si>
    <r>
      <rPr>
        <sz val="10"/>
        <color theme="1"/>
        <rFont val="Symbol"/>
        <family val="1"/>
        <charset val="2"/>
      </rPr>
      <t>S</t>
    </r>
    <r>
      <rPr>
        <sz val="10"/>
        <color theme="1"/>
        <rFont val="Century Gothic"/>
        <family val="2"/>
      </rPr>
      <t>K</t>
    </r>
    <r>
      <rPr>
        <vertAlign val="subscript"/>
        <sz val="10"/>
        <color theme="1"/>
        <rFont val="Century Gothic"/>
        <family val="2"/>
      </rPr>
      <t>ax,i</t>
    </r>
  </si>
  <si>
    <r>
      <rPr>
        <sz val="10"/>
        <color theme="1"/>
        <rFont val="Symbol"/>
        <family val="1"/>
        <charset val="2"/>
      </rPr>
      <t>S</t>
    </r>
    <r>
      <rPr>
        <sz val="10"/>
        <color theme="1"/>
        <rFont val="Century Gothic"/>
        <family val="2"/>
      </rPr>
      <t>K</t>
    </r>
    <r>
      <rPr>
        <vertAlign val="subscript"/>
        <sz val="10"/>
        <color theme="1"/>
        <rFont val="Century Gothic"/>
        <family val="2"/>
      </rPr>
      <t>ax,i</t>
    </r>
    <r>
      <rPr>
        <sz val="10"/>
        <color theme="1"/>
        <rFont val="Century Gothic"/>
        <family val="2"/>
      </rPr>
      <t xml:space="preserve"> </t>
    </r>
    <r>
      <rPr>
        <sz val="10"/>
        <color theme="1"/>
        <rFont val="Symbol"/>
        <family val="1"/>
        <charset val="2"/>
      </rPr>
      <t>×</t>
    </r>
    <r>
      <rPr>
        <sz val="10"/>
        <color theme="1"/>
        <rFont val="Century Gothic"/>
        <family val="2"/>
      </rPr>
      <t xml:space="preserve"> a</t>
    </r>
    <r>
      <rPr>
        <vertAlign val="subscript"/>
        <sz val="10"/>
        <color theme="1"/>
        <rFont val="Century Gothic"/>
        <family val="2"/>
      </rPr>
      <t>i</t>
    </r>
  </si>
  <si>
    <r>
      <rPr>
        <sz val="10"/>
        <color theme="1"/>
        <rFont val="Symbol"/>
        <family val="1"/>
        <charset val="2"/>
      </rPr>
      <t>S</t>
    </r>
    <r>
      <rPr>
        <sz val="10"/>
        <color theme="1"/>
        <rFont val="Century Gothic"/>
        <family val="2"/>
      </rPr>
      <t>K</t>
    </r>
    <r>
      <rPr>
        <vertAlign val="subscript"/>
        <sz val="10"/>
        <color theme="1"/>
        <rFont val="Century Gothic"/>
        <family val="2"/>
      </rPr>
      <t>ax,i</t>
    </r>
    <r>
      <rPr>
        <sz val="10"/>
        <color theme="1"/>
        <rFont val="Century Gothic"/>
        <family val="2"/>
      </rPr>
      <t xml:space="preserve"> </t>
    </r>
    <r>
      <rPr>
        <sz val="10"/>
        <color theme="1"/>
        <rFont val="Symbol"/>
        <family val="1"/>
        <charset val="2"/>
      </rPr>
      <t>×</t>
    </r>
    <r>
      <rPr>
        <sz val="10"/>
        <color theme="1"/>
        <rFont val="Century Gothic"/>
        <family val="2"/>
      </rPr>
      <t xml:space="preserve"> a</t>
    </r>
    <r>
      <rPr>
        <vertAlign val="subscript"/>
        <sz val="10"/>
        <color theme="1"/>
        <rFont val="Century Gothic"/>
        <family val="2"/>
      </rPr>
      <t>i</t>
    </r>
    <r>
      <rPr>
        <sz val="10"/>
        <color theme="1"/>
        <rFont val="Century Gothic"/>
        <family val="2"/>
      </rPr>
      <t>²</t>
    </r>
  </si>
  <si>
    <t>Materialtyp</t>
  </si>
  <si>
    <t>°</t>
  </si>
  <si>
    <t>Abstand von der Biegedruckseite des Verbinders</t>
  </si>
  <si>
    <t>Verstärkung Druckzone</t>
  </si>
  <si>
    <t>nach ETA 11/0190</t>
  </si>
  <si>
    <t xml:space="preserve">Ermittlung Holzdrucktragfähigkeiten </t>
  </si>
  <si>
    <t>m</t>
  </si>
  <si>
    <t xml:space="preserve">Ermittlung Drehpunkt x </t>
  </si>
  <si>
    <r>
      <t>F</t>
    </r>
    <r>
      <rPr>
        <vertAlign val="subscript"/>
        <sz val="10"/>
        <color rgb="FFFF0000"/>
        <rFont val="Century Gothic"/>
        <family val="2"/>
      </rPr>
      <t>i</t>
    </r>
    <r>
      <rPr>
        <sz val="10"/>
        <color rgb="FFFF0000"/>
        <rFont val="Century Gothic"/>
        <family val="2"/>
      </rPr>
      <t xml:space="preserve"> </t>
    </r>
    <r>
      <rPr>
        <sz val="10"/>
        <color rgb="FFFF0000"/>
        <rFont val="Symbol"/>
        <family val="1"/>
        <charset val="2"/>
      </rPr>
      <t xml:space="preserve">× </t>
    </r>
    <r>
      <rPr>
        <sz val="10"/>
        <color rgb="FFFF0000"/>
        <rFont val="MT Extra"/>
        <family val="1"/>
        <charset val="2"/>
      </rPr>
      <t>l</t>
    </r>
    <r>
      <rPr>
        <vertAlign val="subscript"/>
        <sz val="10"/>
        <color rgb="FFFF0000"/>
        <rFont val="Century Gothic"/>
        <family val="2"/>
      </rPr>
      <t>ef,1</t>
    </r>
    <r>
      <rPr>
        <sz val="10"/>
        <color rgb="FFFF0000"/>
        <rFont val="Cambria"/>
        <family val="1"/>
      </rPr>
      <t>/</t>
    </r>
    <r>
      <rPr>
        <sz val="10"/>
        <color rgb="FFFF0000"/>
        <rFont val="MT Extra"/>
        <family val="1"/>
        <charset val="2"/>
      </rPr>
      <t>l</t>
    </r>
    <r>
      <rPr>
        <vertAlign val="subscript"/>
        <sz val="10"/>
        <color rgb="FFFF0000"/>
        <rFont val="Century Gothic"/>
        <family val="2"/>
      </rPr>
      <t>ef,i</t>
    </r>
  </si>
  <si>
    <r>
      <rPr>
        <sz val="10"/>
        <color rgb="FFFF0000"/>
        <rFont val="Symbol"/>
        <family val="1"/>
        <charset val="2"/>
      </rPr>
      <t>S</t>
    </r>
    <r>
      <rPr>
        <sz val="10"/>
        <color rgb="FFFF0000"/>
        <rFont val="Century Gothic"/>
        <family val="2"/>
      </rPr>
      <t>(F</t>
    </r>
    <r>
      <rPr>
        <vertAlign val="subscript"/>
        <sz val="10"/>
        <color rgb="FFFF0000"/>
        <rFont val="Century Gothic"/>
        <family val="2"/>
      </rPr>
      <t>i</t>
    </r>
    <r>
      <rPr>
        <sz val="10"/>
        <color rgb="FFFF0000"/>
        <rFont val="Century Gothic"/>
        <family val="2"/>
      </rPr>
      <t xml:space="preserve"> </t>
    </r>
    <r>
      <rPr>
        <sz val="10"/>
        <color rgb="FFFF0000"/>
        <rFont val="Symbol"/>
        <family val="1"/>
        <charset val="2"/>
      </rPr>
      <t xml:space="preserve">× </t>
    </r>
    <r>
      <rPr>
        <sz val="10"/>
        <color rgb="FFFF0000"/>
        <rFont val="MT Extra"/>
        <family val="1"/>
        <charset val="2"/>
      </rPr>
      <t>l</t>
    </r>
    <r>
      <rPr>
        <vertAlign val="subscript"/>
        <sz val="10"/>
        <color rgb="FFFF0000"/>
        <rFont val="Century Gothic"/>
        <family val="2"/>
      </rPr>
      <t>ef,1</t>
    </r>
    <r>
      <rPr>
        <sz val="10"/>
        <color rgb="FFFF0000"/>
        <rFont val="Cambria"/>
        <family val="1"/>
      </rPr>
      <t>/</t>
    </r>
    <r>
      <rPr>
        <sz val="10"/>
        <color rgb="FFFF0000"/>
        <rFont val="MT Extra"/>
        <family val="1"/>
        <charset val="2"/>
      </rPr>
      <t>l</t>
    </r>
    <r>
      <rPr>
        <vertAlign val="subscript"/>
        <sz val="10"/>
        <color rgb="FFFF0000"/>
        <rFont val="Century Gothic"/>
        <family val="2"/>
      </rPr>
      <t>ef,i</t>
    </r>
    <r>
      <rPr>
        <sz val="10"/>
        <color rgb="FFFF0000"/>
        <rFont val="Century Gothic"/>
        <family val="2"/>
      </rPr>
      <t>)</t>
    </r>
  </si>
  <si>
    <r>
      <t>k</t>
    </r>
    <r>
      <rPr>
        <vertAlign val="subscript"/>
        <sz val="10"/>
        <color theme="1"/>
        <rFont val="MT Extra"/>
        <family val="1"/>
        <charset val="2"/>
      </rPr>
      <t>l</t>
    </r>
  </si>
  <si>
    <r>
      <rPr>
        <sz val="10"/>
        <color rgb="FFFF0000"/>
        <rFont val="Symbol"/>
        <family val="1"/>
        <charset val="2"/>
      </rPr>
      <t>= S</t>
    </r>
    <r>
      <rPr>
        <sz val="10"/>
        <color rgb="FFFF0000"/>
        <rFont val="Century Gothic"/>
        <family val="2"/>
      </rPr>
      <t>F</t>
    </r>
    <r>
      <rPr>
        <vertAlign val="subscript"/>
        <sz val="10"/>
        <color rgb="FFFF0000"/>
        <rFont val="Century Gothic"/>
        <family val="2"/>
      </rPr>
      <t>ax,i</t>
    </r>
    <r>
      <rPr>
        <sz val="10"/>
        <color rgb="FFFF0000"/>
        <rFont val="Century Gothic"/>
        <family val="2"/>
      </rPr>
      <t>/</t>
    </r>
    <r>
      <rPr>
        <sz val="10"/>
        <color rgb="FFFF0000"/>
        <rFont val="Symbol"/>
        <family val="1"/>
        <charset val="2"/>
      </rPr>
      <t>S</t>
    </r>
    <r>
      <rPr>
        <sz val="10"/>
        <color rgb="FFFF0000"/>
        <rFont val="Century Gothic"/>
        <family val="2"/>
      </rPr>
      <t>(F</t>
    </r>
    <r>
      <rPr>
        <vertAlign val="subscript"/>
        <sz val="10"/>
        <color rgb="FFFF0000"/>
        <rFont val="Century Gothic"/>
        <family val="2"/>
      </rPr>
      <t>i</t>
    </r>
    <r>
      <rPr>
        <sz val="10"/>
        <color rgb="FFFF0000"/>
        <rFont val="Century Gothic"/>
        <family val="2"/>
      </rPr>
      <t xml:space="preserve"> </t>
    </r>
    <r>
      <rPr>
        <sz val="10"/>
        <color rgb="FFFF0000"/>
        <rFont val="Symbol"/>
        <family val="1"/>
        <charset val="2"/>
      </rPr>
      <t xml:space="preserve">× </t>
    </r>
    <r>
      <rPr>
        <sz val="10"/>
        <color rgb="FFFF0000"/>
        <rFont val="MT Extra"/>
        <family val="1"/>
        <charset val="2"/>
      </rPr>
      <t>l</t>
    </r>
    <r>
      <rPr>
        <vertAlign val="subscript"/>
        <sz val="10"/>
        <color rgb="FFFF0000"/>
        <rFont val="Century Gothic"/>
        <family val="2"/>
      </rPr>
      <t>ef,1</t>
    </r>
    <r>
      <rPr>
        <sz val="10"/>
        <color rgb="FFFF0000"/>
        <rFont val="Cambria"/>
        <family val="1"/>
      </rPr>
      <t>/</t>
    </r>
    <r>
      <rPr>
        <sz val="10"/>
        <color rgb="FFFF0000"/>
        <rFont val="MT Extra"/>
        <family val="1"/>
        <charset val="2"/>
      </rPr>
      <t>l</t>
    </r>
    <r>
      <rPr>
        <vertAlign val="subscript"/>
        <sz val="10"/>
        <color rgb="FFFF0000"/>
        <rFont val="Century Gothic"/>
        <family val="2"/>
      </rPr>
      <t>ef,i</t>
    </r>
    <r>
      <rPr>
        <sz val="10"/>
        <color rgb="FFFF0000"/>
        <rFont val="Century Gothic"/>
        <family val="2"/>
      </rPr>
      <t>)</t>
    </r>
  </si>
  <si>
    <r>
      <t>l</t>
    </r>
    <r>
      <rPr>
        <vertAlign val="subscript"/>
        <sz val="10"/>
        <color theme="1"/>
        <rFont val="Century Gothic"/>
        <family val="2"/>
      </rPr>
      <t>ef,1</t>
    </r>
  </si>
  <si>
    <t>Anzahl Druckschrauben</t>
  </si>
  <si>
    <r>
      <t>w</t>
    </r>
    <r>
      <rPr>
        <vertAlign val="subscript"/>
        <sz val="10"/>
        <color theme="1"/>
        <rFont val="Century Gothic"/>
        <family val="2"/>
      </rPr>
      <t>Druck,cal</t>
    </r>
  </si>
  <si>
    <r>
      <rPr>
        <sz val="11"/>
        <color theme="1"/>
        <rFont val="Century Gothic"/>
        <family val="2"/>
      </rPr>
      <t>K</t>
    </r>
    <r>
      <rPr>
        <vertAlign val="subscript"/>
        <sz val="11"/>
        <color theme="1"/>
        <rFont val="Aptos Display"/>
        <family val="2"/>
      </rPr>
      <t>2,</t>
    </r>
    <r>
      <rPr>
        <vertAlign val="subscript"/>
        <sz val="11"/>
        <color theme="1"/>
        <rFont val="Symbol"/>
        <family val="1"/>
        <charset val="2"/>
      </rPr>
      <t>j</t>
    </r>
    <r>
      <rPr>
        <vertAlign val="subscript"/>
        <sz val="11"/>
        <color theme="1"/>
        <rFont val="Century Gothic"/>
        <family val="2"/>
      </rPr>
      <t>,u,HT</t>
    </r>
  </si>
  <si>
    <r>
      <rPr>
        <sz val="11"/>
        <color theme="1"/>
        <rFont val="Century Gothic"/>
        <family val="2"/>
      </rPr>
      <t>K</t>
    </r>
    <r>
      <rPr>
        <vertAlign val="subscript"/>
        <sz val="11"/>
        <color theme="1"/>
        <rFont val="Aptos Display"/>
        <family val="2"/>
      </rPr>
      <t>2,</t>
    </r>
    <r>
      <rPr>
        <vertAlign val="subscript"/>
        <sz val="11"/>
        <color theme="1"/>
        <rFont val="Symbol"/>
        <family val="1"/>
        <charset val="2"/>
      </rPr>
      <t>j,</t>
    </r>
    <r>
      <rPr>
        <vertAlign val="subscript"/>
        <sz val="11"/>
        <color theme="1"/>
        <rFont val="Century Gothic"/>
        <family val="2"/>
      </rPr>
      <t>u,NT</t>
    </r>
  </si>
  <si>
    <r>
      <rPr>
        <sz val="11"/>
        <color theme="1"/>
        <rFont val="Century Gothic"/>
        <family val="2"/>
      </rPr>
      <t>K</t>
    </r>
    <r>
      <rPr>
        <vertAlign val="subscript"/>
        <sz val="11"/>
        <color theme="1"/>
        <rFont val="Aptos Display"/>
        <family val="2"/>
      </rPr>
      <t>2,</t>
    </r>
    <r>
      <rPr>
        <vertAlign val="subscript"/>
        <sz val="11"/>
        <color theme="1"/>
        <rFont val="Symbol"/>
        <family val="1"/>
        <charset val="2"/>
      </rPr>
      <t>j</t>
    </r>
    <r>
      <rPr>
        <vertAlign val="subscript"/>
        <sz val="11"/>
        <color theme="1"/>
        <rFont val="Century Gothic"/>
        <family val="2"/>
      </rPr>
      <t>,u</t>
    </r>
  </si>
  <si>
    <r>
      <t>w</t>
    </r>
    <r>
      <rPr>
        <vertAlign val="subscript"/>
        <sz val="10"/>
        <color theme="1"/>
        <rFont val="Century Gothic"/>
        <family val="2"/>
      </rPr>
      <t>max</t>
    </r>
  </si>
  <si>
    <t>Holz und Holzwerkstoffe</t>
  </si>
  <si>
    <t>BauBuche</t>
  </si>
  <si>
    <t>Modifikations- und Deformationsbeiwerte</t>
  </si>
  <si>
    <t>NKL</t>
  </si>
  <si>
    <t>KLED</t>
  </si>
  <si>
    <r>
      <t>k</t>
    </r>
    <r>
      <rPr>
        <vertAlign val="subscript"/>
        <sz val="8"/>
        <color theme="1"/>
        <rFont val="Century Gothic"/>
        <family val="2"/>
      </rPr>
      <t>def</t>
    </r>
  </si>
  <si>
    <t>ständig</t>
  </si>
  <si>
    <t>lang</t>
  </si>
  <si>
    <t>mittel</t>
  </si>
  <si>
    <t>kurz</t>
  </si>
  <si>
    <t>kurz/sehr kurz</t>
  </si>
  <si>
    <t>sehr kurz</t>
  </si>
  <si>
    <t>OSB</t>
  </si>
  <si>
    <t>Teilsicherheitsbeiwerte und KLEDs</t>
  </si>
  <si>
    <r>
      <rPr>
        <sz val="8"/>
        <color theme="1"/>
        <rFont val="Symbol"/>
        <family val="1"/>
        <charset val="2"/>
      </rPr>
      <t>y</t>
    </r>
    <r>
      <rPr>
        <vertAlign val="subscript"/>
        <sz val="8"/>
        <color theme="1"/>
        <rFont val="Century Gothic"/>
        <family val="2"/>
      </rPr>
      <t>0</t>
    </r>
  </si>
  <si>
    <r>
      <rPr>
        <sz val="8"/>
        <color theme="1"/>
        <rFont val="Symbol"/>
        <family val="1"/>
        <charset val="2"/>
      </rPr>
      <t>y</t>
    </r>
    <r>
      <rPr>
        <vertAlign val="subscript"/>
        <sz val="8"/>
        <color theme="1"/>
        <rFont val="Century Gothic"/>
        <family val="2"/>
      </rPr>
      <t>1</t>
    </r>
  </si>
  <si>
    <r>
      <rPr>
        <sz val="8"/>
        <color theme="1"/>
        <rFont val="Symbol"/>
        <family val="1"/>
        <charset val="2"/>
      </rPr>
      <t>y</t>
    </r>
    <r>
      <rPr>
        <vertAlign val="subscript"/>
        <sz val="8"/>
        <color theme="1"/>
        <rFont val="Century Gothic"/>
        <family val="2"/>
      </rPr>
      <t>2</t>
    </r>
  </si>
  <si>
    <t>Nutzlast Kat. A: Wohnraum</t>
  </si>
  <si>
    <t>Nutzlast Kat. B: Büro</t>
  </si>
  <si>
    <t>Nutzlast Kat. C: Versammlungsraum</t>
  </si>
  <si>
    <t>Nutzlast Kat. D: Verkaufsraum</t>
  </si>
  <si>
    <t>Nutzlast Kat. E: Lagerraum</t>
  </si>
  <si>
    <t>Nutzlast Kat. F: Verkehrsflächen leicht</t>
  </si>
  <si>
    <t>Nutzlast Kat. G: Verkehrsflächen schwer</t>
  </si>
  <si>
    <t>Nutzlast Kat. H: Dächer</t>
  </si>
  <si>
    <t>Schneelast bis 1.000 m</t>
  </si>
  <si>
    <t>Schneelast ab 1.000 m</t>
  </si>
  <si>
    <t>Windlast</t>
  </si>
  <si>
    <t>lf-Nummer</t>
  </si>
  <si>
    <t>MEGANT Abmessung L/B/H</t>
  </si>
  <si>
    <t>Anzahl der Schrauben in Grundplatte</t>
  </si>
  <si>
    <t>Anzahl der Schrauben in Spannbacke</t>
  </si>
  <si>
    <t>ALU-Güte</t>
  </si>
  <si>
    <t>GS-Länge</t>
  </si>
  <si>
    <t>Gewinde-stange</t>
  </si>
  <si>
    <t>As</t>
  </si>
  <si>
    <t>Verbinderhöhe</t>
  </si>
  <si>
    <t>Spannbacken Höhe</t>
  </si>
  <si>
    <t>f-size</t>
  </si>
  <si>
    <t>F2,Rk</t>
  </si>
  <si>
    <t>F3,Rk</t>
  </si>
  <si>
    <t>t</t>
  </si>
  <si>
    <t>[Stk]</t>
  </si>
  <si>
    <t>[mm]</t>
  </si>
  <si>
    <t xml:space="preserve"> [cm²]</t>
  </si>
  <si>
    <t>310 x 60 x 40</t>
  </si>
  <si>
    <t>M20</t>
  </si>
  <si>
    <t>430 x 60 x 40</t>
  </si>
  <si>
    <t>550 x 60 x 40</t>
  </si>
  <si>
    <t>310 x 100 x 40</t>
  </si>
  <si>
    <t>M16</t>
  </si>
  <si>
    <t>430 x 100 x 40</t>
  </si>
  <si>
    <t>550 x 100 x 40</t>
  </si>
  <si>
    <t>310 x 150 x 50</t>
  </si>
  <si>
    <t>430 x 150 x 50</t>
  </si>
  <si>
    <t>550 x 150 x 50</t>
  </si>
  <si>
    <t>610 x 150 x 50</t>
  </si>
  <si>
    <t>730 x 150 x 50</t>
  </si>
  <si>
    <t>790 x 150 x 50</t>
  </si>
  <si>
    <t>850 x 150 x 50</t>
  </si>
  <si>
    <t>1090 x 150 x 50</t>
  </si>
  <si>
    <t>1030 x 150 x 50 SL</t>
  </si>
  <si>
    <t>Schraube</t>
  </si>
  <si>
    <t xml:space="preserve">Bez. </t>
  </si>
  <si>
    <t>Einheit</t>
  </si>
  <si>
    <t>lf-Nr.</t>
  </si>
  <si>
    <t>SK 8x120</t>
  </si>
  <si>
    <t>SK 8x160</t>
  </si>
  <si>
    <t>SK 8x240</t>
  </si>
  <si>
    <t>Assy Plus VG 8x120</t>
  </si>
  <si>
    <t>Assy Plus VG 8x140</t>
  </si>
  <si>
    <t>Assy Plus VG 8x160</t>
  </si>
  <si>
    <t>Assy Plus VG 8x180</t>
  </si>
  <si>
    <t>Assy Plus VG 8x200</t>
  </si>
  <si>
    <t>Assy Plus VG 8x220</t>
  </si>
  <si>
    <t>Assy Plus VG 8x240</t>
  </si>
  <si>
    <t>Assy Plus VG 8x260</t>
  </si>
  <si>
    <t>Assy Plus VG 8x280</t>
  </si>
  <si>
    <t>Assy Plus VG 8x300</t>
  </si>
  <si>
    <t>Assy Plus VG 8x320</t>
  </si>
  <si>
    <t>Assy Plus VG 8x340</t>
  </si>
  <si>
    <t>Hersteller</t>
  </si>
  <si>
    <t>[-]</t>
  </si>
  <si>
    <t>Knapp Vollgewindeschraube</t>
  </si>
  <si>
    <t>Würth Assy Plus VG</t>
  </si>
  <si>
    <t>ETA/Zulassung</t>
  </si>
  <si>
    <t>ETA-11/0190</t>
  </si>
  <si>
    <t>Schraubendurchmesser</t>
  </si>
  <si>
    <t>Schraubenlänge</t>
  </si>
  <si>
    <t>E-Modul</t>
  </si>
  <si>
    <t>E</t>
  </si>
  <si>
    <t>char. Ausziehfestigkeit normal zur Faser</t>
  </si>
  <si>
    <t>char. Zugfestigkeit der Schraube</t>
  </si>
  <si>
    <t>[kN]</t>
  </si>
  <si>
    <t>[Nm]</t>
  </si>
  <si>
    <t>Gewindestangen</t>
  </si>
  <si>
    <t>SFK</t>
  </si>
  <si>
    <t>2</t>
  </si>
  <si>
    <t>8.8</t>
  </si>
  <si>
    <t>Durchmesser</t>
  </si>
  <si>
    <t>3</t>
  </si>
  <si>
    <t>Querschnittfläche</t>
  </si>
  <si>
    <t>[mm²]</t>
  </si>
  <si>
    <t>4</t>
  </si>
  <si>
    <t>char. Festigkeit</t>
  </si>
  <si>
    <t>fub</t>
  </si>
  <si>
    <t>5</t>
  </si>
  <si>
    <t>6</t>
  </si>
  <si>
    <t>7</t>
  </si>
  <si>
    <t>8</t>
  </si>
  <si>
    <t>9</t>
  </si>
  <si>
    <t>10</t>
  </si>
  <si>
    <t>MEGANT® Bemessungstool für Haupt-Nebenträger-Anschlüsse</t>
  </si>
  <si>
    <t>KNAPP®</t>
  </si>
  <si>
    <t>Version 7.0</t>
  </si>
  <si>
    <t>Berechnungsziffern</t>
  </si>
  <si>
    <t>Auswahl Schraubentypen</t>
  </si>
  <si>
    <r>
      <t>Abfragen für Materialien, k</t>
    </r>
    <r>
      <rPr>
        <b/>
        <vertAlign val="subscript"/>
        <sz val="8"/>
        <rFont val="Century Gothic"/>
        <family val="2"/>
      </rPr>
      <t>mod</t>
    </r>
    <r>
      <rPr>
        <b/>
        <sz val="8"/>
        <rFont val="Century Gothic"/>
        <family val="2"/>
      </rPr>
      <t xml:space="preserve"> und k</t>
    </r>
    <r>
      <rPr>
        <b/>
        <vertAlign val="subscript"/>
        <sz val="8"/>
        <rFont val="Century Gothic"/>
        <family val="2"/>
      </rPr>
      <t>def</t>
    </r>
  </si>
  <si>
    <t>Unverbindliche Musterbemessung</t>
  </si>
  <si>
    <t>Materialkategorien</t>
  </si>
  <si>
    <t>30_90</t>
  </si>
  <si>
    <t>30_45</t>
  </si>
  <si>
    <t>31_90</t>
  </si>
  <si>
    <t>31_45</t>
  </si>
  <si>
    <t>32_90</t>
  </si>
  <si>
    <t>32_45</t>
  </si>
  <si>
    <t>Ermittlung des maßgebenden Nachweises</t>
  </si>
  <si>
    <t>Schraube 0/90</t>
  </si>
  <si>
    <t>Schraube 45</t>
  </si>
  <si>
    <t>aktiv:</t>
  </si>
  <si>
    <r>
      <t>A</t>
    </r>
    <r>
      <rPr>
        <vertAlign val="subscript"/>
        <sz val="8"/>
        <rFont val="Century Gothic"/>
        <family val="2"/>
      </rPr>
      <t>d,y</t>
    </r>
    <r>
      <rPr>
        <sz val="8"/>
        <rFont val="Century Gothic"/>
        <family val="2"/>
      </rPr>
      <t xml:space="preserve"> [kN]</t>
    </r>
  </si>
  <si>
    <r>
      <t>B</t>
    </r>
    <r>
      <rPr>
        <vertAlign val="subscript"/>
        <sz val="8"/>
        <rFont val="Century Gothic"/>
        <family val="2"/>
      </rPr>
      <t>d,y</t>
    </r>
    <r>
      <rPr>
        <sz val="8"/>
        <rFont val="Century Gothic"/>
        <family val="2"/>
      </rPr>
      <t xml:space="preserve"> [kN]</t>
    </r>
  </si>
  <si>
    <r>
      <t>M</t>
    </r>
    <r>
      <rPr>
        <vertAlign val="subscript"/>
        <sz val="8"/>
        <rFont val="Century Gothic"/>
        <family val="2"/>
      </rPr>
      <t>i,d,y</t>
    </r>
    <r>
      <rPr>
        <sz val="8"/>
        <rFont val="Century Gothic"/>
        <family val="2"/>
      </rPr>
      <t xml:space="preserve"> [kNm]</t>
    </r>
  </si>
  <si>
    <r>
      <t>M</t>
    </r>
    <r>
      <rPr>
        <vertAlign val="subscript"/>
        <sz val="8"/>
        <rFont val="Century Gothic"/>
        <family val="2"/>
      </rPr>
      <t>k,d,y</t>
    </r>
    <r>
      <rPr>
        <sz val="8"/>
        <rFont val="Century Gothic"/>
        <family val="2"/>
      </rPr>
      <t xml:space="preserve"> [kNm]</t>
    </r>
  </si>
  <si>
    <r>
      <t>k</t>
    </r>
    <r>
      <rPr>
        <vertAlign val="subscript"/>
        <sz val="8"/>
        <rFont val="Century Gothic"/>
        <family val="2"/>
      </rPr>
      <t>mod</t>
    </r>
  </si>
  <si>
    <t>MKW</t>
  </si>
  <si>
    <t>Winkel</t>
  </si>
  <si>
    <t>0-Schraube</t>
  </si>
  <si>
    <t>45-Schraube</t>
  </si>
  <si>
    <t>90-Schraube</t>
  </si>
  <si>
    <t>Schraubentypen</t>
  </si>
  <si>
    <r>
      <t>f</t>
    </r>
    <r>
      <rPr>
        <vertAlign val="subscript"/>
        <sz val="8"/>
        <rFont val="Century Gothic"/>
        <family val="2"/>
      </rPr>
      <t>m,k</t>
    </r>
  </si>
  <si>
    <t>Schraubenachse-Faser-Winkel</t>
  </si>
  <si>
    <r>
      <t>f</t>
    </r>
    <r>
      <rPr>
        <vertAlign val="subscript"/>
        <sz val="8"/>
        <rFont val="Century Gothic"/>
        <family val="2"/>
      </rPr>
      <t>t,0,k</t>
    </r>
  </si>
  <si>
    <t>Nutzungsklasse</t>
  </si>
  <si>
    <r>
      <t>f</t>
    </r>
    <r>
      <rPr>
        <vertAlign val="subscript"/>
        <sz val="8"/>
        <rFont val="Century Gothic"/>
        <family val="2"/>
      </rPr>
      <t>t,90,k</t>
    </r>
  </si>
  <si>
    <t>Anschlusswinkel</t>
  </si>
  <si>
    <r>
      <t>f</t>
    </r>
    <r>
      <rPr>
        <vertAlign val="subscript"/>
        <sz val="8"/>
        <rFont val="Century Gothic"/>
        <family val="2"/>
      </rPr>
      <t>c,0,k</t>
    </r>
  </si>
  <si>
    <t>alpha_F3</t>
  </si>
  <si>
    <t>Kraft-Faser-Winkel</t>
  </si>
  <si>
    <t>Fall</t>
  </si>
  <si>
    <r>
      <t>f</t>
    </r>
    <r>
      <rPr>
        <vertAlign val="subscript"/>
        <sz val="8"/>
        <rFont val="Century Gothic"/>
        <family val="2"/>
      </rPr>
      <t>c,90,k</t>
    </r>
  </si>
  <si>
    <t>alpha_F4/5</t>
  </si>
  <si>
    <t>Ausführung des Hauptträgers</t>
  </si>
  <si>
    <r>
      <t>f</t>
    </r>
    <r>
      <rPr>
        <vertAlign val="subscript"/>
        <sz val="8"/>
        <rFont val="Century Gothic"/>
        <family val="2"/>
      </rPr>
      <t>v,k</t>
    </r>
  </si>
  <si>
    <t>beta</t>
  </si>
  <si>
    <t>Schrauben-Deckflächen-Winkel</t>
  </si>
  <si>
    <r>
      <t>f</t>
    </r>
    <r>
      <rPr>
        <vertAlign val="subscript"/>
        <sz val="8"/>
        <rFont val="Century Gothic"/>
        <family val="2"/>
      </rPr>
      <t>v,r,k</t>
    </r>
  </si>
  <si>
    <t>Eta</t>
  </si>
  <si>
    <r>
      <t>E</t>
    </r>
    <r>
      <rPr>
        <vertAlign val="subscript"/>
        <sz val="8"/>
        <rFont val="Century Gothic"/>
        <family val="2"/>
      </rPr>
      <t>m,0,mean</t>
    </r>
  </si>
  <si>
    <r>
      <t>E</t>
    </r>
    <r>
      <rPr>
        <vertAlign val="subscript"/>
        <sz val="8"/>
        <rFont val="Century Gothic"/>
        <family val="2"/>
      </rPr>
      <t>m,0,05</t>
    </r>
  </si>
  <si>
    <r>
      <t>k</t>
    </r>
    <r>
      <rPr>
        <i/>
        <vertAlign val="subscript"/>
        <sz val="8"/>
        <rFont val="Century Gothic"/>
        <family val="2"/>
      </rPr>
      <t>def</t>
    </r>
  </si>
  <si>
    <t>Stütze Anschluss an Laubholzoberfläche</t>
  </si>
  <si>
    <t>Stütze Anschluss an Funierschichtseite</t>
  </si>
  <si>
    <r>
      <t>E</t>
    </r>
    <r>
      <rPr>
        <vertAlign val="subscript"/>
        <sz val="8"/>
        <rFont val="Century Gothic"/>
        <family val="2"/>
      </rPr>
      <t>90,mean</t>
    </r>
  </si>
  <si>
    <r>
      <t>E</t>
    </r>
    <r>
      <rPr>
        <vertAlign val="subscript"/>
        <sz val="8"/>
        <rFont val="Century Gothic"/>
        <family val="2"/>
      </rPr>
      <t>90,05</t>
    </r>
  </si>
  <si>
    <r>
      <t>G</t>
    </r>
    <r>
      <rPr>
        <vertAlign val="subscript"/>
        <sz val="8"/>
        <rFont val="Century Gothic"/>
        <family val="2"/>
      </rPr>
      <t>mean</t>
    </r>
  </si>
  <si>
    <r>
      <t>G</t>
    </r>
    <r>
      <rPr>
        <vertAlign val="subscript"/>
        <sz val="8"/>
        <rFont val="Century Gothic"/>
        <family val="2"/>
      </rPr>
      <t>05</t>
    </r>
  </si>
  <si>
    <t>Breite</t>
  </si>
  <si>
    <r>
      <t>G</t>
    </r>
    <r>
      <rPr>
        <vertAlign val="subscript"/>
        <sz val="8"/>
        <rFont val="Century Gothic"/>
        <family val="2"/>
      </rPr>
      <t>r,mean</t>
    </r>
  </si>
  <si>
    <t>Höhe</t>
  </si>
  <si>
    <r>
      <t>G</t>
    </r>
    <r>
      <rPr>
        <vertAlign val="subscript"/>
        <sz val="8"/>
        <rFont val="Century Gothic"/>
        <family val="2"/>
      </rPr>
      <t>r,05</t>
    </r>
  </si>
  <si>
    <r>
      <rPr>
        <sz val="8"/>
        <rFont val="Symbol"/>
        <family val="1"/>
        <charset val="2"/>
      </rPr>
      <t>r</t>
    </r>
    <r>
      <rPr>
        <vertAlign val="subscript"/>
        <sz val="8"/>
        <rFont val="Century Gothic"/>
        <family val="2"/>
      </rPr>
      <t>k</t>
    </r>
  </si>
  <si>
    <r>
      <rPr>
        <sz val="8"/>
        <rFont val="Symbol"/>
        <family val="1"/>
        <charset val="2"/>
      </rPr>
      <t>r</t>
    </r>
    <r>
      <rPr>
        <vertAlign val="subscript"/>
        <sz val="8"/>
        <rFont val="Century Gothic"/>
        <family val="2"/>
      </rPr>
      <t>mean</t>
    </r>
  </si>
  <si>
    <t>Hinweise</t>
  </si>
  <si>
    <t>Einwirkungskategorien</t>
  </si>
  <si>
    <r>
      <t>k</t>
    </r>
    <r>
      <rPr>
        <vertAlign val="subscript"/>
        <sz val="8"/>
        <color theme="1"/>
        <rFont val="Century Gothic"/>
        <family val="2"/>
      </rPr>
      <t>mod</t>
    </r>
  </si>
  <si>
    <r>
      <rPr>
        <sz val="8"/>
        <rFont val="Symbol"/>
        <family val="1"/>
        <charset val="2"/>
      </rPr>
      <t>y</t>
    </r>
    <r>
      <rPr>
        <vertAlign val="subscript"/>
        <sz val="8"/>
        <rFont val="Century Gothic"/>
        <family val="2"/>
      </rPr>
      <t>1</t>
    </r>
  </si>
  <si>
    <r>
      <rPr>
        <sz val="8"/>
        <rFont val="Symbol"/>
        <family val="1"/>
        <charset val="2"/>
      </rPr>
      <t>y</t>
    </r>
    <r>
      <rPr>
        <vertAlign val="subscript"/>
        <sz val="8"/>
        <rFont val="Century Gothic"/>
        <family val="2"/>
      </rPr>
      <t>2</t>
    </r>
  </si>
  <si>
    <t>Eigenlasten</t>
  </si>
  <si>
    <t>kN/m</t>
  </si>
  <si>
    <t>kN</t>
  </si>
  <si>
    <t>Ausnutzung</t>
  </si>
  <si>
    <t>NH/BSH</t>
  </si>
  <si>
    <t>LH</t>
  </si>
  <si>
    <t>LVL</t>
  </si>
  <si>
    <t>Bemessungswinkel</t>
  </si>
  <si>
    <t>Epsilon</t>
  </si>
  <si>
    <t>MEGANT-Verbinder</t>
  </si>
  <si>
    <t>(ETA-15/0667, Anhang 5)</t>
  </si>
  <si>
    <t>Schrauben-Faser-Winkel</t>
  </si>
  <si>
    <t>α</t>
  </si>
  <si>
    <t>β</t>
  </si>
  <si>
    <t>char. Rohdichte</t>
  </si>
  <si>
    <t>0°-Schrauben</t>
  </si>
  <si>
    <t>Faktor</t>
  </si>
  <si>
    <t>90°-Schrauben</t>
  </si>
  <si>
    <t>EN 1993-1-1</t>
  </si>
  <si>
    <t>EN 1999-1-1</t>
  </si>
  <si>
    <t>45°-Schrauben</t>
  </si>
  <si>
    <t>char. Ausziehwiderstand</t>
  </si>
  <si>
    <t>0,2% Streckgrenze</t>
  </si>
  <si>
    <t>Gewindedurchmesser</t>
  </si>
  <si>
    <t>Spannbackenhöhe - 20mm</t>
  </si>
  <si>
    <t>Abminderungsfaktor</t>
  </si>
  <si>
    <t>Nm</t>
  </si>
  <si>
    <t>kNm/rad</t>
  </si>
  <si>
    <t>b</t>
  </si>
  <si>
    <t>kNm</t>
  </si>
  <si>
    <t>Formeln</t>
  </si>
  <si>
    <t xml:space="preserve">Für weitere Berechnung: </t>
  </si>
  <si>
    <t>Breite Kontaktfläche</t>
  </si>
  <si>
    <t>Druckverformung</t>
  </si>
  <si>
    <r>
      <t>e</t>
    </r>
    <r>
      <rPr>
        <vertAlign val="subscript"/>
        <sz val="8"/>
        <color theme="1"/>
        <rFont val="Century Gothic"/>
        <family val="2"/>
      </rPr>
      <t>max</t>
    </r>
  </si>
  <si>
    <r>
      <t>b· f</t>
    </r>
    <r>
      <rPr>
        <vertAlign val="subscript"/>
        <sz val="8"/>
        <color theme="1"/>
        <rFont val="Century Gothic"/>
        <family val="2"/>
      </rPr>
      <t>c,90,k</t>
    </r>
  </si>
  <si>
    <t>ε</t>
  </si>
  <si>
    <r>
      <rPr>
        <sz val="8"/>
        <color theme="1"/>
        <rFont val="Calibri"/>
        <family val="2"/>
      </rPr>
      <t>ρ</t>
    </r>
    <r>
      <rPr>
        <vertAlign val="subscript"/>
        <sz val="8"/>
        <color theme="1"/>
        <rFont val="Century Gothic"/>
        <family val="2"/>
      </rPr>
      <t>k</t>
    </r>
  </si>
  <si>
    <r>
      <t>M</t>
    </r>
    <r>
      <rPr>
        <vertAlign val="subscript"/>
        <sz val="8"/>
        <color theme="1"/>
        <rFont val="Century Gothic"/>
        <family val="2"/>
      </rPr>
      <t>y,Rk</t>
    </r>
  </si>
  <si>
    <r>
      <t>k</t>
    </r>
    <r>
      <rPr>
        <vertAlign val="subscript"/>
        <sz val="8"/>
        <color theme="1"/>
        <rFont val="Century Gothic"/>
        <family val="2"/>
      </rPr>
      <t>ax</t>
    </r>
  </si>
  <si>
    <r>
      <t>k</t>
    </r>
    <r>
      <rPr>
        <vertAlign val="subscript"/>
        <sz val="8"/>
        <color theme="1"/>
        <rFont val="Calibri"/>
        <family val="2"/>
      </rPr>
      <t>β</t>
    </r>
  </si>
  <si>
    <r>
      <t>F</t>
    </r>
    <r>
      <rPr>
        <vertAlign val="subscript"/>
        <sz val="8"/>
        <color theme="1"/>
        <rFont val="Century Gothic"/>
        <family val="2"/>
      </rPr>
      <t>ax,45,J,Rk</t>
    </r>
  </si>
  <si>
    <r>
      <t>f</t>
    </r>
    <r>
      <rPr>
        <vertAlign val="subscript"/>
        <sz val="8"/>
        <color theme="1"/>
        <rFont val="Century Gothic"/>
        <family val="2"/>
      </rPr>
      <t>h,45,J,k</t>
    </r>
  </si>
  <si>
    <r>
      <t>F</t>
    </r>
    <r>
      <rPr>
        <vertAlign val="subscript"/>
        <sz val="8"/>
        <color theme="1"/>
        <rFont val="Century Gothic"/>
        <family val="2"/>
      </rPr>
      <t>ax,45,H,Rk</t>
    </r>
  </si>
  <si>
    <r>
      <t>f</t>
    </r>
    <r>
      <rPr>
        <vertAlign val="subscript"/>
        <sz val="8"/>
        <color theme="1"/>
        <rFont val="Century Gothic"/>
        <family val="2"/>
      </rPr>
      <t>h,45,H,k</t>
    </r>
  </si>
  <si>
    <r>
      <t>F</t>
    </r>
    <r>
      <rPr>
        <vertAlign val="subscript"/>
        <sz val="8"/>
        <color theme="1"/>
        <rFont val="Century Gothic"/>
        <family val="2"/>
      </rPr>
      <t>v,45,H,RK</t>
    </r>
  </si>
  <si>
    <t>Ausgabe/Bemessungsfall</t>
  </si>
  <si>
    <r>
      <t>F</t>
    </r>
    <r>
      <rPr>
        <vertAlign val="subscript"/>
        <sz val="8"/>
        <color theme="1"/>
        <rFont val="Century Gothic"/>
        <family val="2"/>
      </rPr>
      <t>ax,0,J,Rk</t>
    </r>
  </si>
  <si>
    <r>
      <t>f</t>
    </r>
    <r>
      <rPr>
        <vertAlign val="subscript"/>
        <sz val="8"/>
        <color theme="1"/>
        <rFont val="Century Gothic"/>
        <family val="2"/>
      </rPr>
      <t>h,0,J,k</t>
    </r>
  </si>
  <si>
    <r>
      <t>F</t>
    </r>
    <r>
      <rPr>
        <vertAlign val="subscript"/>
        <sz val="8"/>
        <color theme="1"/>
        <rFont val="Century Gothic"/>
        <family val="2"/>
      </rPr>
      <t>v,0,J,RK</t>
    </r>
  </si>
  <si>
    <r>
      <t>f</t>
    </r>
    <r>
      <rPr>
        <vertAlign val="subscript"/>
        <sz val="8"/>
        <color theme="1"/>
        <rFont val="Century Gothic"/>
        <family val="2"/>
      </rPr>
      <t xml:space="preserve">ax,k </t>
    </r>
  </si>
  <si>
    <r>
      <t>F</t>
    </r>
    <r>
      <rPr>
        <vertAlign val="subscript"/>
        <sz val="8"/>
        <color theme="1"/>
        <rFont val="Century Gothic"/>
        <family val="2"/>
      </rPr>
      <t>1,Rk,J</t>
    </r>
  </si>
  <si>
    <r>
      <t>γ</t>
    </r>
    <r>
      <rPr>
        <vertAlign val="subscript"/>
        <sz val="8"/>
        <color theme="1"/>
        <rFont val="Century Gothic"/>
        <family val="2"/>
      </rPr>
      <t>M</t>
    </r>
  </si>
  <si>
    <r>
      <t>F</t>
    </r>
    <r>
      <rPr>
        <vertAlign val="subscript"/>
        <sz val="8"/>
        <color theme="1"/>
        <rFont val="Century Gothic"/>
        <family val="2"/>
      </rPr>
      <t>1,Rk,H</t>
    </r>
  </si>
  <si>
    <r>
      <t>n</t>
    </r>
    <r>
      <rPr>
        <vertAlign val="subscript"/>
        <sz val="8"/>
        <rFont val="Century Gothic"/>
        <family val="2"/>
      </rPr>
      <t>ef</t>
    </r>
  </si>
  <si>
    <r>
      <t>k</t>
    </r>
    <r>
      <rPr>
        <vertAlign val="subscript"/>
        <sz val="8"/>
        <color theme="1"/>
        <rFont val="Century Gothic"/>
        <family val="2"/>
      </rPr>
      <t>ax</t>
    </r>
    <r>
      <rPr>
        <sz val="8"/>
        <color theme="1"/>
        <rFont val="Century Gothic"/>
        <family val="2"/>
      </rPr>
      <t xml:space="preserve"> =0,3+ 0,7⋅ α/45°  für 0° ≤ α ≤ 45° </t>
    </r>
  </si>
  <si>
    <r>
      <t>k</t>
    </r>
    <r>
      <rPr>
        <vertAlign val="subscript"/>
        <sz val="8"/>
        <color theme="1"/>
        <rFont val="Century Gothic"/>
        <family val="2"/>
      </rPr>
      <t>ax</t>
    </r>
    <r>
      <rPr>
        <sz val="8"/>
        <color theme="1"/>
        <rFont val="Century Gothic"/>
        <family val="2"/>
      </rPr>
      <t xml:space="preserve"> = 0,3+ 0,7⋅ α/45°  für 0° ≤ α ≤ 45° </t>
    </r>
  </si>
  <si>
    <t>EN 1995-1-1</t>
  </si>
  <si>
    <r>
      <t>f</t>
    </r>
    <r>
      <rPr>
        <vertAlign val="subscript"/>
        <sz val="8"/>
        <color theme="1"/>
        <rFont val="Century Gothic"/>
        <family val="2"/>
      </rPr>
      <t>tens</t>
    </r>
  </si>
  <si>
    <r>
      <t>n</t>
    </r>
    <r>
      <rPr>
        <vertAlign val="subscript"/>
        <sz val="8"/>
        <color theme="1"/>
        <rFont val="Century Gothic"/>
        <family val="2"/>
      </rPr>
      <t>90</t>
    </r>
  </si>
  <si>
    <r>
      <t>F</t>
    </r>
    <r>
      <rPr>
        <vertAlign val="subscript"/>
        <sz val="8"/>
        <color theme="1"/>
        <rFont val="Century Gothic"/>
        <family val="2"/>
      </rPr>
      <t>t,RK</t>
    </r>
  </si>
  <si>
    <r>
      <t>γ</t>
    </r>
    <r>
      <rPr>
        <vertAlign val="subscript"/>
        <sz val="8"/>
        <color theme="1"/>
        <rFont val="Century Gothic"/>
        <family val="2"/>
      </rPr>
      <t>M2</t>
    </r>
  </si>
  <si>
    <r>
      <t>f</t>
    </r>
    <r>
      <rPr>
        <vertAlign val="subscript"/>
        <sz val="8"/>
        <rFont val="Century Gothic"/>
        <family val="2"/>
      </rPr>
      <t>ax,J/H,Rk</t>
    </r>
    <r>
      <rPr>
        <sz val="8"/>
        <rFont val="Century Gothic"/>
        <family val="2"/>
      </rPr>
      <t xml:space="preserve"> = 0,52⋅ d</t>
    </r>
    <r>
      <rPr>
        <vertAlign val="superscript"/>
        <sz val="8"/>
        <rFont val="Century Gothic"/>
        <family val="2"/>
      </rPr>
      <t>-0,5</t>
    </r>
    <r>
      <rPr>
        <sz val="8"/>
        <rFont val="Century Gothic"/>
        <family val="2"/>
      </rPr>
      <t>⋅ l</t>
    </r>
    <r>
      <rPr>
        <vertAlign val="subscript"/>
        <sz val="8"/>
        <rFont val="Century Gothic"/>
        <family val="2"/>
      </rPr>
      <t>ef</t>
    </r>
    <r>
      <rPr>
        <vertAlign val="superscript"/>
        <sz val="8"/>
        <rFont val="Century Gothic"/>
        <family val="2"/>
      </rPr>
      <t>-0,1</t>
    </r>
    <r>
      <rPr>
        <sz val="8"/>
        <rFont val="Century Gothic"/>
        <family val="2"/>
      </rPr>
      <t>⋅ r</t>
    </r>
    <r>
      <rPr>
        <vertAlign val="subscript"/>
        <sz val="8"/>
        <rFont val="Century Gothic"/>
        <family val="2"/>
      </rPr>
      <t>k</t>
    </r>
    <r>
      <rPr>
        <vertAlign val="superscript"/>
        <sz val="8"/>
        <rFont val="Century Gothic"/>
        <family val="2"/>
      </rPr>
      <t>0,8</t>
    </r>
  </si>
  <si>
    <r>
      <t>k</t>
    </r>
    <r>
      <rPr>
        <vertAlign val="subscript"/>
        <sz val="8"/>
        <rFont val="Century Gothic"/>
        <family val="2"/>
      </rPr>
      <t>ax</t>
    </r>
    <r>
      <rPr>
        <sz val="8"/>
        <rFont val="Century Gothic"/>
        <family val="2"/>
      </rPr>
      <t xml:space="preserve"> = 0,3+ 0,7⋅ α/45°  für 0° ≤ α ≤ 45° </t>
    </r>
  </si>
  <si>
    <r>
      <t>k</t>
    </r>
    <r>
      <rPr>
        <vertAlign val="subscript"/>
        <sz val="8"/>
        <rFont val="Century Gothic"/>
        <family val="2"/>
      </rPr>
      <t>ax</t>
    </r>
    <r>
      <rPr>
        <sz val="8"/>
        <rFont val="Century Gothic"/>
        <family val="2"/>
      </rPr>
      <t xml:space="preserve"> = 1,0  für 45° ≤ α ≤ 90° </t>
    </r>
  </si>
  <si>
    <r>
      <t>f</t>
    </r>
    <r>
      <rPr>
        <vertAlign val="subscript"/>
        <sz val="8"/>
        <rFont val="Century Gothic"/>
        <family val="2"/>
      </rPr>
      <t>ax</t>
    </r>
    <r>
      <rPr>
        <sz val="8"/>
        <rFont val="Century Gothic"/>
        <family val="2"/>
      </rPr>
      <t xml:space="preserve"> = 35 N/mm² nach ETA-11/0190</t>
    </r>
  </si>
  <si>
    <r>
      <t>k</t>
    </r>
    <r>
      <rPr>
        <vertAlign val="subscript"/>
        <sz val="8"/>
        <rFont val="Century Gothic"/>
        <family val="2"/>
      </rPr>
      <t>ax</t>
    </r>
    <r>
      <rPr>
        <sz val="8"/>
        <rFont val="Century Gothic"/>
        <family val="2"/>
      </rPr>
      <t xml:space="preserve"> =0,5+ 0,5⋅ α/45°  für 0° ≤ α ≤ 45° </t>
    </r>
  </si>
  <si>
    <t>mittlere eff. Schraubenlänge</t>
  </si>
  <si>
    <t>Geometriedaten</t>
  </si>
  <si>
    <t>Gewindefreie Schaftlänge</t>
  </si>
  <si>
    <t>Gewindelänge</t>
  </si>
  <si>
    <r>
      <t>l</t>
    </r>
    <r>
      <rPr>
        <vertAlign val="subscript"/>
        <sz val="10"/>
        <color theme="1"/>
        <rFont val="Calibri"/>
        <family val="2"/>
        <scheme val="minor"/>
      </rPr>
      <t>g</t>
    </r>
  </si>
  <si>
    <r>
      <t>l</t>
    </r>
    <r>
      <rPr>
        <vertAlign val="subscript"/>
        <sz val="10"/>
        <color theme="1"/>
        <rFont val="Calibri"/>
        <family val="2"/>
        <scheme val="minor"/>
      </rPr>
      <t>s</t>
    </r>
  </si>
  <si>
    <r>
      <t>l</t>
    </r>
    <r>
      <rPr>
        <vertAlign val="subscript"/>
        <sz val="8"/>
        <color theme="1"/>
        <rFont val="Century Gothic"/>
        <family val="2"/>
      </rPr>
      <t>s</t>
    </r>
  </si>
  <si>
    <t>90°/0° in Klemmbacke</t>
  </si>
  <si>
    <t>90°/0° in Grundplatte</t>
  </si>
  <si>
    <r>
      <t>l</t>
    </r>
    <r>
      <rPr>
        <vertAlign val="subscript"/>
        <sz val="8"/>
        <color theme="1"/>
        <rFont val="Century Gothic"/>
        <family val="2"/>
      </rPr>
      <t>eff,1</t>
    </r>
  </si>
  <si>
    <r>
      <t>l</t>
    </r>
    <r>
      <rPr>
        <vertAlign val="subscript"/>
        <sz val="8"/>
        <color theme="1"/>
        <rFont val="Century Gothic"/>
        <family val="2"/>
      </rPr>
      <t>eff,2</t>
    </r>
    <r>
      <rPr>
        <sz val="11"/>
        <color theme="1"/>
        <rFont val="Calibri"/>
        <family val="2"/>
        <scheme val="minor"/>
      </rPr>
      <t/>
    </r>
  </si>
  <si>
    <r>
      <t>l</t>
    </r>
    <r>
      <rPr>
        <vertAlign val="subscript"/>
        <sz val="8"/>
        <color theme="1"/>
        <rFont val="Century Gothic"/>
        <family val="2"/>
      </rPr>
      <t>eff,3</t>
    </r>
    <r>
      <rPr>
        <sz val="11"/>
        <color theme="1"/>
        <rFont val="Calibri"/>
        <family val="2"/>
        <scheme val="minor"/>
      </rPr>
      <t/>
    </r>
  </si>
  <si>
    <r>
      <t>l</t>
    </r>
    <r>
      <rPr>
        <vertAlign val="subscript"/>
        <sz val="8"/>
        <color theme="1"/>
        <rFont val="Century Gothic"/>
        <family val="2"/>
      </rPr>
      <t>eff,4</t>
    </r>
    <r>
      <rPr>
        <sz val="11"/>
        <color theme="1"/>
        <rFont val="Calibri"/>
        <family val="2"/>
        <scheme val="minor"/>
      </rPr>
      <t/>
    </r>
  </si>
  <si>
    <r>
      <t>l</t>
    </r>
    <r>
      <rPr>
        <vertAlign val="subscript"/>
        <sz val="8"/>
        <rFont val="Century Gothic"/>
        <family val="2"/>
      </rPr>
      <t>ef,m</t>
    </r>
  </si>
  <si>
    <r>
      <t>l</t>
    </r>
    <r>
      <rPr>
        <vertAlign val="subscript"/>
        <sz val="8"/>
        <rFont val="Century Gothic"/>
        <family val="2"/>
      </rPr>
      <t>ef,m</t>
    </r>
    <r>
      <rPr>
        <sz val="8"/>
        <rFont val="Century Gothic"/>
        <family val="2"/>
      </rPr>
      <t xml:space="preserve"> = (∑ l - Δl</t>
    </r>
    <r>
      <rPr>
        <vertAlign val="subscript"/>
        <sz val="8"/>
        <rFont val="Century Gothic"/>
        <family val="2"/>
      </rPr>
      <t>ef,i)</t>
    </r>
    <r>
      <rPr>
        <sz val="8"/>
        <rFont val="Century Gothic"/>
        <family val="2"/>
      </rPr>
      <t>/n</t>
    </r>
  </si>
  <si>
    <r>
      <t>A</t>
    </r>
    <r>
      <rPr>
        <vertAlign val="subscript"/>
        <sz val="8"/>
        <color theme="1"/>
        <rFont val="Century Gothic"/>
        <family val="2"/>
      </rPr>
      <t>m</t>
    </r>
    <r>
      <rPr>
        <sz val="8"/>
        <color theme="1"/>
        <rFont val="Century Gothic"/>
        <family val="2"/>
      </rPr>
      <t xml:space="preserve"> = n⋅ d</t>
    </r>
    <r>
      <rPr>
        <vertAlign val="subscript"/>
        <sz val="8"/>
        <color theme="1"/>
        <rFont val="Century Gothic"/>
        <family val="2"/>
      </rPr>
      <t>B</t>
    </r>
    <r>
      <rPr>
        <sz val="8"/>
        <color theme="1"/>
        <rFont val="Century Gothic"/>
        <family val="2"/>
      </rPr>
      <t>⋅ t⋅ π</t>
    </r>
  </si>
  <si>
    <r>
      <t>0,52⋅ d</t>
    </r>
    <r>
      <rPr>
        <vertAlign val="superscript"/>
        <sz val="8"/>
        <rFont val="Century Gothic"/>
        <family val="2"/>
      </rPr>
      <t>0,5</t>
    </r>
    <r>
      <rPr>
        <sz val="8"/>
        <rFont val="Century Gothic"/>
        <family val="2"/>
      </rPr>
      <t>⋅l</t>
    </r>
    <r>
      <rPr>
        <vertAlign val="subscript"/>
        <sz val="8"/>
        <rFont val="Century Gothic"/>
        <family val="2"/>
      </rPr>
      <t>ef</t>
    </r>
    <r>
      <rPr>
        <vertAlign val="superscript"/>
        <sz val="8"/>
        <rFont val="Century Gothic"/>
        <family val="2"/>
      </rPr>
      <t>0,9</t>
    </r>
    <r>
      <rPr>
        <sz val="8"/>
        <rFont val="Century Gothic"/>
        <family val="2"/>
      </rPr>
      <t>⋅ ρ</t>
    </r>
    <r>
      <rPr>
        <vertAlign val="subscript"/>
        <sz val="8"/>
        <rFont val="Century Gothic"/>
        <family val="2"/>
      </rPr>
      <t>k</t>
    </r>
    <r>
      <rPr>
        <vertAlign val="superscript"/>
        <sz val="8"/>
        <rFont val="Century Gothic"/>
        <family val="2"/>
      </rPr>
      <t>0,8</t>
    </r>
    <r>
      <rPr>
        <sz val="8"/>
        <rFont val="Century Gothic"/>
        <family val="2"/>
      </rPr>
      <t>⋅ k</t>
    </r>
    <r>
      <rPr>
        <vertAlign val="subscript"/>
        <sz val="8"/>
        <rFont val="Century Gothic"/>
        <family val="2"/>
      </rPr>
      <t>ax</t>
    </r>
  </si>
  <si>
    <r>
      <t>F</t>
    </r>
    <r>
      <rPr>
        <vertAlign val="subscript"/>
        <sz val="8"/>
        <color theme="1"/>
        <rFont val="Century Gothic"/>
        <family val="2"/>
      </rPr>
      <t>v,45,J,RK</t>
    </r>
  </si>
  <si>
    <r>
      <t>F</t>
    </r>
    <r>
      <rPr>
        <vertAlign val="subscript"/>
        <sz val="8"/>
        <color theme="1"/>
        <rFont val="Century Gothic"/>
        <family val="2"/>
      </rPr>
      <t>ax,90,H,Rk</t>
    </r>
  </si>
  <si>
    <r>
      <t>f</t>
    </r>
    <r>
      <rPr>
        <vertAlign val="subscript"/>
        <sz val="8"/>
        <color theme="1"/>
        <rFont val="Century Gothic"/>
        <family val="2"/>
      </rPr>
      <t>h,90,H,Rk</t>
    </r>
  </si>
  <si>
    <r>
      <t>F</t>
    </r>
    <r>
      <rPr>
        <vertAlign val="subscript"/>
        <sz val="8"/>
        <color theme="1"/>
        <rFont val="Century Gothic"/>
        <family val="2"/>
      </rPr>
      <t>v,90,H,RK</t>
    </r>
  </si>
  <si>
    <r>
      <t>F</t>
    </r>
    <r>
      <rPr>
        <vertAlign val="subscript"/>
        <sz val="8"/>
        <color theme="1"/>
        <rFont val="Century Gothic"/>
        <family val="2"/>
      </rPr>
      <t>3,H,RK</t>
    </r>
  </si>
  <si>
    <r>
      <t>k</t>
    </r>
    <r>
      <rPr>
        <vertAlign val="subscript"/>
        <sz val="8"/>
        <color theme="1"/>
        <rFont val="Century Gothic"/>
        <family val="2"/>
      </rPr>
      <t>2</t>
    </r>
  </si>
  <si>
    <r>
      <t>f</t>
    </r>
    <r>
      <rPr>
        <vertAlign val="subscript"/>
        <sz val="8"/>
        <color theme="1"/>
        <rFont val="Century Gothic"/>
        <family val="2"/>
      </rPr>
      <t>u,b</t>
    </r>
  </si>
  <si>
    <r>
      <t>A</t>
    </r>
    <r>
      <rPr>
        <vertAlign val="subscript"/>
        <sz val="8"/>
        <color theme="1"/>
        <rFont val="Century Gothic"/>
        <family val="2"/>
      </rPr>
      <t>s</t>
    </r>
  </si>
  <si>
    <r>
      <t>R</t>
    </r>
    <r>
      <rPr>
        <vertAlign val="subscript"/>
        <sz val="8"/>
        <color theme="1"/>
        <rFont val="Century Gothic"/>
        <family val="2"/>
      </rPr>
      <t xml:space="preserve">p,0,2,k </t>
    </r>
  </si>
  <si>
    <r>
      <t>d</t>
    </r>
    <r>
      <rPr>
        <vertAlign val="subscript"/>
        <sz val="8"/>
        <color theme="1"/>
        <rFont val="Century Gothic"/>
        <family val="2"/>
      </rPr>
      <t>B</t>
    </r>
  </si>
  <si>
    <r>
      <t>A</t>
    </r>
    <r>
      <rPr>
        <vertAlign val="subscript"/>
        <sz val="8"/>
        <color theme="1"/>
        <rFont val="Century Gothic"/>
        <family val="2"/>
      </rPr>
      <t>m</t>
    </r>
  </si>
  <si>
    <r>
      <t>β</t>
    </r>
    <r>
      <rPr>
        <vertAlign val="subscript"/>
        <sz val="8"/>
        <color theme="1"/>
        <rFont val="Century Gothic"/>
        <family val="2"/>
      </rPr>
      <t>M</t>
    </r>
  </si>
  <si>
    <t>Anzahl der auf Zug beanspruchten Schrauben</t>
  </si>
  <si>
    <t>max. Abstand aller Zugschrauben zur Verbinderoberkante</t>
  </si>
  <si>
    <t>Summe der Abstände der einzelnen Zugschrauben zur Verbinderoberkante</t>
  </si>
  <si>
    <r>
      <t>mm</t>
    </r>
    <r>
      <rPr>
        <vertAlign val="superscript"/>
        <sz val="8"/>
        <rFont val="Century Gothic"/>
        <family val="2"/>
      </rPr>
      <t>4</t>
    </r>
  </si>
  <si>
    <r>
      <t>F</t>
    </r>
    <r>
      <rPr>
        <vertAlign val="subscript"/>
        <sz val="8"/>
        <color theme="1"/>
        <rFont val="Century Gothic"/>
        <family val="2"/>
      </rPr>
      <t>1,KCC,Rk</t>
    </r>
  </si>
  <si>
    <r>
      <t>F</t>
    </r>
    <r>
      <rPr>
        <vertAlign val="subscript"/>
        <sz val="8"/>
        <color theme="1"/>
        <rFont val="Century Gothic"/>
        <family val="2"/>
      </rPr>
      <t>2,KCC,Rk</t>
    </r>
  </si>
  <si>
    <t>Einspanngrad</t>
  </si>
  <si>
    <r>
      <t>F</t>
    </r>
    <r>
      <rPr>
        <vertAlign val="subscript"/>
        <sz val="8"/>
        <color theme="1"/>
        <rFont val="Century Gothic"/>
        <family val="2"/>
      </rPr>
      <t>1,Rd</t>
    </r>
    <r>
      <rPr>
        <sz val="8"/>
        <color theme="1"/>
        <rFont val="Century Gothic"/>
        <family val="2"/>
      </rPr>
      <t xml:space="preserve"> = </t>
    </r>
  </si>
  <si>
    <r>
      <t>F</t>
    </r>
    <r>
      <rPr>
        <vertAlign val="subscript"/>
        <sz val="8"/>
        <color theme="1"/>
        <rFont val="Century Gothic"/>
        <family val="2"/>
      </rPr>
      <t>1,Ed</t>
    </r>
    <r>
      <rPr>
        <sz val="8"/>
        <color theme="1"/>
        <rFont val="Century Gothic"/>
        <family val="2"/>
      </rPr>
      <t xml:space="preserve"> =</t>
    </r>
  </si>
  <si>
    <r>
      <t>F</t>
    </r>
    <r>
      <rPr>
        <vertAlign val="subscript"/>
        <sz val="8"/>
        <color theme="1"/>
        <rFont val="Century Gothic"/>
        <family val="2"/>
      </rPr>
      <t>2,Rd</t>
    </r>
    <r>
      <rPr>
        <sz val="8"/>
        <color theme="1"/>
        <rFont val="Century Gothic"/>
        <family val="2"/>
      </rPr>
      <t xml:space="preserve"> = </t>
    </r>
  </si>
  <si>
    <r>
      <t>F</t>
    </r>
    <r>
      <rPr>
        <vertAlign val="subscript"/>
        <sz val="8"/>
        <color theme="1"/>
        <rFont val="Century Gothic"/>
        <family val="2"/>
      </rPr>
      <t>3,Ed</t>
    </r>
    <r>
      <rPr>
        <sz val="8"/>
        <color theme="1"/>
        <rFont val="Century Gothic"/>
        <family val="2"/>
      </rPr>
      <t xml:space="preserve"> =</t>
    </r>
  </si>
  <si>
    <r>
      <t>F</t>
    </r>
    <r>
      <rPr>
        <vertAlign val="subscript"/>
        <sz val="8"/>
        <color theme="1"/>
        <rFont val="Century Gothic"/>
        <family val="2"/>
      </rPr>
      <t>3,Rk</t>
    </r>
    <r>
      <rPr>
        <sz val="8"/>
        <color theme="1"/>
        <rFont val="Century Gothic"/>
        <family val="2"/>
      </rPr>
      <t xml:space="preserve"> =</t>
    </r>
  </si>
  <si>
    <r>
      <t>F</t>
    </r>
    <r>
      <rPr>
        <vertAlign val="subscript"/>
        <sz val="8"/>
        <color theme="1"/>
        <rFont val="Century Gothic"/>
        <family val="2"/>
      </rPr>
      <t>3,Rd</t>
    </r>
    <r>
      <rPr>
        <sz val="8"/>
        <color theme="1"/>
        <rFont val="Century Gothic"/>
        <family val="2"/>
      </rPr>
      <t xml:space="preserve"> =</t>
    </r>
  </si>
  <si>
    <r>
      <t>M</t>
    </r>
    <r>
      <rPr>
        <vertAlign val="subscript"/>
        <sz val="8"/>
        <color theme="1"/>
        <rFont val="Century Gothic"/>
        <family val="2"/>
      </rPr>
      <t>tor,Rd</t>
    </r>
  </si>
  <si>
    <r>
      <t>F</t>
    </r>
    <r>
      <rPr>
        <vertAlign val="subscript"/>
        <sz val="8"/>
        <color theme="1"/>
        <rFont val="Century Gothic"/>
        <family val="2"/>
      </rPr>
      <t>2,Ed</t>
    </r>
    <r>
      <rPr>
        <sz val="8"/>
        <color theme="1"/>
        <rFont val="Century Gothic"/>
        <family val="2"/>
      </rPr>
      <t xml:space="preserve"> =</t>
    </r>
  </si>
  <si>
    <r>
      <t>f</t>
    </r>
    <r>
      <rPr>
        <vertAlign val="subscript"/>
        <sz val="8"/>
        <rFont val="Century Gothic"/>
        <family val="2"/>
      </rPr>
      <t>ax,J/H,Rk</t>
    </r>
    <r>
      <rPr>
        <sz val="8"/>
        <rFont val="Century Gothic"/>
        <family val="2"/>
      </rPr>
      <t xml:space="preserve"> = 0,52⋅ d</t>
    </r>
    <r>
      <rPr>
        <vertAlign val="superscript"/>
        <sz val="8"/>
        <rFont val="Century Gothic"/>
        <family val="2"/>
      </rPr>
      <t>-0,5</t>
    </r>
    <r>
      <rPr>
        <sz val="8"/>
        <rFont val="Century Gothic"/>
        <family val="2"/>
      </rPr>
      <t>⋅ l</t>
    </r>
    <r>
      <rPr>
        <vertAlign val="subscript"/>
        <sz val="8"/>
        <rFont val="Century Gothic"/>
        <family val="2"/>
      </rPr>
      <t>ef</t>
    </r>
    <r>
      <rPr>
        <vertAlign val="superscript"/>
        <sz val="8"/>
        <rFont val="Century Gothic"/>
        <family val="2"/>
      </rPr>
      <t>-0,1</t>
    </r>
    <r>
      <rPr>
        <sz val="8"/>
        <rFont val="Century Gothic"/>
        <family val="2"/>
      </rPr>
      <t>⋅ r</t>
    </r>
    <r>
      <rPr>
        <vertAlign val="subscript"/>
        <sz val="8"/>
        <rFont val="Century Gothic"/>
        <family val="2"/>
      </rPr>
      <t>k</t>
    </r>
    <r>
      <rPr>
        <vertAlign val="superscript"/>
        <sz val="8"/>
        <rFont val="Century Gothic"/>
        <family val="2"/>
      </rPr>
      <t>0,8</t>
    </r>
    <r>
      <rPr>
        <sz val="8"/>
        <rFont val="Century Gothic"/>
        <family val="2"/>
      </rPr>
      <t xml:space="preserve"> (ETA-15/0667)</t>
    </r>
  </si>
  <si>
    <r>
      <t>k</t>
    </r>
    <r>
      <rPr>
        <vertAlign val="subscript"/>
        <sz val="8"/>
        <rFont val="Century Gothic"/>
        <family val="2"/>
      </rPr>
      <t>ax</t>
    </r>
    <r>
      <rPr>
        <sz val="8"/>
        <rFont val="Century Gothic"/>
        <family val="2"/>
      </rPr>
      <t xml:space="preserve"> = 1,0  für 45° ≤ α ≤ 90°  (ETA-15-0667)</t>
    </r>
  </si>
  <si>
    <r>
      <t>k</t>
    </r>
    <r>
      <rPr>
        <vertAlign val="subscript"/>
        <sz val="8"/>
        <color theme="1"/>
        <rFont val="Century Gothic"/>
        <family val="2"/>
      </rPr>
      <t>ax</t>
    </r>
    <r>
      <rPr>
        <sz val="8"/>
        <color theme="1"/>
        <rFont val="Century Gothic"/>
        <family val="2"/>
      </rPr>
      <t xml:space="preserve"> = 1,0  für 45° ≤ α ≤ 90°  (ETA-11/0190)</t>
    </r>
  </si>
  <si>
    <r>
      <t>n</t>
    </r>
    <r>
      <rPr>
        <vertAlign val="subscript"/>
        <sz val="8"/>
        <rFont val="Century Gothic"/>
        <family val="2"/>
      </rPr>
      <t>ef</t>
    </r>
    <r>
      <rPr>
        <sz val="8"/>
        <rFont val="Century Gothic"/>
        <family val="2"/>
      </rPr>
      <t>⋅ f</t>
    </r>
    <r>
      <rPr>
        <vertAlign val="subscript"/>
        <sz val="8"/>
        <rFont val="Century Gothic"/>
        <family val="2"/>
      </rPr>
      <t>ax</t>
    </r>
    <r>
      <rPr>
        <sz val="8"/>
        <rFont val="Century Gothic"/>
        <family val="2"/>
      </rPr>
      <t>⋅ d⋅ l</t>
    </r>
    <r>
      <rPr>
        <vertAlign val="subscript"/>
        <sz val="8"/>
        <rFont val="Century Gothic"/>
        <family val="2"/>
      </rPr>
      <t>ef</t>
    </r>
    <r>
      <rPr>
        <sz val="8"/>
        <rFont val="Century Gothic"/>
        <family val="2"/>
      </rPr>
      <t>⋅ k</t>
    </r>
    <r>
      <rPr>
        <vertAlign val="subscript"/>
        <sz val="8"/>
        <rFont val="Century Gothic"/>
        <family val="2"/>
      </rPr>
      <t>ax</t>
    </r>
    <r>
      <rPr>
        <sz val="8"/>
        <rFont val="Century Gothic"/>
        <family val="2"/>
      </rPr>
      <t xml:space="preserve"> (ETA 15/0667)</t>
    </r>
  </si>
  <si>
    <r>
      <t>n</t>
    </r>
    <r>
      <rPr>
        <vertAlign val="subscript"/>
        <sz val="8"/>
        <color theme="1"/>
        <rFont val="Century Gothic"/>
        <family val="2"/>
      </rPr>
      <t>ef</t>
    </r>
    <r>
      <rPr>
        <sz val="8"/>
        <color theme="1"/>
        <rFont val="Century Gothic"/>
        <family val="2"/>
      </rPr>
      <t>⋅ f</t>
    </r>
    <r>
      <rPr>
        <vertAlign val="subscript"/>
        <sz val="8"/>
        <color theme="1"/>
        <rFont val="Century Gothic"/>
        <family val="2"/>
      </rPr>
      <t>ax</t>
    </r>
    <r>
      <rPr>
        <sz val="8"/>
        <color theme="1"/>
        <rFont val="Century Gothic"/>
        <family val="2"/>
      </rPr>
      <t>⋅ d⋅ l</t>
    </r>
    <r>
      <rPr>
        <vertAlign val="subscript"/>
        <sz val="8"/>
        <color theme="1"/>
        <rFont val="Century Gothic"/>
        <family val="2"/>
      </rPr>
      <t>ef</t>
    </r>
    <r>
      <rPr>
        <sz val="8"/>
        <color theme="1"/>
        <rFont val="Century Gothic"/>
        <family val="2"/>
      </rPr>
      <t>⋅ k</t>
    </r>
    <r>
      <rPr>
        <vertAlign val="subscript"/>
        <sz val="8"/>
        <color theme="1"/>
        <rFont val="Century Gothic"/>
        <family val="2"/>
      </rPr>
      <t xml:space="preserve">ax⋅ </t>
    </r>
    <r>
      <rPr>
        <sz val="8"/>
        <color theme="1"/>
        <rFont val="Century Gothic"/>
        <family val="2"/>
      </rPr>
      <t>1/k</t>
    </r>
    <r>
      <rPr>
        <vertAlign val="subscript"/>
        <sz val="8"/>
        <color theme="1"/>
        <rFont val="Century Gothic"/>
        <family val="2"/>
      </rPr>
      <t>β⋅ (</t>
    </r>
    <r>
      <rPr>
        <sz val="8"/>
        <color theme="1"/>
        <rFont val="Century Gothic"/>
        <family val="2"/>
      </rPr>
      <t>ρ</t>
    </r>
    <r>
      <rPr>
        <vertAlign val="subscript"/>
        <sz val="8"/>
        <color theme="1"/>
        <rFont val="Century Gothic"/>
        <family val="2"/>
      </rPr>
      <t>k/</t>
    </r>
    <r>
      <rPr>
        <sz val="8"/>
        <color theme="1"/>
        <rFont val="Century Gothic"/>
        <family val="2"/>
      </rPr>
      <t>ρ</t>
    </r>
    <r>
      <rPr>
        <vertAlign val="subscript"/>
        <sz val="8"/>
        <color theme="1"/>
        <rFont val="Century Gothic"/>
        <family val="2"/>
      </rPr>
      <t>a)</t>
    </r>
    <r>
      <rPr>
        <vertAlign val="superscript"/>
        <sz val="8"/>
        <color theme="1"/>
        <rFont val="Century Gothic"/>
        <family val="2"/>
      </rPr>
      <t>0,8</t>
    </r>
    <r>
      <rPr>
        <sz val="8"/>
        <color theme="1"/>
        <rFont val="Century Gothic"/>
        <family val="2"/>
      </rPr>
      <t xml:space="preserve"> (ETA-11/0190)</t>
    </r>
  </si>
  <si>
    <r>
      <t>n</t>
    </r>
    <r>
      <rPr>
        <vertAlign val="subscript"/>
        <sz val="8"/>
        <color theme="1"/>
        <rFont val="Century Gothic"/>
        <family val="2"/>
      </rPr>
      <t>ef</t>
    </r>
    <r>
      <rPr>
        <sz val="8"/>
        <color theme="1"/>
        <rFont val="Century Gothic"/>
        <family val="2"/>
      </rPr>
      <t>⋅ f</t>
    </r>
    <r>
      <rPr>
        <vertAlign val="subscript"/>
        <sz val="8"/>
        <color theme="1"/>
        <rFont val="Century Gothic"/>
        <family val="2"/>
      </rPr>
      <t>ax</t>
    </r>
    <r>
      <rPr>
        <sz val="8"/>
        <color theme="1"/>
        <rFont val="Century Gothic"/>
        <family val="2"/>
      </rPr>
      <t>⋅ d⋅ l</t>
    </r>
    <r>
      <rPr>
        <vertAlign val="subscript"/>
        <sz val="8"/>
        <color theme="1"/>
        <rFont val="Century Gothic"/>
        <family val="2"/>
      </rPr>
      <t>ef</t>
    </r>
    <r>
      <rPr>
        <sz val="8"/>
        <color theme="1"/>
        <rFont val="Century Gothic"/>
        <family val="2"/>
      </rPr>
      <t>⋅ k</t>
    </r>
    <r>
      <rPr>
        <vertAlign val="subscript"/>
        <sz val="8"/>
        <color theme="1"/>
        <rFont val="Century Gothic"/>
        <family val="2"/>
      </rPr>
      <t xml:space="preserve">ax⋅ </t>
    </r>
    <r>
      <rPr>
        <sz val="8"/>
        <color theme="1"/>
        <rFont val="Century Gothic"/>
        <family val="2"/>
      </rPr>
      <t>1/k</t>
    </r>
    <r>
      <rPr>
        <vertAlign val="subscript"/>
        <sz val="8"/>
        <color theme="1"/>
        <rFont val="Century Gothic"/>
        <family val="2"/>
      </rPr>
      <t>β⋅ (</t>
    </r>
    <r>
      <rPr>
        <sz val="8"/>
        <color theme="1"/>
        <rFont val="Century Gothic"/>
        <family val="2"/>
      </rPr>
      <t>ρ</t>
    </r>
    <r>
      <rPr>
        <vertAlign val="subscript"/>
        <sz val="8"/>
        <color theme="1"/>
        <rFont val="Century Gothic"/>
        <family val="2"/>
      </rPr>
      <t>k/</t>
    </r>
    <r>
      <rPr>
        <sz val="8"/>
        <color theme="1"/>
        <rFont val="Century Gothic"/>
        <family val="2"/>
      </rPr>
      <t>ρ</t>
    </r>
    <r>
      <rPr>
        <vertAlign val="subscript"/>
        <sz val="8"/>
        <color theme="1"/>
        <rFont val="Century Gothic"/>
        <family val="2"/>
      </rPr>
      <t>a)</t>
    </r>
    <r>
      <rPr>
        <vertAlign val="superscript"/>
        <sz val="8"/>
        <color theme="1"/>
        <rFont val="Century Gothic"/>
        <family val="2"/>
      </rPr>
      <t>0,8</t>
    </r>
    <r>
      <rPr>
        <sz val="8"/>
        <color theme="1"/>
        <rFont val="Century Gothic"/>
        <family val="2"/>
      </rPr>
      <t xml:space="preserve">  (ETA-11/0190)</t>
    </r>
  </si>
  <si>
    <r>
      <t>l</t>
    </r>
    <r>
      <rPr>
        <vertAlign val="subscript"/>
        <sz val="8"/>
        <rFont val="Century Gothic"/>
        <family val="2"/>
      </rPr>
      <t>ef,m</t>
    </r>
    <r>
      <rPr>
        <sz val="8"/>
        <rFont val="Century Gothic"/>
        <family val="2"/>
      </rPr>
      <t xml:space="preserve"> = (∑ l - Δl</t>
    </r>
    <r>
      <rPr>
        <vertAlign val="subscript"/>
        <sz val="8"/>
        <rFont val="Century Gothic"/>
        <family val="2"/>
      </rPr>
      <t>ef,i)</t>
    </r>
    <r>
      <rPr>
        <sz val="8"/>
        <rFont val="Century Gothic"/>
        <family val="2"/>
      </rPr>
      <t>/n (ETA-15/0667)</t>
    </r>
  </si>
  <si>
    <r>
      <t>f</t>
    </r>
    <r>
      <rPr>
        <vertAlign val="subscript"/>
        <sz val="8"/>
        <color theme="1"/>
        <rFont val="Century Gothic"/>
        <family val="2"/>
      </rPr>
      <t>ax</t>
    </r>
    <r>
      <rPr>
        <sz val="8"/>
        <color theme="1"/>
        <rFont val="Century Gothic"/>
        <family val="2"/>
      </rPr>
      <t xml:space="preserve"> = 11 N/mm² (ETA-11/0190)</t>
    </r>
  </si>
  <si>
    <r>
      <t>f</t>
    </r>
    <r>
      <rPr>
        <vertAlign val="subscript"/>
        <sz val="8"/>
        <rFont val="Century Gothic"/>
        <family val="2"/>
      </rPr>
      <t>ax</t>
    </r>
    <r>
      <rPr>
        <sz val="8"/>
        <rFont val="Century Gothic"/>
        <family val="2"/>
      </rPr>
      <t xml:space="preserve"> = 35 N/mm² (ETA-11/0190)</t>
    </r>
  </si>
  <si>
    <r>
      <t>n</t>
    </r>
    <r>
      <rPr>
        <vertAlign val="subscript"/>
        <sz val="8"/>
        <color theme="1"/>
        <rFont val="Century Gothic"/>
        <family val="2"/>
      </rPr>
      <t>ef</t>
    </r>
    <r>
      <rPr>
        <sz val="8"/>
        <color theme="1"/>
        <rFont val="Century Gothic"/>
        <family val="2"/>
      </rPr>
      <t>⋅ f</t>
    </r>
    <r>
      <rPr>
        <vertAlign val="subscript"/>
        <sz val="8"/>
        <color theme="1"/>
        <rFont val="Century Gothic"/>
        <family val="2"/>
      </rPr>
      <t>ax</t>
    </r>
    <r>
      <rPr>
        <sz val="8"/>
        <color theme="1"/>
        <rFont val="Century Gothic"/>
        <family val="2"/>
      </rPr>
      <t>⋅ d⋅ l</t>
    </r>
    <r>
      <rPr>
        <vertAlign val="subscript"/>
        <sz val="8"/>
        <color theme="1"/>
        <rFont val="Century Gothic"/>
        <family val="2"/>
      </rPr>
      <t>ef</t>
    </r>
    <r>
      <rPr>
        <sz val="8"/>
        <color theme="1"/>
        <rFont val="Century Gothic"/>
        <family val="2"/>
      </rPr>
      <t>⋅ k</t>
    </r>
    <r>
      <rPr>
        <vertAlign val="subscript"/>
        <sz val="8"/>
        <color theme="1"/>
        <rFont val="Century Gothic"/>
        <family val="2"/>
      </rPr>
      <t xml:space="preserve">ax⋅ </t>
    </r>
    <r>
      <rPr>
        <sz val="8"/>
        <color theme="1"/>
        <rFont val="Century Gothic"/>
        <family val="2"/>
      </rPr>
      <t>1/β</t>
    </r>
    <r>
      <rPr>
        <vertAlign val="subscript"/>
        <sz val="8"/>
        <color theme="1"/>
        <rFont val="Century Gothic"/>
        <family val="2"/>
      </rPr>
      <t xml:space="preserve">⋅ </t>
    </r>
    <r>
      <rPr>
        <sz val="8"/>
        <color theme="1"/>
        <rFont val="Century Gothic"/>
        <family val="2"/>
      </rPr>
      <t>(ρ</t>
    </r>
    <r>
      <rPr>
        <vertAlign val="subscript"/>
        <sz val="8"/>
        <color theme="1"/>
        <rFont val="Century Gothic"/>
        <family val="2"/>
      </rPr>
      <t>k</t>
    </r>
    <r>
      <rPr>
        <sz val="8"/>
        <color theme="1"/>
        <rFont val="Century Gothic"/>
        <family val="2"/>
      </rPr>
      <t>/350)</t>
    </r>
    <r>
      <rPr>
        <vertAlign val="superscript"/>
        <sz val="8"/>
        <color theme="1"/>
        <rFont val="Century Gothic"/>
        <family val="2"/>
      </rPr>
      <t>0,8</t>
    </r>
    <r>
      <rPr>
        <sz val="8"/>
        <color theme="1"/>
        <rFont val="Century Gothic"/>
        <family val="2"/>
      </rPr>
      <t xml:space="preserve"> (ETA-11/0190)</t>
    </r>
  </si>
  <si>
    <r>
      <t>n</t>
    </r>
    <r>
      <rPr>
        <vertAlign val="subscript"/>
        <sz val="8"/>
        <color theme="1"/>
        <rFont val="Century Gothic"/>
        <family val="2"/>
      </rPr>
      <t>ef</t>
    </r>
    <r>
      <rPr>
        <sz val="8"/>
        <color theme="1"/>
        <rFont val="Century Gothic"/>
        <family val="2"/>
      </rPr>
      <t>⋅ f</t>
    </r>
    <r>
      <rPr>
        <vertAlign val="subscript"/>
        <sz val="8"/>
        <color theme="1"/>
        <rFont val="Century Gothic"/>
        <family val="2"/>
      </rPr>
      <t>ax</t>
    </r>
    <r>
      <rPr>
        <sz val="8"/>
        <color theme="1"/>
        <rFont val="Century Gothic"/>
        <family val="2"/>
      </rPr>
      <t>⋅ d⋅ l</t>
    </r>
    <r>
      <rPr>
        <vertAlign val="subscript"/>
        <sz val="8"/>
        <color theme="1"/>
        <rFont val="Century Gothic"/>
        <family val="2"/>
      </rPr>
      <t>ef</t>
    </r>
    <r>
      <rPr>
        <sz val="8"/>
        <color theme="1"/>
        <rFont val="Century Gothic"/>
        <family val="2"/>
      </rPr>
      <t>⋅ k</t>
    </r>
    <r>
      <rPr>
        <vertAlign val="subscript"/>
        <sz val="8"/>
        <color theme="1"/>
        <rFont val="Century Gothic"/>
        <family val="2"/>
      </rPr>
      <t xml:space="preserve">ax⋅ </t>
    </r>
    <r>
      <rPr>
        <sz val="8"/>
        <color theme="1"/>
        <rFont val="Century Gothic"/>
        <family val="2"/>
      </rPr>
      <t>1/β</t>
    </r>
    <r>
      <rPr>
        <vertAlign val="subscript"/>
        <sz val="8"/>
        <color theme="1"/>
        <rFont val="Century Gothic"/>
        <family val="2"/>
      </rPr>
      <t xml:space="preserve">⋅ </t>
    </r>
    <r>
      <rPr>
        <sz val="8"/>
        <color theme="1"/>
        <rFont val="Century Gothic"/>
        <family val="2"/>
      </rPr>
      <t>(ρ</t>
    </r>
    <r>
      <rPr>
        <vertAlign val="subscript"/>
        <sz val="8"/>
        <color theme="1"/>
        <rFont val="Century Gothic"/>
        <family val="2"/>
      </rPr>
      <t>k</t>
    </r>
    <r>
      <rPr>
        <sz val="8"/>
        <color theme="1"/>
        <rFont val="Century Gothic"/>
        <family val="2"/>
      </rPr>
      <t>/730)</t>
    </r>
    <r>
      <rPr>
        <vertAlign val="superscript"/>
        <sz val="8"/>
        <color theme="1"/>
        <rFont val="Century Gothic"/>
        <family val="2"/>
      </rPr>
      <t>0,8</t>
    </r>
    <r>
      <rPr>
        <sz val="8"/>
        <color theme="1"/>
        <rFont val="Century Gothic"/>
        <family val="2"/>
      </rPr>
      <t xml:space="preserve"> (ETA-11/0190)</t>
    </r>
  </si>
  <si>
    <r>
      <t>k</t>
    </r>
    <r>
      <rPr>
        <vertAlign val="subscript"/>
        <sz val="8"/>
        <rFont val="Century Gothic"/>
        <family val="2"/>
      </rPr>
      <t>ax</t>
    </r>
    <r>
      <rPr>
        <sz val="8"/>
        <rFont val="Century Gothic"/>
        <family val="2"/>
      </rPr>
      <t xml:space="preserve"> = 1,0  für 45° ≤ α ≤ 90°  (ETA-15/0667)</t>
    </r>
  </si>
  <si>
    <r>
      <t>k</t>
    </r>
    <r>
      <rPr>
        <vertAlign val="subscript"/>
        <sz val="8"/>
        <rFont val="Century Gothic"/>
        <family val="2"/>
      </rPr>
      <t>ax</t>
    </r>
    <r>
      <rPr>
        <sz val="8"/>
        <rFont val="Century Gothic"/>
        <family val="2"/>
      </rPr>
      <t xml:space="preserve"> = 1,0  für 45° ≤ α ≤ 90° </t>
    </r>
    <r>
      <rPr>
        <sz val="8"/>
        <color theme="1"/>
        <rFont val="Century Gothic"/>
        <family val="2"/>
      </rPr>
      <t>(ETA-11/0190)</t>
    </r>
  </si>
  <si>
    <r>
      <t>k</t>
    </r>
    <r>
      <rPr>
        <vertAlign val="subscript"/>
        <sz val="8"/>
        <rFont val="Century Gothic"/>
        <family val="2"/>
      </rPr>
      <t>β</t>
    </r>
    <r>
      <rPr>
        <sz val="8"/>
        <rFont val="Century Gothic"/>
        <family val="2"/>
      </rPr>
      <t xml:space="preserve"> = 1,0 (ETA-11/0190)</t>
    </r>
  </si>
  <si>
    <r>
      <t>k</t>
    </r>
    <r>
      <rPr>
        <vertAlign val="subscript"/>
        <sz val="8"/>
        <rFont val="Century Gothic"/>
        <family val="2"/>
      </rPr>
      <t>β</t>
    </r>
    <r>
      <rPr>
        <sz val="8"/>
        <rFont val="Century Gothic"/>
        <family val="2"/>
      </rPr>
      <t xml:space="preserve"> = 1,5</t>
    </r>
    <r>
      <rPr>
        <sz val="8"/>
        <color theme="1"/>
        <rFont val="Century Gothic"/>
        <family val="2"/>
      </rPr>
      <t>⋅ cos</t>
    </r>
    <r>
      <rPr>
        <vertAlign val="superscript"/>
        <sz val="8"/>
        <color theme="1"/>
        <rFont val="Century Gothic"/>
        <family val="2"/>
      </rPr>
      <t>2</t>
    </r>
    <r>
      <rPr>
        <sz val="8"/>
        <color theme="1"/>
        <rFont val="Century Gothic"/>
        <family val="2"/>
      </rPr>
      <t>β+ sin</t>
    </r>
    <r>
      <rPr>
        <vertAlign val="superscript"/>
        <sz val="8"/>
        <color theme="1"/>
        <rFont val="Century Gothic"/>
        <family val="2"/>
      </rPr>
      <t>2</t>
    </r>
    <r>
      <rPr>
        <sz val="8"/>
        <color theme="1"/>
        <rFont val="Century Gothic"/>
        <family val="2"/>
      </rPr>
      <t>β (ETA-11/0190)</t>
    </r>
  </si>
  <si>
    <r>
      <t>0,52⋅ d</t>
    </r>
    <r>
      <rPr>
        <vertAlign val="superscript"/>
        <sz val="8"/>
        <rFont val="Century Gothic"/>
        <family val="2"/>
      </rPr>
      <t>0,5</t>
    </r>
    <r>
      <rPr>
        <sz val="8"/>
        <rFont val="Century Gothic"/>
        <family val="2"/>
      </rPr>
      <t>⋅l</t>
    </r>
    <r>
      <rPr>
        <vertAlign val="subscript"/>
        <sz val="8"/>
        <rFont val="Century Gothic"/>
        <family val="2"/>
      </rPr>
      <t>ef</t>
    </r>
    <r>
      <rPr>
        <vertAlign val="superscript"/>
        <sz val="8"/>
        <rFont val="Century Gothic"/>
        <family val="2"/>
      </rPr>
      <t>0,9</t>
    </r>
    <r>
      <rPr>
        <sz val="8"/>
        <rFont val="Century Gothic"/>
        <family val="2"/>
      </rPr>
      <t>⋅ ρ</t>
    </r>
    <r>
      <rPr>
        <vertAlign val="subscript"/>
        <sz val="8"/>
        <rFont val="Century Gothic"/>
        <family val="2"/>
      </rPr>
      <t>k</t>
    </r>
    <r>
      <rPr>
        <vertAlign val="superscript"/>
        <sz val="8"/>
        <rFont val="Century Gothic"/>
        <family val="2"/>
      </rPr>
      <t>0,8</t>
    </r>
    <r>
      <rPr>
        <sz val="8"/>
        <rFont val="Century Gothic"/>
        <family val="2"/>
      </rPr>
      <t>⋅ k</t>
    </r>
    <r>
      <rPr>
        <vertAlign val="subscript"/>
        <sz val="8"/>
        <rFont val="Century Gothic"/>
        <family val="2"/>
      </rPr>
      <t>ax</t>
    </r>
    <r>
      <rPr>
        <sz val="8"/>
        <rFont val="Century Gothic"/>
        <family val="2"/>
      </rPr>
      <t xml:space="preserve">  (ETA-15/0667)</t>
    </r>
  </si>
  <si>
    <r>
      <t>11⋅ d⋅ l</t>
    </r>
    <r>
      <rPr>
        <vertAlign val="subscript"/>
        <sz val="8"/>
        <color theme="1"/>
        <rFont val="Century Gothic"/>
        <family val="2"/>
      </rPr>
      <t>ef</t>
    </r>
    <r>
      <rPr>
        <sz val="8"/>
        <color theme="1"/>
        <rFont val="Century Gothic"/>
        <family val="2"/>
      </rPr>
      <t>⋅ k</t>
    </r>
    <r>
      <rPr>
        <vertAlign val="subscript"/>
        <sz val="8"/>
        <color theme="1"/>
        <rFont val="Century Gothic"/>
        <family val="2"/>
      </rPr>
      <t xml:space="preserve">ax⋅ </t>
    </r>
    <r>
      <rPr>
        <sz val="8"/>
        <color theme="1"/>
        <rFont val="Century Gothic"/>
        <family val="2"/>
      </rPr>
      <t>1/β</t>
    </r>
    <r>
      <rPr>
        <vertAlign val="subscript"/>
        <sz val="8"/>
        <color theme="1"/>
        <rFont val="Century Gothic"/>
        <family val="2"/>
      </rPr>
      <t xml:space="preserve">⋅ </t>
    </r>
    <r>
      <rPr>
        <sz val="8"/>
        <color theme="1"/>
        <rFont val="Century Gothic"/>
        <family val="2"/>
      </rPr>
      <t>(ρ</t>
    </r>
    <r>
      <rPr>
        <vertAlign val="subscript"/>
        <sz val="8"/>
        <color theme="1"/>
        <rFont val="Century Gothic"/>
        <family val="2"/>
      </rPr>
      <t>k</t>
    </r>
    <r>
      <rPr>
        <sz val="8"/>
        <color theme="1"/>
        <rFont val="Century Gothic"/>
        <family val="2"/>
      </rPr>
      <t>/350)</t>
    </r>
    <r>
      <rPr>
        <vertAlign val="superscript"/>
        <sz val="8"/>
        <color theme="1"/>
        <rFont val="Century Gothic"/>
        <family val="2"/>
      </rPr>
      <t>0,8</t>
    </r>
    <r>
      <rPr>
        <sz val="8"/>
        <color theme="1"/>
        <rFont val="Century Gothic"/>
        <family val="2"/>
      </rPr>
      <t xml:space="preserve"> (ETA-11/0190)</t>
    </r>
  </si>
  <si>
    <r>
      <t>11</t>
    </r>
    <r>
      <rPr>
        <sz val="8"/>
        <color theme="1"/>
        <rFont val="Century Gothic"/>
        <family val="2"/>
      </rPr>
      <t>⋅ d⋅ l</t>
    </r>
    <r>
      <rPr>
        <vertAlign val="subscript"/>
        <sz val="8"/>
        <color theme="1"/>
        <rFont val="Century Gothic"/>
        <family val="2"/>
      </rPr>
      <t>ef</t>
    </r>
    <r>
      <rPr>
        <sz val="8"/>
        <color theme="1"/>
        <rFont val="Century Gothic"/>
        <family val="2"/>
      </rPr>
      <t>⋅ k</t>
    </r>
    <r>
      <rPr>
        <vertAlign val="subscript"/>
        <sz val="8"/>
        <color theme="1"/>
        <rFont val="Century Gothic"/>
        <family val="2"/>
      </rPr>
      <t xml:space="preserve">ax⋅ </t>
    </r>
    <r>
      <rPr>
        <sz val="8"/>
        <color theme="1"/>
        <rFont val="Century Gothic"/>
        <family val="2"/>
      </rPr>
      <t>1/β</t>
    </r>
    <r>
      <rPr>
        <vertAlign val="subscript"/>
        <sz val="8"/>
        <color theme="1"/>
        <rFont val="Century Gothic"/>
        <family val="2"/>
      </rPr>
      <t xml:space="preserve">⋅ </t>
    </r>
    <r>
      <rPr>
        <sz val="8"/>
        <color theme="1"/>
        <rFont val="Century Gothic"/>
        <family val="2"/>
      </rPr>
      <t>(ρ</t>
    </r>
    <r>
      <rPr>
        <vertAlign val="subscript"/>
        <sz val="8"/>
        <color theme="1"/>
        <rFont val="Century Gothic"/>
        <family val="2"/>
      </rPr>
      <t>k</t>
    </r>
    <r>
      <rPr>
        <sz val="8"/>
        <color theme="1"/>
        <rFont val="Century Gothic"/>
        <family val="2"/>
      </rPr>
      <t>/350)</t>
    </r>
    <r>
      <rPr>
        <vertAlign val="superscript"/>
        <sz val="8"/>
        <color theme="1"/>
        <rFont val="Century Gothic"/>
        <family val="2"/>
      </rPr>
      <t>0,8</t>
    </r>
    <r>
      <rPr>
        <sz val="8"/>
        <color theme="1"/>
        <rFont val="Century Gothic"/>
        <family val="2"/>
      </rPr>
      <t xml:space="preserve"> (ETA-11/0190)</t>
    </r>
  </si>
  <si>
    <r>
      <t>35⋅ d⋅ l</t>
    </r>
    <r>
      <rPr>
        <vertAlign val="subscript"/>
        <sz val="8"/>
        <color theme="1"/>
        <rFont val="Century Gothic"/>
        <family val="2"/>
      </rPr>
      <t>ef</t>
    </r>
    <r>
      <rPr>
        <sz val="8"/>
        <color theme="1"/>
        <rFont val="Century Gothic"/>
        <family val="2"/>
      </rPr>
      <t>⋅ k</t>
    </r>
    <r>
      <rPr>
        <vertAlign val="subscript"/>
        <sz val="8"/>
        <color theme="1"/>
        <rFont val="Century Gothic"/>
        <family val="2"/>
      </rPr>
      <t xml:space="preserve">ax⋅ </t>
    </r>
    <r>
      <rPr>
        <sz val="8"/>
        <color theme="1"/>
        <rFont val="Century Gothic"/>
        <family val="2"/>
      </rPr>
      <t>1/β</t>
    </r>
    <r>
      <rPr>
        <vertAlign val="subscript"/>
        <sz val="8"/>
        <color theme="1"/>
        <rFont val="Century Gothic"/>
        <family val="2"/>
      </rPr>
      <t xml:space="preserve">⋅ </t>
    </r>
    <r>
      <rPr>
        <sz val="8"/>
        <color theme="1"/>
        <rFont val="Century Gothic"/>
        <family val="2"/>
      </rPr>
      <t>(ρ</t>
    </r>
    <r>
      <rPr>
        <vertAlign val="subscript"/>
        <sz val="8"/>
        <color theme="1"/>
        <rFont val="Century Gothic"/>
        <family val="2"/>
      </rPr>
      <t>k</t>
    </r>
    <r>
      <rPr>
        <sz val="8"/>
        <color theme="1"/>
        <rFont val="Century Gothic"/>
        <family val="2"/>
      </rPr>
      <t>/730)</t>
    </r>
    <r>
      <rPr>
        <vertAlign val="superscript"/>
        <sz val="8"/>
        <color theme="1"/>
        <rFont val="Century Gothic"/>
        <family val="2"/>
      </rPr>
      <t>0,8</t>
    </r>
    <r>
      <rPr>
        <sz val="8"/>
        <color theme="1"/>
        <rFont val="Century Gothic"/>
        <family val="2"/>
      </rPr>
      <t xml:space="preserve"> (ETA-11/0190)</t>
    </r>
  </si>
  <si>
    <r>
      <t>k</t>
    </r>
    <r>
      <rPr>
        <vertAlign val="subscript"/>
        <sz val="8"/>
        <rFont val="Century Gothic"/>
        <family val="2"/>
      </rPr>
      <t>β</t>
    </r>
    <r>
      <rPr>
        <sz val="8"/>
        <rFont val="Century Gothic"/>
        <family val="2"/>
      </rPr>
      <t xml:space="preserve"> = 1,0  (ETA-11/0190)</t>
    </r>
  </si>
  <si>
    <r>
      <t>k</t>
    </r>
    <r>
      <rPr>
        <vertAlign val="subscript"/>
        <sz val="8"/>
        <rFont val="Century Gothic"/>
        <family val="2"/>
      </rPr>
      <t>β</t>
    </r>
    <r>
      <rPr>
        <sz val="8"/>
        <rFont val="Century Gothic"/>
        <family val="2"/>
      </rPr>
      <t xml:space="preserve"> = 1,5</t>
    </r>
    <r>
      <rPr>
        <sz val="8"/>
        <color theme="1"/>
        <rFont val="Century Gothic"/>
        <family val="2"/>
      </rPr>
      <t>⋅ cos</t>
    </r>
    <r>
      <rPr>
        <vertAlign val="superscript"/>
        <sz val="8"/>
        <color theme="1"/>
        <rFont val="Century Gothic"/>
        <family val="2"/>
      </rPr>
      <t>2</t>
    </r>
    <r>
      <rPr>
        <sz val="8"/>
        <color theme="1"/>
        <rFont val="Century Gothic"/>
        <family val="2"/>
      </rPr>
      <t>β+ sin</t>
    </r>
    <r>
      <rPr>
        <vertAlign val="superscript"/>
        <sz val="8"/>
        <color theme="1"/>
        <rFont val="Century Gothic"/>
        <family val="2"/>
      </rPr>
      <t>2</t>
    </r>
    <r>
      <rPr>
        <sz val="8"/>
        <color theme="1"/>
        <rFont val="Century Gothic"/>
        <family val="2"/>
      </rPr>
      <t>β  (ETA-11/0190)</t>
    </r>
  </si>
  <si>
    <r>
      <t>2,3⋅√(M</t>
    </r>
    <r>
      <rPr>
        <vertAlign val="subscript"/>
        <sz val="8"/>
        <rFont val="Century Gothic"/>
        <family val="2"/>
      </rPr>
      <t>y,Rk</t>
    </r>
    <r>
      <rPr>
        <sz val="8"/>
        <rFont val="Century Gothic"/>
        <family val="2"/>
      </rPr>
      <t>⋅ f</t>
    </r>
    <r>
      <rPr>
        <vertAlign val="subscript"/>
        <sz val="8"/>
        <rFont val="Century Gothic"/>
        <family val="2"/>
      </rPr>
      <t>h,k</t>
    </r>
    <r>
      <rPr>
        <sz val="8"/>
        <rFont val="Century Gothic"/>
        <family val="2"/>
      </rPr>
      <t>⋅ d) (ETA-15/0667)</t>
    </r>
  </si>
  <si>
    <r>
      <t>F</t>
    </r>
    <r>
      <rPr>
        <vertAlign val="subscript"/>
        <sz val="8"/>
        <rFont val="Century Gothic"/>
        <family val="2"/>
      </rPr>
      <t>3,J,Rk</t>
    </r>
    <r>
      <rPr>
        <sz val="8"/>
        <rFont val="Century Gothic"/>
        <family val="2"/>
      </rPr>
      <t xml:space="preserve"> = n</t>
    </r>
    <r>
      <rPr>
        <vertAlign val="subscript"/>
        <sz val="8"/>
        <rFont val="Century Gothic"/>
        <family val="2"/>
      </rPr>
      <t>45,J</t>
    </r>
    <r>
      <rPr>
        <sz val="8"/>
        <rFont val="Century Gothic"/>
        <family val="2"/>
      </rPr>
      <t>⋅ F</t>
    </r>
    <r>
      <rPr>
        <vertAlign val="subscript"/>
        <sz val="8"/>
        <rFont val="Century Gothic"/>
        <family val="2"/>
      </rPr>
      <t>v,45,J,Rk</t>
    </r>
    <r>
      <rPr>
        <sz val="8"/>
        <rFont val="Century Gothic"/>
        <family val="2"/>
      </rPr>
      <t xml:space="preserve"> + n</t>
    </r>
    <r>
      <rPr>
        <vertAlign val="subscript"/>
        <sz val="8"/>
        <rFont val="Century Gothic"/>
        <family val="2"/>
      </rPr>
      <t>α,J</t>
    </r>
    <r>
      <rPr>
        <sz val="8"/>
        <rFont val="Century Gothic"/>
        <family val="2"/>
      </rPr>
      <t>⋅ F</t>
    </r>
    <r>
      <rPr>
        <vertAlign val="subscript"/>
        <sz val="8"/>
        <rFont val="Century Gothic"/>
        <family val="2"/>
      </rPr>
      <t>v,α,J,Rk</t>
    </r>
    <r>
      <rPr>
        <sz val="8"/>
        <rFont val="Century Gothic"/>
        <family val="2"/>
      </rPr>
      <t xml:space="preserve"> (ETA-15/0667)</t>
    </r>
  </si>
  <si>
    <r>
      <t>35⋅ d⋅ l</t>
    </r>
    <r>
      <rPr>
        <vertAlign val="subscript"/>
        <sz val="8"/>
        <color theme="1"/>
        <rFont val="Century Gothic"/>
        <family val="2"/>
      </rPr>
      <t>ef</t>
    </r>
    <r>
      <rPr>
        <sz val="8"/>
        <color theme="1"/>
        <rFont val="Century Gothic"/>
        <family val="2"/>
      </rPr>
      <t>⋅ k</t>
    </r>
    <r>
      <rPr>
        <vertAlign val="subscript"/>
        <sz val="8"/>
        <color theme="1"/>
        <rFont val="Century Gothic"/>
        <family val="2"/>
      </rPr>
      <t xml:space="preserve">ax⋅ </t>
    </r>
    <r>
      <rPr>
        <sz val="8"/>
        <color theme="1"/>
        <rFont val="Century Gothic"/>
        <family val="2"/>
      </rPr>
      <t>1/β</t>
    </r>
    <r>
      <rPr>
        <vertAlign val="subscript"/>
        <sz val="8"/>
        <color theme="1"/>
        <rFont val="Century Gothic"/>
        <family val="2"/>
      </rPr>
      <t xml:space="preserve">⋅ </t>
    </r>
    <r>
      <rPr>
        <sz val="8"/>
        <color theme="1"/>
        <rFont val="Century Gothic"/>
        <family val="2"/>
      </rPr>
      <t>(ρ</t>
    </r>
    <r>
      <rPr>
        <vertAlign val="subscript"/>
        <sz val="8"/>
        <color theme="1"/>
        <rFont val="Century Gothic"/>
        <family val="2"/>
      </rPr>
      <t>k</t>
    </r>
    <r>
      <rPr>
        <sz val="8"/>
        <color theme="1"/>
        <rFont val="Century Gothic"/>
        <family val="2"/>
      </rPr>
      <t>/350)</t>
    </r>
    <r>
      <rPr>
        <vertAlign val="superscript"/>
        <sz val="8"/>
        <color theme="1"/>
        <rFont val="Century Gothic"/>
        <family val="2"/>
      </rPr>
      <t>0,8</t>
    </r>
    <r>
      <rPr>
        <sz val="8"/>
        <color theme="1"/>
        <rFont val="Century Gothic"/>
        <family val="2"/>
      </rPr>
      <t xml:space="preserve"> (ETA-11/0190)</t>
    </r>
  </si>
  <si>
    <r>
      <t>0,52⋅ d</t>
    </r>
    <r>
      <rPr>
        <vertAlign val="superscript"/>
        <sz val="8"/>
        <rFont val="Century Gothic"/>
        <family val="2"/>
      </rPr>
      <t>0,5</t>
    </r>
    <r>
      <rPr>
        <sz val="8"/>
        <rFont val="Century Gothic"/>
        <family val="2"/>
      </rPr>
      <t>⋅l</t>
    </r>
    <r>
      <rPr>
        <vertAlign val="subscript"/>
        <sz val="8"/>
        <rFont val="Century Gothic"/>
        <family val="2"/>
      </rPr>
      <t>ef</t>
    </r>
    <r>
      <rPr>
        <vertAlign val="superscript"/>
        <sz val="8"/>
        <rFont val="Century Gothic"/>
        <family val="2"/>
      </rPr>
      <t>0,9</t>
    </r>
    <r>
      <rPr>
        <sz val="8"/>
        <rFont val="Century Gothic"/>
        <family val="2"/>
      </rPr>
      <t>⋅ ρ</t>
    </r>
    <r>
      <rPr>
        <vertAlign val="subscript"/>
        <sz val="8"/>
        <rFont val="Century Gothic"/>
        <family val="2"/>
      </rPr>
      <t>k</t>
    </r>
    <r>
      <rPr>
        <vertAlign val="superscript"/>
        <sz val="8"/>
        <rFont val="Century Gothic"/>
        <family val="2"/>
      </rPr>
      <t>0,8</t>
    </r>
    <r>
      <rPr>
        <sz val="8"/>
        <rFont val="Century Gothic"/>
        <family val="2"/>
      </rPr>
      <t>⋅ k</t>
    </r>
    <r>
      <rPr>
        <vertAlign val="subscript"/>
        <sz val="8"/>
        <rFont val="Century Gothic"/>
        <family val="2"/>
      </rPr>
      <t>ax</t>
    </r>
    <r>
      <rPr>
        <sz val="8"/>
        <rFont val="Century Gothic"/>
        <family val="2"/>
      </rPr>
      <t xml:space="preserve"> (ETA-15/0667)</t>
    </r>
  </si>
  <si>
    <r>
      <t>F</t>
    </r>
    <r>
      <rPr>
        <vertAlign val="subscript"/>
        <sz val="8"/>
        <rFont val="Century Gothic"/>
        <family val="2"/>
      </rPr>
      <t>3,H,Rk</t>
    </r>
    <r>
      <rPr>
        <sz val="8"/>
        <rFont val="Century Gothic"/>
        <family val="2"/>
      </rPr>
      <t xml:space="preserve"> = n</t>
    </r>
    <r>
      <rPr>
        <vertAlign val="subscript"/>
        <sz val="8"/>
        <rFont val="Century Gothic"/>
        <family val="2"/>
      </rPr>
      <t>45,H</t>
    </r>
    <r>
      <rPr>
        <sz val="8"/>
        <rFont val="Century Gothic"/>
        <family val="2"/>
      </rPr>
      <t>⋅ F</t>
    </r>
    <r>
      <rPr>
        <vertAlign val="subscript"/>
        <sz val="8"/>
        <rFont val="Century Gothic"/>
        <family val="2"/>
      </rPr>
      <t>v,45,H,Rk</t>
    </r>
    <r>
      <rPr>
        <sz val="8"/>
        <rFont val="Century Gothic"/>
        <family val="2"/>
      </rPr>
      <t xml:space="preserve"> + n</t>
    </r>
    <r>
      <rPr>
        <vertAlign val="subscript"/>
        <sz val="8"/>
        <rFont val="Century Gothic"/>
        <family val="2"/>
      </rPr>
      <t>α,H</t>
    </r>
    <r>
      <rPr>
        <sz val="8"/>
        <rFont val="Century Gothic"/>
        <family val="2"/>
      </rPr>
      <t>⋅ F</t>
    </r>
    <r>
      <rPr>
        <vertAlign val="subscript"/>
        <sz val="8"/>
        <rFont val="Century Gothic"/>
        <family val="2"/>
      </rPr>
      <t>v,α,H,Rk</t>
    </r>
    <r>
      <rPr>
        <sz val="8"/>
        <rFont val="Century Gothic"/>
        <family val="2"/>
      </rPr>
      <t xml:space="preserve"> (ETA-15/0667)</t>
    </r>
  </si>
  <si>
    <t>User Mat.l 2</t>
  </si>
  <si>
    <t>User Mat.l 3</t>
  </si>
  <si>
    <t>User Mat.l 4</t>
  </si>
  <si>
    <t>User Mat.l 5</t>
  </si>
  <si>
    <t>User Mat.l 6</t>
  </si>
  <si>
    <t>User Mat.l 7</t>
  </si>
  <si>
    <t>User Mat.l 8</t>
  </si>
  <si>
    <t>User Mat.l 9</t>
  </si>
  <si>
    <t>User Mat.l 10</t>
  </si>
  <si>
    <t>Seitenfläche</t>
  </si>
  <si>
    <t>Deckfläche</t>
  </si>
  <si>
    <t>Funierschichtholz</t>
  </si>
  <si>
    <t>DIN EN 14279</t>
  </si>
  <si>
    <t>Kerto LVL S-Beam</t>
  </si>
  <si>
    <t>Z-9.1-100</t>
  </si>
  <si>
    <t>2 und 3</t>
  </si>
  <si>
    <t>[kNm]</t>
  </si>
  <si>
    <t>[kNm/rad]</t>
  </si>
  <si>
    <r>
      <t>k</t>
    </r>
    <r>
      <rPr>
        <vertAlign val="subscript"/>
        <sz val="8"/>
        <color theme="1"/>
        <rFont val="Century Gothic"/>
        <family val="2"/>
      </rPr>
      <t>dens,NT</t>
    </r>
  </si>
  <si>
    <t>char. Tragfähigkeit</t>
  </si>
  <si>
    <t>Tragfähigkeit</t>
  </si>
  <si>
    <t>Einzelnachweise</t>
  </si>
  <si>
    <r>
      <t>F</t>
    </r>
    <r>
      <rPr>
        <vertAlign val="subscript"/>
        <sz val="8"/>
        <color theme="1"/>
        <rFont val="Century Gothic"/>
        <family val="2"/>
      </rPr>
      <t>2,Rd</t>
    </r>
    <r>
      <rPr>
        <sz val="8"/>
        <color theme="1"/>
        <rFont val="Century Gothic"/>
        <family val="2"/>
      </rPr>
      <t xml:space="preserve"> =</t>
    </r>
  </si>
  <si>
    <r>
      <t>M</t>
    </r>
    <r>
      <rPr>
        <vertAlign val="subscript"/>
        <sz val="8"/>
        <color theme="1"/>
        <rFont val="Century Gothic"/>
        <family val="2"/>
      </rPr>
      <t>tor,Rd</t>
    </r>
    <r>
      <rPr>
        <sz val="8"/>
        <color theme="1"/>
        <rFont val="Century Gothic"/>
        <family val="2"/>
      </rPr>
      <t xml:space="preserve"> =</t>
    </r>
  </si>
  <si>
    <r>
      <t>e</t>
    </r>
    <r>
      <rPr>
        <vertAlign val="subscript"/>
        <sz val="10"/>
        <color theme="1"/>
        <rFont val="Century Gothic"/>
        <family val="2"/>
      </rPr>
      <t>ax,max</t>
    </r>
  </si>
  <si>
    <r>
      <rPr>
        <sz val="10"/>
        <color theme="1"/>
        <rFont val="Symbol"/>
        <family val="1"/>
        <charset val="2"/>
      </rPr>
      <t>D</t>
    </r>
    <r>
      <rPr>
        <sz val="10"/>
        <color theme="1"/>
        <rFont val="Century Gothic"/>
        <family val="2"/>
      </rPr>
      <t>l</t>
    </r>
    <r>
      <rPr>
        <vertAlign val="subscript"/>
        <sz val="10"/>
        <color theme="1"/>
        <rFont val="Century Gothic"/>
        <family val="2"/>
      </rPr>
      <t>ef,0</t>
    </r>
  </si>
  <si>
    <t>gewindefreie Schaftlänge</t>
  </si>
  <si>
    <r>
      <t>q</t>
    </r>
    <r>
      <rPr>
        <vertAlign val="subscript"/>
        <sz val="8"/>
        <color theme="1"/>
        <rFont val="Century Gothic"/>
        <family val="2"/>
      </rPr>
      <t>k</t>
    </r>
  </si>
  <si>
    <r>
      <t>F</t>
    </r>
    <r>
      <rPr>
        <vertAlign val="subscript"/>
        <sz val="8"/>
        <color theme="1"/>
        <rFont val="Century Gothic"/>
        <family val="2"/>
      </rPr>
      <t>k</t>
    </r>
  </si>
  <si>
    <r>
      <t>L</t>
    </r>
    <r>
      <rPr>
        <vertAlign val="subscript"/>
        <sz val="8"/>
        <color theme="1"/>
        <rFont val="Century Gothic"/>
        <family val="2"/>
      </rPr>
      <t>_Scr,i</t>
    </r>
    <r>
      <rPr>
        <sz val="8"/>
        <color theme="1"/>
        <rFont val="Century Gothic"/>
        <family val="2"/>
      </rPr>
      <t xml:space="preserve"> - Max { Δ</t>
    </r>
    <r>
      <rPr>
        <vertAlign val="subscript"/>
        <sz val="8"/>
        <color theme="1"/>
        <rFont val="Century Gothic"/>
        <family val="2"/>
      </rPr>
      <t>lef,i</t>
    </r>
    <r>
      <rPr>
        <sz val="8"/>
        <color theme="1"/>
        <rFont val="Century Gothic"/>
        <family val="2"/>
      </rPr>
      <t xml:space="preserve"> ;l</t>
    </r>
    <r>
      <rPr>
        <vertAlign val="subscript"/>
        <sz val="8"/>
        <color theme="1"/>
        <rFont val="Century Gothic"/>
        <family val="2"/>
      </rPr>
      <t>s</t>
    </r>
    <r>
      <rPr>
        <sz val="8"/>
        <color theme="1"/>
        <rFont val="Century Gothic"/>
        <family val="2"/>
      </rPr>
      <t xml:space="preserve"> }</t>
    </r>
  </si>
  <si>
    <t>Schr.-Deckfläche-Winkel</t>
  </si>
  <si>
    <t>Anzahl Schrauben</t>
  </si>
  <si>
    <t>maßg. Bemessungswert</t>
  </si>
  <si>
    <r>
      <t>k</t>
    </r>
    <r>
      <rPr>
        <vertAlign val="subscript"/>
        <sz val="8"/>
        <color theme="1"/>
        <rFont val="Century Gothic"/>
        <family val="2"/>
      </rPr>
      <t>mod</t>
    </r>
    <r>
      <rPr>
        <sz val="8"/>
        <color theme="1"/>
        <rFont val="Century Gothic"/>
        <family val="2"/>
      </rPr>
      <t xml:space="preserve"> = </t>
    </r>
  </si>
  <si>
    <t>η =</t>
  </si>
  <si>
    <t>char. Ausziehparamter</t>
  </si>
  <si>
    <r>
      <t>f</t>
    </r>
    <r>
      <rPr>
        <vertAlign val="subscript"/>
        <sz val="8"/>
        <rFont val="Century Gothic"/>
        <family val="2"/>
      </rPr>
      <t>ax</t>
    </r>
    <r>
      <rPr>
        <sz val="8"/>
        <rFont val="Century Gothic"/>
        <family val="2"/>
      </rPr>
      <t>⋅ d⋅ l</t>
    </r>
    <r>
      <rPr>
        <vertAlign val="subscript"/>
        <sz val="8"/>
        <rFont val="Century Gothic"/>
        <family val="2"/>
      </rPr>
      <t>ef</t>
    </r>
    <r>
      <rPr>
        <sz val="8"/>
        <rFont val="Century Gothic"/>
        <family val="2"/>
      </rPr>
      <t>⋅ k</t>
    </r>
    <r>
      <rPr>
        <vertAlign val="subscript"/>
        <sz val="8"/>
        <rFont val="Century Gothic"/>
        <family val="2"/>
      </rPr>
      <t xml:space="preserve">ax </t>
    </r>
    <r>
      <rPr>
        <sz val="8"/>
        <rFont val="Century Gothic"/>
        <family val="2"/>
      </rPr>
      <t>≤ f</t>
    </r>
    <r>
      <rPr>
        <vertAlign val="subscript"/>
        <sz val="8"/>
        <rFont val="Century Gothic"/>
        <family val="2"/>
      </rPr>
      <t>tens</t>
    </r>
    <r>
      <rPr>
        <sz val="8"/>
        <rFont val="Century Gothic"/>
        <family val="2"/>
      </rPr>
      <t xml:space="preserve"> (ETA-15/0667)</t>
    </r>
  </si>
  <si>
    <t>Teilsicherheitsbeiwert</t>
  </si>
  <si>
    <t>Legende</t>
  </si>
  <si>
    <t>Dimensionskoeffizient</t>
  </si>
  <si>
    <t>Koeffizient</t>
  </si>
  <si>
    <t>eff. Schraubenanzahl</t>
  </si>
  <si>
    <t>char. Zugwiderstand</t>
  </si>
  <si>
    <t>max. Tragfähigkeit MEGANT</t>
  </si>
  <si>
    <r>
      <t>F</t>
    </r>
    <r>
      <rPr>
        <vertAlign val="subscript"/>
        <sz val="8"/>
        <color theme="1"/>
        <rFont val="Century Gothic"/>
        <family val="2"/>
      </rPr>
      <t>1,Rk,J/H</t>
    </r>
  </si>
  <si>
    <r>
      <t>F</t>
    </r>
    <r>
      <rPr>
        <vertAlign val="subscript"/>
        <sz val="8"/>
        <color theme="1"/>
        <rFont val="Century Gothic"/>
        <family val="2"/>
      </rPr>
      <t>2,J/H,Rk</t>
    </r>
  </si>
  <si>
    <r>
      <t>F</t>
    </r>
    <r>
      <rPr>
        <vertAlign val="subscript"/>
        <sz val="8"/>
        <color theme="1"/>
        <rFont val="Century Gothic"/>
        <family val="2"/>
      </rPr>
      <t>ax,45,J/H,Rk</t>
    </r>
  </si>
  <si>
    <t>Anzahl VM</t>
  </si>
  <si>
    <t>char. Zugfestigkeit</t>
  </si>
  <si>
    <t>Gewindelänge im Aluminium</t>
  </si>
  <si>
    <t>Gewindefläche</t>
  </si>
  <si>
    <t>char. Fließmoment</t>
  </si>
  <si>
    <t>char. Lochleibungsfestigkeit</t>
  </si>
  <si>
    <t>char. Tragfähigkeit pro VM</t>
  </si>
  <si>
    <t>max. Druckbeitrag</t>
  </si>
  <si>
    <t>char. Druckfestigkeit</t>
  </si>
  <si>
    <t>Verschiebung der äußersten Zugschraube</t>
  </si>
  <si>
    <t>Abstand der am weitesten entfernten Schraube zum Rotationszentrum</t>
  </si>
  <si>
    <t xml:space="preserve">Mitwirkende Faserlänge </t>
  </si>
  <si>
    <t>Drehfedersteifigkeit</t>
  </si>
  <si>
    <t>Umrechnungsfaktor</t>
  </si>
  <si>
    <t>Einwirkung</t>
  </si>
  <si>
    <t>Grenzausmitte</t>
  </si>
  <si>
    <r>
      <t>M</t>
    </r>
    <r>
      <rPr>
        <vertAlign val="subscript"/>
        <sz val="8"/>
        <color theme="1"/>
        <rFont val="Century Gothic"/>
        <family val="2"/>
      </rPr>
      <t>tor,Ed</t>
    </r>
    <r>
      <rPr>
        <sz val="8"/>
        <color theme="1"/>
        <rFont val="Century Gothic"/>
        <family val="2"/>
      </rPr>
      <t xml:space="preserve"> =</t>
    </r>
  </si>
  <si>
    <r>
      <t>M</t>
    </r>
    <r>
      <rPr>
        <vertAlign val="subscript"/>
        <sz val="8"/>
        <color theme="1"/>
        <rFont val="Century Gothic"/>
        <family val="2"/>
      </rPr>
      <t>2,Ed</t>
    </r>
    <r>
      <rPr>
        <sz val="8"/>
        <color theme="1"/>
        <rFont val="Century Gothic"/>
        <family val="2"/>
      </rPr>
      <t xml:space="preserve"> =</t>
    </r>
  </si>
  <si>
    <r>
      <t>(0,082⋅ρ</t>
    </r>
    <r>
      <rPr>
        <vertAlign val="subscript"/>
        <sz val="8"/>
        <color theme="1"/>
        <rFont val="Century Gothic"/>
        <family val="2"/>
      </rPr>
      <t>k</t>
    </r>
    <r>
      <rPr>
        <sz val="8"/>
        <color theme="1"/>
        <rFont val="Century Gothic"/>
        <family val="2"/>
      </rPr>
      <t>⋅d</t>
    </r>
    <r>
      <rPr>
        <vertAlign val="superscript"/>
        <sz val="8"/>
        <color theme="1"/>
        <rFont val="Century Gothic"/>
        <family val="2"/>
      </rPr>
      <t>-0,15</t>
    </r>
    <r>
      <rPr>
        <sz val="8"/>
        <color theme="1"/>
        <rFont val="Century Gothic"/>
        <family val="2"/>
      </rPr>
      <t>/</t>
    </r>
    <r>
      <rPr>
        <sz val="8"/>
        <rFont val="Century Gothic"/>
        <family val="2"/>
      </rPr>
      <t>((0,5+0,024⋅d)⋅sin</t>
    </r>
    <r>
      <rPr>
        <vertAlign val="superscript"/>
        <sz val="8"/>
        <rFont val="Century Gothic"/>
        <family val="2"/>
      </rPr>
      <t>2</t>
    </r>
    <r>
      <rPr>
        <sz val="8"/>
        <rFont val="Century Gothic"/>
        <family val="2"/>
      </rPr>
      <t>α+cos</t>
    </r>
    <r>
      <rPr>
        <vertAlign val="superscript"/>
        <sz val="8"/>
        <rFont val="Century Gothic"/>
        <family val="2"/>
      </rPr>
      <t>2</t>
    </r>
    <r>
      <rPr>
        <sz val="8"/>
        <rFont val="Century Gothic"/>
        <family val="2"/>
      </rPr>
      <t>α)⋅ (1,2⋅cos</t>
    </r>
    <r>
      <rPr>
        <vertAlign val="superscript"/>
        <sz val="8"/>
        <rFont val="Century Gothic"/>
        <family val="2"/>
      </rPr>
      <t>2</t>
    </r>
    <r>
      <rPr>
        <sz val="8"/>
        <rFont val="Century Gothic"/>
        <family val="2"/>
      </rPr>
      <t>β+sin</t>
    </r>
    <r>
      <rPr>
        <vertAlign val="superscript"/>
        <sz val="8"/>
        <rFont val="Century Gothic"/>
        <family val="2"/>
      </rPr>
      <t>2</t>
    </r>
    <r>
      <rPr>
        <sz val="8"/>
        <rFont val="Century Gothic"/>
        <family val="2"/>
      </rPr>
      <t>β)⋅(2,5⋅cos</t>
    </r>
    <r>
      <rPr>
        <vertAlign val="superscript"/>
        <sz val="8"/>
        <rFont val="Century Gothic"/>
        <family val="2"/>
      </rPr>
      <t>2</t>
    </r>
    <r>
      <rPr>
        <sz val="8"/>
        <rFont val="Century Gothic"/>
        <family val="2"/>
      </rPr>
      <t>ε+sin</t>
    </r>
    <r>
      <rPr>
        <vertAlign val="superscript"/>
        <sz val="8"/>
        <rFont val="Century Gothic"/>
        <family val="2"/>
      </rPr>
      <t>2</t>
    </r>
    <r>
      <rPr>
        <sz val="8"/>
        <rFont val="Century Gothic"/>
        <family val="2"/>
      </rPr>
      <t>ε) (ETA-11/0190)</t>
    </r>
  </si>
  <si>
    <t>Eingabe Überprüfung</t>
  </si>
  <si>
    <t>Mindestabmessungen</t>
  </si>
  <si>
    <t>Schraubenauswahl</t>
  </si>
  <si>
    <t>statisches System</t>
  </si>
  <si>
    <t>Verbinderbreite</t>
  </si>
  <si>
    <t>Mtor in aktueller Konfiguration in ETA 15/0667 vorhanden?</t>
  </si>
  <si>
    <t>Mtor</t>
  </si>
  <si>
    <t>Nebenträger an Hauptträger</t>
  </si>
  <si>
    <t>Nebenträger an Stütze</t>
  </si>
  <si>
    <t>F1,Rk</t>
  </si>
  <si>
    <r>
      <t>e</t>
    </r>
    <r>
      <rPr>
        <vertAlign val="subscript"/>
        <sz val="8"/>
        <rFont val="Century Gothic"/>
        <family val="2"/>
      </rPr>
      <t>lim</t>
    </r>
  </si>
  <si>
    <t>oben</t>
  </si>
  <si>
    <t>Ermittlung der Druckzonenhöhe x</t>
  </si>
  <si>
    <t xml:space="preserve"> </t>
  </si>
  <si>
    <r>
      <rPr>
        <sz val="10"/>
        <rFont val="Symbol"/>
        <family val="1"/>
        <charset val="2"/>
      </rPr>
      <t>r</t>
    </r>
    <r>
      <rPr>
        <vertAlign val="subscript"/>
        <sz val="10"/>
        <rFont val="Century Gothic"/>
        <family val="2"/>
      </rPr>
      <t>k</t>
    </r>
  </si>
  <si>
    <r>
      <t>B</t>
    </r>
    <r>
      <rPr>
        <vertAlign val="subscript"/>
        <sz val="10"/>
        <rFont val="Century Gothic"/>
        <family val="2"/>
      </rPr>
      <t>HT</t>
    </r>
  </si>
  <si>
    <r>
      <t>H</t>
    </r>
    <r>
      <rPr>
        <vertAlign val="subscript"/>
        <sz val="10"/>
        <rFont val="Century Gothic"/>
        <family val="2"/>
      </rPr>
      <t>HT</t>
    </r>
  </si>
  <si>
    <r>
      <t>l</t>
    </r>
    <r>
      <rPr>
        <vertAlign val="subscript"/>
        <sz val="10"/>
        <rFont val="Century Gothic"/>
        <family val="2"/>
      </rPr>
      <t>45</t>
    </r>
  </si>
  <si>
    <r>
      <t>l</t>
    </r>
    <r>
      <rPr>
        <vertAlign val="subscript"/>
        <sz val="10"/>
        <rFont val="Century Gothic"/>
        <family val="2"/>
      </rPr>
      <t>90</t>
    </r>
  </si>
  <si>
    <r>
      <t>l</t>
    </r>
    <r>
      <rPr>
        <vertAlign val="subscript"/>
        <sz val="10"/>
        <rFont val="Century Gothic"/>
        <family val="2"/>
      </rPr>
      <t>ef,45</t>
    </r>
  </si>
  <si>
    <r>
      <t>l</t>
    </r>
    <r>
      <rPr>
        <vertAlign val="subscript"/>
        <sz val="10"/>
        <rFont val="Century Gothic"/>
        <family val="2"/>
      </rPr>
      <t>ef,90</t>
    </r>
  </si>
  <si>
    <r>
      <t>f</t>
    </r>
    <r>
      <rPr>
        <vertAlign val="subscript"/>
        <sz val="10"/>
        <rFont val="Century Gothic"/>
        <family val="2"/>
      </rPr>
      <t>ax,45</t>
    </r>
  </si>
  <si>
    <r>
      <t>f</t>
    </r>
    <r>
      <rPr>
        <vertAlign val="subscript"/>
        <sz val="10"/>
        <rFont val="Century Gothic"/>
        <family val="2"/>
      </rPr>
      <t>ax,90</t>
    </r>
  </si>
  <si>
    <r>
      <t>w</t>
    </r>
    <r>
      <rPr>
        <vertAlign val="subscript"/>
        <sz val="10"/>
        <rFont val="Century Gothic"/>
        <family val="2"/>
      </rPr>
      <t>u,HT</t>
    </r>
  </si>
  <si>
    <r>
      <t>F</t>
    </r>
    <r>
      <rPr>
        <vertAlign val="subscript"/>
        <sz val="10"/>
        <rFont val="Century Gothic"/>
        <family val="2"/>
      </rPr>
      <t>tens</t>
    </r>
  </si>
  <si>
    <r>
      <t>B</t>
    </r>
    <r>
      <rPr>
        <vertAlign val="subscript"/>
        <sz val="10"/>
        <rFont val="Century Gothic"/>
        <family val="2"/>
      </rPr>
      <t>NT</t>
    </r>
  </si>
  <si>
    <r>
      <t>H</t>
    </r>
    <r>
      <rPr>
        <vertAlign val="subscript"/>
        <sz val="10"/>
        <rFont val="Century Gothic"/>
        <family val="2"/>
      </rPr>
      <t>NT</t>
    </r>
  </si>
  <si>
    <r>
      <t>w</t>
    </r>
    <r>
      <rPr>
        <vertAlign val="subscript"/>
        <sz val="10"/>
        <rFont val="Century Gothic"/>
        <family val="2"/>
      </rPr>
      <t>u,NT</t>
    </r>
  </si>
  <si>
    <r>
      <rPr>
        <sz val="11"/>
        <color theme="1"/>
        <rFont val="Century Gothic"/>
        <family val="2"/>
      </rPr>
      <t>K</t>
    </r>
    <r>
      <rPr>
        <vertAlign val="subscript"/>
        <sz val="11"/>
        <color theme="1"/>
        <rFont val="Aptos Display"/>
        <family val="2"/>
      </rPr>
      <t>2,</t>
    </r>
    <r>
      <rPr>
        <vertAlign val="subscript"/>
        <sz val="11"/>
        <color theme="1"/>
        <rFont val="Symbol"/>
        <family val="1"/>
        <charset val="2"/>
      </rPr>
      <t>j</t>
    </r>
    <r>
      <rPr>
        <vertAlign val="subscript"/>
        <sz val="11"/>
        <color theme="1"/>
        <rFont val="Century Gothic"/>
        <family val="2"/>
      </rPr>
      <t>,ser,HT</t>
    </r>
  </si>
  <si>
    <r>
      <rPr>
        <sz val="11"/>
        <color theme="1"/>
        <rFont val="Century Gothic"/>
        <family val="2"/>
      </rPr>
      <t>K</t>
    </r>
    <r>
      <rPr>
        <vertAlign val="subscript"/>
        <sz val="11"/>
        <color theme="1"/>
        <rFont val="Aptos Display"/>
        <family val="2"/>
      </rPr>
      <t>2,</t>
    </r>
    <r>
      <rPr>
        <vertAlign val="subscript"/>
        <sz val="11"/>
        <color theme="1"/>
        <rFont val="Symbol"/>
        <family val="1"/>
        <charset val="2"/>
      </rPr>
      <t>j,</t>
    </r>
    <r>
      <rPr>
        <vertAlign val="subscript"/>
        <sz val="11"/>
        <color theme="1"/>
        <rFont val="Century Gothic"/>
        <family val="2"/>
      </rPr>
      <t>ser,NT</t>
    </r>
  </si>
  <si>
    <r>
      <rPr>
        <sz val="11"/>
        <color theme="1"/>
        <rFont val="Century Gothic"/>
        <family val="2"/>
      </rPr>
      <t>K</t>
    </r>
    <r>
      <rPr>
        <vertAlign val="subscript"/>
        <sz val="11"/>
        <color theme="1"/>
        <rFont val="Aptos Display"/>
        <family val="2"/>
      </rPr>
      <t>2,</t>
    </r>
    <r>
      <rPr>
        <vertAlign val="subscript"/>
        <sz val="11"/>
        <color theme="1"/>
        <rFont val="Symbol"/>
        <family val="1"/>
        <charset val="2"/>
      </rPr>
      <t>j</t>
    </r>
    <r>
      <rPr>
        <vertAlign val="subscript"/>
        <sz val="11"/>
        <color theme="1"/>
        <rFont val="Century Gothic"/>
        <family val="2"/>
      </rPr>
      <t>,ser</t>
    </r>
  </si>
  <si>
    <r>
      <t>f</t>
    </r>
    <r>
      <rPr>
        <vertAlign val="subscript"/>
        <sz val="10"/>
        <color theme="1"/>
        <rFont val="Century Gothic"/>
        <family val="2"/>
      </rPr>
      <t>c,0,k</t>
    </r>
  </si>
  <si>
    <r>
      <t>l</t>
    </r>
    <r>
      <rPr>
        <vertAlign val="subscript"/>
        <sz val="10"/>
        <rFont val="Century Gothic"/>
        <family val="2"/>
      </rPr>
      <t>ef,0</t>
    </r>
  </si>
  <si>
    <t>geneigte Schrauben 45° HT</t>
  </si>
  <si>
    <t>geneigte Schrauben 45° NT</t>
  </si>
  <si>
    <r>
      <t>Min { f</t>
    </r>
    <r>
      <rPr>
        <vertAlign val="subscript"/>
        <sz val="8"/>
        <color theme="1"/>
        <rFont val="Century Gothic"/>
        <family val="2"/>
      </rPr>
      <t>tens,J</t>
    </r>
    <r>
      <rPr>
        <sz val="8"/>
        <color theme="1"/>
        <rFont val="Century Gothic"/>
        <family val="2"/>
      </rPr>
      <t xml:space="preserve"> ; f</t>
    </r>
    <r>
      <rPr>
        <vertAlign val="subscript"/>
        <sz val="8"/>
        <color theme="1"/>
        <rFont val="Century Gothic"/>
        <family val="2"/>
      </rPr>
      <t>tens,H</t>
    </r>
    <r>
      <rPr>
        <sz val="8"/>
        <color theme="1"/>
        <rFont val="Century Gothic"/>
        <family val="2"/>
      </rPr>
      <t xml:space="preserve"> }</t>
    </r>
  </si>
  <si>
    <r>
      <t>n</t>
    </r>
    <r>
      <rPr>
        <vertAlign val="subscript"/>
        <sz val="8"/>
        <color theme="1"/>
        <rFont val="Century Gothic"/>
        <family val="2"/>
      </rPr>
      <t>90/0</t>
    </r>
  </si>
  <si>
    <r>
      <t>f</t>
    </r>
    <r>
      <rPr>
        <vertAlign val="subscript"/>
        <sz val="8"/>
        <rFont val="Century Gothic"/>
        <family val="2"/>
      </rPr>
      <t>ax</t>
    </r>
    <r>
      <rPr>
        <sz val="8"/>
        <rFont val="Century Gothic"/>
        <family val="2"/>
      </rPr>
      <t xml:space="preserve"> = 11 N/mm² (ETA-11/0190)</t>
    </r>
  </si>
  <si>
    <r>
      <t>k</t>
    </r>
    <r>
      <rPr>
        <vertAlign val="subscript"/>
        <sz val="8"/>
        <rFont val="Century Gothic"/>
        <family val="2"/>
      </rPr>
      <t>ax</t>
    </r>
    <r>
      <rPr>
        <sz val="8"/>
        <rFont val="Century Gothic"/>
        <family val="2"/>
      </rPr>
      <t xml:space="preserve"> = 1,0  für 45° ≤ α ≤ 90°  (ETA-11/0190)</t>
    </r>
  </si>
  <si>
    <r>
      <t>k</t>
    </r>
    <r>
      <rPr>
        <vertAlign val="subscript"/>
        <sz val="8"/>
        <rFont val="Century Gothic"/>
        <family val="2"/>
      </rPr>
      <t>ax</t>
    </r>
    <r>
      <rPr>
        <sz val="8"/>
        <rFont val="Century Gothic"/>
        <family val="2"/>
      </rPr>
      <t xml:space="preserve"> = 1,0  für 45° ≤ α ≤ 90° (ETA-15/0667)</t>
    </r>
  </si>
  <si>
    <r>
      <t>f</t>
    </r>
    <r>
      <rPr>
        <vertAlign val="subscript"/>
        <sz val="8"/>
        <rFont val="Century Gothic"/>
        <family val="2"/>
      </rPr>
      <t>ax</t>
    </r>
    <r>
      <rPr>
        <sz val="8"/>
        <rFont val="Century Gothic"/>
        <family val="2"/>
      </rPr>
      <t>⋅ d⋅ l</t>
    </r>
    <r>
      <rPr>
        <vertAlign val="subscript"/>
        <sz val="8"/>
        <rFont val="Century Gothic"/>
        <family val="2"/>
      </rPr>
      <t>ef</t>
    </r>
    <r>
      <rPr>
        <sz val="8"/>
        <rFont val="Century Gothic"/>
        <family val="2"/>
      </rPr>
      <t>⋅ k</t>
    </r>
    <r>
      <rPr>
        <vertAlign val="subscript"/>
        <sz val="8"/>
        <rFont val="Century Gothic"/>
        <family val="2"/>
      </rPr>
      <t xml:space="preserve">ax⋅ </t>
    </r>
    <r>
      <rPr>
        <sz val="8"/>
        <rFont val="Century Gothic"/>
        <family val="2"/>
      </rPr>
      <t>1/β</t>
    </r>
    <r>
      <rPr>
        <vertAlign val="subscript"/>
        <sz val="8"/>
        <rFont val="Century Gothic"/>
        <family val="2"/>
      </rPr>
      <t xml:space="preserve">⋅ </t>
    </r>
    <r>
      <rPr>
        <sz val="8"/>
        <rFont val="Century Gothic"/>
        <family val="2"/>
      </rPr>
      <t>(ρ</t>
    </r>
    <r>
      <rPr>
        <vertAlign val="subscript"/>
        <sz val="8"/>
        <rFont val="Century Gothic"/>
        <family val="2"/>
      </rPr>
      <t>k</t>
    </r>
    <r>
      <rPr>
        <sz val="8"/>
        <rFont val="Century Gothic"/>
        <family val="2"/>
      </rPr>
      <t>/350)</t>
    </r>
    <r>
      <rPr>
        <vertAlign val="superscript"/>
        <sz val="8"/>
        <rFont val="Century Gothic"/>
        <family val="2"/>
      </rPr>
      <t>0,8</t>
    </r>
    <r>
      <rPr>
        <sz val="8"/>
        <rFont val="Century Gothic"/>
        <family val="2"/>
      </rPr>
      <t xml:space="preserve"> (ETA-11/0190)</t>
    </r>
  </si>
  <si>
    <r>
      <t>f</t>
    </r>
    <r>
      <rPr>
        <vertAlign val="subscript"/>
        <sz val="8"/>
        <rFont val="Century Gothic"/>
        <family val="2"/>
      </rPr>
      <t>ax</t>
    </r>
    <r>
      <rPr>
        <sz val="8"/>
        <rFont val="Century Gothic"/>
        <family val="2"/>
      </rPr>
      <t>⋅ d⋅ l</t>
    </r>
    <r>
      <rPr>
        <vertAlign val="subscript"/>
        <sz val="8"/>
        <rFont val="Century Gothic"/>
        <family val="2"/>
      </rPr>
      <t>ef</t>
    </r>
    <r>
      <rPr>
        <sz val="8"/>
        <rFont val="Century Gothic"/>
        <family val="2"/>
      </rPr>
      <t>⋅ k</t>
    </r>
    <r>
      <rPr>
        <vertAlign val="subscript"/>
        <sz val="8"/>
        <rFont val="Century Gothic"/>
        <family val="2"/>
      </rPr>
      <t>ax</t>
    </r>
    <r>
      <rPr>
        <sz val="8"/>
        <rFont val="Century Gothic"/>
        <family val="2"/>
      </rPr>
      <t xml:space="preserve"> (ETA-15/0667)</t>
    </r>
  </si>
  <si>
    <r>
      <t>f</t>
    </r>
    <r>
      <rPr>
        <vertAlign val="subscript"/>
        <sz val="8"/>
        <rFont val="Century Gothic"/>
        <family val="2"/>
      </rPr>
      <t>ax</t>
    </r>
    <r>
      <rPr>
        <sz val="8"/>
        <rFont val="Century Gothic"/>
        <family val="2"/>
      </rPr>
      <t>⋅ d⋅ l</t>
    </r>
    <r>
      <rPr>
        <vertAlign val="subscript"/>
        <sz val="8"/>
        <rFont val="Century Gothic"/>
        <family val="2"/>
      </rPr>
      <t>ef</t>
    </r>
    <r>
      <rPr>
        <sz val="8"/>
        <rFont val="Century Gothic"/>
        <family val="2"/>
      </rPr>
      <t>⋅ k</t>
    </r>
    <r>
      <rPr>
        <vertAlign val="subscript"/>
        <sz val="8"/>
        <rFont val="Century Gothic"/>
        <family val="2"/>
      </rPr>
      <t xml:space="preserve">ax⋅ </t>
    </r>
    <r>
      <rPr>
        <sz val="8"/>
        <rFont val="Century Gothic"/>
        <family val="2"/>
      </rPr>
      <t>1/β</t>
    </r>
    <r>
      <rPr>
        <vertAlign val="subscript"/>
        <sz val="8"/>
        <rFont val="Century Gothic"/>
        <family val="2"/>
      </rPr>
      <t>⋅ (</t>
    </r>
    <r>
      <rPr>
        <sz val="8"/>
        <rFont val="Century Gothic"/>
        <family val="2"/>
      </rPr>
      <t>ρ</t>
    </r>
    <r>
      <rPr>
        <vertAlign val="subscript"/>
        <sz val="8"/>
        <rFont val="Century Gothic"/>
        <family val="2"/>
      </rPr>
      <t>k</t>
    </r>
    <r>
      <rPr>
        <sz val="8"/>
        <rFont val="Century Gothic"/>
        <family val="2"/>
      </rPr>
      <t>/730</t>
    </r>
    <r>
      <rPr>
        <vertAlign val="subscript"/>
        <sz val="8"/>
        <rFont val="Century Gothic"/>
        <family val="2"/>
      </rPr>
      <t>)</t>
    </r>
    <r>
      <rPr>
        <vertAlign val="superscript"/>
        <sz val="8"/>
        <rFont val="Century Gothic"/>
        <family val="2"/>
      </rPr>
      <t>0,8</t>
    </r>
    <r>
      <rPr>
        <sz val="8"/>
        <rFont val="Century Gothic"/>
        <family val="2"/>
      </rPr>
      <t xml:space="preserve"> (ETA-11/0190)</t>
    </r>
  </si>
  <si>
    <r>
      <t>γ</t>
    </r>
    <r>
      <rPr>
        <vertAlign val="subscript"/>
        <sz val="8"/>
        <rFont val="Century Gothic"/>
        <family val="2"/>
      </rPr>
      <t>M</t>
    </r>
  </si>
  <si>
    <r>
      <t>f</t>
    </r>
    <r>
      <rPr>
        <vertAlign val="subscript"/>
        <sz val="8"/>
        <rFont val="Century Gothic"/>
        <family val="2"/>
      </rPr>
      <t>ax</t>
    </r>
    <r>
      <rPr>
        <sz val="8"/>
        <rFont val="Century Gothic"/>
        <family val="2"/>
      </rPr>
      <t xml:space="preserve"> = 11 N/mm² nach ETA-11/0190</t>
    </r>
  </si>
  <si>
    <r>
      <t>f</t>
    </r>
    <r>
      <rPr>
        <vertAlign val="subscript"/>
        <sz val="8"/>
        <rFont val="Century Gothic"/>
        <family val="2"/>
      </rPr>
      <t>ax</t>
    </r>
    <r>
      <rPr>
        <sz val="8"/>
        <rFont val="Century Gothic"/>
        <family val="2"/>
      </rPr>
      <t>⋅ d⋅ l</t>
    </r>
    <r>
      <rPr>
        <vertAlign val="subscript"/>
        <sz val="8"/>
        <rFont val="Century Gothic"/>
        <family val="2"/>
      </rPr>
      <t>ef</t>
    </r>
    <r>
      <rPr>
        <sz val="8"/>
        <rFont val="Century Gothic"/>
        <family val="2"/>
      </rPr>
      <t>⋅ k</t>
    </r>
    <r>
      <rPr>
        <vertAlign val="subscript"/>
        <sz val="8"/>
        <rFont val="Century Gothic"/>
        <family val="2"/>
      </rPr>
      <t xml:space="preserve">ax⋅ </t>
    </r>
    <r>
      <rPr>
        <sz val="8"/>
        <rFont val="Century Gothic"/>
        <family val="2"/>
      </rPr>
      <t>1/β</t>
    </r>
    <r>
      <rPr>
        <vertAlign val="subscript"/>
        <sz val="8"/>
        <rFont val="Century Gothic"/>
        <family val="2"/>
      </rPr>
      <t>⋅ (</t>
    </r>
    <r>
      <rPr>
        <sz val="8"/>
        <rFont val="Century Gothic"/>
        <family val="2"/>
      </rPr>
      <t>ρ</t>
    </r>
    <r>
      <rPr>
        <vertAlign val="subscript"/>
        <sz val="8"/>
        <rFont val="Century Gothic"/>
        <family val="2"/>
      </rPr>
      <t>k</t>
    </r>
    <r>
      <rPr>
        <sz val="8"/>
        <rFont val="Century Gothic"/>
        <family val="2"/>
      </rPr>
      <t>/730</t>
    </r>
    <r>
      <rPr>
        <vertAlign val="subscript"/>
        <sz val="8"/>
        <rFont val="Century Gothic"/>
        <family val="2"/>
      </rPr>
      <t>)</t>
    </r>
    <r>
      <rPr>
        <vertAlign val="superscript"/>
        <sz val="8"/>
        <rFont val="Century Gothic"/>
        <family val="2"/>
      </rPr>
      <t>0,8</t>
    </r>
    <r>
      <rPr>
        <sz val="8"/>
        <rFont val="Century Gothic"/>
        <family val="2"/>
      </rPr>
      <t xml:space="preserve"> ≤ f</t>
    </r>
    <r>
      <rPr>
        <vertAlign val="subscript"/>
        <sz val="8"/>
        <rFont val="Century Gothic"/>
        <family val="2"/>
      </rPr>
      <t>tens</t>
    </r>
    <r>
      <rPr>
        <sz val="8"/>
        <rFont val="Century Gothic"/>
        <family val="2"/>
      </rPr>
      <t xml:space="preserve"> (ETA-11/0190)</t>
    </r>
  </si>
  <si>
    <r>
      <t>f</t>
    </r>
    <r>
      <rPr>
        <vertAlign val="subscript"/>
        <sz val="8"/>
        <rFont val="Century Gothic"/>
        <family val="2"/>
      </rPr>
      <t>ax</t>
    </r>
    <r>
      <rPr>
        <sz val="8"/>
        <rFont val="Century Gothic"/>
        <family val="2"/>
      </rPr>
      <t>⋅ d⋅ l</t>
    </r>
    <r>
      <rPr>
        <vertAlign val="subscript"/>
        <sz val="8"/>
        <rFont val="Century Gothic"/>
        <family val="2"/>
      </rPr>
      <t>ef</t>
    </r>
    <r>
      <rPr>
        <sz val="8"/>
        <rFont val="Century Gothic"/>
        <family val="2"/>
      </rPr>
      <t>⋅ k</t>
    </r>
    <r>
      <rPr>
        <vertAlign val="subscript"/>
        <sz val="8"/>
        <rFont val="Century Gothic"/>
        <family val="2"/>
      </rPr>
      <t xml:space="preserve">ax⋅ </t>
    </r>
    <r>
      <rPr>
        <sz val="8"/>
        <rFont val="Century Gothic"/>
        <family val="2"/>
      </rPr>
      <t>1/β</t>
    </r>
    <r>
      <rPr>
        <vertAlign val="subscript"/>
        <sz val="8"/>
        <rFont val="Century Gothic"/>
        <family val="2"/>
      </rPr>
      <t xml:space="preserve">⋅ </t>
    </r>
    <r>
      <rPr>
        <sz val="8"/>
        <rFont val="Century Gothic"/>
        <family val="2"/>
      </rPr>
      <t>(ρ</t>
    </r>
    <r>
      <rPr>
        <vertAlign val="subscript"/>
        <sz val="8"/>
        <rFont val="Century Gothic"/>
        <family val="2"/>
      </rPr>
      <t>k</t>
    </r>
    <r>
      <rPr>
        <sz val="8"/>
        <rFont val="Century Gothic"/>
        <family val="2"/>
      </rPr>
      <t>/350)</t>
    </r>
    <r>
      <rPr>
        <vertAlign val="superscript"/>
        <sz val="8"/>
        <rFont val="Century Gothic"/>
        <family val="2"/>
      </rPr>
      <t>0,8</t>
    </r>
    <r>
      <rPr>
        <sz val="8"/>
        <rFont val="Century Gothic"/>
        <family val="2"/>
      </rPr>
      <t xml:space="preserve"> ≤ f</t>
    </r>
    <r>
      <rPr>
        <vertAlign val="subscript"/>
        <sz val="8"/>
        <rFont val="Century Gothic"/>
        <family val="2"/>
      </rPr>
      <t>tens</t>
    </r>
    <r>
      <rPr>
        <sz val="8"/>
        <rFont val="Century Gothic"/>
        <family val="2"/>
      </rPr>
      <t xml:space="preserve"> (ETA-11/0190)</t>
    </r>
  </si>
  <si>
    <r>
      <t>k</t>
    </r>
    <r>
      <rPr>
        <vertAlign val="subscript"/>
        <sz val="8"/>
        <rFont val="Century Gothic"/>
        <family val="2"/>
      </rPr>
      <t>ax</t>
    </r>
    <r>
      <rPr>
        <sz val="8"/>
        <rFont val="Century Gothic"/>
        <family val="2"/>
      </rPr>
      <t xml:space="preserve"> = 1,0  für 45° ≤ α ≤ 90° (ETA-11/0190)</t>
    </r>
  </si>
  <si>
    <r>
      <t>k</t>
    </r>
    <r>
      <rPr>
        <vertAlign val="subscript"/>
        <sz val="8"/>
        <rFont val="Century Gothic"/>
        <family val="2"/>
      </rPr>
      <t>β</t>
    </r>
    <r>
      <rPr>
        <sz val="8"/>
        <rFont val="Century Gothic"/>
        <family val="2"/>
      </rPr>
      <t xml:space="preserve"> = 1,5⋅ cos</t>
    </r>
    <r>
      <rPr>
        <vertAlign val="superscript"/>
        <sz val="8"/>
        <rFont val="Century Gothic"/>
        <family val="2"/>
      </rPr>
      <t>2</t>
    </r>
    <r>
      <rPr>
        <sz val="8"/>
        <rFont val="Century Gothic"/>
        <family val="2"/>
      </rPr>
      <t>β+ sin</t>
    </r>
    <r>
      <rPr>
        <vertAlign val="superscript"/>
        <sz val="8"/>
        <rFont val="Century Gothic"/>
        <family val="2"/>
      </rPr>
      <t>2</t>
    </r>
    <r>
      <rPr>
        <sz val="8"/>
        <rFont val="Century Gothic"/>
        <family val="2"/>
      </rPr>
      <t>β  (ETA-11/0190)</t>
    </r>
  </si>
  <si>
    <r>
      <t>(0,082⋅ρ</t>
    </r>
    <r>
      <rPr>
        <vertAlign val="subscript"/>
        <sz val="8"/>
        <rFont val="Century Gothic"/>
        <family val="2"/>
      </rPr>
      <t>k</t>
    </r>
    <r>
      <rPr>
        <sz val="8"/>
        <rFont val="Century Gothic"/>
        <family val="2"/>
      </rPr>
      <t>⋅d</t>
    </r>
    <r>
      <rPr>
        <vertAlign val="superscript"/>
        <sz val="8"/>
        <rFont val="Century Gothic"/>
        <family val="2"/>
      </rPr>
      <t>-0,15</t>
    </r>
    <r>
      <rPr>
        <sz val="8"/>
        <rFont val="Century Gothic"/>
        <family val="2"/>
      </rPr>
      <t>/((0,5+0,024⋅d)⋅sin</t>
    </r>
    <r>
      <rPr>
        <vertAlign val="superscript"/>
        <sz val="8"/>
        <rFont val="Century Gothic"/>
        <family val="2"/>
      </rPr>
      <t>2</t>
    </r>
    <r>
      <rPr>
        <sz val="8"/>
        <rFont val="Century Gothic"/>
        <family val="2"/>
      </rPr>
      <t>α+cos</t>
    </r>
    <r>
      <rPr>
        <vertAlign val="superscript"/>
        <sz val="8"/>
        <rFont val="Century Gothic"/>
        <family val="2"/>
      </rPr>
      <t>2</t>
    </r>
    <r>
      <rPr>
        <sz val="8"/>
        <rFont val="Century Gothic"/>
        <family val="2"/>
      </rPr>
      <t>α)⋅ (1,2⋅cos</t>
    </r>
    <r>
      <rPr>
        <vertAlign val="superscript"/>
        <sz val="8"/>
        <rFont val="Century Gothic"/>
        <family val="2"/>
      </rPr>
      <t>2</t>
    </r>
    <r>
      <rPr>
        <sz val="8"/>
        <rFont val="Century Gothic"/>
        <family val="2"/>
      </rPr>
      <t>β+sin</t>
    </r>
    <r>
      <rPr>
        <vertAlign val="superscript"/>
        <sz val="8"/>
        <rFont val="Century Gothic"/>
        <family val="2"/>
      </rPr>
      <t>2</t>
    </r>
    <r>
      <rPr>
        <sz val="8"/>
        <rFont val="Century Gothic"/>
        <family val="2"/>
      </rPr>
      <t>β)⋅(2,5⋅cos</t>
    </r>
    <r>
      <rPr>
        <vertAlign val="superscript"/>
        <sz val="8"/>
        <rFont val="Century Gothic"/>
        <family val="2"/>
      </rPr>
      <t>2</t>
    </r>
    <r>
      <rPr>
        <sz val="8"/>
        <rFont val="Century Gothic"/>
        <family val="2"/>
      </rPr>
      <t>ε+sin</t>
    </r>
    <r>
      <rPr>
        <vertAlign val="superscript"/>
        <sz val="8"/>
        <rFont val="Century Gothic"/>
        <family val="2"/>
      </rPr>
      <t>2</t>
    </r>
    <r>
      <rPr>
        <sz val="8"/>
        <rFont val="Century Gothic"/>
        <family val="2"/>
      </rPr>
      <t>ε) (ETA-11/0190)</t>
    </r>
  </si>
  <si>
    <t>rote Werte = nicht verwendete Daten</t>
  </si>
  <si>
    <t>Ja</t>
  </si>
  <si>
    <t>Nein</t>
  </si>
  <si>
    <t>Regelfall ohne Anschlusswinkel</t>
  </si>
  <si>
    <t>g</t>
  </si>
  <si>
    <t>Querschnitte</t>
  </si>
  <si>
    <t>Ausführung</t>
  </si>
  <si>
    <r>
      <t>B</t>
    </r>
    <r>
      <rPr>
        <vertAlign val="subscript"/>
        <sz val="8"/>
        <rFont val="Century Gothic"/>
        <family val="2"/>
      </rPr>
      <t>J</t>
    </r>
  </si>
  <si>
    <r>
      <t>H</t>
    </r>
    <r>
      <rPr>
        <vertAlign val="subscript"/>
        <sz val="8"/>
        <rFont val="Century Gothic"/>
        <family val="2"/>
      </rPr>
      <t>J</t>
    </r>
  </si>
  <si>
    <t>45° Schrauben Hauptträger</t>
  </si>
  <si>
    <t>90° Schrauben Hauptträger</t>
  </si>
  <si>
    <t>45° Schrauben Nebenträger</t>
  </si>
  <si>
    <t>0° Schrauben Nebenträger</t>
  </si>
  <si>
    <t>γ_G・g_k</t>
  </si>
  <si>
    <t>Firma</t>
  </si>
  <si>
    <t>Bauvorhaben</t>
  </si>
  <si>
    <t>Datum</t>
  </si>
  <si>
    <t>Bearbeiter</t>
  </si>
  <si>
    <t>Vertrieb</t>
  </si>
  <si>
    <t>Nebenträger an Hauptträger-Seitenfläche</t>
  </si>
  <si>
    <t>Nebenträger an Stützen-Seitenfläche</t>
  </si>
  <si>
    <t>Nebenträger an Stützen-Deckfläche</t>
  </si>
  <si>
    <t>Bild</t>
  </si>
  <si>
    <t>ETA-15/0667</t>
  </si>
  <si>
    <t>DE</t>
  </si>
  <si>
    <t>EN</t>
  </si>
  <si>
    <t>FR</t>
  </si>
  <si>
    <t>Ausgewählte Sprache</t>
  </si>
  <si>
    <t/>
  </si>
  <si>
    <t>Effektive Schraubenlängen</t>
  </si>
  <si>
    <t>Anzahl HT + NT</t>
  </si>
  <si>
    <t>Statisches System und Einwirkung auf Nebenträger</t>
  </si>
  <si>
    <t>Nachweis</t>
  </si>
  <si>
    <t>torsionsstarr</t>
  </si>
  <si>
    <t>torsionsweich</t>
  </si>
  <si>
    <t>ETA-15/0667, Anhang 5</t>
  </si>
  <si>
    <t>EN AW - 6082</t>
  </si>
  <si>
    <t>Bemessungswerte für M_tor nach ETA-15/0667 Anhang 5.</t>
  </si>
  <si>
    <t>c = 0,8 von höherer zu niedriger Dichte</t>
  </si>
  <si>
    <t>c = 0,6 von niedriger zu höherer Dichte</t>
  </si>
  <si>
    <t>ETA-15/0667 (Anhang 5)</t>
  </si>
  <si>
    <r>
      <t>k</t>
    </r>
    <r>
      <rPr>
        <vertAlign val="subscript"/>
        <sz val="8"/>
        <color theme="1"/>
        <rFont val="Century Gothic"/>
        <family val="2"/>
      </rPr>
      <t>β</t>
    </r>
    <r>
      <rPr>
        <sz val="8"/>
        <color theme="1"/>
        <rFont val="Century Gothic"/>
        <family val="2"/>
      </rPr>
      <t xml:space="preserve"> = 1,0 (ETA-11/0190)</t>
    </r>
  </si>
  <si>
    <r>
      <t>k</t>
    </r>
    <r>
      <rPr>
        <vertAlign val="subscript"/>
        <sz val="8"/>
        <rFont val="Century Gothic"/>
        <family val="2"/>
      </rPr>
      <t>β</t>
    </r>
    <r>
      <rPr>
        <sz val="8"/>
        <rFont val="Century Gothic"/>
        <family val="2"/>
      </rPr>
      <t xml:space="preserve"> = 1,5⋅ cos</t>
    </r>
    <r>
      <rPr>
        <vertAlign val="superscript"/>
        <sz val="8"/>
        <rFont val="Century Gothic"/>
        <family val="2"/>
      </rPr>
      <t>2</t>
    </r>
    <r>
      <rPr>
        <sz val="8"/>
        <rFont val="Century Gothic"/>
        <family val="2"/>
      </rPr>
      <t xml:space="preserve"> β+ sin</t>
    </r>
    <r>
      <rPr>
        <vertAlign val="superscript"/>
        <sz val="8"/>
        <rFont val="Century Gothic"/>
        <family val="2"/>
      </rPr>
      <t>2</t>
    </r>
    <r>
      <rPr>
        <sz val="8"/>
        <rFont val="Century Gothic"/>
        <family val="2"/>
      </rPr>
      <t xml:space="preserve"> β (ETA-11/0190)</t>
    </r>
  </si>
  <si>
    <r>
      <t>0,033⋅ ρ</t>
    </r>
    <r>
      <rPr>
        <vertAlign val="subscript"/>
        <sz val="8"/>
        <rFont val="Century Gothic"/>
        <family val="2"/>
      </rPr>
      <t>k</t>
    </r>
    <r>
      <rPr>
        <sz val="8"/>
        <rFont val="Century Gothic"/>
        <family val="2"/>
      </rPr>
      <t>⋅ d</t>
    </r>
    <r>
      <rPr>
        <vertAlign val="superscript"/>
        <sz val="8"/>
        <rFont val="Century Gothic"/>
        <family val="2"/>
      </rPr>
      <t>-0,3</t>
    </r>
    <r>
      <rPr>
        <sz val="8"/>
        <rFont val="Century Gothic"/>
        <family val="2"/>
      </rPr>
      <t xml:space="preserve"> (ETA-15/0667)</t>
    </r>
  </si>
  <si>
    <r>
      <t>(0,082⋅ ρ</t>
    </r>
    <r>
      <rPr>
        <vertAlign val="subscript"/>
        <sz val="8"/>
        <color theme="1"/>
        <rFont val="Century Gothic"/>
        <family val="2"/>
      </rPr>
      <t>k</t>
    </r>
    <r>
      <rPr>
        <vertAlign val="superscript"/>
        <sz val="8"/>
        <color theme="1"/>
        <rFont val="Century Gothic"/>
        <family val="2"/>
      </rPr>
      <t>-0,3</t>
    </r>
    <r>
      <rPr>
        <sz val="8"/>
        <color theme="1"/>
        <rFont val="Century Gothic"/>
        <family val="2"/>
      </rPr>
      <t>/(2,5⋅ cos</t>
    </r>
    <r>
      <rPr>
        <vertAlign val="superscript"/>
        <sz val="8"/>
        <color theme="1"/>
        <rFont val="Century Gothic"/>
        <family val="2"/>
      </rPr>
      <t>2</t>
    </r>
    <r>
      <rPr>
        <sz val="8"/>
        <color theme="1"/>
        <rFont val="Century Gothic"/>
        <family val="2"/>
      </rPr>
      <t>α+ sin</t>
    </r>
    <r>
      <rPr>
        <vertAlign val="superscript"/>
        <sz val="8"/>
        <color theme="1"/>
        <rFont val="Century Gothic"/>
        <family val="2"/>
      </rPr>
      <t>2</t>
    </r>
    <r>
      <rPr>
        <sz val="8"/>
        <color theme="1"/>
        <rFont val="Century Gothic"/>
        <family val="2"/>
      </rPr>
      <t>α) (ETA-11/0190)</t>
    </r>
  </si>
  <si>
    <r>
      <t>(0,082⋅ ρ</t>
    </r>
    <r>
      <rPr>
        <vertAlign val="subscript"/>
        <sz val="8"/>
        <color theme="1"/>
        <rFont val="Century Gothic"/>
        <family val="2"/>
      </rPr>
      <t>k</t>
    </r>
    <r>
      <rPr>
        <sz val="8"/>
        <color theme="1"/>
        <rFont val="Century Gothic"/>
        <family val="2"/>
      </rPr>
      <t>⋅ (1-0,01⋅ d)/(2,5⋅ cos</t>
    </r>
    <r>
      <rPr>
        <vertAlign val="superscript"/>
        <sz val="8"/>
        <color theme="1"/>
        <rFont val="Century Gothic"/>
        <family val="2"/>
      </rPr>
      <t>2</t>
    </r>
    <r>
      <rPr>
        <sz val="8"/>
        <color theme="1"/>
        <rFont val="Century Gothic"/>
        <family val="2"/>
      </rPr>
      <t>α+ sin</t>
    </r>
    <r>
      <rPr>
        <vertAlign val="superscript"/>
        <sz val="8"/>
        <color theme="1"/>
        <rFont val="Century Gothic"/>
        <family val="2"/>
      </rPr>
      <t>2</t>
    </r>
    <r>
      <rPr>
        <sz val="8"/>
        <color theme="1"/>
        <rFont val="Century Gothic"/>
        <family val="2"/>
      </rPr>
      <t>α) (ETA-11/0190)</t>
    </r>
  </si>
  <si>
    <r>
      <t>(0,082⋅ ρ</t>
    </r>
    <r>
      <rPr>
        <vertAlign val="subscript"/>
        <sz val="8"/>
        <color theme="1"/>
        <rFont val="Century Gothic"/>
        <family val="2"/>
      </rPr>
      <t>k</t>
    </r>
    <r>
      <rPr>
        <sz val="8"/>
        <color theme="1"/>
        <rFont val="Century Gothic"/>
        <family val="2"/>
      </rPr>
      <t>⋅ d</t>
    </r>
    <r>
      <rPr>
        <vertAlign val="superscript"/>
        <sz val="8"/>
        <color theme="1"/>
        <rFont val="Century Gothic"/>
        <family val="2"/>
      </rPr>
      <t>-0,3</t>
    </r>
    <r>
      <rPr>
        <sz val="8"/>
        <color theme="1"/>
        <rFont val="Century Gothic"/>
        <family val="2"/>
      </rPr>
      <t>/(</t>
    </r>
    <r>
      <rPr>
        <sz val="8"/>
        <rFont val="Century Gothic"/>
        <family val="2"/>
      </rPr>
      <t>(2,5⋅sin</t>
    </r>
    <r>
      <rPr>
        <vertAlign val="superscript"/>
        <sz val="8"/>
        <rFont val="Century Gothic"/>
        <family val="2"/>
      </rPr>
      <t>2</t>
    </r>
    <r>
      <rPr>
        <sz val="8"/>
        <rFont val="Century Gothic"/>
        <family val="2"/>
      </rPr>
      <t>α+ cos</t>
    </r>
    <r>
      <rPr>
        <vertAlign val="superscript"/>
        <sz val="8"/>
        <rFont val="Century Gothic"/>
        <family val="2"/>
      </rPr>
      <t>2</t>
    </r>
    <r>
      <rPr>
        <sz val="8"/>
        <rFont val="Century Gothic"/>
        <family val="2"/>
      </rPr>
      <t>α)⋅ (1,5⋅ cos</t>
    </r>
    <r>
      <rPr>
        <vertAlign val="superscript"/>
        <sz val="8"/>
        <rFont val="Century Gothic"/>
        <family val="2"/>
      </rPr>
      <t>2</t>
    </r>
    <r>
      <rPr>
        <sz val="8"/>
        <rFont val="Century Gothic"/>
        <family val="2"/>
      </rPr>
      <t>β+ sin</t>
    </r>
    <r>
      <rPr>
        <vertAlign val="superscript"/>
        <sz val="8"/>
        <rFont val="Century Gothic"/>
        <family val="2"/>
      </rPr>
      <t>2</t>
    </r>
    <r>
      <rPr>
        <sz val="8"/>
        <rFont val="Century Gothic"/>
        <family val="2"/>
      </rPr>
      <t>β)) (ETA-11/0190)</t>
    </r>
  </si>
  <si>
    <r>
      <t>(0,082⋅ ρ</t>
    </r>
    <r>
      <rPr>
        <vertAlign val="subscript"/>
        <sz val="8"/>
        <rFont val="Century Gothic"/>
        <family val="2"/>
      </rPr>
      <t>k</t>
    </r>
    <r>
      <rPr>
        <vertAlign val="superscript"/>
        <sz val="8"/>
        <rFont val="Century Gothic"/>
        <family val="2"/>
      </rPr>
      <t>-0,3</t>
    </r>
    <r>
      <rPr>
        <sz val="8"/>
        <rFont val="Century Gothic"/>
        <family val="2"/>
      </rPr>
      <t>/(2,5⋅ cos</t>
    </r>
    <r>
      <rPr>
        <vertAlign val="superscript"/>
        <sz val="8"/>
        <rFont val="Century Gothic"/>
        <family val="2"/>
      </rPr>
      <t>2</t>
    </r>
    <r>
      <rPr>
        <sz val="8"/>
        <rFont val="Century Gothic"/>
        <family val="2"/>
      </rPr>
      <t>α+ sin</t>
    </r>
    <r>
      <rPr>
        <vertAlign val="superscript"/>
        <sz val="8"/>
        <rFont val="Century Gothic"/>
        <family val="2"/>
      </rPr>
      <t>2</t>
    </r>
    <r>
      <rPr>
        <sz val="8"/>
        <rFont val="Century Gothic"/>
        <family val="2"/>
      </rPr>
      <t>α) (ETA-11/0190)</t>
    </r>
  </si>
  <si>
    <r>
      <t>(0,082⋅ ρ</t>
    </r>
    <r>
      <rPr>
        <vertAlign val="subscript"/>
        <sz val="8"/>
        <rFont val="Century Gothic"/>
        <family val="2"/>
      </rPr>
      <t>k</t>
    </r>
    <r>
      <rPr>
        <sz val="8"/>
        <rFont val="Century Gothic"/>
        <family val="2"/>
      </rPr>
      <t>⋅ (1-0,01⋅ d)/(2,5⋅ cos</t>
    </r>
    <r>
      <rPr>
        <vertAlign val="superscript"/>
        <sz val="8"/>
        <rFont val="Century Gothic"/>
        <family val="2"/>
      </rPr>
      <t>2</t>
    </r>
    <r>
      <rPr>
        <sz val="8"/>
        <rFont val="Century Gothic"/>
        <family val="2"/>
      </rPr>
      <t>α+ sin</t>
    </r>
    <r>
      <rPr>
        <vertAlign val="superscript"/>
        <sz val="8"/>
        <rFont val="Century Gothic"/>
        <family val="2"/>
      </rPr>
      <t>2</t>
    </r>
    <r>
      <rPr>
        <sz val="8"/>
        <rFont val="Century Gothic"/>
        <family val="2"/>
      </rPr>
      <t>α) (ETA-11/0190)</t>
    </r>
  </si>
  <si>
    <r>
      <t>(0,082⋅ ρ</t>
    </r>
    <r>
      <rPr>
        <vertAlign val="subscript"/>
        <sz val="8"/>
        <rFont val="Century Gothic"/>
        <family val="2"/>
      </rPr>
      <t>k</t>
    </r>
    <r>
      <rPr>
        <sz val="8"/>
        <rFont val="Century Gothic"/>
        <family val="2"/>
      </rPr>
      <t>⋅ d</t>
    </r>
    <r>
      <rPr>
        <vertAlign val="superscript"/>
        <sz val="8"/>
        <rFont val="Century Gothic"/>
        <family val="2"/>
      </rPr>
      <t>-0,3</t>
    </r>
    <r>
      <rPr>
        <sz val="8"/>
        <rFont val="Century Gothic"/>
        <family val="2"/>
      </rPr>
      <t>/((2,5⋅sin</t>
    </r>
    <r>
      <rPr>
        <vertAlign val="superscript"/>
        <sz val="8"/>
        <rFont val="Century Gothic"/>
        <family val="2"/>
      </rPr>
      <t>2</t>
    </r>
    <r>
      <rPr>
        <sz val="8"/>
        <rFont val="Century Gothic"/>
        <family val="2"/>
      </rPr>
      <t>α+ cos</t>
    </r>
    <r>
      <rPr>
        <vertAlign val="superscript"/>
        <sz val="8"/>
        <rFont val="Century Gothic"/>
        <family val="2"/>
      </rPr>
      <t>2</t>
    </r>
    <r>
      <rPr>
        <sz val="8"/>
        <rFont val="Century Gothic"/>
        <family val="2"/>
      </rPr>
      <t>α)⋅ (1,5⋅ cos</t>
    </r>
    <r>
      <rPr>
        <vertAlign val="superscript"/>
        <sz val="8"/>
        <rFont val="Century Gothic"/>
        <family val="2"/>
      </rPr>
      <t>2</t>
    </r>
    <r>
      <rPr>
        <sz val="8"/>
        <rFont val="Century Gothic"/>
        <family val="2"/>
      </rPr>
      <t>β+ sin</t>
    </r>
    <r>
      <rPr>
        <vertAlign val="superscript"/>
        <sz val="8"/>
        <rFont val="Century Gothic"/>
        <family val="2"/>
      </rPr>
      <t>2</t>
    </r>
    <r>
      <rPr>
        <sz val="8"/>
        <rFont val="Century Gothic"/>
        <family val="2"/>
      </rPr>
      <t>β)) (ETA-11/0190)</t>
    </r>
  </si>
  <si>
    <r>
      <t>k</t>
    </r>
    <r>
      <rPr>
        <vertAlign val="subscript"/>
        <sz val="8"/>
        <rFont val="Century Gothic"/>
        <family val="2"/>
      </rPr>
      <t>ax</t>
    </r>
    <r>
      <rPr>
        <sz val="8"/>
        <rFont val="Century Gothic"/>
        <family val="2"/>
      </rPr>
      <t xml:space="preserve"> = 0,3+ 0,7⋅ α/45° (0° ≤ α ≤ 45°)</t>
    </r>
  </si>
  <si>
    <r>
      <t>k</t>
    </r>
    <r>
      <rPr>
        <vertAlign val="subscript"/>
        <sz val="8"/>
        <rFont val="Century Gothic"/>
        <family val="2"/>
      </rPr>
      <t>ax</t>
    </r>
    <r>
      <rPr>
        <sz val="8"/>
        <rFont val="Century Gothic"/>
        <family val="2"/>
      </rPr>
      <t xml:space="preserve"> = 1,0 (45° ≤ α ≤ 90°, ETA-15/0667)</t>
    </r>
  </si>
  <si>
    <r>
      <t>0,082⋅ ρ</t>
    </r>
    <r>
      <rPr>
        <vertAlign val="subscript"/>
        <sz val="8"/>
        <rFont val="Century Gothic"/>
        <family val="2"/>
      </rPr>
      <t>k</t>
    </r>
    <r>
      <rPr>
        <sz val="8"/>
        <rFont val="Century Gothic"/>
        <family val="2"/>
      </rPr>
      <t>⋅ d</t>
    </r>
    <r>
      <rPr>
        <vertAlign val="superscript"/>
        <sz val="8"/>
        <rFont val="Century Gothic"/>
        <family val="2"/>
      </rPr>
      <t>-0,3</t>
    </r>
  </si>
  <si>
    <r>
      <t>k</t>
    </r>
    <r>
      <rPr>
        <vertAlign val="subscript"/>
        <sz val="8"/>
        <rFont val="Century Gothic"/>
        <family val="2"/>
      </rPr>
      <t>ax</t>
    </r>
    <r>
      <rPr>
        <sz val="8"/>
        <rFont val="Century Gothic"/>
        <family val="2"/>
      </rPr>
      <t xml:space="preserve"> = 0,3+ 0,7⋅ α/45°  (0° ≤ α ≤ 45°)</t>
    </r>
  </si>
  <si>
    <r>
      <t>0,033⋅ ρ</t>
    </r>
    <r>
      <rPr>
        <vertAlign val="subscript"/>
        <sz val="8"/>
        <rFont val="Century Gothic"/>
        <family val="2"/>
      </rPr>
      <t>k</t>
    </r>
    <r>
      <rPr>
        <sz val="8"/>
        <rFont val="Century Gothic"/>
        <family val="2"/>
      </rPr>
      <t>⋅ d</t>
    </r>
    <r>
      <rPr>
        <vertAlign val="superscript"/>
        <sz val="8"/>
        <rFont val="Century Gothic"/>
        <family val="2"/>
      </rPr>
      <t>-0,3</t>
    </r>
  </si>
  <si>
    <t>Anschnitthöhe</t>
  </si>
  <si>
    <t>min z_i,90</t>
  </si>
  <si>
    <t>min z_i,45</t>
  </si>
  <si>
    <t>max z_i,90</t>
  </si>
  <si>
    <t>max z_i,45</t>
  </si>
  <si>
    <t>B MEGANT</t>
  </si>
  <si>
    <t>L MEGANT</t>
  </si>
  <si>
    <t>H MEGANT</t>
  </si>
  <si>
    <t>lef,45</t>
  </si>
  <si>
    <t>lef,90</t>
  </si>
  <si>
    <t>y_90,Spitze</t>
  </si>
  <si>
    <t>OK = 1, nicht OK = 0</t>
  </si>
  <si>
    <t>y_45,Spitze</t>
  </si>
  <si>
    <t>Gesamt OK/nichtOK</t>
  </si>
  <si>
    <t>Kontrolle über Koordinaten Schraubenspitzen:</t>
  </si>
  <si>
    <t>Anschnittbreite</t>
  </si>
  <si>
    <t>Abstand SK NT zu SK MEGANT</t>
  </si>
  <si>
    <t>min x_i,90</t>
  </si>
  <si>
    <t>max x_i,90</t>
  </si>
  <si>
    <t>min x_i,45</t>
  </si>
  <si>
    <t>max x_i,45</t>
  </si>
  <si>
    <t>z_90,Spitze,min</t>
  </si>
  <si>
    <t>z_90,Spitze,max</t>
  </si>
  <si>
    <t>z_45,Spitze,min</t>
  </si>
  <si>
    <t>z_45,Spitze,max</t>
  </si>
  <si>
    <t>x_90,Spitze,min</t>
  </si>
  <si>
    <t>x_90,Spitze,max</t>
  </si>
  <si>
    <t>x_NT-LinkeSeitenkante (y_90,Spitze)</t>
  </si>
  <si>
    <t>z_NT-Oberkante (y_90,Spitze)</t>
  </si>
  <si>
    <t>z_NT-Unterkante (y_90,Spitze)</t>
  </si>
  <si>
    <t>z_NT-Oberkante (y_45,Spitze)</t>
  </si>
  <si>
    <t>z_NT-Unterkante (y_45,Spitze)</t>
  </si>
  <si>
    <t>x_NT-RechteSeitenkante (y_90,Spitze)</t>
  </si>
  <si>
    <t>x_NT-LinkeSeitenkante (y_45,Spitze)</t>
  </si>
  <si>
    <t>x_NT-RechteSeitenkante (y_45,Spitze)</t>
  </si>
  <si>
    <t>x_45,Spitze,min</t>
  </si>
  <si>
    <t>x_45,Spitze,max</t>
  </si>
  <si>
    <t>Abbrandrate</t>
  </si>
  <si>
    <r>
      <rPr>
        <sz val="10"/>
        <color theme="1"/>
        <rFont val="Symbol"/>
        <family val="1"/>
        <charset val="2"/>
      </rPr>
      <t>b</t>
    </r>
    <r>
      <rPr>
        <vertAlign val="subscript"/>
        <sz val="10"/>
        <color theme="1"/>
        <rFont val="Calibri"/>
        <family val="2"/>
        <scheme val="minor"/>
      </rPr>
      <t>n</t>
    </r>
  </si>
  <si>
    <t>[mm/min]</t>
  </si>
  <si>
    <t>Brandüberdeckung</t>
  </si>
  <si>
    <t>Brandbeanspruchungsdauer</t>
  </si>
  <si>
    <t>min</t>
  </si>
  <si>
    <t>Brandüberdeckung unten</t>
  </si>
  <si>
    <t>Nebenträger Breite</t>
  </si>
  <si>
    <t>Nebenträger Höhe</t>
  </si>
  <si>
    <t>Ausfräsbreite</t>
  </si>
  <si>
    <t>Ausfräslänge</t>
  </si>
  <si>
    <r>
      <rPr>
        <sz val="8"/>
        <rFont val="Symbol"/>
        <family val="1"/>
        <charset val="2"/>
      </rPr>
      <t>b</t>
    </r>
    <r>
      <rPr>
        <vertAlign val="subscript"/>
        <sz val="8"/>
        <rFont val="Century Gothic"/>
        <family val="2"/>
      </rPr>
      <t>n</t>
    </r>
  </si>
  <si>
    <t>mm/min</t>
  </si>
  <si>
    <t>Abbrand</t>
  </si>
  <si>
    <t>Kohleschicht</t>
  </si>
  <si>
    <t>Brandüberdeckung seitlich</t>
  </si>
  <si>
    <t>Keine Brandüberdeckung erforderlich.</t>
  </si>
  <si>
    <r>
      <t>B</t>
    </r>
    <r>
      <rPr>
        <vertAlign val="subscript"/>
        <sz val="8"/>
        <rFont val="Century Gothic"/>
        <family val="2"/>
      </rPr>
      <t>MEGANT</t>
    </r>
  </si>
  <si>
    <r>
      <t>H</t>
    </r>
    <r>
      <rPr>
        <vertAlign val="subscript"/>
        <sz val="8"/>
        <rFont val="Century Gothic"/>
        <family val="2"/>
      </rPr>
      <t>MEGANT</t>
    </r>
  </si>
  <si>
    <r>
      <t>B</t>
    </r>
    <r>
      <rPr>
        <vertAlign val="subscript"/>
        <sz val="8"/>
        <rFont val="Century Gothic"/>
        <family val="2"/>
      </rPr>
      <t>Fr</t>
    </r>
  </si>
  <si>
    <r>
      <t>H</t>
    </r>
    <r>
      <rPr>
        <vertAlign val="subscript"/>
        <sz val="8"/>
        <rFont val="Century Gothic"/>
        <family val="2"/>
      </rPr>
      <t>Fr</t>
    </r>
  </si>
  <si>
    <r>
      <t>k</t>
    </r>
    <r>
      <rPr>
        <vertAlign val="subscript"/>
        <sz val="8"/>
        <color theme="1"/>
        <rFont val="Century Gothic"/>
        <family val="2"/>
      </rPr>
      <t>0</t>
    </r>
    <r>
      <rPr>
        <sz val="8"/>
        <color theme="1"/>
        <rFont val="Century Gothic"/>
        <family val="2"/>
      </rPr>
      <t xml:space="preserve"> ⋅ d</t>
    </r>
    <r>
      <rPr>
        <vertAlign val="subscript"/>
        <sz val="8"/>
        <color theme="1"/>
        <rFont val="Century Gothic"/>
        <family val="2"/>
      </rPr>
      <t>0</t>
    </r>
  </si>
  <si>
    <r>
      <rPr>
        <sz val="8"/>
        <color theme="1"/>
        <rFont val="Symbol"/>
        <family val="1"/>
        <charset val="2"/>
      </rPr>
      <t>b</t>
    </r>
    <r>
      <rPr>
        <vertAlign val="subscript"/>
        <sz val="8"/>
        <color theme="1"/>
        <rFont val="Century Gothic"/>
        <family val="2"/>
      </rPr>
      <t>n</t>
    </r>
  </si>
  <si>
    <r>
      <t>d</t>
    </r>
    <r>
      <rPr>
        <vertAlign val="subscript"/>
        <sz val="8"/>
        <color theme="1"/>
        <rFont val="Century Gothic"/>
        <family val="2"/>
      </rPr>
      <t>ef</t>
    </r>
  </si>
  <si>
    <t>Brandüberdeckung ausreichend.</t>
  </si>
  <si>
    <t>Brandüberdeckung nicht ausreichend.</t>
  </si>
  <si>
    <t>Gewährleistung</t>
  </si>
  <si>
    <t>Es wird darauf hingewiesen, dass Fehler in Bemessungshilfen trotz sorgfältiger Überprüfungen nicht ausgeschlossen werden können. Die Anwendenden sind dafür verantwortlich, die Eingabedaten und die daraus resultierenden Ergebnisse auf Basis geltender Normen, Zulassungen oder dem Stand der Technik zu überprüfen. Die Anwendenden sind für die Verwendung der durch die Bemessungshilfe erzeugten Bemessungsergebnisse allein verantwortlich.</t>
  </si>
  <si>
    <t>Impressum:</t>
  </si>
  <si>
    <t>BE Ingenieure GmbH</t>
  </si>
  <si>
    <t>An der Raumfabrik 33b</t>
  </si>
  <si>
    <t>76227 Karlsruhe</t>
  </si>
  <si>
    <t>Deutschland</t>
  </si>
  <si>
    <t>+49 721 46 47 19 0</t>
  </si>
  <si>
    <t>info@be-ingenieure.com</t>
  </si>
  <si>
    <t>Handelsregister: HRB 716299</t>
  </si>
  <si>
    <t>Registergericht: Mannheim</t>
  </si>
  <si>
    <t>USt-IdNr.: DE 287 415 798</t>
  </si>
  <si>
    <t>Schraubenlänge im Verbinder</t>
  </si>
  <si>
    <t>Ermittlung Drehpunkt x nach ETA-15/0667</t>
  </si>
  <si>
    <t>Torsionssteifer Hauptträger / Stütze</t>
  </si>
  <si>
    <t>Zusammenfassung der Ergebnisse</t>
  </si>
  <si>
    <t xml:space="preserve">a = </t>
  </si>
  <si>
    <t xml:space="preserve">L = </t>
  </si>
  <si>
    <t>Länge Nebenträger</t>
  </si>
  <si>
    <t>Anschlusswinkel vertikal</t>
  </si>
  <si>
    <t>Anschlusswinkel horizontal</t>
  </si>
  <si>
    <t>Anschluss der unteren Spannbacke im</t>
  </si>
  <si>
    <r>
      <t>B</t>
    </r>
    <r>
      <rPr>
        <vertAlign val="subscript"/>
        <sz val="8"/>
        <rFont val="Century Gothic"/>
        <family val="2"/>
      </rPr>
      <t>H</t>
    </r>
    <r>
      <rPr>
        <sz val="8"/>
        <rFont val="Century Gothic"/>
        <family val="2"/>
      </rPr>
      <t xml:space="preserve"> =</t>
    </r>
  </si>
  <si>
    <r>
      <t>H</t>
    </r>
    <r>
      <rPr>
        <vertAlign val="subscript"/>
        <sz val="8"/>
        <rFont val="Century Gothic"/>
        <family val="2"/>
      </rPr>
      <t>H</t>
    </r>
    <r>
      <rPr>
        <sz val="8"/>
        <rFont val="Century Gothic"/>
        <family val="2"/>
      </rPr>
      <t xml:space="preserve"> =</t>
    </r>
  </si>
  <si>
    <r>
      <t>B</t>
    </r>
    <r>
      <rPr>
        <vertAlign val="subscript"/>
        <sz val="8"/>
        <rFont val="Century Gothic"/>
        <family val="2"/>
      </rPr>
      <t>J</t>
    </r>
    <r>
      <rPr>
        <sz val="8"/>
        <rFont val="Century Gothic"/>
        <family val="2"/>
      </rPr>
      <t xml:space="preserve"> =</t>
    </r>
  </si>
  <si>
    <r>
      <t>H</t>
    </r>
    <r>
      <rPr>
        <vertAlign val="subscript"/>
        <sz val="8"/>
        <rFont val="Century Gothic"/>
        <family val="2"/>
      </rPr>
      <t>J</t>
    </r>
    <r>
      <rPr>
        <sz val="8"/>
        <rFont val="Century Gothic"/>
        <family val="2"/>
      </rPr>
      <t xml:space="preserve"> =</t>
    </r>
  </si>
  <si>
    <t>g =</t>
  </si>
  <si>
    <r>
      <t>n</t>
    </r>
    <r>
      <rPr>
        <vertAlign val="subscript"/>
        <sz val="8"/>
        <color theme="1"/>
        <rFont val="Century Gothic"/>
        <family val="2"/>
      </rPr>
      <t>45,H</t>
    </r>
    <r>
      <rPr>
        <sz val="8"/>
        <color theme="1"/>
        <rFont val="Century Gothic"/>
        <family val="2"/>
      </rPr>
      <t xml:space="preserve"> =</t>
    </r>
  </si>
  <si>
    <r>
      <t>n</t>
    </r>
    <r>
      <rPr>
        <vertAlign val="subscript"/>
        <sz val="8"/>
        <color theme="1"/>
        <rFont val="Century Gothic"/>
        <family val="2"/>
      </rPr>
      <t>90,H</t>
    </r>
    <r>
      <rPr>
        <sz val="8"/>
        <color theme="1"/>
        <rFont val="Century Gothic"/>
        <family val="2"/>
      </rPr>
      <t xml:space="preserve"> =</t>
    </r>
  </si>
  <si>
    <r>
      <t>n</t>
    </r>
    <r>
      <rPr>
        <vertAlign val="subscript"/>
        <sz val="8"/>
        <color theme="1"/>
        <rFont val="Century Gothic"/>
        <family val="2"/>
      </rPr>
      <t>45,J</t>
    </r>
    <r>
      <rPr>
        <sz val="8"/>
        <color theme="1"/>
        <rFont val="Century Gothic"/>
        <family val="2"/>
      </rPr>
      <t xml:space="preserve"> =</t>
    </r>
  </si>
  <si>
    <r>
      <t>n</t>
    </r>
    <r>
      <rPr>
        <vertAlign val="subscript"/>
        <sz val="8"/>
        <color theme="1"/>
        <rFont val="Century Gothic"/>
        <family val="2"/>
      </rPr>
      <t>0,J</t>
    </r>
    <r>
      <rPr>
        <sz val="8"/>
        <color theme="1"/>
        <rFont val="Century Gothic"/>
        <family val="2"/>
      </rPr>
      <t xml:space="preserve"> =</t>
    </r>
  </si>
  <si>
    <r>
      <t>min B</t>
    </r>
    <r>
      <rPr>
        <vertAlign val="subscript"/>
        <sz val="8"/>
        <rFont val="Century Gothic"/>
        <family val="2"/>
      </rPr>
      <t>J</t>
    </r>
    <r>
      <rPr>
        <sz val="8"/>
        <rFont val="Century Gothic"/>
        <family val="2"/>
      </rPr>
      <t xml:space="preserve"> =</t>
    </r>
  </si>
  <si>
    <r>
      <t>min H</t>
    </r>
    <r>
      <rPr>
        <vertAlign val="subscript"/>
        <sz val="8"/>
        <rFont val="Century Gothic"/>
        <family val="2"/>
      </rPr>
      <t>J</t>
    </r>
    <r>
      <rPr>
        <sz val="8"/>
        <rFont val="Century Gothic"/>
        <family val="2"/>
      </rPr>
      <t xml:space="preserve"> =</t>
    </r>
  </si>
  <si>
    <t>Die Nachweise werden für das maßgebende Auflager geführt.</t>
  </si>
  <si>
    <t>Die Berechnung erfolgt für Nebenträger mit gleichen MEGANT-Verbindern an beiden Endauflagern (siehe Abbildung statisches System).</t>
  </si>
  <si>
    <t>Nutzungsklasse und Einwirkungskategorien</t>
  </si>
  <si>
    <r>
      <t>k</t>
    </r>
    <r>
      <rPr>
        <vertAlign val="subscript"/>
        <sz val="8"/>
        <color theme="1"/>
        <rFont val="Century Gothic"/>
        <family val="2"/>
      </rPr>
      <t>def</t>
    </r>
    <r>
      <rPr>
        <sz val="8"/>
        <color theme="1"/>
        <rFont val="Century Gothic"/>
        <family val="2"/>
      </rPr>
      <t xml:space="preserve"> =</t>
    </r>
  </si>
  <si>
    <t>Anzahl</t>
  </si>
  <si>
    <t>Auswahl MEGANT-Verbinder und Schrauben</t>
  </si>
  <si>
    <t>Schraubentyp und -abmessungen</t>
  </si>
  <si>
    <t>Schraubenanordnung</t>
  </si>
  <si>
    <t>ALU AW 6082</t>
  </si>
  <si>
    <r>
      <t>(b) F</t>
    </r>
    <r>
      <rPr>
        <b/>
        <vertAlign val="subscript"/>
        <sz val="8"/>
        <rFont val="Century Gothic"/>
        <family val="2"/>
      </rPr>
      <t>2,RK</t>
    </r>
  </si>
  <si>
    <t>Kraft in Einschubrichtung</t>
  </si>
  <si>
    <t>Kraft in Richtung des Nebenträgers</t>
  </si>
  <si>
    <r>
      <t>(a) F</t>
    </r>
    <r>
      <rPr>
        <b/>
        <vertAlign val="subscript"/>
        <sz val="8"/>
        <rFont val="Century Gothic"/>
        <family val="2"/>
      </rPr>
      <t>1,RK</t>
    </r>
  </si>
  <si>
    <t>(i) Tragfähigkeit der 45° Schrauben</t>
  </si>
  <si>
    <t>(ii) Maximale Tragfähigkeit des MEGANT Verbinders</t>
  </si>
  <si>
    <t>(iii) Zugfestigkeit der Gewindestangen</t>
  </si>
  <si>
    <t>(iv) Lochleibungsfestigkeit des Gewindes im Aluminium</t>
  </si>
  <si>
    <r>
      <t>(c) F</t>
    </r>
    <r>
      <rPr>
        <b/>
        <vertAlign val="subscript"/>
        <sz val="8"/>
        <rFont val="Century Gothic"/>
        <family val="2"/>
      </rPr>
      <t>3,RK</t>
    </r>
  </si>
  <si>
    <t>Kraft gegen Einschubrichtung</t>
  </si>
  <si>
    <t>Nebenträger 0°-Schrauben</t>
  </si>
  <si>
    <t>Nebenträger 45°-Schrauben</t>
  </si>
  <si>
    <t>Hauptträger 90°-Schrauben</t>
  </si>
  <si>
    <t>Hauptträger 45°-Schrauben</t>
  </si>
  <si>
    <r>
      <t>(d) F</t>
    </r>
    <r>
      <rPr>
        <b/>
        <vertAlign val="subscript"/>
        <sz val="8"/>
        <rFont val="Century Gothic"/>
        <family val="2"/>
      </rPr>
      <t>45,RK</t>
    </r>
  </si>
  <si>
    <t>Kraft normal zur Einschubrichtung</t>
  </si>
  <si>
    <r>
      <t>(e) M</t>
    </r>
    <r>
      <rPr>
        <b/>
        <vertAlign val="subscript"/>
        <sz val="8"/>
        <rFont val="Century Gothic"/>
        <family val="2"/>
      </rPr>
      <t>2,RK</t>
    </r>
    <r>
      <rPr>
        <b/>
        <sz val="8"/>
        <rFont val="Century Gothic"/>
        <family val="2"/>
      </rPr>
      <t xml:space="preserve"> und K</t>
    </r>
    <r>
      <rPr>
        <b/>
        <vertAlign val="subscript"/>
        <sz val="8"/>
        <rFont val="Century Gothic"/>
        <family val="2"/>
      </rPr>
      <t>2,</t>
    </r>
    <r>
      <rPr>
        <b/>
        <vertAlign val="subscript"/>
        <sz val="8"/>
        <rFont val="Symbol"/>
        <family val="1"/>
        <charset val="2"/>
      </rPr>
      <t>j</t>
    </r>
  </si>
  <si>
    <t>Momententragfähigkeit und Federsteifigkeit</t>
  </si>
  <si>
    <t>max. Schraubenzugkraft aller Zugschrauben</t>
  </si>
  <si>
    <r>
      <t>s</t>
    </r>
    <r>
      <rPr>
        <vertAlign val="subscript"/>
        <sz val="8"/>
        <color theme="1"/>
        <rFont val="Century Gothic"/>
        <family val="2"/>
      </rPr>
      <t>c,0,k</t>
    </r>
  </si>
  <si>
    <r>
      <t>k</t>
    </r>
    <r>
      <rPr>
        <vertAlign val="subscript"/>
        <sz val="8"/>
        <color theme="1"/>
        <rFont val="MT Extra"/>
        <family val="1"/>
        <charset val="2"/>
      </rPr>
      <t>l</t>
    </r>
  </si>
  <si>
    <t>Faktor zur Berücksichtigung unterschiedlicher Einschraublängen</t>
  </si>
  <si>
    <r>
      <t>M</t>
    </r>
    <r>
      <rPr>
        <vertAlign val="subscript"/>
        <sz val="8"/>
        <color theme="1"/>
        <rFont val="Century Gothic"/>
        <family val="2"/>
      </rPr>
      <t>2,Rd</t>
    </r>
    <r>
      <rPr>
        <sz val="8"/>
        <color theme="1"/>
        <rFont val="Century Gothic"/>
        <family val="2"/>
      </rPr>
      <t xml:space="preserve"> =</t>
    </r>
  </si>
  <si>
    <r>
      <t>l</t>
    </r>
    <r>
      <rPr>
        <vertAlign val="subscript"/>
        <sz val="8"/>
        <color theme="1"/>
        <rFont val="Century Gothic"/>
        <family val="2"/>
      </rPr>
      <t>dis</t>
    </r>
  </si>
  <si>
    <r>
      <t>f</t>
    </r>
    <r>
      <rPr>
        <vertAlign val="subscript"/>
        <sz val="8"/>
        <color theme="1"/>
        <rFont val="Century Gothic"/>
        <family val="2"/>
      </rPr>
      <t>c,90,k</t>
    </r>
  </si>
  <si>
    <r>
      <t>s</t>
    </r>
    <r>
      <rPr>
        <vertAlign val="subscript"/>
        <sz val="8"/>
        <color theme="1"/>
        <rFont val="Century Gothic"/>
        <family val="2"/>
      </rPr>
      <t>c,0,k</t>
    </r>
    <r>
      <rPr>
        <sz val="8"/>
        <color theme="1"/>
        <rFont val="Century Gothic"/>
        <family val="2"/>
      </rPr>
      <t xml:space="preserve"> = (k</t>
    </r>
    <r>
      <rPr>
        <vertAlign val="subscript"/>
        <sz val="8"/>
        <color theme="1"/>
        <rFont val="Century Gothic"/>
        <family val="2"/>
      </rPr>
      <t>a</t>
    </r>
    <r>
      <rPr>
        <sz val="8"/>
        <color theme="1"/>
        <rFont val="Century Gothic"/>
        <family val="2"/>
      </rPr>
      <t>*(1-e</t>
    </r>
    <r>
      <rPr>
        <vertAlign val="superscript"/>
        <sz val="8"/>
        <color theme="1"/>
        <rFont val="Century Gothic"/>
        <family val="2"/>
      </rPr>
      <t>kb*w</t>
    </r>
    <r>
      <rPr>
        <sz val="8"/>
        <color theme="1"/>
        <rFont val="Century Gothic"/>
        <family val="2"/>
      </rPr>
      <t>))*b+l</t>
    </r>
    <r>
      <rPr>
        <vertAlign val="subscript"/>
        <sz val="8"/>
        <color theme="1"/>
        <rFont val="Century Gothic"/>
        <family val="2"/>
      </rPr>
      <t>dis</t>
    </r>
    <r>
      <rPr>
        <sz val="8"/>
        <color theme="1"/>
        <rFont val="Century Gothic"/>
        <family val="2"/>
      </rPr>
      <t>)*f</t>
    </r>
    <r>
      <rPr>
        <vertAlign val="subscript"/>
        <sz val="8"/>
        <color theme="1"/>
        <rFont val="Century Gothic"/>
        <family val="2"/>
      </rPr>
      <t>c,90,k</t>
    </r>
  </si>
  <si>
    <r>
      <t>x</t>
    </r>
    <r>
      <rPr>
        <vertAlign val="subscript"/>
        <sz val="8"/>
        <color theme="1"/>
        <rFont val="Century Gothic"/>
        <family val="2"/>
      </rPr>
      <t>H</t>
    </r>
  </si>
  <si>
    <r>
      <t>M</t>
    </r>
    <r>
      <rPr>
        <vertAlign val="subscript"/>
        <sz val="8"/>
        <rFont val="Century Gothic"/>
        <family val="2"/>
      </rPr>
      <t>2,H,Rk</t>
    </r>
  </si>
  <si>
    <r>
      <t>K</t>
    </r>
    <r>
      <rPr>
        <vertAlign val="subscript"/>
        <sz val="8"/>
        <color theme="1"/>
        <rFont val="Aptos Display"/>
        <family val="2"/>
      </rPr>
      <t>2,</t>
    </r>
    <r>
      <rPr>
        <vertAlign val="subscript"/>
        <sz val="8"/>
        <color theme="1"/>
        <rFont val="Symbol"/>
        <family val="1"/>
        <charset val="2"/>
      </rPr>
      <t>j,</t>
    </r>
    <r>
      <rPr>
        <vertAlign val="subscript"/>
        <sz val="8"/>
        <color theme="1"/>
        <rFont val="Century Gothic"/>
        <family val="2"/>
      </rPr>
      <t>ser,H</t>
    </r>
  </si>
  <si>
    <r>
      <t>M</t>
    </r>
    <r>
      <rPr>
        <vertAlign val="subscript"/>
        <sz val="8"/>
        <color theme="1"/>
        <rFont val="Century Gothic"/>
        <family val="2"/>
      </rPr>
      <t>2,Rk</t>
    </r>
  </si>
  <si>
    <r>
      <t>K</t>
    </r>
    <r>
      <rPr>
        <vertAlign val="subscript"/>
        <sz val="8"/>
        <color theme="1"/>
        <rFont val="Aptos Display"/>
        <family val="2"/>
      </rPr>
      <t>2,</t>
    </r>
    <r>
      <rPr>
        <vertAlign val="subscript"/>
        <sz val="8"/>
        <color theme="1"/>
        <rFont val="Symbol"/>
        <family val="1"/>
        <charset val="2"/>
      </rPr>
      <t>j</t>
    </r>
    <r>
      <rPr>
        <vertAlign val="subscript"/>
        <sz val="8"/>
        <color theme="1"/>
        <rFont val="Century Gothic"/>
        <family val="2"/>
      </rPr>
      <t>,ser</t>
    </r>
  </si>
  <si>
    <r>
      <t>M</t>
    </r>
    <r>
      <rPr>
        <vertAlign val="subscript"/>
        <sz val="8"/>
        <color theme="1"/>
        <rFont val="Century Gothic"/>
        <family val="2"/>
      </rPr>
      <t>2,Rd</t>
    </r>
  </si>
  <si>
    <t>n =</t>
  </si>
  <si>
    <r>
      <t>K</t>
    </r>
    <r>
      <rPr>
        <vertAlign val="subscript"/>
        <sz val="8"/>
        <color theme="1"/>
        <rFont val="Aptos Display"/>
        <family val="2"/>
      </rPr>
      <t>2,</t>
    </r>
    <r>
      <rPr>
        <vertAlign val="subscript"/>
        <sz val="8"/>
        <color theme="1"/>
        <rFont val="Symbol"/>
        <family val="1"/>
        <charset val="2"/>
      </rPr>
      <t>j,</t>
    </r>
    <r>
      <rPr>
        <vertAlign val="subscript"/>
        <sz val="8"/>
        <color theme="1"/>
        <rFont val="Century Gothic"/>
        <family val="2"/>
      </rPr>
      <t>ser,J</t>
    </r>
    <r>
      <rPr>
        <sz val="8"/>
        <color theme="1"/>
        <rFont val="Century Gothic"/>
        <family val="2"/>
      </rPr>
      <t xml:space="preserve"> =</t>
    </r>
  </si>
  <si>
    <t>(i) Tragfähigkeit der Zugschrauben</t>
  </si>
  <si>
    <t>(ii) Zugfestigkeit der horizontalen Schrauben</t>
  </si>
  <si>
    <t>(iii) Maximale Tragfähigkeit des MEGANT Verbinders</t>
  </si>
  <si>
    <t xml:space="preserve">Schrauben HT: α = 90° </t>
  </si>
  <si>
    <t xml:space="preserve">Schrauben NT: α = 0° </t>
  </si>
  <si>
    <r>
      <t>e = B</t>
    </r>
    <r>
      <rPr>
        <vertAlign val="subscript"/>
        <sz val="8"/>
        <color theme="1"/>
        <rFont val="Century Gothic"/>
        <family val="2"/>
      </rPr>
      <t>H</t>
    </r>
    <r>
      <rPr>
        <sz val="8"/>
        <color theme="1"/>
        <rFont val="Century Gothic"/>
        <family val="2"/>
      </rPr>
      <t>/2 + H</t>
    </r>
    <r>
      <rPr>
        <vertAlign val="subscript"/>
        <sz val="8"/>
        <color theme="1"/>
        <rFont val="Century Gothic"/>
        <family val="2"/>
      </rPr>
      <t>MEGANT</t>
    </r>
    <r>
      <rPr>
        <sz val="8"/>
        <color theme="1"/>
        <rFont val="Century Gothic"/>
        <family val="2"/>
      </rPr>
      <t>/2</t>
    </r>
  </si>
  <si>
    <r>
      <t>F</t>
    </r>
    <r>
      <rPr>
        <vertAlign val="subscript"/>
        <sz val="8"/>
        <color theme="1"/>
        <rFont val="Century Gothic"/>
        <family val="2"/>
      </rPr>
      <t>45,Rd</t>
    </r>
    <r>
      <rPr>
        <sz val="8"/>
        <color theme="1"/>
        <rFont val="Century Gothic"/>
        <family val="2"/>
      </rPr>
      <t xml:space="preserve"> =</t>
    </r>
  </si>
  <si>
    <r>
      <t>F</t>
    </r>
    <r>
      <rPr>
        <vertAlign val="subscript"/>
        <sz val="8"/>
        <color theme="1"/>
        <rFont val="Century Gothic"/>
        <family val="2"/>
      </rPr>
      <t>45,Ed</t>
    </r>
    <r>
      <rPr>
        <sz val="8"/>
        <color theme="1"/>
        <rFont val="Century Gothic"/>
        <family val="2"/>
      </rPr>
      <t xml:space="preserve"> =</t>
    </r>
  </si>
  <si>
    <t>Hauptträger ist gegen Verdrehen zu sichern</t>
  </si>
  <si>
    <r>
      <rPr>
        <sz val="8"/>
        <color theme="1"/>
        <rFont val="Calibri"/>
        <family val="2"/>
      </rPr>
      <t>ρ</t>
    </r>
    <r>
      <rPr>
        <vertAlign val="subscript"/>
        <sz val="8"/>
        <color theme="1"/>
        <rFont val="Century Gothic"/>
        <family val="2"/>
      </rPr>
      <t>k,H</t>
    </r>
  </si>
  <si>
    <r>
      <t>min B</t>
    </r>
    <r>
      <rPr>
        <vertAlign val="subscript"/>
        <sz val="8"/>
        <rFont val="Century Gothic"/>
        <family val="2"/>
      </rPr>
      <t>H</t>
    </r>
    <r>
      <rPr>
        <sz val="8"/>
        <rFont val="Century Gothic"/>
        <family val="2"/>
      </rPr>
      <t xml:space="preserve"> =</t>
    </r>
  </si>
  <si>
    <r>
      <t>min H</t>
    </r>
    <r>
      <rPr>
        <vertAlign val="subscript"/>
        <sz val="8"/>
        <rFont val="Century Gothic"/>
        <family val="2"/>
      </rPr>
      <t>H</t>
    </r>
    <r>
      <rPr>
        <sz val="8"/>
        <rFont val="Century Gothic"/>
        <family val="2"/>
      </rPr>
      <t xml:space="preserve"> =</t>
    </r>
  </si>
  <si>
    <t>Nebenträger (Index J - Joist)</t>
  </si>
  <si>
    <t>Hauptträger (Index H - header)</t>
  </si>
  <si>
    <t xml:space="preserve"> im </t>
  </si>
  <si>
    <t>F45,Rk</t>
  </si>
  <si>
    <r>
      <t>F</t>
    </r>
    <r>
      <rPr>
        <vertAlign val="subscript"/>
        <sz val="8"/>
        <color theme="1"/>
        <rFont val="Century Gothic"/>
        <family val="2"/>
      </rPr>
      <t>45,H,RK</t>
    </r>
  </si>
  <si>
    <r>
      <t>F</t>
    </r>
    <r>
      <rPr>
        <vertAlign val="subscript"/>
        <sz val="8"/>
        <color theme="1"/>
        <rFont val="Century Gothic"/>
        <family val="2"/>
      </rPr>
      <t>45,KCC,Rk</t>
    </r>
  </si>
  <si>
    <t xml:space="preserve">Abstand der Drehachse der Fuge zum Ende der Kontaktfläche </t>
  </si>
  <si>
    <t>für Biegezug oben</t>
  </si>
  <si>
    <t>für Biegezug unten</t>
  </si>
  <si>
    <r>
      <t>M</t>
    </r>
    <r>
      <rPr>
        <vertAlign val="subscript"/>
        <sz val="8"/>
        <rFont val="Century Gothic"/>
        <family val="2"/>
      </rPr>
      <t>2,Rk,J</t>
    </r>
    <r>
      <rPr>
        <sz val="8"/>
        <color theme="1"/>
        <rFont val="Century Gothic"/>
        <family val="2"/>
      </rPr>
      <t xml:space="preserve"> =</t>
    </r>
  </si>
  <si>
    <r>
      <t>M</t>
    </r>
    <r>
      <rPr>
        <vertAlign val="subscript"/>
        <sz val="8"/>
        <rFont val="Century Gothic"/>
        <family val="2"/>
      </rPr>
      <t>2,Rk,H</t>
    </r>
  </si>
  <si>
    <r>
      <t>K</t>
    </r>
    <r>
      <rPr>
        <vertAlign val="subscript"/>
        <sz val="8"/>
        <color theme="1"/>
        <rFont val="Aptos Display"/>
        <family val="2"/>
      </rPr>
      <t>2,</t>
    </r>
    <r>
      <rPr>
        <vertAlign val="subscript"/>
        <sz val="8"/>
        <color theme="1"/>
        <rFont val="Symbol"/>
        <family val="1"/>
        <charset val="2"/>
      </rPr>
      <t>j</t>
    </r>
    <r>
      <rPr>
        <vertAlign val="subscript"/>
        <sz val="8"/>
        <color theme="1"/>
        <rFont val="Century Gothic"/>
        <family val="2"/>
      </rPr>
      <t>,u</t>
    </r>
  </si>
  <si>
    <t>Torsionstragfähigkeit</t>
  </si>
  <si>
    <r>
      <rPr>
        <sz val="8"/>
        <rFont val="Symbol"/>
        <family val="1"/>
        <charset val="2"/>
      </rPr>
      <t>D</t>
    </r>
    <r>
      <rPr>
        <sz val="8"/>
        <rFont val="Century Gothic"/>
        <family val="2"/>
      </rPr>
      <t>l</t>
    </r>
    <r>
      <rPr>
        <vertAlign val="subscript"/>
        <sz val="8"/>
        <rFont val="Century Gothic"/>
        <family val="2"/>
      </rPr>
      <t>ef,1</t>
    </r>
  </si>
  <si>
    <r>
      <rPr>
        <sz val="8"/>
        <rFont val="Symbol"/>
        <family val="1"/>
        <charset val="2"/>
      </rPr>
      <t>D</t>
    </r>
    <r>
      <rPr>
        <sz val="8"/>
        <rFont val="Century Gothic"/>
        <family val="2"/>
      </rPr>
      <t>l</t>
    </r>
    <r>
      <rPr>
        <vertAlign val="subscript"/>
        <sz val="8"/>
        <rFont val="Century Gothic"/>
        <family val="2"/>
      </rPr>
      <t>ef,2</t>
    </r>
    <r>
      <rPr>
        <sz val="11"/>
        <color theme="1"/>
        <rFont val="Calibri"/>
        <family val="2"/>
        <scheme val="minor"/>
      </rPr>
      <t/>
    </r>
  </si>
  <si>
    <r>
      <rPr>
        <sz val="8"/>
        <rFont val="Symbol"/>
        <family val="1"/>
        <charset val="2"/>
      </rPr>
      <t>D</t>
    </r>
    <r>
      <rPr>
        <sz val="8"/>
        <rFont val="Century Gothic"/>
        <family val="2"/>
      </rPr>
      <t>l</t>
    </r>
    <r>
      <rPr>
        <vertAlign val="subscript"/>
        <sz val="8"/>
        <rFont val="Century Gothic"/>
        <family val="2"/>
      </rPr>
      <t>ef,3</t>
    </r>
    <r>
      <rPr>
        <sz val="11"/>
        <color theme="1"/>
        <rFont val="Calibri"/>
        <family val="2"/>
        <scheme val="minor"/>
      </rPr>
      <t/>
    </r>
  </si>
  <si>
    <r>
      <rPr>
        <sz val="8"/>
        <rFont val="Symbol"/>
        <family val="1"/>
        <charset val="2"/>
      </rPr>
      <t>D</t>
    </r>
    <r>
      <rPr>
        <sz val="8"/>
        <rFont val="Century Gothic"/>
        <family val="2"/>
      </rPr>
      <t>l</t>
    </r>
    <r>
      <rPr>
        <vertAlign val="subscript"/>
        <sz val="8"/>
        <rFont val="Century Gothic"/>
        <family val="2"/>
      </rPr>
      <t>ef,4</t>
    </r>
    <r>
      <rPr>
        <sz val="11"/>
        <color theme="1"/>
        <rFont val="Calibri"/>
        <family val="2"/>
        <scheme val="minor"/>
      </rPr>
      <t/>
    </r>
  </si>
  <si>
    <r>
      <t>K</t>
    </r>
    <r>
      <rPr>
        <vertAlign val="subscript"/>
        <sz val="8"/>
        <color theme="1"/>
        <rFont val="Aptos Display"/>
        <family val="2"/>
      </rPr>
      <t>2,</t>
    </r>
    <r>
      <rPr>
        <vertAlign val="subscript"/>
        <sz val="8"/>
        <color theme="1"/>
        <rFont val="Symbol"/>
        <family val="1"/>
        <charset val="2"/>
      </rPr>
      <t>j</t>
    </r>
    <r>
      <rPr>
        <vertAlign val="subscript"/>
        <sz val="8"/>
        <color theme="1"/>
        <rFont val="Century Gothic"/>
        <family val="2"/>
      </rPr>
      <t>,H</t>
    </r>
  </si>
  <si>
    <r>
      <t>max{ n</t>
    </r>
    <r>
      <rPr>
        <vertAlign val="subscript"/>
        <sz val="8"/>
        <rFont val="Century Gothic"/>
        <family val="2"/>
      </rPr>
      <t>45,J/H</t>
    </r>
    <r>
      <rPr>
        <sz val="8"/>
        <rFont val="Century Gothic"/>
        <family val="2"/>
      </rPr>
      <t xml:space="preserve"> ; 28} nach ETA-15/0667</t>
    </r>
  </si>
  <si>
    <r>
      <t>max{ n</t>
    </r>
    <r>
      <rPr>
        <vertAlign val="subscript"/>
        <sz val="8"/>
        <rFont val="Century Gothic"/>
        <family val="2"/>
      </rPr>
      <t>45,J/H</t>
    </r>
    <r>
      <rPr>
        <sz val="8"/>
        <rFont val="Century Gothic"/>
        <family val="2"/>
      </rPr>
      <t xml:space="preserve"> ; 28} (ETA-15/0667)</t>
    </r>
  </si>
  <si>
    <r>
      <t>max{n</t>
    </r>
    <r>
      <rPr>
        <vertAlign val="subscript"/>
        <sz val="8"/>
        <rFont val="Century Gothic"/>
        <family val="2"/>
      </rPr>
      <t>α,J/H</t>
    </r>
    <r>
      <rPr>
        <sz val="8"/>
        <rFont val="Century Gothic"/>
        <family val="2"/>
      </rPr>
      <t xml:space="preserve"> ; 8} (ETA-15/0667)</t>
    </r>
  </si>
  <si>
    <r>
      <t>max{n</t>
    </r>
    <r>
      <rPr>
        <vertAlign val="subscript"/>
        <sz val="8"/>
        <rFont val="Century Gothic"/>
        <family val="2"/>
      </rPr>
      <t>45,J/H</t>
    </r>
    <r>
      <rPr>
        <sz val="8"/>
        <rFont val="Century Gothic"/>
        <family val="2"/>
      </rPr>
      <t xml:space="preserve"> ; 28} (ETA-15/0667)</t>
    </r>
  </si>
  <si>
    <r>
      <t>F</t>
    </r>
    <r>
      <rPr>
        <vertAlign val="subscript"/>
        <sz val="8"/>
        <rFont val="Century Gothic"/>
        <family val="2"/>
      </rPr>
      <t>45,J,Rk</t>
    </r>
    <r>
      <rPr>
        <sz val="8"/>
        <rFont val="Century Gothic"/>
        <family val="2"/>
      </rPr>
      <t xml:space="preserve"> = n</t>
    </r>
    <r>
      <rPr>
        <vertAlign val="subscript"/>
        <sz val="8"/>
        <rFont val="Century Gothic"/>
        <family val="2"/>
      </rPr>
      <t>45,J</t>
    </r>
    <r>
      <rPr>
        <sz val="8"/>
        <rFont val="Century Gothic"/>
        <family val="2"/>
      </rPr>
      <t>⋅ F</t>
    </r>
    <r>
      <rPr>
        <vertAlign val="subscript"/>
        <sz val="8"/>
        <rFont val="Century Gothic"/>
        <family val="2"/>
      </rPr>
      <t>v,45,J,Rk</t>
    </r>
    <r>
      <rPr>
        <sz val="8"/>
        <rFont val="Century Gothic"/>
        <family val="2"/>
      </rPr>
      <t xml:space="preserve"> (ETA-15/0667)</t>
    </r>
  </si>
  <si>
    <r>
      <t>max{n</t>
    </r>
    <r>
      <rPr>
        <vertAlign val="subscript"/>
        <sz val="8"/>
        <rFont val="Century Gothic"/>
        <family val="2"/>
      </rPr>
      <t>α,J/H</t>
    </r>
    <r>
      <rPr>
        <sz val="8"/>
        <rFont val="Century Gothic"/>
        <family val="2"/>
      </rPr>
      <t>; 8} (ETA-15/0667)</t>
    </r>
  </si>
  <si>
    <r>
      <t>min{F</t>
    </r>
    <r>
      <rPr>
        <vertAlign val="subscript"/>
        <sz val="8"/>
        <rFont val="Century Gothic"/>
        <family val="2"/>
      </rPr>
      <t>45,H,RK</t>
    </r>
    <r>
      <rPr>
        <sz val="8"/>
        <rFont val="Century Gothic"/>
        <family val="2"/>
      </rPr>
      <t>; F</t>
    </r>
    <r>
      <rPr>
        <vertAlign val="subscript"/>
        <sz val="8"/>
        <rFont val="Century Gothic"/>
        <family val="2"/>
      </rPr>
      <t>45,J,RK</t>
    </r>
    <r>
      <rPr>
        <sz val="8"/>
        <rFont val="Century Gothic"/>
        <family val="2"/>
      </rPr>
      <t>} (ETA-15/0667)</t>
    </r>
  </si>
  <si>
    <r>
      <t>F</t>
    </r>
    <r>
      <rPr>
        <vertAlign val="subscript"/>
        <sz val="8"/>
        <rFont val="Century Gothic"/>
        <family val="2"/>
      </rPr>
      <t>45,H,Rk</t>
    </r>
    <r>
      <rPr>
        <sz val="8"/>
        <rFont val="Century Gothic"/>
        <family val="2"/>
      </rPr>
      <t xml:space="preserve"> = n</t>
    </r>
    <r>
      <rPr>
        <vertAlign val="subscript"/>
        <sz val="8"/>
        <rFont val="Century Gothic"/>
        <family val="2"/>
      </rPr>
      <t>45,J</t>
    </r>
    <r>
      <rPr>
        <sz val="8"/>
        <rFont val="Century Gothic"/>
        <family val="2"/>
      </rPr>
      <t>⋅ F</t>
    </r>
    <r>
      <rPr>
        <vertAlign val="subscript"/>
        <sz val="8"/>
        <rFont val="Century Gothic"/>
        <family val="2"/>
      </rPr>
      <t>v,45,H,Rk</t>
    </r>
  </si>
  <si>
    <t>untere Spannbacke im Nebenträger</t>
  </si>
  <si>
    <r>
      <t>f</t>
    </r>
    <r>
      <rPr>
        <vertAlign val="subscript"/>
        <sz val="8"/>
        <color theme="1"/>
        <rFont val="Century Gothic"/>
        <family val="2"/>
      </rPr>
      <t>ax,k</t>
    </r>
    <r>
      <rPr>
        <sz val="8"/>
        <color theme="1"/>
        <rFont val="Century Gothic"/>
        <family val="2"/>
      </rPr>
      <t xml:space="preserve"> = 11 ⋅ k</t>
    </r>
    <r>
      <rPr>
        <vertAlign val="subscript"/>
        <sz val="8"/>
        <color theme="1"/>
        <rFont val="Century Gothic"/>
        <family val="2"/>
      </rPr>
      <t>ax</t>
    </r>
    <r>
      <rPr>
        <sz val="8"/>
        <color theme="1"/>
        <rFont val="Century Gothic"/>
        <family val="2"/>
      </rPr>
      <t xml:space="preserve"> ⋅ (</t>
    </r>
    <r>
      <rPr>
        <sz val="8"/>
        <color theme="1"/>
        <rFont val="Symbol"/>
        <family val="1"/>
        <charset val="2"/>
      </rPr>
      <t>r</t>
    </r>
    <r>
      <rPr>
        <vertAlign val="subscript"/>
        <sz val="8"/>
        <color theme="1"/>
        <rFont val="Century Gothic"/>
        <family val="2"/>
      </rPr>
      <t>k</t>
    </r>
    <r>
      <rPr>
        <sz val="8"/>
        <color theme="1"/>
        <rFont val="Century Gothic"/>
        <family val="2"/>
      </rPr>
      <t>/</t>
    </r>
    <r>
      <rPr>
        <sz val="8"/>
        <color theme="1"/>
        <rFont val="Symbol"/>
        <family val="1"/>
        <charset val="2"/>
      </rPr>
      <t>r</t>
    </r>
    <r>
      <rPr>
        <vertAlign val="subscript"/>
        <sz val="8"/>
        <color theme="1"/>
        <rFont val="Century Gothic"/>
        <family val="2"/>
      </rPr>
      <t>a</t>
    </r>
    <r>
      <rPr>
        <sz val="8"/>
        <color theme="1"/>
        <rFont val="Century Gothic"/>
        <family val="2"/>
      </rPr>
      <t>)</t>
    </r>
    <r>
      <rPr>
        <vertAlign val="superscript"/>
        <sz val="8"/>
        <color theme="1"/>
        <rFont val="Century Gothic"/>
        <family val="2"/>
      </rPr>
      <t>0,8</t>
    </r>
    <r>
      <rPr>
        <sz val="8"/>
        <color theme="1"/>
        <rFont val="Century Gothic"/>
        <family val="2"/>
      </rPr>
      <t xml:space="preserve"> (nach ETA-11/0190)</t>
    </r>
  </si>
  <si>
    <r>
      <t>f</t>
    </r>
    <r>
      <rPr>
        <vertAlign val="subscript"/>
        <sz val="8"/>
        <color theme="1"/>
        <rFont val="Century Gothic"/>
        <family val="2"/>
      </rPr>
      <t>ax,k</t>
    </r>
    <r>
      <rPr>
        <sz val="8"/>
        <color theme="1"/>
        <rFont val="Century Gothic"/>
        <family val="2"/>
      </rPr>
      <t xml:space="preserve"> = 35 ⋅ k</t>
    </r>
    <r>
      <rPr>
        <vertAlign val="subscript"/>
        <sz val="8"/>
        <color theme="1"/>
        <rFont val="Century Gothic"/>
        <family val="2"/>
      </rPr>
      <t>ax</t>
    </r>
    <r>
      <rPr>
        <sz val="8"/>
        <color theme="1"/>
        <rFont val="Century Gothic"/>
        <family val="2"/>
      </rPr>
      <t>/k</t>
    </r>
    <r>
      <rPr>
        <vertAlign val="subscript"/>
        <sz val="8"/>
        <color theme="1"/>
        <rFont val="Century Gothic"/>
        <family val="2"/>
      </rPr>
      <t>β</t>
    </r>
    <r>
      <rPr>
        <sz val="8"/>
        <color theme="1"/>
        <rFont val="Century Gothic"/>
        <family val="2"/>
      </rPr>
      <t xml:space="preserve">  ⋅ (</t>
    </r>
    <r>
      <rPr>
        <sz val="8"/>
        <color theme="1"/>
        <rFont val="Symbol"/>
        <family val="1"/>
        <charset val="2"/>
      </rPr>
      <t>r</t>
    </r>
    <r>
      <rPr>
        <vertAlign val="subscript"/>
        <sz val="8"/>
        <color theme="1"/>
        <rFont val="Century Gothic"/>
        <family val="2"/>
      </rPr>
      <t>k</t>
    </r>
    <r>
      <rPr>
        <sz val="8"/>
        <color theme="1"/>
        <rFont val="Century Gothic"/>
        <family val="2"/>
      </rPr>
      <t>/730)</t>
    </r>
    <r>
      <rPr>
        <vertAlign val="superscript"/>
        <sz val="8"/>
        <color theme="1"/>
        <rFont val="Century Gothic"/>
        <family val="2"/>
      </rPr>
      <t>0,8</t>
    </r>
    <r>
      <rPr>
        <sz val="8"/>
        <color theme="1"/>
        <rFont val="Century Gothic"/>
        <family val="2"/>
      </rPr>
      <t xml:space="preserve"> (nach ETA-11/0190)</t>
    </r>
  </si>
  <si>
    <r>
      <t>f</t>
    </r>
    <r>
      <rPr>
        <vertAlign val="subscript"/>
        <sz val="8"/>
        <color theme="1"/>
        <rFont val="Century Gothic"/>
        <family val="2"/>
      </rPr>
      <t>ax,k</t>
    </r>
    <r>
      <rPr>
        <sz val="8"/>
        <color theme="1"/>
        <rFont val="Century Gothic"/>
        <family val="2"/>
      </rPr>
      <t xml:space="preserve"> = 11 ⋅ k</t>
    </r>
    <r>
      <rPr>
        <vertAlign val="subscript"/>
        <sz val="8"/>
        <color theme="1"/>
        <rFont val="Century Gothic"/>
        <family val="2"/>
      </rPr>
      <t>ax</t>
    </r>
    <r>
      <rPr>
        <sz val="8"/>
        <color theme="1"/>
        <rFont val="Century Gothic"/>
        <family val="2"/>
      </rPr>
      <t>/k</t>
    </r>
    <r>
      <rPr>
        <vertAlign val="subscript"/>
        <sz val="8"/>
        <color theme="1"/>
        <rFont val="Century Gothic"/>
        <family val="2"/>
      </rPr>
      <t>β</t>
    </r>
    <r>
      <rPr>
        <sz val="8"/>
        <color theme="1"/>
        <rFont val="Century Gothic"/>
        <family val="2"/>
      </rPr>
      <t xml:space="preserve">  ⋅ (</t>
    </r>
    <r>
      <rPr>
        <sz val="8"/>
        <color theme="1"/>
        <rFont val="Symbol"/>
        <family val="1"/>
        <charset val="2"/>
      </rPr>
      <t>r</t>
    </r>
    <r>
      <rPr>
        <vertAlign val="subscript"/>
        <sz val="8"/>
        <color theme="1"/>
        <rFont val="Century Gothic"/>
        <family val="2"/>
      </rPr>
      <t>k</t>
    </r>
    <r>
      <rPr>
        <sz val="8"/>
        <color theme="1"/>
        <rFont val="Century Gothic"/>
        <family val="2"/>
      </rPr>
      <t>/350)</t>
    </r>
    <r>
      <rPr>
        <vertAlign val="superscript"/>
        <sz val="8"/>
        <color theme="1"/>
        <rFont val="Century Gothic"/>
        <family val="2"/>
      </rPr>
      <t>0,8</t>
    </r>
    <r>
      <rPr>
        <sz val="8"/>
        <color theme="1"/>
        <rFont val="Century Gothic"/>
        <family val="2"/>
      </rPr>
      <t xml:space="preserve"> (nach ETA-11/0190)</t>
    </r>
  </si>
  <si>
    <r>
      <t>f</t>
    </r>
    <r>
      <rPr>
        <vertAlign val="subscript"/>
        <sz val="8"/>
        <color theme="1"/>
        <rFont val="Century Gothic"/>
        <family val="2"/>
      </rPr>
      <t>ax,k</t>
    </r>
    <r>
      <rPr>
        <sz val="8"/>
        <color theme="1"/>
        <rFont val="Century Gothic"/>
        <family val="2"/>
      </rPr>
      <t>= 11 ⋅ k</t>
    </r>
    <r>
      <rPr>
        <vertAlign val="subscript"/>
        <sz val="8"/>
        <color theme="1"/>
        <rFont val="Century Gothic"/>
        <family val="2"/>
      </rPr>
      <t>ax</t>
    </r>
    <r>
      <rPr>
        <sz val="8"/>
        <color theme="1"/>
        <rFont val="Century Gothic"/>
        <family val="2"/>
      </rPr>
      <t xml:space="preserve"> ⋅ (</t>
    </r>
    <r>
      <rPr>
        <sz val="8"/>
        <color theme="1"/>
        <rFont val="Symbol"/>
        <family val="1"/>
        <charset val="2"/>
      </rPr>
      <t>r</t>
    </r>
    <r>
      <rPr>
        <vertAlign val="subscript"/>
        <sz val="8"/>
        <color theme="1"/>
        <rFont val="Century Gothic"/>
        <family val="2"/>
      </rPr>
      <t>k</t>
    </r>
    <r>
      <rPr>
        <sz val="8"/>
        <color theme="1"/>
        <rFont val="Century Gothic"/>
        <family val="2"/>
      </rPr>
      <t>/</t>
    </r>
    <r>
      <rPr>
        <sz val="8"/>
        <color theme="1"/>
        <rFont val="Symbol"/>
        <family val="1"/>
        <charset val="2"/>
      </rPr>
      <t>r</t>
    </r>
    <r>
      <rPr>
        <vertAlign val="subscript"/>
        <sz val="8"/>
        <color theme="1"/>
        <rFont val="Century Gothic"/>
        <family val="2"/>
      </rPr>
      <t>a</t>
    </r>
    <r>
      <rPr>
        <sz val="8"/>
        <color theme="1"/>
        <rFont val="Century Gothic"/>
        <family val="2"/>
      </rPr>
      <t>)</t>
    </r>
    <r>
      <rPr>
        <vertAlign val="superscript"/>
        <sz val="8"/>
        <color theme="1"/>
        <rFont val="Century Gothic"/>
        <family val="2"/>
      </rPr>
      <t>0,8</t>
    </r>
    <r>
      <rPr>
        <sz val="8"/>
        <color theme="1"/>
        <rFont val="Century Gothic"/>
        <family val="2"/>
      </rPr>
      <t xml:space="preserve"> (nach ETA-11/0190)</t>
    </r>
  </si>
  <si>
    <r>
      <t>(0,8⋅</t>
    </r>
    <r>
      <rPr>
        <sz val="8"/>
        <rFont val="Symbol"/>
        <family val="1"/>
        <charset val="2"/>
      </rPr>
      <t xml:space="preserve"> S</t>
    </r>
    <r>
      <rPr>
        <sz val="8"/>
        <rFont val="Century Gothic"/>
        <family val="2"/>
      </rPr>
      <t>e</t>
    </r>
    <r>
      <rPr>
        <vertAlign val="subscript"/>
        <sz val="8"/>
        <rFont val="Century Gothic"/>
        <family val="2"/>
      </rPr>
      <t>45,i</t>
    </r>
    <r>
      <rPr>
        <sz val="8"/>
        <rFont val="Century Gothic"/>
        <family val="2"/>
      </rPr>
      <t xml:space="preserve">² +2/3⋅ x⋅ </t>
    </r>
    <r>
      <rPr>
        <sz val="8"/>
        <rFont val="Symbol"/>
        <family val="1"/>
        <charset val="2"/>
      </rPr>
      <t>S</t>
    </r>
    <r>
      <rPr>
        <sz val="8"/>
        <rFont val="Century Gothic"/>
        <family val="2"/>
      </rPr>
      <t>e</t>
    </r>
    <r>
      <rPr>
        <vertAlign val="subscript"/>
        <sz val="8"/>
        <rFont val="Century Gothic"/>
        <family val="2"/>
      </rPr>
      <t>45,i</t>
    </r>
    <r>
      <rPr>
        <sz val="8"/>
        <rFont val="Century Gothic"/>
        <family val="2"/>
      </rPr>
      <t>²) / n</t>
    </r>
    <r>
      <rPr>
        <vertAlign val="subscript"/>
        <sz val="8"/>
        <rFont val="Century Gothic"/>
        <family val="2"/>
      </rPr>
      <t>45</t>
    </r>
    <r>
      <rPr>
        <sz val="8"/>
        <rFont val="Century Gothic"/>
        <family val="2"/>
      </rPr>
      <t>⋅ z</t>
    </r>
    <r>
      <rPr>
        <vertAlign val="subscript"/>
        <sz val="8"/>
        <rFont val="Century Gothic"/>
        <family val="2"/>
      </rPr>
      <t>max</t>
    </r>
    <r>
      <rPr>
        <sz val="8"/>
        <rFont val="Century Gothic"/>
        <family val="2"/>
      </rPr>
      <t xml:space="preserve"> (nach ETA-15/0667)</t>
    </r>
  </si>
  <si>
    <r>
      <t>k</t>
    </r>
    <r>
      <rPr>
        <vertAlign val="subscript"/>
        <sz val="8"/>
        <color theme="1"/>
        <rFont val="Century Gothic"/>
        <family val="2"/>
      </rPr>
      <t xml:space="preserve">dens,NT  </t>
    </r>
    <r>
      <rPr>
        <sz val="8"/>
        <color theme="1"/>
        <rFont val="Century Gothic"/>
        <family val="2"/>
      </rPr>
      <t>= (ρ</t>
    </r>
    <r>
      <rPr>
        <vertAlign val="subscript"/>
        <sz val="8"/>
        <color theme="1"/>
        <rFont val="Century Gothic"/>
        <family val="2"/>
      </rPr>
      <t>k,NT</t>
    </r>
    <r>
      <rPr>
        <sz val="8"/>
        <color theme="1"/>
        <rFont val="Century Gothic"/>
        <family val="2"/>
      </rPr>
      <t>/385)</t>
    </r>
    <r>
      <rPr>
        <vertAlign val="superscript"/>
        <sz val="8"/>
        <color theme="1"/>
        <rFont val="Century Gothic"/>
        <family val="2"/>
      </rPr>
      <t>c</t>
    </r>
    <r>
      <rPr>
        <sz val="8"/>
        <color theme="1"/>
        <rFont val="Century Gothic"/>
        <family val="2"/>
      </rPr>
      <t xml:space="preserve"> (nach ETA-15/0667 Anhang 5)</t>
    </r>
  </si>
  <si>
    <r>
      <t>k</t>
    </r>
    <r>
      <rPr>
        <vertAlign val="subscript"/>
        <sz val="8"/>
        <color theme="1"/>
        <rFont val="Century Gothic"/>
        <family val="2"/>
      </rPr>
      <t xml:space="preserve">dens,HT </t>
    </r>
    <r>
      <rPr>
        <sz val="8"/>
        <color theme="1"/>
        <rFont val="Century Gothic"/>
        <family val="2"/>
      </rPr>
      <t>= (ρ</t>
    </r>
    <r>
      <rPr>
        <vertAlign val="subscript"/>
        <sz val="8"/>
        <color theme="1"/>
        <rFont val="Century Gothic"/>
        <family val="2"/>
      </rPr>
      <t>k,HT</t>
    </r>
    <r>
      <rPr>
        <sz val="8"/>
        <color theme="1"/>
        <rFont val="Century Gothic"/>
        <family val="2"/>
      </rPr>
      <t>/385)</t>
    </r>
    <r>
      <rPr>
        <vertAlign val="superscript"/>
        <sz val="8"/>
        <color theme="1"/>
        <rFont val="Century Gothic"/>
        <family val="2"/>
      </rPr>
      <t>c</t>
    </r>
    <r>
      <rPr>
        <sz val="8"/>
        <color theme="1"/>
        <rFont val="Century Gothic"/>
        <family val="2"/>
      </rPr>
      <t xml:space="preserve"> (nach ETA-15/0667 Anhang 5)</t>
    </r>
  </si>
  <si>
    <r>
      <t>M</t>
    </r>
    <r>
      <rPr>
        <vertAlign val="subscript"/>
        <sz val="8"/>
        <color theme="1"/>
        <rFont val="Century Gothic"/>
        <family val="2"/>
      </rPr>
      <t>tor,Rk</t>
    </r>
    <r>
      <rPr>
        <sz val="8"/>
        <color theme="1"/>
        <rFont val="Century Gothic"/>
        <family val="2"/>
      </rPr>
      <t>· min{ k</t>
    </r>
    <r>
      <rPr>
        <vertAlign val="subscript"/>
        <sz val="8"/>
        <color theme="1"/>
        <rFont val="Century Gothic"/>
        <family val="2"/>
      </rPr>
      <t>dens,H</t>
    </r>
    <r>
      <rPr>
        <sz val="8"/>
        <color theme="1"/>
        <rFont val="Century Gothic"/>
        <family val="2"/>
      </rPr>
      <t>; k</t>
    </r>
    <r>
      <rPr>
        <vertAlign val="subscript"/>
        <sz val="8"/>
        <color theme="1"/>
        <rFont val="Century Gothic"/>
        <family val="2"/>
      </rPr>
      <t xml:space="preserve">dens,J </t>
    </r>
    <r>
      <rPr>
        <sz val="8"/>
        <color theme="1"/>
        <rFont val="Century Gothic"/>
        <family val="2"/>
      </rPr>
      <t>}</t>
    </r>
  </si>
  <si>
    <r>
      <t>e</t>
    </r>
    <r>
      <rPr>
        <vertAlign val="subscript"/>
        <sz val="8"/>
        <rFont val="Century Gothic"/>
        <family val="2"/>
      </rPr>
      <t>lim</t>
    </r>
    <r>
      <rPr>
        <sz val="8"/>
        <rFont val="Century Gothic"/>
        <family val="2"/>
      </rPr>
      <t xml:space="preserve"> = min {e</t>
    </r>
    <r>
      <rPr>
        <vertAlign val="subscript"/>
        <sz val="8"/>
        <rFont val="Century Gothic"/>
        <family val="2"/>
      </rPr>
      <t>lim,H</t>
    </r>
    <r>
      <rPr>
        <sz val="8"/>
        <rFont val="Century Gothic"/>
        <family val="2"/>
      </rPr>
      <t xml:space="preserve"> ; e</t>
    </r>
    <r>
      <rPr>
        <vertAlign val="subscript"/>
        <sz val="8"/>
        <rFont val="Century Gothic"/>
        <family val="2"/>
      </rPr>
      <t>lim,J</t>
    </r>
    <r>
      <rPr>
        <sz val="8"/>
        <rFont val="Century Gothic"/>
        <family val="2"/>
      </rPr>
      <t>} (ETA-15/0667)</t>
    </r>
  </si>
  <si>
    <t>(nach EN 1995-1-1)</t>
  </si>
  <si>
    <r>
      <t>M</t>
    </r>
    <r>
      <rPr>
        <vertAlign val="subscript"/>
        <sz val="8"/>
        <color theme="1"/>
        <rFont val="Century Gothic"/>
        <family val="2"/>
      </rPr>
      <t>2,Rk</t>
    </r>
    <r>
      <rPr>
        <sz val="8"/>
        <color theme="1"/>
        <rFont val="Century Gothic"/>
        <family val="2"/>
      </rPr>
      <t xml:space="preserve"> = min{M</t>
    </r>
    <r>
      <rPr>
        <vertAlign val="subscript"/>
        <sz val="8"/>
        <color theme="1"/>
        <rFont val="Century Gothic"/>
        <family val="2"/>
      </rPr>
      <t xml:space="preserve">2,J,Rk </t>
    </r>
    <r>
      <rPr>
        <sz val="8"/>
        <color theme="1"/>
        <rFont val="Century Gothic"/>
        <family val="2"/>
      </rPr>
      <t>; M</t>
    </r>
    <r>
      <rPr>
        <vertAlign val="subscript"/>
        <sz val="8"/>
        <color theme="1"/>
        <rFont val="Century Gothic"/>
        <family val="2"/>
      </rPr>
      <t>2,H,Rk</t>
    </r>
    <r>
      <rPr>
        <sz val="8"/>
        <color theme="1"/>
        <rFont val="Century Gothic"/>
        <family val="2"/>
      </rPr>
      <t>}</t>
    </r>
  </si>
  <si>
    <r>
      <t>l</t>
    </r>
    <r>
      <rPr>
        <vertAlign val="subscript"/>
        <sz val="8"/>
        <color theme="1"/>
        <rFont val="Century Gothic"/>
        <family val="2"/>
      </rPr>
      <t>dis</t>
    </r>
    <r>
      <rPr>
        <sz val="8"/>
        <color theme="1"/>
        <rFont val="Century Gothic"/>
        <family val="2"/>
      </rPr>
      <t xml:space="preserve"> = min(8· w ; 40mm)</t>
    </r>
  </si>
  <si>
    <t>Material HT</t>
  </si>
  <si>
    <t>Material NT</t>
  </si>
  <si>
    <t>Anordnung MEGANT-Verbinder</t>
  </si>
  <si>
    <t>einseitig</t>
  </si>
  <si>
    <t>beidseitig</t>
  </si>
  <si>
    <r>
      <t xml:space="preserve">γ_G・g_k + </t>
    </r>
    <r>
      <rPr>
        <sz val="8"/>
        <color rgb="FFFF0000"/>
        <rFont val="Century Gothic"/>
        <family val="2"/>
      </rPr>
      <t>γ_Q・q_k</t>
    </r>
  </si>
  <si>
    <r>
      <t>γ_G・g_k +</t>
    </r>
    <r>
      <rPr>
        <sz val="8"/>
        <color rgb="FFFF0000"/>
        <rFont val="Century Gothic"/>
        <family val="2"/>
      </rPr>
      <t xml:space="preserve"> γ_Q・s_k</t>
    </r>
  </si>
  <si>
    <r>
      <t xml:space="preserve">γ_G,inf ・g_k + </t>
    </r>
    <r>
      <rPr>
        <sz val="8"/>
        <color rgb="FFFF0000"/>
        <rFont val="Century Gothic"/>
        <family val="2"/>
      </rPr>
      <t>γ_Q・w_k</t>
    </r>
  </si>
  <si>
    <r>
      <t xml:space="preserve">γ_G・g_k + </t>
    </r>
    <r>
      <rPr>
        <sz val="8"/>
        <color rgb="FFFF0000"/>
        <rFont val="Century Gothic"/>
        <family val="2"/>
      </rPr>
      <t>γ_Q・w_k</t>
    </r>
  </si>
  <si>
    <r>
      <t xml:space="preserve">γ_G・g_k + </t>
    </r>
    <r>
      <rPr>
        <sz val="8"/>
        <color rgb="FFFF0000"/>
        <rFont val="Century Gothic"/>
        <family val="2"/>
      </rPr>
      <t>γ_Q・q_k</t>
    </r>
    <r>
      <rPr>
        <sz val="8"/>
        <color theme="1"/>
        <rFont val="Century Gothic"/>
        <family val="2"/>
      </rPr>
      <t xml:space="preserve"> + γ_Q・ψ_0・s_k</t>
    </r>
  </si>
  <si>
    <r>
      <t xml:space="preserve">γ_G・g_k + </t>
    </r>
    <r>
      <rPr>
        <sz val="8"/>
        <color rgb="FFFF0000"/>
        <rFont val="Century Gothic"/>
        <family val="2"/>
      </rPr>
      <t>γ_Q・q_k</t>
    </r>
    <r>
      <rPr>
        <sz val="8"/>
        <color theme="1"/>
        <rFont val="Century Gothic"/>
        <family val="2"/>
      </rPr>
      <t xml:space="preserve"> + γ_Q・ψ_0・w_k</t>
    </r>
  </si>
  <si>
    <r>
      <t xml:space="preserve">γ_G・g_k + </t>
    </r>
    <r>
      <rPr>
        <sz val="8"/>
        <color rgb="FFFF0000"/>
        <rFont val="Century Gothic"/>
        <family val="2"/>
      </rPr>
      <t>γ_Q・s_k</t>
    </r>
    <r>
      <rPr>
        <sz val="8"/>
        <color theme="1"/>
        <rFont val="Century Gothic"/>
        <family val="2"/>
      </rPr>
      <t xml:space="preserve"> + γ_Q・ψ_0・q_k</t>
    </r>
  </si>
  <si>
    <r>
      <t xml:space="preserve">γ_G・g_k + </t>
    </r>
    <r>
      <rPr>
        <sz val="8"/>
        <color rgb="FFFF0000"/>
        <rFont val="Century Gothic"/>
        <family val="2"/>
      </rPr>
      <t>γ_Q・s_k</t>
    </r>
    <r>
      <rPr>
        <sz val="8"/>
        <color theme="1"/>
        <rFont val="Century Gothic"/>
        <family val="2"/>
      </rPr>
      <t xml:space="preserve"> + γ_Q・ψ_0・w_k</t>
    </r>
  </si>
  <si>
    <r>
      <t xml:space="preserve">γ_G・g_k + </t>
    </r>
    <r>
      <rPr>
        <sz val="8"/>
        <color rgb="FFFF0000"/>
        <rFont val="Century Gothic"/>
        <family val="2"/>
      </rPr>
      <t>γ_Q・w_k</t>
    </r>
    <r>
      <rPr>
        <sz val="8"/>
        <color theme="1"/>
        <rFont val="Century Gothic"/>
        <family val="2"/>
      </rPr>
      <t xml:space="preserve"> + γ_Q・ψ_0・q_k</t>
    </r>
  </si>
  <si>
    <r>
      <t xml:space="preserve">γ_G・g_k + </t>
    </r>
    <r>
      <rPr>
        <sz val="8"/>
        <color rgb="FFFF0000"/>
        <rFont val="Century Gothic"/>
        <family val="2"/>
      </rPr>
      <t>γ_Q・w_k</t>
    </r>
    <r>
      <rPr>
        <sz val="8"/>
        <color theme="1"/>
        <rFont val="Century Gothic"/>
        <family val="2"/>
      </rPr>
      <t xml:space="preserve"> + γ_Q・ψ_0・s_k</t>
    </r>
  </si>
  <si>
    <r>
      <t xml:space="preserve">γ_G・g_k + </t>
    </r>
    <r>
      <rPr>
        <sz val="8"/>
        <color rgb="FFFF0000"/>
        <rFont val="Century Gothic"/>
        <family val="2"/>
      </rPr>
      <t>γ_Q・q_k</t>
    </r>
    <r>
      <rPr>
        <sz val="8"/>
        <color theme="1"/>
        <rFont val="Century Gothic"/>
        <family val="2"/>
      </rPr>
      <t xml:space="preserve"> + γ_Q・ψ_0・s_k + γ_Q・ψ_0・w_k</t>
    </r>
  </si>
  <si>
    <r>
      <t xml:space="preserve">γ_G・g_k + </t>
    </r>
    <r>
      <rPr>
        <sz val="8"/>
        <color rgb="FFFF0000"/>
        <rFont val="Century Gothic"/>
        <family val="2"/>
      </rPr>
      <t>γ_Q・s_k</t>
    </r>
    <r>
      <rPr>
        <sz val="8"/>
        <color theme="1"/>
        <rFont val="Century Gothic"/>
        <family val="2"/>
      </rPr>
      <t xml:space="preserve"> + γ_Q・ψ_0・q_k + γ_Q・ψ_0・w_k</t>
    </r>
  </si>
  <si>
    <r>
      <t xml:space="preserve">γ_G・g_k + </t>
    </r>
    <r>
      <rPr>
        <sz val="8"/>
        <color rgb="FFFF0000"/>
        <rFont val="Century Gothic"/>
        <family val="2"/>
      </rPr>
      <t>γ_Q・w_k</t>
    </r>
    <r>
      <rPr>
        <sz val="8"/>
        <color theme="1"/>
        <rFont val="Century Gothic"/>
        <family val="2"/>
      </rPr>
      <t xml:space="preserve"> + γ_Q・ψ_0・q_k + γ_Q・ψ0・s_k</t>
    </r>
  </si>
  <si>
    <t>EI</t>
  </si>
  <si>
    <t>a</t>
  </si>
  <si>
    <t>rot = Leiteinwirkung</t>
  </si>
  <si>
    <r>
      <t>F</t>
    </r>
    <r>
      <rPr>
        <vertAlign val="subscript"/>
        <sz val="8"/>
        <rFont val="Century Gothic"/>
        <family val="2"/>
      </rPr>
      <t>1,d</t>
    </r>
    <r>
      <rPr>
        <sz val="8"/>
        <rFont val="Century Gothic"/>
        <family val="2"/>
      </rPr>
      <t xml:space="preserve"> [kN]</t>
    </r>
  </si>
  <si>
    <r>
      <t>F</t>
    </r>
    <r>
      <rPr>
        <vertAlign val="subscript"/>
        <sz val="8"/>
        <rFont val="Century Gothic"/>
        <family val="2"/>
      </rPr>
      <t>45,d</t>
    </r>
    <r>
      <rPr>
        <sz val="8"/>
        <rFont val="Century Gothic"/>
        <family val="2"/>
      </rPr>
      <t xml:space="preserve"> [kN]</t>
    </r>
  </si>
  <si>
    <t>SummeV</t>
  </si>
  <si>
    <t>Streckenlasten
23-Richtung</t>
  </si>
  <si>
    <t>Einzellasten
23-Richtung</t>
  </si>
  <si>
    <t>Lasten 
1-Richtung</t>
  </si>
  <si>
    <t>Lasten 
45-Richtung</t>
  </si>
  <si>
    <r>
      <rPr>
        <sz val="8"/>
        <rFont val="Symbol"/>
        <family val="1"/>
        <charset val="2"/>
      </rPr>
      <t>y</t>
    </r>
    <r>
      <rPr>
        <vertAlign val="subscript"/>
        <sz val="8"/>
        <rFont val="Century Gothic"/>
        <family val="2"/>
      </rPr>
      <t>0</t>
    </r>
  </si>
  <si>
    <t>Torsion</t>
  </si>
  <si>
    <r>
      <t>F</t>
    </r>
    <r>
      <rPr>
        <vertAlign val="subscript"/>
        <sz val="8"/>
        <color theme="1"/>
        <rFont val="Century Gothic"/>
        <family val="2"/>
      </rPr>
      <t>1,k</t>
    </r>
  </si>
  <si>
    <r>
      <t>M</t>
    </r>
    <r>
      <rPr>
        <vertAlign val="subscript"/>
        <sz val="8"/>
        <color theme="1"/>
        <rFont val="Century Gothic"/>
        <family val="2"/>
      </rPr>
      <t>tor,k</t>
    </r>
  </si>
  <si>
    <r>
      <t>F</t>
    </r>
    <r>
      <rPr>
        <vertAlign val="subscript"/>
        <sz val="8"/>
        <color theme="1"/>
        <rFont val="Century Gothic"/>
        <family val="2"/>
      </rPr>
      <t>45,k</t>
    </r>
  </si>
  <si>
    <t>Abstand Einzellasten 23-Richtung</t>
  </si>
  <si>
    <t>Gesamt</t>
  </si>
  <si>
    <r>
      <t>q</t>
    </r>
    <r>
      <rPr>
        <vertAlign val="subscript"/>
        <sz val="8"/>
        <rFont val="Century Gothic"/>
        <family val="2"/>
      </rPr>
      <t>d</t>
    </r>
    <r>
      <rPr>
        <sz val="8"/>
        <rFont val="Century Gothic"/>
        <family val="2"/>
      </rPr>
      <t xml:space="preserve"> [kN/m]</t>
    </r>
  </si>
  <si>
    <r>
      <t>F</t>
    </r>
    <r>
      <rPr>
        <vertAlign val="subscript"/>
        <sz val="8"/>
        <rFont val="Century Gothic"/>
        <family val="2"/>
      </rPr>
      <t>d</t>
    </r>
    <r>
      <rPr>
        <sz val="8"/>
        <rFont val="Century Gothic"/>
        <family val="2"/>
      </rPr>
      <t xml:space="preserve"> [kN]</t>
    </r>
  </si>
  <si>
    <t>Linkes Stabendmoment</t>
  </si>
  <si>
    <t>Rechtes Stabendmoment</t>
  </si>
  <si>
    <r>
      <t>M</t>
    </r>
    <r>
      <rPr>
        <vertAlign val="subscript"/>
        <sz val="8"/>
        <rFont val="Century Gothic"/>
        <family val="2"/>
      </rPr>
      <t>d,y,ein/zweiseitig</t>
    </r>
    <r>
      <rPr>
        <sz val="8"/>
        <rFont val="Century Gothic"/>
        <family val="2"/>
      </rPr>
      <t xml:space="preserve"> [kNm]</t>
    </r>
  </si>
  <si>
    <r>
      <t>K</t>
    </r>
    <r>
      <rPr>
        <vertAlign val="subscript"/>
        <sz val="8"/>
        <rFont val="Cambria"/>
        <family val="1"/>
      </rPr>
      <t>2,</t>
    </r>
    <r>
      <rPr>
        <vertAlign val="subscript"/>
        <sz val="8"/>
        <rFont val="Symbol"/>
        <family val="1"/>
        <charset val="2"/>
      </rPr>
      <t>j</t>
    </r>
  </si>
  <si>
    <t>Bemessungsrelevante Schnittgrößen</t>
  </si>
  <si>
    <r>
      <t>M</t>
    </r>
    <r>
      <rPr>
        <vertAlign val="subscript"/>
        <sz val="8"/>
        <rFont val="Century Gothic"/>
        <family val="2"/>
      </rPr>
      <t>2,Ed</t>
    </r>
    <r>
      <rPr>
        <sz val="8"/>
        <rFont val="Century Gothic"/>
        <family val="2"/>
      </rPr>
      <t xml:space="preserve"> [kNm]</t>
    </r>
  </si>
  <si>
    <r>
      <t>F</t>
    </r>
    <r>
      <rPr>
        <vertAlign val="subscript"/>
        <sz val="8"/>
        <rFont val="Century Gothic"/>
        <family val="2"/>
      </rPr>
      <t>2,d</t>
    </r>
    <r>
      <rPr>
        <sz val="8"/>
        <rFont val="Century Gothic"/>
        <family val="2"/>
      </rPr>
      <t xml:space="preserve"> [kN]</t>
    </r>
  </si>
  <si>
    <r>
      <t>F</t>
    </r>
    <r>
      <rPr>
        <vertAlign val="subscript"/>
        <sz val="8"/>
        <rFont val="Century Gothic"/>
        <family val="2"/>
      </rPr>
      <t>3,d</t>
    </r>
    <r>
      <rPr>
        <sz val="8"/>
        <rFont val="Century Gothic"/>
        <family val="2"/>
      </rPr>
      <t xml:space="preserve"> [kN]</t>
    </r>
  </si>
  <si>
    <r>
      <t>M</t>
    </r>
    <r>
      <rPr>
        <vertAlign val="subscript"/>
        <sz val="8"/>
        <rFont val="Century Gothic"/>
        <family val="2"/>
      </rPr>
      <t>tor,d</t>
    </r>
    <r>
      <rPr>
        <sz val="8"/>
        <rFont val="Century Gothic"/>
        <family val="2"/>
      </rPr>
      <t xml:space="preserve"> [kNm]</t>
    </r>
  </si>
  <si>
    <t>L =</t>
  </si>
  <si>
    <r>
      <t>E</t>
    </r>
    <r>
      <rPr>
        <vertAlign val="subscript"/>
        <sz val="8"/>
        <rFont val="Century Gothic"/>
        <family val="2"/>
      </rPr>
      <t>0,mean,J</t>
    </r>
    <r>
      <rPr>
        <sz val="8"/>
        <rFont val="Century Gothic"/>
        <family val="2"/>
      </rPr>
      <t xml:space="preserve"> =</t>
    </r>
  </si>
  <si>
    <r>
      <t>I</t>
    </r>
    <r>
      <rPr>
        <vertAlign val="subscript"/>
        <sz val="8"/>
        <rFont val="Century Gothic"/>
        <family val="2"/>
      </rPr>
      <t>y,J</t>
    </r>
    <r>
      <rPr>
        <sz val="8"/>
        <rFont val="Century Gothic"/>
        <family val="2"/>
      </rPr>
      <t xml:space="preserve"> =</t>
    </r>
  </si>
  <si>
    <t>Mindestquerschnitt:</t>
  </si>
  <si>
    <t>Lastfallkombinationen</t>
  </si>
  <si>
    <t>LK Nr.</t>
  </si>
  <si>
    <t>LK 1</t>
  </si>
  <si>
    <t>LK 2</t>
  </si>
  <si>
    <t>LK 3</t>
  </si>
  <si>
    <t>LK 4</t>
  </si>
  <si>
    <t>LK 5</t>
  </si>
  <si>
    <t>LK 6</t>
  </si>
  <si>
    <t>LK 7</t>
  </si>
  <si>
    <t>LK 8</t>
  </si>
  <si>
    <t>LK 9</t>
  </si>
  <si>
    <t>LK 10</t>
  </si>
  <si>
    <t>LK 11</t>
  </si>
  <si>
    <t>LK 12</t>
  </si>
  <si>
    <t>LK 13</t>
  </si>
  <si>
    <t>LK 14</t>
  </si>
  <si>
    <t>LK 15</t>
  </si>
  <si>
    <t>LK 16</t>
  </si>
  <si>
    <t>LK 17</t>
  </si>
  <si>
    <t>LK 18</t>
  </si>
  <si>
    <t>LK 19</t>
  </si>
  <si>
    <t>LK 20</t>
  </si>
  <si>
    <t>LK 21</t>
  </si>
  <si>
    <t>LK 22</t>
  </si>
  <si>
    <t>LK 23</t>
  </si>
  <si>
    <t>LK 24</t>
  </si>
  <si>
    <t>LK 25</t>
  </si>
  <si>
    <t>LK 26</t>
  </si>
  <si>
    <t>LK 27</t>
  </si>
  <si>
    <t>LK 28</t>
  </si>
  <si>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・q</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・s</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・w</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</si>
  <si>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・w</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・q</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・s</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</si>
  <si>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・s</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・q</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・w</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</si>
  <si>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・q</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・s</t>
    </r>
    <r>
      <rPr>
        <vertAlign val="subscript"/>
        <sz val="8"/>
        <rFont val="Century Gothic"/>
        <family val="2"/>
      </rPr>
      <t>k</t>
    </r>
    <r>
      <rPr>
        <sz val="8"/>
        <rFont val="Century Gothic"/>
        <family val="2"/>
      </rPr>
      <t xml:space="preserve"> </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</si>
  <si>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・q</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・w</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</si>
  <si>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・s</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・q</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</si>
  <si>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・s</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・w</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</si>
  <si>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・w</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・q</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</si>
  <si>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・w</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t>
    </r>
    <r>
      <rPr>
        <sz val="8"/>
        <rFont val="Symbol"/>
        <family val="1"/>
        <charset val="2"/>
      </rPr>
      <t>y</t>
    </r>
    <r>
      <rPr>
        <vertAlign val="subscript"/>
        <sz val="8"/>
        <rFont val="Century Gothic"/>
        <family val="2"/>
      </rPr>
      <t>0</t>
    </r>
    <r>
      <rPr>
        <sz val="8"/>
        <rFont val="Century Gothic"/>
        <family val="2"/>
      </rPr>
      <t>・s</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</si>
  <si>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</si>
  <si>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・q</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</si>
  <si>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・s</t>
    </r>
    <r>
      <rPr>
        <vertAlign val="subscript"/>
        <sz val="8"/>
        <rFont val="Century Gothic"/>
        <family val="2"/>
      </rPr>
      <t>k</t>
    </r>
  </si>
  <si>
    <r>
      <rPr>
        <sz val="8"/>
        <rFont val="Symbol"/>
        <family val="1"/>
        <charset val="2"/>
      </rPr>
      <t>g</t>
    </r>
    <r>
      <rPr>
        <vertAlign val="subscript"/>
        <sz val="8"/>
        <rFont val="Century Gothic"/>
        <family val="2"/>
      </rPr>
      <t>G</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・w</t>
    </r>
    <r>
      <rPr>
        <vertAlign val="subscript"/>
        <sz val="8"/>
        <rFont val="Century Gothic"/>
        <family val="2"/>
      </rPr>
      <t>k</t>
    </r>
  </si>
  <si>
    <r>
      <rPr>
        <sz val="8"/>
        <rFont val="Symbol"/>
        <family val="1"/>
        <charset val="2"/>
      </rPr>
      <t>g</t>
    </r>
    <r>
      <rPr>
        <vertAlign val="subscript"/>
        <sz val="8"/>
        <rFont val="Century Gothic"/>
        <family val="2"/>
      </rPr>
      <t>G,inf</t>
    </r>
    <r>
      <rPr>
        <sz val="8"/>
        <rFont val="Century Gothic"/>
        <family val="2"/>
      </rPr>
      <t>・g</t>
    </r>
    <r>
      <rPr>
        <vertAlign val="subscript"/>
        <sz val="8"/>
        <rFont val="Century Gothic"/>
        <family val="2"/>
      </rPr>
      <t>k</t>
    </r>
    <r>
      <rPr>
        <sz val="8"/>
        <rFont val="Century Gothic"/>
        <family val="2"/>
      </rPr>
      <t xml:space="preserve"> + </t>
    </r>
    <r>
      <rPr>
        <sz val="8"/>
        <rFont val="Symbol"/>
        <family val="1"/>
        <charset val="2"/>
      </rPr>
      <t>g</t>
    </r>
    <r>
      <rPr>
        <vertAlign val="subscript"/>
        <sz val="8"/>
        <rFont val="Century Gothic"/>
        <family val="2"/>
      </rPr>
      <t>Q</t>
    </r>
    <r>
      <rPr>
        <sz val="8"/>
        <rFont val="Century Gothic"/>
        <family val="2"/>
      </rPr>
      <t>・w</t>
    </r>
    <r>
      <rPr>
        <vertAlign val="subscript"/>
        <sz val="8"/>
        <rFont val="Century Gothic"/>
        <family val="2"/>
      </rPr>
      <t>k</t>
    </r>
  </si>
  <si>
    <t xml:space="preserve">Nach DIN EN 1995-1-1:2010-12 mit NA Deutschland </t>
  </si>
  <si>
    <t>Biegezug oben</t>
  </si>
  <si>
    <t>Biegezug unten</t>
  </si>
  <si>
    <t>Nummerierung der Lastfallkombinationen</t>
  </si>
  <si>
    <t>Es werden nachfolgende Lastfallkombinationen ("LK") nach DIN EN 1990:2010-12 mit NA Deutschland jeweils für den Fall "Biegezug oben" sowie für den Fall "Biegezug unten" berücksichtigt. In den nachfolgenden Nachweisen wird lediglich die maßgebende Lastfallkombination ausgegeben sowie die Nummer der Lastfallkombination ausgegeben.</t>
  </si>
  <si>
    <r>
      <rPr>
        <sz val="8"/>
        <color theme="1"/>
        <rFont val="Symbol"/>
        <family val="1"/>
        <charset val="2"/>
      </rPr>
      <t>g</t>
    </r>
    <r>
      <rPr>
        <vertAlign val="subscript"/>
        <sz val="8"/>
        <color theme="1"/>
        <rFont val="Century Gothic"/>
        <family val="2"/>
      </rPr>
      <t>M</t>
    </r>
    <r>
      <rPr>
        <sz val="8"/>
        <color theme="1"/>
        <rFont val="Century Gothic"/>
        <family val="2"/>
      </rPr>
      <t xml:space="preserve"> =</t>
    </r>
  </si>
  <si>
    <r>
      <rPr>
        <sz val="8"/>
        <color theme="1"/>
        <rFont val="Symbol"/>
        <family val="1"/>
        <charset val="2"/>
      </rPr>
      <t>g</t>
    </r>
    <r>
      <rPr>
        <vertAlign val="subscript"/>
        <sz val="8"/>
        <color theme="1"/>
        <rFont val="Century Gothic"/>
        <family val="2"/>
      </rPr>
      <t>M1</t>
    </r>
    <r>
      <rPr>
        <sz val="8"/>
        <color theme="1"/>
        <rFont val="Century Gothic"/>
        <family val="2"/>
      </rPr>
      <t xml:space="preserve"> =</t>
    </r>
  </si>
  <si>
    <r>
      <rPr>
        <sz val="8"/>
        <color theme="1"/>
        <rFont val="Symbol"/>
        <family val="1"/>
        <charset val="2"/>
      </rPr>
      <t>g</t>
    </r>
    <r>
      <rPr>
        <vertAlign val="subscript"/>
        <sz val="8"/>
        <color theme="1"/>
        <rFont val="Century Gothic"/>
        <family val="2"/>
      </rPr>
      <t>M2</t>
    </r>
    <r>
      <rPr>
        <sz val="8"/>
        <color theme="1"/>
        <rFont val="Century Gothic"/>
        <family val="2"/>
      </rPr>
      <t xml:space="preserve"> =</t>
    </r>
  </si>
  <si>
    <t>Stahl</t>
  </si>
  <si>
    <t>Holz</t>
  </si>
  <si>
    <t>Teilsicherheitsbeiwerte</t>
  </si>
  <si>
    <r>
      <t>F</t>
    </r>
    <r>
      <rPr>
        <b/>
        <vertAlign val="subscript"/>
        <sz val="8"/>
        <color theme="1"/>
        <rFont val="Century Gothic"/>
        <family val="2"/>
      </rPr>
      <t>1,Rd</t>
    </r>
  </si>
  <si>
    <r>
      <t>F</t>
    </r>
    <r>
      <rPr>
        <vertAlign val="subscript"/>
        <sz val="8"/>
        <rFont val="Century Gothic"/>
        <family val="2"/>
      </rPr>
      <t>1,Rd</t>
    </r>
  </si>
  <si>
    <t>h</t>
  </si>
  <si>
    <t>aus</t>
  </si>
  <si>
    <r>
      <t>F</t>
    </r>
    <r>
      <rPr>
        <b/>
        <vertAlign val="subscript"/>
        <sz val="8"/>
        <color theme="1"/>
        <rFont val="Century Gothic"/>
        <family val="2"/>
      </rPr>
      <t>2,Rd</t>
    </r>
  </si>
  <si>
    <r>
      <t>F</t>
    </r>
    <r>
      <rPr>
        <vertAlign val="subscript"/>
        <sz val="8"/>
        <rFont val="Century Gothic"/>
        <family val="2"/>
      </rPr>
      <t>2,Rd</t>
    </r>
  </si>
  <si>
    <r>
      <t>F</t>
    </r>
    <r>
      <rPr>
        <vertAlign val="subscript"/>
        <sz val="8"/>
        <color theme="1"/>
        <rFont val="Century Gothic"/>
        <family val="2"/>
      </rPr>
      <t>𝜏,Rk</t>
    </r>
  </si>
  <si>
    <r>
      <t>γ</t>
    </r>
    <r>
      <rPr>
        <vertAlign val="subscript"/>
        <sz val="8"/>
        <color theme="1"/>
        <rFont val="Century Gothic"/>
        <family val="2"/>
      </rPr>
      <t>M1</t>
    </r>
  </si>
  <si>
    <r>
      <t>F</t>
    </r>
    <r>
      <rPr>
        <vertAlign val="subscript"/>
        <sz val="8"/>
        <color theme="1"/>
        <rFont val="Century Gothic"/>
        <family val="2"/>
      </rPr>
      <t>2,Rk,J/H</t>
    </r>
  </si>
  <si>
    <r>
      <t>min{F</t>
    </r>
    <r>
      <rPr>
        <vertAlign val="subscript"/>
        <sz val="8"/>
        <rFont val="Century Gothic"/>
        <family val="2"/>
      </rPr>
      <t>3,J,RK</t>
    </r>
    <r>
      <rPr>
        <sz val="8"/>
        <rFont val="Century Gothic"/>
        <family val="2"/>
      </rPr>
      <t>; F</t>
    </r>
    <r>
      <rPr>
        <vertAlign val="subscript"/>
        <sz val="8"/>
        <rFont val="Century Gothic"/>
        <family val="2"/>
      </rPr>
      <t>3,H,RK</t>
    </r>
    <r>
      <rPr>
        <sz val="8"/>
        <rFont val="Century Gothic"/>
        <family val="2"/>
      </rPr>
      <t>}</t>
    </r>
  </si>
  <si>
    <r>
      <t>F</t>
    </r>
    <r>
      <rPr>
        <vertAlign val="subscript"/>
        <sz val="8"/>
        <color theme="1"/>
        <rFont val="Century Gothic"/>
        <family val="2"/>
      </rPr>
      <t>3,Rk,J/H</t>
    </r>
  </si>
  <si>
    <r>
      <t>F</t>
    </r>
    <r>
      <rPr>
        <b/>
        <vertAlign val="subscript"/>
        <sz val="8"/>
        <color theme="1"/>
        <rFont val="Century Gothic"/>
        <family val="2"/>
      </rPr>
      <t>3,Rd</t>
    </r>
  </si>
  <si>
    <r>
      <t>F</t>
    </r>
    <r>
      <rPr>
        <vertAlign val="subscript"/>
        <sz val="8"/>
        <rFont val="Century Gothic"/>
        <family val="2"/>
      </rPr>
      <t>3,Rd</t>
    </r>
  </si>
  <si>
    <r>
      <t>F</t>
    </r>
    <r>
      <rPr>
        <b/>
        <vertAlign val="subscript"/>
        <sz val="8"/>
        <color theme="1"/>
        <rFont val="Century Gothic"/>
        <family val="2"/>
      </rPr>
      <t>45,Rd</t>
    </r>
  </si>
  <si>
    <r>
      <t>F</t>
    </r>
    <r>
      <rPr>
        <vertAlign val="subscript"/>
        <sz val="8"/>
        <color theme="1"/>
        <rFont val="Century Gothic"/>
        <family val="2"/>
      </rPr>
      <t>45,Rk,J/H</t>
    </r>
  </si>
  <si>
    <r>
      <t>F</t>
    </r>
    <r>
      <rPr>
        <vertAlign val="subscript"/>
        <sz val="8"/>
        <rFont val="Century Gothic"/>
        <family val="2"/>
      </rPr>
      <t>45,Rd</t>
    </r>
  </si>
  <si>
    <t>für den Grenzzustand der Tragfähigkeit</t>
  </si>
  <si>
    <r>
      <t>M</t>
    </r>
    <r>
      <rPr>
        <b/>
        <vertAlign val="subscript"/>
        <sz val="8"/>
        <color theme="1"/>
        <rFont val="Century Gothic"/>
        <family val="2"/>
      </rPr>
      <t>2,Rd</t>
    </r>
  </si>
  <si>
    <r>
      <t>K</t>
    </r>
    <r>
      <rPr>
        <vertAlign val="subscript"/>
        <sz val="8"/>
        <rFont val="Cambria"/>
        <family val="1"/>
      </rPr>
      <t>2,</t>
    </r>
    <r>
      <rPr>
        <vertAlign val="subscript"/>
        <sz val="8"/>
        <rFont val="Symbol"/>
        <family val="1"/>
        <charset val="2"/>
      </rPr>
      <t>j</t>
    </r>
    <r>
      <rPr>
        <vertAlign val="subscript"/>
        <sz val="8"/>
        <rFont val="Century Gothic"/>
        <family val="2"/>
      </rPr>
      <t>,ser</t>
    </r>
  </si>
  <si>
    <r>
      <t>K</t>
    </r>
    <r>
      <rPr>
        <vertAlign val="subscript"/>
        <sz val="8"/>
        <rFont val="Cambria"/>
        <family val="1"/>
      </rPr>
      <t>2,</t>
    </r>
    <r>
      <rPr>
        <vertAlign val="subscript"/>
        <sz val="8"/>
        <rFont val="Symbol"/>
        <family val="1"/>
        <charset val="2"/>
      </rPr>
      <t>j</t>
    </r>
    <r>
      <rPr>
        <vertAlign val="subscript"/>
        <sz val="8"/>
        <rFont val="Century Gothic"/>
        <family val="2"/>
      </rPr>
      <t>,u</t>
    </r>
  </si>
  <si>
    <r>
      <t>M</t>
    </r>
    <r>
      <rPr>
        <vertAlign val="subscript"/>
        <sz val="8"/>
        <rFont val="Century Gothic"/>
        <family val="2"/>
      </rPr>
      <t>2,Rd</t>
    </r>
  </si>
  <si>
    <t>Drehfedersteifigkeiten</t>
  </si>
  <si>
    <t>Die ermittelten Einspannmomente durch den MEGANT-Verbinder sind abhängig von den Drehfedersteifigkeiten (für den Grenzzustand der Tragfähigkeit), welche wiederum abhängig von den  Kombinationsbeiwerten der jeweiligen Lastfallkombination sind.
Nachfolgende Tabelle listet die den Einspannmomenten zugrundeliegenden Drehfedersteifigkeiten (für den Grenzzustand der Tragfähigkeit) in Abhängigkeit der Lastfallkombination auf.</t>
  </si>
  <si>
    <t>Lastfallkombination</t>
  </si>
  <si>
    <r>
      <t>k</t>
    </r>
    <r>
      <rPr>
        <vertAlign val="subscript"/>
        <sz val="8"/>
        <rFont val="Century Gothic"/>
        <family val="2"/>
      </rPr>
      <t>def</t>
    </r>
    <r>
      <rPr>
        <sz val="8"/>
        <color theme="1"/>
        <rFont val="Century Gothic"/>
        <family val="2"/>
      </rPr>
      <t xml:space="preserve"> =</t>
    </r>
  </si>
  <si>
    <t>Für die aktuelle Konfiguration sind keine Bemessungswerte für M_tor in ETA-15/0667 (Anhang 5) vorhanden.</t>
  </si>
  <si>
    <r>
      <t>M</t>
    </r>
    <r>
      <rPr>
        <b/>
        <vertAlign val="subscript"/>
        <sz val="8"/>
        <color theme="1"/>
        <rFont val="Century Gothic"/>
        <family val="2"/>
      </rPr>
      <t>tor,Rd</t>
    </r>
  </si>
  <si>
    <r>
      <t>M</t>
    </r>
    <r>
      <rPr>
        <vertAlign val="subscript"/>
        <sz val="8"/>
        <color theme="1"/>
        <rFont val="Century Gothic"/>
        <family val="2"/>
      </rPr>
      <t>tor,Rk</t>
    </r>
  </si>
  <si>
    <r>
      <t>M</t>
    </r>
    <r>
      <rPr>
        <vertAlign val="subscript"/>
        <sz val="8"/>
        <rFont val="Century Gothic"/>
        <family val="2"/>
      </rPr>
      <t>tor,Rd</t>
    </r>
  </si>
  <si>
    <r>
      <t>M</t>
    </r>
    <r>
      <rPr>
        <vertAlign val="subscript"/>
        <sz val="8"/>
        <rFont val="Century Gothic"/>
        <family val="2"/>
      </rPr>
      <t>tor,Ed</t>
    </r>
    <r>
      <rPr>
        <sz val="8"/>
        <rFont val="Century Gothic"/>
        <family val="2"/>
      </rPr>
      <t xml:space="preserve"> [kNm]</t>
    </r>
  </si>
  <si>
    <t>Kombinationsnachweise</t>
  </si>
  <si>
    <r>
      <t>Kombinationsnachweis F</t>
    </r>
    <r>
      <rPr>
        <b/>
        <vertAlign val="subscript"/>
        <sz val="8"/>
        <color theme="1"/>
        <rFont val="Century Gothic"/>
        <family val="2"/>
      </rPr>
      <t>2,Ed</t>
    </r>
  </si>
  <si>
    <r>
      <t>F</t>
    </r>
    <r>
      <rPr>
        <vertAlign val="subscript"/>
        <sz val="8"/>
        <rFont val="Century Gothic"/>
        <family val="2"/>
      </rPr>
      <t>1,Ed</t>
    </r>
  </si>
  <si>
    <r>
      <t>M</t>
    </r>
    <r>
      <rPr>
        <vertAlign val="subscript"/>
        <sz val="8"/>
        <rFont val="Century Gothic"/>
        <family val="2"/>
      </rPr>
      <t>tor,Ed</t>
    </r>
  </si>
  <si>
    <r>
      <t>M</t>
    </r>
    <r>
      <rPr>
        <vertAlign val="subscript"/>
        <sz val="8"/>
        <rFont val="Century Gothic"/>
        <family val="2"/>
      </rPr>
      <t>2,Ed</t>
    </r>
  </si>
  <si>
    <r>
      <t>F</t>
    </r>
    <r>
      <rPr>
        <vertAlign val="subscript"/>
        <sz val="8"/>
        <rFont val="Century Gothic"/>
        <family val="2"/>
      </rPr>
      <t>45,Ed</t>
    </r>
  </si>
  <si>
    <r>
      <t>F</t>
    </r>
    <r>
      <rPr>
        <vertAlign val="subscript"/>
        <sz val="8"/>
        <rFont val="Century Gothic"/>
        <family val="2"/>
      </rPr>
      <t>3,Ed</t>
    </r>
  </si>
  <si>
    <r>
      <t>F</t>
    </r>
    <r>
      <rPr>
        <vertAlign val="subscript"/>
        <sz val="8"/>
        <rFont val="Century Gothic"/>
        <family val="2"/>
      </rPr>
      <t>2,Ed</t>
    </r>
  </si>
  <si>
    <r>
      <t>M</t>
    </r>
    <r>
      <rPr>
        <vertAlign val="subscript"/>
        <sz val="8"/>
        <rFont val="Century Gothic"/>
        <family val="2"/>
      </rPr>
      <t>2,Ed</t>
    </r>
    <r>
      <rPr>
        <sz val="8"/>
        <rFont val="Century Gothic"/>
        <family val="2"/>
      </rPr>
      <t xml:space="preserve"> - e</t>
    </r>
    <r>
      <rPr>
        <vertAlign val="subscript"/>
        <sz val="8"/>
        <rFont val="Century Gothic"/>
        <family val="2"/>
      </rPr>
      <t>lim</t>
    </r>
    <r>
      <rPr>
        <sz val="8"/>
        <rFont val="Century Gothic"/>
        <family val="2"/>
      </rPr>
      <t xml:space="preserve"> (F</t>
    </r>
    <r>
      <rPr>
        <vertAlign val="subscript"/>
        <sz val="8"/>
        <rFont val="Century Gothic"/>
        <family val="2"/>
      </rPr>
      <t>2,Ed</t>
    </r>
    <r>
      <rPr>
        <sz val="8"/>
        <rFont val="Century Gothic"/>
        <family val="2"/>
      </rPr>
      <t xml:space="preserve"> - F</t>
    </r>
    <r>
      <rPr>
        <vertAlign val="subscript"/>
        <sz val="8"/>
        <rFont val="Century Gothic"/>
        <family val="2"/>
      </rPr>
      <t>1,Ed</t>
    </r>
    <r>
      <rPr>
        <sz val="8"/>
        <rFont val="Century Gothic"/>
        <family val="2"/>
      </rPr>
      <t>)</t>
    </r>
  </si>
  <si>
    <r>
      <t>Kombinationsnachweis F</t>
    </r>
    <r>
      <rPr>
        <b/>
        <vertAlign val="subscript"/>
        <sz val="8"/>
        <color theme="1"/>
        <rFont val="Century Gothic"/>
        <family val="2"/>
      </rPr>
      <t>3,Ed</t>
    </r>
  </si>
  <si>
    <r>
      <t>maßg. M</t>
    </r>
    <r>
      <rPr>
        <vertAlign val="subscript"/>
        <sz val="8"/>
        <rFont val="Century Gothic"/>
        <family val="2"/>
      </rPr>
      <t>2</t>
    </r>
  </si>
  <si>
    <t>Kaltbemessung</t>
  </si>
  <si>
    <t>Heißbemessung</t>
  </si>
  <si>
    <t>Prüfung Schraubenüberstand Kaltbemessung</t>
  </si>
  <si>
    <t>Prüfung Schraubenüberstand Heißbemessung</t>
  </si>
  <si>
    <t>Würth</t>
  </si>
  <si>
    <t>Knapp</t>
  </si>
  <si>
    <t>Anordnung der MEGANT-Verbinder</t>
  </si>
  <si>
    <t>Hauptträger/Stütze</t>
  </si>
  <si>
    <t>untere Spannbacke im Hauptträger/Stütze</t>
  </si>
  <si>
    <t>Stütze (Index H - header)</t>
  </si>
  <si>
    <t>45° Schrauben Stütze</t>
  </si>
  <si>
    <t>90° Schrauben Stütze</t>
  </si>
  <si>
    <t>Stütze</t>
  </si>
  <si>
    <t>Stütze 90°-Schrauben</t>
  </si>
  <si>
    <t>Stütze 45°-Schrauben</t>
  </si>
  <si>
    <t>ES</t>
  </si>
  <si>
    <t>Leiteinwirkung vorhanden?</t>
  </si>
  <si>
    <t>Abstand OK Nebenträger zu OK MEGANT-Verbinder</t>
  </si>
  <si>
    <t>k =</t>
  </si>
  <si>
    <t>k Abstand OK NT zu OK MEGANT</t>
  </si>
  <si>
    <t>Nebenträger Anschnittbreite</t>
  </si>
  <si>
    <t>Nebenträger Anschnitthöhe</t>
  </si>
  <si>
    <t>k</t>
  </si>
  <si>
    <r>
      <t>B</t>
    </r>
    <r>
      <rPr>
        <vertAlign val="subscript"/>
        <sz val="8"/>
        <rFont val="Century Gothic"/>
        <family val="2"/>
      </rPr>
      <t>J,A</t>
    </r>
  </si>
  <si>
    <r>
      <t>H</t>
    </r>
    <r>
      <rPr>
        <vertAlign val="subscript"/>
        <sz val="8"/>
        <rFont val="Century Gothic"/>
        <family val="2"/>
      </rPr>
      <t>J,A</t>
    </r>
  </si>
  <si>
    <t>Überstand oben/unten</t>
  </si>
  <si>
    <t>Überstand links/rechts</t>
  </si>
  <si>
    <t>Prüfung Verbinderüberstand</t>
  </si>
  <si>
    <t>Überstand unten</t>
  </si>
  <si>
    <t>Nebenträgerbreite</t>
  </si>
  <si>
    <t>Nebenträgerhöhe</t>
  </si>
  <si>
    <t>Abstand UK MEGANT zu UK NT</t>
  </si>
  <si>
    <t>Heißbemessung über Brandüberdeckung</t>
  </si>
  <si>
    <t>Prüfung Verbinderüberstand Kaltbemessung</t>
  </si>
  <si>
    <t>Schrauben oder Verbinder stehen über Nebenträgeraußenfläche über.</t>
  </si>
  <si>
    <t>MEGANT® dimensioning tool for main and secondary beam /column connections</t>
  </si>
  <si>
    <t>Tableur MEGANT® pour assemblage poutre principale-poteau / poutre secondaire</t>
  </si>
  <si>
    <t>Herramienta de diseño MEGANT® para conexiones de vigas principales secundarias/columnas</t>
  </si>
  <si>
    <t>Non-binding sample design</t>
  </si>
  <si>
    <t>Modèle de dimensionnement sans engagement</t>
  </si>
  <si>
    <t>Modelo de cálculo no vinculante</t>
  </si>
  <si>
    <t>Company name</t>
  </si>
  <si>
    <t>Entreprise</t>
  </si>
  <si>
    <t>Nombre empresa</t>
  </si>
  <si>
    <t>Building project</t>
  </si>
  <si>
    <t xml:space="preserve">Référence projet </t>
  </si>
  <si>
    <t>Nombre proyecto</t>
  </si>
  <si>
    <t>Date</t>
  </si>
  <si>
    <t>Fecha</t>
  </si>
  <si>
    <t>Project engineer</t>
  </si>
  <si>
    <t>Chargé de projet</t>
  </si>
  <si>
    <t>Ingeniero de proyecto</t>
  </si>
  <si>
    <t>Sales contact</t>
  </si>
  <si>
    <t>Commercial</t>
  </si>
  <si>
    <t>Contacto de Venta</t>
  </si>
  <si>
    <t>Cross sections</t>
  </si>
  <si>
    <t>Sections transversales</t>
  </si>
  <si>
    <t>Secciones transversales</t>
  </si>
  <si>
    <t>Main beam (Index H - header)</t>
  </si>
  <si>
    <t>Poutre principale (indice H - header)</t>
  </si>
  <si>
    <t>Viga principal (Índice H - cabecera)</t>
  </si>
  <si>
    <t>Column (Index H - header)</t>
  </si>
  <si>
    <t>Poteau (indice H - header)</t>
  </si>
  <si>
    <t>Material category</t>
  </si>
  <si>
    <t>Catégorie de matériau</t>
  </si>
  <si>
    <t>Categoría de material</t>
  </si>
  <si>
    <t>Strength class</t>
  </si>
  <si>
    <t>Classe de résistance</t>
  </si>
  <si>
    <t>Clase de resistencia</t>
  </si>
  <si>
    <t>width</t>
  </si>
  <si>
    <t>Largeur</t>
  </si>
  <si>
    <t>Ancho</t>
  </si>
  <si>
    <t>height</t>
  </si>
  <si>
    <t>Hauteur</t>
  </si>
  <si>
    <t>Altura</t>
  </si>
  <si>
    <t>Torsionally rigid main beam / column</t>
  </si>
  <si>
    <t>Poutre principale / Poteau rigide à la torsion</t>
  </si>
  <si>
    <t>Viga principal / pilar rígido a la torsión</t>
  </si>
  <si>
    <t>Yes</t>
  </si>
  <si>
    <t>Oui</t>
  </si>
  <si>
    <t>Sí</t>
  </si>
  <si>
    <t>No</t>
  </si>
  <si>
    <t>Non</t>
  </si>
  <si>
    <t>Minimum cross-section</t>
  </si>
  <si>
    <t>Section minimale :</t>
  </si>
  <si>
    <t>Sección transversal mínima:</t>
  </si>
  <si>
    <t>Main beam must be secured against rotation</t>
  </si>
  <si>
    <t>La poutre principale doit être protégée contre la torsion</t>
  </si>
  <si>
    <t>La viga principal debe asegurarse contra la torsión</t>
  </si>
  <si>
    <t>Secondary beam (Index J - Joist)</t>
  </si>
  <si>
    <t>Poutrelle secondaire (indice J - Joist)</t>
  </si>
  <si>
    <t>Vigas secundarias (Índice J - Joist)</t>
  </si>
  <si>
    <t>Type of connection</t>
  </si>
  <si>
    <t>Version</t>
  </si>
  <si>
    <t xml:space="preserve">Tipo de conexión </t>
  </si>
  <si>
    <t>Joist to header</t>
  </si>
  <si>
    <t>Poutre secondaire sur poutre principale</t>
  </si>
  <si>
    <t>Viga secundaria a viga principal</t>
  </si>
  <si>
    <t>Joist to column</t>
  </si>
  <si>
    <t>Poutre secondaire sur poteau</t>
  </si>
  <si>
    <t>Viga secundaria al pilar</t>
  </si>
  <si>
    <t>Joist to header - side timber surface</t>
  </si>
  <si>
    <t>Poutre secondaire sur la face latérale de la poutre principale</t>
  </si>
  <si>
    <t>Viga secundaria en la cara lateral de la viga principal</t>
  </si>
  <si>
    <t>Joist to column-cover</t>
  </si>
  <si>
    <t>Poutre secondaire sur la face supérieure des poteaux</t>
  </si>
  <si>
    <t>Viga secundaria en la superficie superior del pilar</t>
  </si>
  <si>
    <t>Joist to column-side</t>
  </si>
  <si>
    <t>Poutre secondaire sur la face latérale des poteaux</t>
  </si>
  <si>
    <t>Viga secundaria en la superficie lateral del pilar</t>
  </si>
  <si>
    <t>cover surface</t>
  </si>
  <si>
    <t>Face supérieure</t>
  </si>
  <si>
    <t>Superficie de cubierta</t>
  </si>
  <si>
    <t>side surface</t>
  </si>
  <si>
    <t>Face latérale</t>
  </si>
  <si>
    <t>Superficie lateral</t>
  </si>
  <si>
    <t>Vertical connection angle</t>
  </si>
  <si>
    <t>Angle d'assemblage vertical</t>
  </si>
  <si>
    <t>Ángulo de conexión vertical</t>
  </si>
  <si>
    <t>Horizontal connection angle</t>
  </si>
  <si>
    <t>Angle d'assemblage horizontal</t>
  </si>
  <si>
    <t>Ángulo de conexión horizontal</t>
  </si>
  <si>
    <t>Standard case without connection angle</t>
  </si>
  <si>
    <t>Cas général sans équerre de raccordement</t>
  </si>
  <si>
    <t>Caso estándar sin ángulo de conexión</t>
  </si>
  <si>
    <t>Distance from top of joist to top of MEGANT connector</t>
  </si>
  <si>
    <t>Distance entre le haut de la poutre secondaire et le haut du connecteur MEGANT</t>
  </si>
  <si>
    <t>Distancia del borde superior de la viga secundaria al borde superior del conector MEGANT</t>
  </si>
  <si>
    <t>Screws or connectors protrude over the outer surface of the joist.</t>
  </si>
  <si>
    <t>Les vis ou les connecteurs dépassent de la surface extérieure de la poutre secondaire.</t>
  </si>
  <si>
    <t>Ángulo demasiado grande, los tornillos sobresalen de la superficie exterior de la viga secundaria. Acortar los tornillos o aumentar las dimensiones de la viga secundaria.</t>
  </si>
  <si>
    <t>Partial safety factors</t>
  </si>
  <si>
    <t>Coefficients de sécurité partiels</t>
  </si>
  <si>
    <t>Factores de seguridad parciales</t>
  </si>
  <si>
    <t>Timber</t>
  </si>
  <si>
    <t>Bois</t>
  </si>
  <si>
    <t>Madera</t>
  </si>
  <si>
    <t>Steel</t>
  </si>
  <si>
    <t>Acier</t>
  </si>
  <si>
    <t>Acero</t>
  </si>
  <si>
    <t>Selection of MEGANT connectors and screws</t>
  </si>
  <si>
    <t>Sélection des connecteurs et vis MEGANT</t>
  </si>
  <si>
    <t>Selección de conector MEGANT y tornillos</t>
  </si>
  <si>
    <t>MEGANT connector</t>
  </si>
  <si>
    <t>Connecteur MEGANT</t>
  </si>
  <si>
    <t>Conector MEGANT</t>
  </si>
  <si>
    <t>Connection of the lower clamping jaw in the</t>
  </si>
  <si>
    <t>Fixation de la mâchoire inférieure dans</t>
  </si>
  <si>
    <t>Conexión de la mordaza inferior en la</t>
  </si>
  <si>
    <t>Header/column</t>
  </si>
  <si>
    <t>Poutre principale/Poteau</t>
  </si>
  <si>
    <t>viga principal / soporte</t>
  </si>
  <si>
    <t>Joist</t>
  </si>
  <si>
    <t>Poutre secondaire</t>
  </si>
  <si>
    <t>viga secundaria</t>
  </si>
  <si>
    <t>Lower clamping jaw in the Header/column</t>
  </si>
  <si>
    <t>Mâchoire inférieure dans la poutre principale/le poteau</t>
  </si>
  <si>
    <t>Mordaza inferior en la viga principal/soporte</t>
  </si>
  <si>
    <t>Lower clamping jaw in joist</t>
  </si>
  <si>
    <t>Mâchoire inférieure dans la poutre secondaire</t>
  </si>
  <si>
    <t>Mordaza inferior en la viga secundaria</t>
  </si>
  <si>
    <t>Screw arrangement</t>
  </si>
  <si>
    <t>Disposition des vis</t>
  </si>
  <si>
    <t>Distribución de los tornillos</t>
  </si>
  <si>
    <t>Quantity</t>
  </si>
  <si>
    <t>Nombre</t>
  </si>
  <si>
    <t>Cantidad</t>
  </si>
  <si>
    <t>Screw type and dimensions</t>
  </si>
  <si>
    <t>Type et dimensions des vis</t>
  </si>
  <si>
    <t>Tipo de tornillo y dimensiones</t>
  </si>
  <si>
    <t>45° screws header</t>
  </si>
  <si>
    <t>Vis à 45° sur poutre principale</t>
  </si>
  <si>
    <t>Tornillos 45° viga principal</t>
  </si>
  <si>
    <t>90° screws header</t>
  </si>
  <si>
    <t>Vis à 90° sur poutre principale</t>
  </si>
  <si>
    <t>Tornillos de 90° viga principal</t>
  </si>
  <si>
    <t>45° screw column</t>
  </si>
  <si>
    <t>Vis à 45° sur poteau</t>
  </si>
  <si>
    <t>Tornillos de 45° Vigas soporte</t>
  </si>
  <si>
    <t>90° screw column</t>
  </si>
  <si>
    <t>Vis à 90° sur poteau</t>
  </si>
  <si>
    <t>Tornillos de 90° vigas soporte</t>
  </si>
  <si>
    <t>45° screws joist</t>
  </si>
  <si>
    <t>Vis à 45° sur poutre secondaire</t>
  </si>
  <si>
    <t>Tornillos de 45° Vigas secundarias</t>
  </si>
  <si>
    <t>0° screws joist</t>
  </si>
  <si>
    <t>Vis à 90° sur poutre secondaire</t>
  </si>
  <si>
    <t>Tornillos de 0° vigas secundarias</t>
  </si>
  <si>
    <t>Threaded rods</t>
  </si>
  <si>
    <t>Tiges filetées</t>
  </si>
  <si>
    <t>Varillas roscadas</t>
  </si>
  <si>
    <t>Notes</t>
  </si>
  <si>
    <t>Remarques</t>
  </si>
  <si>
    <t>Notas</t>
  </si>
  <si>
    <t>The calculation is carried out for joists with the same MEGANT connectors on both end supports (see illustration of static system).</t>
  </si>
  <si>
    <t>Le calcul est effectué pour des poutres secondaires avec des connecteurs MEGANT identiques sur les deux appuis aux extrémités (voir illustration du système statique).</t>
  </si>
  <si>
    <t>El cálculo se realiza para vigas secundarias con los mismos conectores MEGANT en ambos apoyos extremos (véase la figura Sistema estático).</t>
  </si>
  <si>
    <t>The verifications are performed for the critical support.</t>
  </si>
  <si>
    <t>Les vérifications sont effectuées pour l'appui déterminant.</t>
  </si>
  <si>
    <t>Las verificaciones se realizan para el soporte determinante.</t>
  </si>
  <si>
    <t>Service class and load categories</t>
  </si>
  <si>
    <t>Classe de service et catégories d'effets</t>
  </si>
  <si>
    <t>Clase de servicio y categorías de exposición</t>
  </si>
  <si>
    <t xml:space="preserve">According to DIN EN 1995-1-1:2010-12 with NA Germany </t>
  </si>
  <si>
    <t>Selon NF EN 1995-1-1:2010-12 avec NA France</t>
  </si>
  <si>
    <t xml:space="preserve">Según DIN EN 1995-1-1:2010-12 con AN Alemania </t>
  </si>
  <si>
    <t>Service class</t>
  </si>
  <si>
    <t>Classe de service</t>
  </si>
  <si>
    <t>Clase de servicio</t>
  </si>
  <si>
    <t>load categories</t>
  </si>
  <si>
    <t>Catégories d'effets</t>
  </si>
  <si>
    <t>Categorías de exposición</t>
  </si>
  <si>
    <t>Load-duration class</t>
  </si>
  <si>
    <t>CDC (Classe de durée de chargement)</t>
  </si>
  <si>
    <t>Clase de duracion de la carga</t>
  </si>
  <si>
    <t>Dead loads</t>
  </si>
  <si>
    <t>Charges permanentes</t>
  </si>
  <si>
    <t>Peso propio</t>
  </si>
  <si>
    <t>Live load cat. A: Residential space</t>
  </si>
  <si>
    <t>Charge exploitation cat. A : Espace habitable</t>
  </si>
  <si>
    <t>Sobrecarga de uso Cat. A: Espacio habitable</t>
  </si>
  <si>
    <t>Live load cat. B: Office space</t>
  </si>
  <si>
    <t>Charge exploitation cat. B : Bureau</t>
  </si>
  <si>
    <t>Sobrecarga de uso Cat. B: Oficina</t>
  </si>
  <si>
    <t>Live load cat. C: Assembly rooms</t>
  </si>
  <si>
    <t>Charge exploitation cat. C : Salle de réunion</t>
  </si>
  <si>
    <t>Sobrecarga de uso Cat. C: Sala de montaje</t>
  </si>
  <si>
    <t>Live load cat. D: Sales area</t>
  </si>
  <si>
    <t>Charge exploitation cat. D : Espace de vente</t>
  </si>
  <si>
    <t>Sobrecarga de uso Cat. D: Sala de ventas</t>
  </si>
  <si>
    <t>Live load cat. E: Storage space</t>
  </si>
  <si>
    <t>Charge exploitation cat. E : Espace de stockage</t>
  </si>
  <si>
    <t>Sobrecarga de uso cat. E: Almacén</t>
  </si>
  <si>
    <t>Live load cat. F: Light traffic areas</t>
  </si>
  <si>
    <t>Charge exploitation cat. F : Surfaces de circulation légères</t>
  </si>
  <si>
    <t>Sobrecarga de uso cat. F: Zonas de tráfico ligero</t>
  </si>
  <si>
    <t>Live load cat. G: Heavy traffic areas</t>
  </si>
  <si>
    <t>Charge exploitation cat. G : Surfaces de circulation intensives</t>
  </si>
  <si>
    <t>Sobrecarga de usocat. G: Zonas de tráfico intenso</t>
  </si>
  <si>
    <t>Live load cat. H: Roofs</t>
  </si>
  <si>
    <t>Charge exploitation cat. H : Toitures</t>
  </si>
  <si>
    <t>Sobrecarga de uso cat. H: Tejados</t>
  </si>
  <si>
    <t>Snowload &lt; 1000m</t>
  </si>
  <si>
    <t>Charge de neige jusqu'à 1000 m</t>
  </si>
  <si>
    <t>Sobrecarga de nieve hasta 1.000 m</t>
  </si>
  <si>
    <t>Snow load &gt; 1000m</t>
  </si>
  <si>
    <t>Charge de neige à partir de 1000 m</t>
  </si>
  <si>
    <t>Sobrecarga de nieve &gt; 1.000 m</t>
  </si>
  <si>
    <t>Wind load</t>
  </si>
  <si>
    <t>Charge de vent</t>
  </si>
  <si>
    <t>Carga de viento</t>
  </si>
  <si>
    <t>permanent</t>
  </si>
  <si>
    <t>permanente</t>
  </si>
  <si>
    <t>long</t>
  </si>
  <si>
    <t>long terme</t>
  </si>
  <si>
    <t>larga</t>
  </si>
  <si>
    <t>medium</t>
  </si>
  <si>
    <t>moyen terme</t>
  </si>
  <si>
    <t>media</t>
  </si>
  <si>
    <t>short</t>
  </si>
  <si>
    <t>court terme</t>
  </si>
  <si>
    <t>corta</t>
  </si>
  <si>
    <t>short/very short</t>
  </si>
  <si>
    <t>court/très court terme</t>
  </si>
  <si>
    <t>corta/instantanea</t>
  </si>
  <si>
    <t>very short</t>
  </si>
  <si>
    <t>très court terme</t>
  </si>
  <si>
    <t>instantanea</t>
  </si>
  <si>
    <t>Static system and effect on secondary beam</t>
  </si>
  <si>
    <t>Système statique et solicitations sur les poutres secondaires</t>
  </si>
  <si>
    <t>Sistema estático y efecto sobre la viga secundaria</t>
  </si>
  <si>
    <t>Position of MEGANT connectors</t>
  </si>
  <si>
    <t>Disposition des connecteurs MEGANT</t>
  </si>
  <si>
    <t>Disposición de los conectores MEGANT</t>
  </si>
  <si>
    <t>one-sided</t>
  </si>
  <si>
    <t>sur un côté</t>
  </si>
  <si>
    <t>en un lado</t>
  </si>
  <si>
    <t>on both sides</t>
  </si>
  <si>
    <t>en face à face</t>
  </si>
  <si>
    <t>en ambos lados</t>
  </si>
  <si>
    <t>Length of secondary beams</t>
  </si>
  <si>
    <t>Longueur de la poutre secondaire</t>
  </si>
  <si>
    <t>Longitud de la viga secundaria</t>
  </si>
  <si>
    <t>Load in
1 direction</t>
  </si>
  <si>
    <t>Charges  
direction - 1</t>
  </si>
  <si>
    <t>Cargas en 
dirección 1</t>
  </si>
  <si>
    <t>Line load in
23 direction</t>
  </si>
  <si>
    <t>Charges linéaires
direction 2-3</t>
  </si>
  <si>
    <t>Cargas en 
línea dirección 23</t>
  </si>
  <si>
    <t>Load in
23 direction</t>
  </si>
  <si>
    <t>Charges ponctuelles
direction 2-3</t>
  </si>
  <si>
    <t>Cargas puntuales 
dirección 23</t>
  </si>
  <si>
    <t>Load in
45 direction</t>
  </si>
  <si>
    <t>Charges 
direction - 4-5</t>
  </si>
  <si>
    <t>Cargas en 
dirección 45</t>
  </si>
  <si>
    <t xml:space="preserve">Torsion </t>
  </si>
  <si>
    <t>Torsión</t>
  </si>
  <si>
    <t>Distance of singel load 23 direction</t>
  </si>
  <si>
    <t>Distance des charges ponctuelles direction 2-3</t>
  </si>
  <si>
    <t>Separación de cargas puntuales dirección 23</t>
  </si>
  <si>
    <t>For the current configuration, no design values for M_tor are available in ETA-15/0667 (Annex 5).</t>
  </si>
  <si>
    <t>Pour la configuration actuelle, il n'y a pas de valeurs de calcul pour M_tor dans l'ETA-15/0667 (annexe 5).</t>
  </si>
  <si>
    <t>No hay valores de diseño para M_tor en ETA-15/0667 (Anexo 5) para la configuración actual.</t>
  </si>
  <si>
    <t>Design values for M_tor according to ETA-15/0667 Annex 5.</t>
  </si>
  <si>
    <t>Valeurs de calcul pour M_tor selon ETA-15/0667 annexe 5.</t>
  </si>
  <si>
    <t>Valores de diseño para M_tor según ETA-15/0667 Anexo 5.</t>
  </si>
  <si>
    <t>Load combinations</t>
  </si>
  <si>
    <t>Combinaisons de cas de charge</t>
  </si>
  <si>
    <t>Combinactiones de carga</t>
  </si>
  <si>
    <t>The following load combinations ("LK") in accordance with DIN EN 1990:2010-12 with NA Germany are taken into account for both 
the "top bending tension" and "bottom bending tension" cases. In the following verifications, only the decisive load case 
combination and the number of the load case combination are shown.</t>
  </si>
  <si>
    <t>Para los casos de «tensión de flexión superior» y «tensión de flexión inferior» se tienen en cuenta las siguientes combinaciones de carga («CC») según DIN EN 1990:2010-12 con AN Alemania. En las siguientes verificaciones, solo se indica la combinación de carga determinante y el número de la combinación de carga.</t>
  </si>
  <si>
    <t>Numbering of the load combinations</t>
  </si>
  <si>
    <t>Numérotation des combinaisons de cas de charge</t>
  </si>
  <si>
    <t>Numeración de las combinaciones de carga</t>
  </si>
  <si>
    <t>Combinaciones de carga</t>
  </si>
  <si>
    <t>flexural tension top</t>
  </si>
  <si>
    <t>Traction de flexion en haut</t>
  </si>
  <si>
    <t>Tensión de flexión superior</t>
  </si>
  <si>
    <t>flexural tension bottom</t>
  </si>
  <si>
    <t>Traction de flexion en bas</t>
  </si>
  <si>
    <t>Tensión de flexión inferior</t>
  </si>
  <si>
    <t>geometric data</t>
  </si>
  <si>
    <t>Données géométriques</t>
  </si>
  <si>
    <t>Datos geométricos</t>
  </si>
  <si>
    <t>Screw length in connector</t>
  </si>
  <si>
    <t>Longueur de vis dans le connecteur</t>
  </si>
  <si>
    <t>Longitud del tornillo en el conector</t>
  </si>
  <si>
    <t>90°/0° in clamping jaw</t>
  </si>
  <si>
    <t>90°/0° dans la mâchoire</t>
  </si>
  <si>
    <t>90°/0° en la mordaza de sujeción</t>
  </si>
  <si>
    <t>90°/0° in connector plate</t>
  </si>
  <si>
    <t>90°/0° dans la plaque de connexion</t>
  </si>
  <si>
    <t>90°/0° en la placa base</t>
  </si>
  <si>
    <t>90°/0° en placa base</t>
  </si>
  <si>
    <t>45° in connectors plate</t>
  </si>
  <si>
    <t>45° dans la plaque de connexion</t>
  </si>
  <si>
    <t>45° en placa base</t>
  </si>
  <si>
    <t>Number H + J</t>
  </si>
  <si>
    <t>Nombre P.P. + P.S.</t>
  </si>
  <si>
    <t>Número VP + VS</t>
  </si>
  <si>
    <t>Unthreaded shank length</t>
  </si>
  <si>
    <t>Longueur de tige non filetée</t>
  </si>
  <si>
    <t>Longitud de vástago sin rosca</t>
  </si>
  <si>
    <t>Effective screw lengths</t>
  </si>
  <si>
    <t>Longueurs effectives des vis</t>
  </si>
  <si>
    <t>Longitud efectiva de los tornillos</t>
  </si>
  <si>
    <t>Header</t>
  </si>
  <si>
    <t>Poutre principale (P.P.)</t>
  </si>
  <si>
    <t>Viga principal (VP)</t>
  </si>
  <si>
    <t>Column</t>
  </si>
  <si>
    <t>Poteau</t>
  </si>
  <si>
    <t>Soporte</t>
  </si>
  <si>
    <t>Poutre secondaire (P.S.)</t>
  </si>
  <si>
    <t>Viga secundaria (VS)</t>
  </si>
  <si>
    <t>Force in the direction of the joist</t>
  </si>
  <si>
    <t>Force en direction de la poutre secondaire</t>
  </si>
  <si>
    <t>Fuerza en la dirección de la viga secundaria</t>
  </si>
  <si>
    <t xml:space="preserve">Screws J: α = 0° </t>
  </si>
  <si>
    <t xml:space="preserve">Vis P.S. : α = 0° </t>
  </si>
  <si>
    <t xml:space="preserve">Tornillos VS: α = 0° </t>
  </si>
  <si>
    <t xml:space="preserve">Screws H: α = 90° </t>
  </si>
  <si>
    <t xml:space="preserve">Vis P.P. : α = 90° </t>
  </si>
  <si>
    <t xml:space="preserve">Tornillos VP: α = 90° </t>
  </si>
  <si>
    <t>(i) Load-bearing capacity of the tension screws</t>
  </si>
  <si>
    <t>(i) capacité de charge des vis de traction</t>
  </si>
  <si>
    <t>(i) Capacidad de carga de los tornillos a tracción</t>
  </si>
  <si>
    <t>(ii) Tensile strength of the horizontal screws</t>
  </si>
  <si>
    <t>(ii) résistance à la traction des vis horizontales</t>
  </si>
  <si>
    <t>(ii) Capacidad de carga de tracción de los tornillos horizontales</t>
  </si>
  <si>
    <t>(iii) Maximum load-bearing capacity of the MEGANT connector</t>
  </si>
  <si>
    <t>(iii) capacité de charge maximale du connecteur MEGANT</t>
  </si>
  <si>
    <t>(iii) Capacidad de carga máxima del conector MEGANT</t>
  </si>
  <si>
    <t>Verification</t>
  </si>
  <si>
    <t>Justification</t>
  </si>
  <si>
    <t>Verificación</t>
  </si>
  <si>
    <t>Relevant design value</t>
  </si>
  <si>
    <t>Valeur de calcul déterminante</t>
  </si>
  <si>
    <t>Valor de diseño relevante</t>
  </si>
  <si>
    <t>from</t>
  </si>
  <si>
    <t>de</t>
  </si>
  <si>
    <t>Force in the direction of insertion</t>
  </si>
  <si>
    <t>Force en sens d'emboitement</t>
  </si>
  <si>
    <t>Fuerza en la dirección de inserción</t>
  </si>
  <si>
    <t>(i) Load capacity of the 45° screws</t>
  </si>
  <si>
    <t>(i) capacité de charge des vis à 45</t>
  </si>
  <si>
    <t>(i) Capacidad de carga de los tornillos de 45</t>
  </si>
  <si>
    <t>(ii) Maximum load capacity of the MEGANT connector</t>
  </si>
  <si>
    <t>(ii) capacité de charge maximale du connecteur MEGANT</t>
  </si>
  <si>
    <t>(ii) Capacidad de carga máxima del conector MEGANT</t>
  </si>
  <si>
    <t>(iii) Tensile strength of the threaded rods</t>
  </si>
  <si>
    <t>(iii) résistance à la traction des tiges filetées</t>
  </si>
  <si>
    <t>(iii) Resistencia a la tracción de las varillas roscadas</t>
  </si>
  <si>
    <t>(iv) portance locale du filetage dans l'aluminium</t>
  </si>
  <si>
    <t>inclined screws 45° H</t>
  </si>
  <si>
    <t>vis inclinées 45° P.P.</t>
  </si>
  <si>
    <t>tornillos inclinados 45° VP</t>
  </si>
  <si>
    <t>inclined screws 45° J</t>
  </si>
  <si>
    <t>vis inclinées 45° P.S.</t>
  </si>
  <si>
    <t>tornillos inclinados 45° VS</t>
  </si>
  <si>
    <t>torsionally rigid</t>
  </si>
  <si>
    <t>rigide en torsion</t>
  </si>
  <si>
    <t>rígido a la torsión</t>
  </si>
  <si>
    <t>torsionally soft</t>
  </si>
  <si>
    <t>non rigide en torsion</t>
  </si>
  <si>
    <t>torsionalmente blandos</t>
  </si>
  <si>
    <t>Clamping jaw height - 20mm</t>
  </si>
  <si>
    <t>hauteur des mâchoires - 20mm</t>
  </si>
  <si>
    <t>Altura de la mordaza de sujeción - 20 mm</t>
  </si>
  <si>
    <t>Force against the direction of insertion</t>
  </si>
  <si>
    <t>Force en sens contraire à l'emboitement</t>
  </si>
  <si>
    <t>Fuerza contra la dirección de inserción</t>
  </si>
  <si>
    <t>Joist 0° screws</t>
  </si>
  <si>
    <t>Vis 0° sur poutre secondaire</t>
  </si>
  <si>
    <t xml:space="preserve">Viga secundaria tornillos 0° </t>
  </si>
  <si>
    <t>Joist 45° screws</t>
  </si>
  <si>
    <t>Vis 45° sur poutre secondaire</t>
  </si>
  <si>
    <t xml:space="preserve">Viga secundaria tornillos 45° </t>
  </si>
  <si>
    <t>Header 90° screws</t>
  </si>
  <si>
    <t>Vis 90° sur poutre principale</t>
  </si>
  <si>
    <t>Viga principal tornillos 90°</t>
  </si>
  <si>
    <t>Header 45° screws</t>
  </si>
  <si>
    <t>Vis 45° sur poutre principale</t>
  </si>
  <si>
    <t>Viga principal tornillos 45°</t>
  </si>
  <si>
    <t>Vis 90° sur poteau</t>
  </si>
  <si>
    <t>Soporte tornillos 90°</t>
  </si>
  <si>
    <t>Vis 45° sur poteau</t>
  </si>
  <si>
    <t>Soporte tornillos 45°</t>
  </si>
  <si>
    <t>Angle between screw axis and grain direction</t>
  </si>
  <si>
    <t xml:space="preserve">Effort-angle-fibre </t>
  </si>
  <si>
    <t>Ángulo fuerza-fibra</t>
  </si>
  <si>
    <t>Force perpendicular to the direction of insertion</t>
  </si>
  <si>
    <t>Fuerza normal a la dirección de inserción</t>
  </si>
  <si>
    <t>Moment resistance and spring stiffness</t>
  </si>
  <si>
    <t>Capacité de charge du moment et rigidité du ressort</t>
  </si>
  <si>
    <t>Determination of centre of rotation x according to ETA-15/0667</t>
  </si>
  <si>
    <t>Détermination du point de rotation x selon ETA-15/0667</t>
  </si>
  <si>
    <t>Determinación del punto de rotación x según ETA-15/0667</t>
  </si>
  <si>
    <t>Deformation under compression</t>
  </si>
  <si>
    <t>Déformation à la compression</t>
  </si>
  <si>
    <t>Deformación por compresión</t>
  </si>
  <si>
    <t>Number of screws under tensile load</t>
  </si>
  <si>
    <t>Nombre de vis soumises à la traction</t>
  </si>
  <si>
    <t>Número de tornillos sometidos a tracción</t>
  </si>
  <si>
    <t>Max. distance of all tension screws to the top of the connector</t>
  </si>
  <si>
    <t>Distance max. de toutes les vis de traction par rapport au bord supérieur du connecteur</t>
  </si>
  <si>
    <t>Distancia máxima de todos los tornillos de tracción al borde superior del conector</t>
  </si>
  <si>
    <t>Displacement of the outermost tension screw</t>
  </si>
  <si>
    <t>Déplacement de la vis de traction la plus extérieure</t>
  </si>
  <si>
    <t>Desplazamiento del tornillo de tracción más exterior</t>
  </si>
  <si>
    <t>Max. tensile force of all tension screws</t>
  </si>
  <si>
    <t>Force de traction max. de toutes les vis de traction</t>
  </si>
  <si>
    <t>Fuerza de tracción máx. de todos los tornillos de tracción</t>
  </si>
  <si>
    <t>Sum of the distances between the individual tension screws to the top of the connector</t>
  </si>
  <si>
    <t>Somme des distances entre les différentes vis de traction et le bord supérieur du connecteur</t>
  </si>
  <si>
    <t>Suma de las distancias de cada uno de los tornillos de tracción al borde superior del conector</t>
  </si>
  <si>
    <t>Distance of the furthest screw from the centre of rotation</t>
  </si>
  <si>
    <t>Distance de la vis la plus éloignée du centre de rotation</t>
  </si>
  <si>
    <t>Distancia del tornillo más alejado del centro de rotación</t>
  </si>
  <si>
    <t>for bending tension at the top</t>
  </si>
  <si>
    <t>Traction par flexion en haut</t>
  </si>
  <si>
    <t>para la tensión de flexión superior</t>
  </si>
  <si>
    <t>for bending tension at the bottom</t>
  </si>
  <si>
    <t>Traction par flexion en bas</t>
  </si>
  <si>
    <t>para la tensión de flexión inferior</t>
  </si>
  <si>
    <t>Torsional spring stiffnesses</t>
  </si>
  <si>
    <t>Rigidité du ressort de torsion</t>
  </si>
  <si>
    <t>Rigidez torsional de los muelles</t>
  </si>
  <si>
    <t>for the ultimate limit state</t>
  </si>
  <si>
    <t>pour l'état limite ultime</t>
  </si>
  <si>
    <t>para el estado límite último</t>
  </si>
  <si>
    <t>The clamping moments determined by the MEGANT connector depend on the torsional spring stiffnesses (for the ultimate limit state), which in turn depend on the combination coefficients of the respective load combination.
The following table lists the torsional spring stiffnesses on which the clamping moments are based (for the ultimate limit state) as a function of the load combination.</t>
  </si>
  <si>
    <t>Les couples de serrage déterminés par le connecteur MEGANT dépendent des rigidités des ressorts de torsion (pour l'état limite ultime), qui dépendent à leur tour des coefficients de combinaison de chaque combinaison de charge.
Le tableau suivant donne la liste des rigidités de torsion (pour l'état limite ultime) en fonction de la combinaison de charge.</t>
  </si>
  <si>
    <t>Torsional load-bearing capacity</t>
  </si>
  <si>
    <t>Résistance à la torsion</t>
  </si>
  <si>
    <t>Capacidad de carga torsional</t>
  </si>
  <si>
    <t>c = 0.8 from higher to lower density</t>
  </si>
  <si>
    <t>c = 0,8 de la densité la plus élevée à la plus faible</t>
  </si>
  <si>
    <t>c = 0,8 de mayor a menor densidad</t>
  </si>
  <si>
    <t>c = 0.6 from lower to higher density</t>
  </si>
  <si>
    <t>c = 0,6 de la densité la plus faible à la plus élevée</t>
  </si>
  <si>
    <t>c = 0,6 de menor a mayor densidad</t>
  </si>
  <si>
    <t>Summary of the results</t>
  </si>
  <si>
    <t>Résumé des résultats</t>
  </si>
  <si>
    <t>Resumen de los resultados</t>
  </si>
  <si>
    <t>Individual verifications</t>
  </si>
  <si>
    <t>Justification individuelle</t>
  </si>
  <si>
    <t>Verificaciones individuales</t>
  </si>
  <si>
    <t>Load-bearing capacity</t>
  </si>
  <si>
    <t>Capacité de charge</t>
  </si>
  <si>
    <t>Capacidad de carga</t>
  </si>
  <si>
    <t>Loads</t>
  </si>
  <si>
    <t>Effet</t>
  </si>
  <si>
    <t>Carga</t>
  </si>
  <si>
    <t>Utilisation</t>
  </si>
  <si>
    <t>Exploitation</t>
  </si>
  <si>
    <t>Utilización</t>
  </si>
  <si>
    <t>Combined verifications</t>
  </si>
  <si>
    <t>Justification combinée</t>
  </si>
  <si>
    <t>Verificaciones combinadas</t>
  </si>
  <si>
    <t>Fire cover</t>
  </si>
  <si>
    <t>Recouvrement pour la protection au feu</t>
  </si>
  <si>
    <t>Cobertura del fuego</t>
  </si>
  <si>
    <t>Duration of fire exposure</t>
  </si>
  <si>
    <t>Durée d'exposition au feu</t>
  </si>
  <si>
    <t>Duración de la exposición al fuego</t>
  </si>
  <si>
    <t>No fire cover required.</t>
  </si>
  <si>
    <t>Pas de recouvrement pour la protection au feu requit</t>
  </si>
  <si>
    <t>No se requiere cobertura contra incendios.</t>
  </si>
  <si>
    <t>Joist width</t>
  </si>
  <si>
    <t>Largeur de la poutre secondaire</t>
  </si>
  <si>
    <t>Anchura del viga secundaria</t>
  </si>
  <si>
    <t>Joist height</t>
  </si>
  <si>
    <t>Hauteur de la poutre secondaire</t>
  </si>
  <si>
    <t>Altura del viga secundaria</t>
  </si>
  <si>
    <t>Joist Gate width???</t>
  </si>
  <si>
    <t>Largeur résiduelle de la poutre secondaire</t>
  </si>
  <si>
    <t>???</t>
  </si>
  <si>
    <t>Joist Gate height???</t>
  </si>
  <si>
    <t>Hauteur résiduelle de la poutre secondaire</t>
  </si>
  <si>
    <t>Connector width</t>
  </si>
  <si>
    <t>Largeur du connecteur</t>
  </si>
  <si>
    <t>Anchura del conector</t>
  </si>
  <si>
    <t>Connector height</t>
  </si>
  <si>
    <t>Hauteur du connecteur</t>
  </si>
  <si>
    <t>Altura del conector</t>
  </si>
  <si>
    <t>Milling width</t>
  </si>
  <si>
    <t>Largeur de fraisage</t>
  </si>
  <si>
    <t>Anchura de fresado</t>
  </si>
  <si>
    <t>Milling length</t>
  </si>
  <si>
    <t>Longueur de fraisage</t>
  </si>
  <si>
    <t>Longitud de fresado</t>
  </si>
  <si>
    <t>Charred layer</t>
  </si>
  <si>
    <t>Couche carbonisée</t>
  </si>
  <si>
    <t>Capa carbonizada</t>
  </si>
  <si>
    <t>charring rate</t>
  </si>
  <si>
    <t>Taux de combustion</t>
  </si>
  <si>
    <t>Tasa de carbonisacion</t>
  </si>
  <si>
    <t>Burn-off</t>
  </si>
  <si>
    <t>Combustion</t>
  </si>
  <si>
    <t>carbonisacion</t>
  </si>
  <si>
    <t>Lateral fire coverage</t>
  </si>
  <si>
    <t>Recouvrement feu latéral</t>
  </si>
  <si>
    <t>Cobertura de fuego lateral</t>
  </si>
  <si>
    <t>Fire cover below</t>
  </si>
  <si>
    <t>Recouvrement feu bas</t>
  </si>
  <si>
    <t>Cobertura de fuego inferior</t>
  </si>
  <si>
    <t>Sufficient fire cover.</t>
  </si>
  <si>
    <t>Recouvrement feu suffisant.</t>
  </si>
  <si>
    <t>Cobertura de fuego suficiente.</t>
  </si>
  <si>
    <t>Fire cover not sufficient.</t>
  </si>
  <si>
    <t>Recouvrement feu insuffisant.</t>
  </si>
  <si>
    <t>Cobertura de fuego insuficiente.</t>
  </si>
  <si>
    <t>Screw length</t>
  </si>
  <si>
    <t>Longueur de la vis</t>
  </si>
  <si>
    <t>Longitud del tornillo</t>
  </si>
  <si>
    <t>Screw diameter</t>
  </si>
  <si>
    <t>Diamètre</t>
  </si>
  <si>
    <t>Diámetro del tornillo</t>
  </si>
  <si>
    <t>Screw-grain angle</t>
  </si>
  <si>
    <t xml:space="preserve">Vis-angle-fibre </t>
  </si>
  <si>
    <t>Ángulo tornillo-fibra</t>
  </si>
  <si>
    <t>Screw-grain-angle</t>
  </si>
  <si>
    <t>Vis-angle-surface de recouvrement</t>
  </si>
  <si>
    <t>Ángulo de la superficie de cobertura del tornillo?</t>
  </si>
  <si>
    <t>average eff. screw length</t>
  </si>
  <si>
    <t>long. moyenne effective de la vis</t>
  </si>
  <si>
    <t>Longitud media efectiva del tornillo</t>
  </si>
  <si>
    <t>Number of conectors</t>
  </si>
  <si>
    <t>Número de conectores</t>
  </si>
  <si>
    <t>eff. Number of screws</t>
  </si>
  <si>
    <t>Nombre de vis effectif</t>
  </si>
  <si>
    <t>Número efectivo de tornillos</t>
  </si>
  <si>
    <t>char. density</t>
  </si>
  <si>
    <t>Masse volumique caract.</t>
  </si>
  <si>
    <t>Densidad bruta característica</t>
  </si>
  <si>
    <t>char. withdrawal strength</t>
  </si>
  <si>
    <t>Paramètre d'extraction caract.</t>
  </si>
  <si>
    <t>Parámetro característico de tracción</t>
  </si>
  <si>
    <t>Dimension coefficient</t>
  </si>
  <si>
    <t>Coefficient dimensionnel</t>
  </si>
  <si>
    <t>Coeficiente de dimensión</t>
  </si>
  <si>
    <t>coefficient</t>
  </si>
  <si>
    <t>Coefficient</t>
  </si>
  <si>
    <t>coeficiente</t>
  </si>
  <si>
    <t>Résistance à l'arrachement caract.</t>
  </si>
  <si>
    <t>char. Load capacity</t>
  </si>
  <si>
    <t>Capacité de charge caract.</t>
  </si>
  <si>
    <t>Capacidad de carga característica</t>
  </si>
  <si>
    <t>Partial safety factor</t>
  </si>
  <si>
    <t>Coefficient partiel de sécurité</t>
  </si>
  <si>
    <t>Factor de seguridad parcial</t>
  </si>
  <si>
    <t>char. Tensile strength</t>
  </si>
  <si>
    <t>Résistance à la traction caract.</t>
  </si>
  <si>
    <t>Number of screws</t>
  </si>
  <si>
    <t>Nombre de vis</t>
  </si>
  <si>
    <t>Número de tornillos</t>
  </si>
  <si>
    <t>char. Tensile resistance</t>
  </si>
  <si>
    <t>Resistencia característica a la tracción</t>
  </si>
  <si>
    <t>char. Pull-out resistance</t>
  </si>
  <si>
    <t>Resistencia característica a la extracción</t>
  </si>
  <si>
    <t>char. tensile resistance</t>
  </si>
  <si>
    <t>max. load capacity MEGANT</t>
  </si>
  <si>
    <t>Capacité de charge max. MEGANT</t>
  </si>
  <si>
    <t>Capacidad de carga máxima MEGANT</t>
  </si>
  <si>
    <t>factor</t>
  </si>
  <si>
    <t>Facteur</t>
  </si>
  <si>
    <t>Cross-sectional area</t>
  </si>
  <si>
    <t>Surface de la section</t>
  </si>
  <si>
    <t>Sección transversal</t>
  </si>
  <si>
    <t>0.2% Yield strength</t>
  </si>
  <si>
    <t xml:space="preserve">Limite d'élasticité 0,2% </t>
  </si>
  <si>
    <t>Thread diameter</t>
  </si>
  <si>
    <t>Diamètre du filetage</t>
  </si>
  <si>
    <t>Diámetro de la rosca</t>
  </si>
  <si>
    <t>Thread length in aluminium</t>
  </si>
  <si>
    <t>Longueur du filetage dans l'aluminium</t>
  </si>
  <si>
    <t>Longitud de la rosca en aluminio</t>
  </si>
  <si>
    <t>Thread area</t>
  </si>
  <si>
    <t>Surface filetée</t>
  </si>
  <si>
    <t>Área de rosca</t>
  </si>
  <si>
    <t>Reduction factor</t>
  </si>
  <si>
    <t>Facteur de réduction</t>
  </si>
  <si>
    <t>Factor de reducción</t>
  </si>
  <si>
    <t>char. yield moment</t>
  </si>
  <si>
    <t>Moment d'écoulement</t>
  </si>
  <si>
    <t>Momento de fluencia característico</t>
  </si>
  <si>
    <t>char. embedding strength</t>
  </si>
  <si>
    <t>Portance locale caract.</t>
  </si>
  <si>
    <t>char. Load capacity per conector</t>
  </si>
  <si>
    <t>Capacidad de carga característica por conector</t>
  </si>
  <si>
    <t>Large surface de contact</t>
  </si>
  <si>
    <t>Ancho área de contacto</t>
  </si>
  <si>
    <t>char. Resistance to compression</t>
  </si>
  <si>
    <t>Résistance à la compression caract.</t>
  </si>
  <si>
    <t>Resistencia característica a la compresión</t>
  </si>
  <si>
    <t>Contribution max. à la compression</t>
  </si>
  <si>
    <t>Presión máx. contributiva</t>
  </si>
  <si>
    <t xml:space="preserve">Contributing fibre length </t>
  </si>
  <si>
    <t xml:space="preserve">Longueur de fibre participante </t>
  </si>
  <si>
    <t xml:space="preserve">Longitud de fibra contribuyente </t>
  </si>
  <si>
    <t>Torsional stiffness</t>
  </si>
  <si>
    <t>Rigidez torsional</t>
  </si>
  <si>
    <t>Conversion factor</t>
  </si>
  <si>
    <t>Facteur de conversion</t>
  </si>
  <si>
    <t>Factor de conversión</t>
  </si>
  <si>
    <t>Limit eccentricity</t>
  </si>
  <si>
    <t>Limite d'excentricités</t>
  </si>
  <si>
    <t>Excentricidad límite</t>
  </si>
  <si>
    <t>Les combinaisons de charge (« LK ») suivantes sont prises en compte selon la norme EN 1990:2010-12 avec NA France, respectivement pour le cas « traction par flexion en haut » et pour le cas « traction par flexion en bas ». Dans les vérifications suivantes, seule la combinaison de charge déterminante est indiquée, ainsi que le numéro de la combinaison de charge.</t>
  </si>
  <si>
    <t>(iv) Embedding strength of the thread in the aluminium</t>
  </si>
  <si>
    <t>(iv) Resistencia de incrustación de la rosca en el aluminio</t>
  </si>
  <si>
    <t>Effort normal au sens d'insertion</t>
  </si>
  <si>
    <t>Resistencia al momento y rigidez del muelle</t>
  </si>
  <si>
    <t>Los momentos de sujeción determinados por el conector MEGANT dependen de las rigideces de los muelles de torsión (para el estado límite último), que a su vez dependen de los coeficientes de combinación de la respectiva combinación de carga.
La siguiente tabla muestra las rigideces de los muelles de torsión en las que se basan los momentos de sujeción (para el estado límite último) en función de la combinación de carga.</t>
  </si>
  <si>
    <t>Nombre VM</t>
  </si>
  <si>
    <t>0,2% Límite elástico</t>
  </si>
  <si>
    <t xml:space="preserve">Fuerza de resistencia característica del revelado perforado </t>
  </si>
  <si>
    <t>Capacité de charge caract. par VM</t>
  </si>
  <si>
    <t>Width contact area</t>
  </si>
  <si>
    <t>max. compression load (evtl contribution)</t>
  </si>
  <si>
    <t>top</t>
  </si>
  <si>
    <t>bottom</t>
  </si>
  <si>
    <t>en bas</t>
  </si>
  <si>
    <t>en haut</t>
  </si>
  <si>
    <t>superior</t>
  </si>
  <si>
    <t>inferior</t>
  </si>
  <si>
    <r>
      <t>n</t>
    </r>
    <r>
      <rPr>
        <vertAlign val="subscript"/>
        <sz val="10"/>
        <color rgb="FFFF0000"/>
        <rFont val="Century Gothic"/>
        <family val="2"/>
      </rPr>
      <t>c</t>
    </r>
  </si>
  <si>
    <r>
      <t>l</t>
    </r>
    <r>
      <rPr>
        <vertAlign val="subscript"/>
        <sz val="11"/>
        <color rgb="FFFF0000"/>
        <rFont val="Century Gothic"/>
        <family val="2"/>
      </rPr>
      <t>c</t>
    </r>
  </si>
  <si>
    <r>
      <t>d</t>
    </r>
    <r>
      <rPr>
        <vertAlign val="subscript"/>
        <sz val="11"/>
        <color rgb="FFFF0000"/>
        <rFont val="Century Gothic"/>
        <family val="2"/>
      </rPr>
      <t>c</t>
    </r>
  </si>
  <si>
    <t>Typ</t>
  </si>
  <si>
    <r>
      <t>n</t>
    </r>
    <r>
      <rPr>
        <vertAlign val="subscript"/>
        <sz val="10"/>
        <color rgb="FF008000"/>
        <rFont val="Century Gothic"/>
        <family val="2"/>
      </rPr>
      <t>t</t>
    </r>
  </si>
  <si>
    <r>
      <t>l</t>
    </r>
    <r>
      <rPr>
        <vertAlign val="subscript"/>
        <sz val="11"/>
        <color rgb="FF008000"/>
        <rFont val="Century Gothic"/>
        <family val="2"/>
      </rPr>
      <t>t</t>
    </r>
  </si>
  <si>
    <r>
      <t>d</t>
    </r>
    <r>
      <rPr>
        <vertAlign val="subscript"/>
        <sz val="11"/>
        <color rgb="FF008000"/>
        <rFont val="Century Gothic"/>
        <family val="2"/>
      </rPr>
      <t>t</t>
    </r>
  </si>
  <si>
    <r>
      <t>M</t>
    </r>
    <r>
      <rPr>
        <vertAlign val="subscript"/>
        <sz val="10"/>
        <rFont val="Century Gothic"/>
        <family val="2"/>
      </rPr>
      <t>2,Rk,HT</t>
    </r>
  </si>
  <si>
    <r>
      <t>M</t>
    </r>
    <r>
      <rPr>
        <vertAlign val="subscript"/>
        <sz val="10"/>
        <rFont val="Century Gothic"/>
        <family val="2"/>
      </rPr>
      <t>2,Rk,NT</t>
    </r>
  </si>
  <si>
    <r>
      <t>M</t>
    </r>
    <r>
      <rPr>
        <vertAlign val="subscript"/>
        <sz val="10"/>
        <rFont val="Century Gothic"/>
        <family val="2"/>
      </rPr>
      <t>2,Rk</t>
    </r>
  </si>
  <si>
    <r>
      <t>x</t>
    </r>
    <r>
      <rPr>
        <vertAlign val="subscript"/>
        <sz val="10"/>
        <rFont val="Century Gothic"/>
        <family val="2"/>
      </rPr>
      <t>HT</t>
    </r>
  </si>
  <si>
    <r>
      <t>x</t>
    </r>
    <r>
      <rPr>
        <vertAlign val="subscript"/>
        <sz val="10"/>
        <rFont val="Century Gothic"/>
        <family val="2"/>
      </rPr>
      <t>NT</t>
    </r>
  </si>
  <si>
    <r>
      <t>e</t>
    </r>
    <r>
      <rPr>
        <vertAlign val="subscript"/>
        <sz val="11"/>
        <rFont val="Calibri"/>
        <family val="2"/>
        <scheme val="minor"/>
      </rPr>
      <t>lim,HT</t>
    </r>
  </si>
  <si>
    <r>
      <t>e</t>
    </r>
    <r>
      <rPr>
        <vertAlign val="subscript"/>
        <sz val="11"/>
        <rFont val="Calibri"/>
        <family val="2"/>
        <scheme val="minor"/>
      </rPr>
      <t>lim,NT</t>
    </r>
  </si>
  <si>
    <r>
      <t>w</t>
    </r>
    <r>
      <rPr>
        <vertAlign val="subscript"/>
        <sz val="10"/>
        <rFont val="Century Gothic"/>
        <family val="2"/>
      </rPr>
      <t>Druck,HT</t>
    </r>
  </si>
  <si>
    <r>
      <t>w</t>
    </r>
    <r>
      <rPr>
        <vertAlign val="subscript"/>
        <sz val="10"/>
        <rFont val="Century Gothic"/>
        <family val="2"/>
      </rPr>
      <t>Druck,NT</t>
    </r>
  </si>
  <si>
    <r>
      <t>B</t>
    </r>
    <r>
      <rPr>
        <vertAlign val="subscript"/>
        <sz val="10"/>
        <rFont val="Century Gothic"/>
        <family val="2"/>
      </rPr>
      <t>min,NT</t>
    </r>
  </si>
  <si>
    <r>
      <t>H</t>
    </r>
    <r>
      <rPr>
        <vertAlign val="subscript"/>
        <sz val="10"/>
        <rFont val="Century Gothic"/>
        <family val="2"/>
      </rPr>
      <t>min,NT</t>
    </r>
  </si>
  <si>
    <t>Verstärkung Druckzone HT</t>
  </si>
  <si>
    <t>Verhältnis verstärkt/unverstärkt</t>
  </si>
  <si>
    <t>deltax</t>
  </si>
  <si>
    <t>delta w</t>
  </si>
  <si>
    <t>Drucktragfähigkeit der Verstärkung</t>
  </si>
  <si>
    <r>
      <t>n</t>
    </r>
    <r>
      <rPr>
        <vertAlign val="subscript"/>
        <sz val="10"/>
        <color theme="1"/>
        <rFont val="Century Gothic"/>
        <family val="2"/>
      </rPr>
      <t>v</t>
    </r>
  </si>
  <si>
    <r>
      <t>F</t>
    </r>
    <r>
      <rPr>
        <vertAlign val="subscript"/>
        <sz val="10"/>
        <color theme="1"/>
        <rFont val="Century Gothic"/>
        <family val="2"/>
      </rPr>
      <t>v,c</t>
    </r>
  </si>
  <si>
    <t>Ermittlung Drehpunkt x</t>
  </si>
  <si>
    <r>
      <t>Verschiebung bei F</t>
    </r>
    <r>
      <rPr>
        <vertAlign val="subscript"/>
        <sz val="10"/>
        <color theme="1"/>
        <rFont val="Century Gothic"/>
        <family val="2"/>
      </rPr>
      <t>ax</t>
    </r>
    <r>
      <rPr>
        <sz val="10"/>
        <color theme="1"/>
        <rFont val="Century Gothic"/>
        <family val="2"/>
      </rPr>
      <t xml:space="preserve"> = R</t>
    </r>
    <r>
      <rPr>
        <vertAlign val="subscript"/>
        <sz val="10"/>
        <color theme="1"/>
        <rFont val="Century Gothic"/>
        <family val="2"/>
      </rPr>
      <t>ax</t>
    </r>
    <r>
      <rPr>
        <sz val="10"/>
        <color theme="1"/>
        <rFont val="Century Gothic"/>
        <family val="2"/>
      </rPr>
      <t xml:space="preserve"> (ULS)</t>
    </r>
  </si>
  <si>
    <t>C</t>
  </si>
  <si>
    <r>
      <t>K</t>
    </r>
    <r>
      <rPr>
        <vertAlign val="subscript"/>
        <sz val="10"/>
        <color theme="1"/>
        <rFont val="Century Gothic"/>
        <family val="2"/>
      </rPr>
      <t>u,t</t>
    </r>
  </si>
  <si>
    <t>Strahlensatz</t>
  </si>
  <si>
    <t xml:space="preserve">x </t>
  </si>
  <si>
    <t>Gleichgew.</t>
  </si>
  <si>
    <r>
      <rPr>
        <sz val="10"/>
        <color theme="1"/>
        <rFont val="Symbol"/>
        <family val="1"/>
        <charset val="2"/>
      </rPr>
      <t>S</t>
    </r>
    <r>
      <rPr>
        <sz val="10"/>
        <color theme="1"/>
        <rFont val="Century Gothic"/>
        <family val="2"/>
      </rPr>
      <t>F</t>
    </r>
    <r>
      <rPr>
        <vertAlign val="subscript"/>
        <sz val="10"/>
        <color theme="1"/>
        <rFont val="Century Gothic"/>
        <family val="2"/>
      </rPr>
      <t>v,c</t>
    </r>
  </si>
  <si>
    <t>Summe Druck</t>
  </si>
  <si>
    <t>redvc</t>
  </si>
  <si>
    <r>
      <rPr>
        <sz val="10"/>
        <color theme="1"/>
        <rFont val="Symbol"/>
        <family val="1"/>
        <charset val="2"/>
      </rPr>
      <t>S</t>
    </r>
    <r>
      <rPr>
        <sz val="10"/>
        <color theme="1"/>
        <rFont val="Century Gothic"/>
        <family val="1"/>
        <charset val="2"/>
      </rPr>
      <t>F</t>
    </r>
    <r>
      <rPr>
        <vertAlign val="subscript"/>
        <sz val="10"/>
        <color theme="1"/>
        <rFont val="Century Gothic"/>
        <family val="2"/>
      </rPr>
      <t>v,t,i</t>
    </r>
  </si>
  <si>
    <t>Summe Zug</t>
  </si>
  <si>
    <t>redax</t>
  </si>
  <si>
    <t>Druck/Zug</t>
  </si>
  <si>
    <t>Vertstärkung vorh.?</t>
  </si>
  <si>
    <r>
      <t>n</t>
    </r>
    <r>
      <rPr>
        <vertAlign val="subscript"/>
        <sz val="10"/>
        <color theme="1"/>
        <rFont val="Century Gothic"/>
        <family val="2"/>
      </rPr>
      <t>t</t>
    </r>
  </si>
  <si>
    <t>Anzahl Schraubenkreuze</t>
  </si>
  <si>
    <r>
      <t xml:space="preserve">Einschraublänge in HT </t>
    </r>
    <r>
      <rPr>
        <u/>
        <sz val="10"/>
        <color theme="1"/>
        <rFont val="Century Gothic"/>
        <family val="2"/>
      </rPr>
      <t>und</t>
    </r>
    <r>
      <rPr>
        <sz val="10"/>
        <color theme="1"/>
        <rFont val="Century Gothic"/>
        <family val="2"/>
      </rPr>
      <t xml:space="preserve"> NT</t>
    </r>
  </si>
  <si>
    <t>Abstand Schraubenkreuze vom Bauteilrand in der BZ-Zone (mind. 3 d)</t>
  </si>
  <si>
    <t>Abstand Schraubenkreuze untereinander (mind. 2 x 1,5 d = 3 d)</t>
  </si>
  <si>
    <t>Blaß</t>
  </si>
  <si>
    <t>Flaig</t>
  </si>
  <si>
    <r>
      <t>R</t>
    </r>
    <r>
      <rPr>
        <vertAlign val="subscript"/>
        <sz val="10"/>
        <color theme="1"/>
        <rFont val="Century Gothic"/>
        <family val="2"/>
      </rPr>
      <t>v,t</t>
    </r>
  </si>
  <si>
    <t>je Schraubenkreuz, rechtwinklig zur Bauteilfuge</t>
  </si>
  <si>
    <r>
      <t>K</t>
    </r>
    <r>
      <rPr>
        <vertAlign val="subscript"/>
        <sz val="10"/>
        <color theme="1"/>
        <rFont val="Century Gothic"/>
        <family val="2"/>
      </rPr>
      <t>u</t>
    </r>
  </si>
  <si>
    <t>je Anschlussseite + Schraubenkreuz, rechtw. zur Bauteilfuge</t>
  </si>
  <si>
    <r>
      <t>w</t>
    </r>
    <r>
      <rPr>
        <vertAlign val="subscript"/>
        <sz val="10"/>
        <color theme="1"/>
        <rFont val="Century Gothic"/>
        <family val="2"/>
      </rPr>
      <t>u</t>
    </r>
  </si>
  <si>
    <r>
      <t>Verschiebung rechtw. zur Bauteilfuge bei F</t>
    </r>
    <r>
      <rPr>
        <vertAlign val="subscript"/>
        <sz val="10"/>
        <color theme="1"/>
        <rFont val="Century Gothic"/>
        <family val="2"/>
      </rPr>
      <t>ax</t>
    </r>
    <r>
      <rPr>
        <sz val="10"/>
        <color theme="1"/>
        <rFont val="Century Gothic"/>
        <family val="2"/>
      </rPr>
      <t xml:space="preserve"> = R</t>
    </r>
    <r>
      <rPr>
        <vertAlign val="subscript"/>
        <sz val="10"/>
        <color theme="1"/>
        <rFont val="Century Gothic"/>
        <family val="2"/>
      </rPr>
      <t>ax</t>
    </r>
  </si>
  <si>
    <t>Verstärkung Zugzone mit Zuglasche und VGS unter 45°</t>
  </si>
  <si>
    <t>nein</t>
  </si>
  <si>
    <r>
      <t>n</t>
    </r>
    <r>
      <rPr>
        <vertAlign val="subscript"/>
        <sz val="10"/>
        <color theme="1"/>
        <rFont val="Century Gothic"/>
        <family val="2"/>
      </rPr>
      <t>c</t>
    </r>
  </si>
  <si>
    <r>
      <t>a</t>
    </r>
    <r>
      <rPr>
        <vertAlign val="subscript"/>
        <sz val="10"/>
        <color theme="1"/>
        <rFont val="Century Gothic"/>
        <family val="2"/>
      </rPr>
      <t>c</t>
    </r>
  </si>
  <si>
    <t>Abstand der Druckschrauben von OK/UK Megant</t>
  </si>
  <si>
    <t>je Schraube nach ETA 11/0190</t>
  </si>
  <si>
    <r>
      <t>R</t>
    </r>
    <r>
      <rPr>
        <vertAlign val="subscript"/>
        <sz val="10"/>
        <color theme="1"/>
        <rFont val="Century Gothic"/>
        <family val="2"/>
      </rPr>
      <t>v,c</t>
    </r>
  </si>
  <si>
    <t>Abstand vom Drehpunkt</t>
  </si>
  <si>
    <t>nur 90° Schrauben - mit Verstärkung</t>
  </si>
  <si>
    <r>
      <t>z'</t>
    </r>
    <r>
      <rPr>
        <vertAlign val="subscript"/>
        <sz val="10"/>
        <color theme="1"/>
        <rFont val="Century Gothic"/>
        <family val="2"/>
      </rPr>
      <t>i</t>
    </r>
    <r>
      <rPr>
        <sz val="10"/>
        <color theme="1"/>
        <rFont val="Century Gothic"/>
        <family val="2"/>
      </rPr>
      <t>²</t>
    </r>
  </si>
  <si>
    <r>
      <t>e</t>
    </r>
    <r>
      <rPr>
        <vertAlign val="subscript"/>
        <sz val="10"/>
        <color rgb="FFFF0000"/>
        <rFont val="Century Gothic"/>
        <family val="2"/>
      </rPr>
      <t>i</t>
    </r>
  </si>
  <si>
    <r>
      <t>a</t>
    </r>
    <r>
      <rPr>
        <vertAlign val="subscript"/>
        <sz val="10"/>
        <color rgb="FFFF0000"/>
        <rFont val="Century Gothic"/>
        <family val="2"/>
      </rPr>
      <t>i</t>
    </r>
  </si>
  <si>
    <r>
      <t>F</t>
    </r>
    <r>
      <rPr>
        <vertAlign val="subscript"/>
        <sz val="10"/>
        <color rgb="FFFF0000"/>
        <rFont val="Century Gothic"/>
        <family val="2"/>
      </rPr>
      <t>i</t>
    </r>
  </si>
  <si>
    <r>
      <t>K</t>
    </r>
    <r>
      <rPr>
        <vertAlign val="subscript"/>
        <sz val="10"/>
        <color rgb="FFFF0000"/>
        <rFont val="Century Gothic"/>
        <family val="2"/>
      </rPr>
      <t>i</t>
    </r>
  </si>
  <si>
    <r>
      <t>w</t>
    </r>
    <r>
      <rPr>
        <vertAlign val="subscript"/>
        <sz val="10"/>
        <color rgb="FFFF0000"/>
        <rFont val="Century Gothic"/>
        <family val="2"/>
      </rPr>
      <t>i,geom</t>
    </r>
  </si>
  <si>
    <r>
      <t>w</t>
    </r>
    <r>
      <rPr>
        <vertAlign val="subscript"/>
        <sz val="10"/>
        <color rgb="FFFF0000"/>
        <rFont val="Century Gothic"/>
        <family val="2"/>
      </rPr>
      <t>i</t>
    </r>
    <r>
      <rPr>
        <sz val="10"/>
        <color rgb="FFFF0000"/>
        <rFont val="Century Gothic"/>
        <family val="2"/>
      </rPr>
      <t>/e</t>
    </r>
    <r>
      <rPr>
        <vertAlign val="subscript"/>
        <sz val="10"/>
        <color rgb="FFFF0000"/>
        <rFont val="Century Gothic"/>
        <family val="2"/>
      </rPr>
      <t>i</t>
    </r>
  </si>
  <si>
    <r>
      <t>w</t>
    </r>
    <r>
      <rPr>
        <vertAlign val="subscript"/>
        <sz val="10"/>
        <color rgb="FFFF0000"/>
        <rFont val="Century Gothic"/>
        <family val="2"/>
      </rPr>
      <t>i,max</t>
    </r>
  </si>
  <si>
    <t>in mm²</t>
  </si>
  <si>
    <r>
      <t>z'</t>
    </r>
    <r>
      <rPr>
        <vertAlign val="subscript"/>
        <sz val="10"/>
        <color theme="1"/>
        <rFont val="Century Gothic"/>
        <family val="2"/>
      </rPr>
      <t>max</t>
    </r>
  </si>
  <si>
    <r>
      <t>min w</t>
    </r>
    <r>
      <rPr>
        <vertAlign val="subscript"/>
        <sz val="10"/>
        <color rgb="FFFF0000"/>
        <rFont val="Century Gothic"/>
        <family val="2"/>
      </rPr>
      <t>i</t>
    </r>
    <r>
      <rPr>
        <sz val="10"/>
        <color rgb="FFFF0000"/>
        <rFont val="Century Gothic"/>
        <family val="2"/>
      </rPr>
      <t>/e</t>
    </r>
    <r>
      <rPr>
        <vertAlign val="subscript"/>
        <sz val="10"/>
        <color rgb="FFFF0000"/>
        <rFont val="Century Gothic"/>
        <family val="2"/>
      </rPr>
      <t>i</t>
    </r>
  </si>
  <si>
    <r>
      <rPr>
        <sz val="10"/>
        <color theme="1"/>
        <rFont val="Symbol"/>
        <family val="1"/>
        <charset val="2"/>
      </rPr>
      <t>S</t>
    </r>
    <r>
      <rPr>
        <sz val="10"/>
        <color theme="1"/>
        <rFont val="Century Gothic"/>
        <family val="2"/>
      </rPr>
      <t>z''</t>
    </r>
    <r>
      <rPr>
        <vertAlign val="subscript"/>
        <sz val="10"/>
        <color theme="1"/>
        <rFont val="Century Gothic"/>
        <family val="2"/>
      </rPr>
      <t>i</t>
    </r>
    <r>
      <rPr>
        <sz val="10"/>
        <color theme="1"/>
        <rFont val="Century Gothic"/>
        <family val="2"/>
      </rPr>
      <t>²</t>
    </r>
  </si>
  <si>
    <r>
      <t>e</t>
    </r>
    <r>
      <rPr>
        <vertAlign val="subscript"/>
        <sz val="10"/>
        <color theme="1"/>
        <rFont val="Century Gothic"/>
        <family val="2"/>
      </rPr>
      <t>vc,max</t>
    </r>
  </si>
  <si>
    <r>
      <rPr>
        <sz val="10"/>
        <color theme="1"/>
        <rFont val="Symbol"/>
        <family val="1"/>
        <charset val="2"/>
      </rPr>
      <t>S</t>
    </r>
    <r>
      <rPr>
        <sz val="10"/>
        <color theme="1"/>
        <rFont val="Century Gothic"/>
        <family val="2"/>
      </rPr>
      <t>F</t>
    </r>
    <r>
      <rPr>
        <vertAlign val="subscript"/>
        <sz val="10"/>
        <color theme="1"/>
        <rFont val="Century Gothic"/>
        <family val="2"/>
      </rPr>
      <t>v,t,i</t>
    </r>
  </si>
  <si>
    <r>
      <t>w</t>
    </r>
    <r>
      <rPr>
        <vertAlign val="subscript"/>
        <sz val="10"/>
        <color theme="1"/>
        <rFont val="Century Gothic"/>
        <family val="2"/>
      </rPr>
      <t>vc,max</t>
    </r>
  </si>
  <si>
    <r>
      <t xml:space="preserve">Korrekturfaktor wg. Unterschiedlicher </t>
    </r>
    <r>
      <rPr>
        <sz val="10"/>
        <color theme="1"/>
        <rFont val="MT Extra"/>
        <family val="1"/>
        <charset val="2"/>
      </rPr>
      <t>l</t>
    </r>
    <r>
      <rPr>
        <vertAlign val="subscript"/>
        <sz val="10"/>
        <color theme="1"/>
        <rFont val="Century Gothic"/>
        <family val="2"/>
      </rPr>
      <t>ef</t>
    </r>
  </si>
  <si>
    <r>
      <t>w</t>
    </r>
    <r>
      <rPr>
        <vertAlign val="subscript"/>
        <sz val="10"/>
        <color rgb="FFFF0000"/>
        <rFont val="Century Gothic"/>
        <family val="2"/>
      </rPr>
      <t>i</t>
    </r>
  </si>
  <si>
    <t>Ermittlung des maßgebenden Nachweises (mit Verstärkung)</t>
  </si>
  <si>
    <r>
      <t>M</t>
    </r>
    <r>
      <rPr>
        <vertAlign val="subscript"/>
        <sz val="8"/>
        <rFont val="Century Gothic"/>
        <family val="2"/>
      </rPr>
      <t>2,Rk</t>
    </r>
  </si>
  <si>
    <r>
      <t>M</t>
    </r>
    <r>
      <rPr>
        <vertAlign val="subscript"/>
        <sz val="10"/>
        <color theme="1"/>
        <rFont val="Century Gothic"/>
        <family val="2"/>
      </rPr>
      <t>2,Ed</t>
    </r>
  </si>
  <si>
    <t>Ausnutzung:</t>
  </si>
  <si>
    <r>
      <t>Ausnutzung: M</t>
    </r>
    <r>
      <rPr>
        <vertAlign val="subscript"/>
        <sz val="10"/>
        <color theme="1"/>
        <rFont val="Century Gothic"/>
        <family val="2"/>
      </rPr>
      <t>2</t>
    </r>
  </si>
  <si>
    <r>
      <t>Ausnutzung Kombination mit F</t>
    </r>
    <r>
      <rPr>
        <vertAlign val="subscript"/>
        <sz val="10"/>
        <color theme="1"/>
        <rFont val="Century Gothic"/>
        <family val="2"/>
      </rPr>
      <t>2,Ed</t>
    </r>
    <r>
      <rPr>
        <sz val="10"/>
        <color theme="1"/>
        <rFont val="Century Gothic"/>
        <family val="2"/>
      </rPr>
      <t xml:space="preserve">: </t>
    </r>
  </si>
  <si>
    <t>qj</t>
  </si>
  <si>
    <t xml:space="preserve">nach </t>
  </si>
  <si>
    <t>Gutachten</t>
  </si>
  <si>
    <t>xj_Lösung 1</t>
  </si>
  <si>
    <t>nach ETA: m</t>
  </si>
  <si>
    <t>Nebenträger:</t>
  </si>
  <si>
    <t>Einschraubwinkel</t>
  </si>
  <si>
    <t>BJ =</t>
  </si>
  <si>
    <t>HJ =</t>
  </si>
  <si>
    <t>Nebenträger an Stütze mittels MEGANT 430x150x50</t>
  </si>
  <si>
    <r>
      <t>f</t>
    </r>
    <r>
      <rPr>
        <vertAlign val="subscript"/>
        <sz val="8"/>
        <color theme="1"/>
        <rFont val="Century Gothic"/>
        <family val="2"/>
      </rPr>
      <t>ax,90,k</t>
    </r>
  </si>
  <si>
    <r>
      <t>H</t>
    </r>
    <r>
      <rPr>
        <vertAlign val="subscript"/>
        <sz val="8"/>
        <color theme="1"/>
        <rFont val="Century Gothic"/>
        <family val="2"/>
      </rPr>
      <t>MEGANT</t>
    </r>
  </si>
  <si>
    <r>
      <t>l</t>
    </r>
    <r>
      <rPr>
        <vertAlign val="subscript"/>
        <sz val="8"/>
        <color theme="1"/>
        <rFont val="Century Gothic"/>
        <family val="2"/>
      </rPr>
      <t>s,gew.</t>
    </r>
  </si>
  <si>
    <r>
      <t>a</t>
    </r>
    <r>
      <rPr>
        <vertAlign val="subscript"/>
        <sz val="8"/>
        <color theme="1"/>
        <rFont val="Century Gothic"/>
        <family val="2"/>
      </rPr>
      <t>4,re,t</t>
    </r>
  </si>
  <si>
    <r>
      <t>a</t>
    </r>
    <r>
      <rPr>
        <vertAlign val="subscript"/>
        <sz val="8"/>
        <color theme="1"/>
        <rFont val="Century Gothic"/>
        <family val="2"/>
      </rPr>
      <t>2,re,t</t>
    </r>
  </si>
  <si>
    <r>
      <t>a</t>
    </r>
    <r>
      <rPr>
        <vertAlign val="subscript"/>
        <sz val="8"/>
        <color theme="1"/>
        <rFont val="Century Gothic"/>
        <family val="2"/>
      </rPr>
      <t>re,t</t>
    </r>
  </si>
  <si>
    <t>Schraubentyp</t>
  </si>
  <si>
    <t>Assy Plus VG nach ETA-11/0190</t>
  </si>
  <si>
    <t>für GL24h nach DIN EN 14080</t>
  </si>
  <si>
    <t>Schraubenlänge in Aussparung</t>
  </si>
  <si>
    <r>
      <t>l</t>
    </r>
    <r>
      <rPr>
        <vertAlign val="subscript"/>
        <sz val="8"/>
        <color theme="1"/>
        <rFont val="Century Gothic"/>
        <family val="2"/>
      </rPr>
      <t>ef,J</t>
    </r>
  </si>
  <si>
    <t>eff. Schraubenlänge</t>
  </si>
  <si>
    <r>
      <t>25 · d · l</t>
    </r>
    <r>
      <rPr>
        <vertAlign val="subscript"/>
        <sz val="8"/>
        <color theme="1"/>
        <rFont val="Century Gothic"/>
        <family val="2"/>
      </rPr>
      <t>ef</t>
    </r>
    <r>
      <rPr>
        <sz val="8"/>
        <color theme="1"/>
        <rFont val="Century Gothic"/>
        <family val="2"/>
      </rPr>
      <t xml:space="preserve"> nach ETA 11/0190 in Richtung der Schraubenachse</t>
    </r>
  </si>
  <si>
    <r>
      <t>R</t>
    </r>
    <r>
      <rPr>
        <vertAlign val="subscript"/>
        <sz val="8"/>
        <color theme="1"/>
        <rFont val="Century Gothic"/>
        <family val="2"/>
      </rPr>
      <t>ax,k,H</t>
    </r>
  </si>
  <si>
    <r>
      <t>K</t>
    </r>
    <r>
      <rPr>
        <vertAlign val="subscript"/>
        <sz val="8"/>
        <color theme="1"/>
        <rFont val="Century Gothic"/>
        <family val="2"/>
      </rPr>
      <t>ser,H</t>
    </r>
  </si>
  <si>
    <r>
      <t>K</t>
    </r>
    <r>
      <rPr>
        <vertAlign val="subscript"/>
        <sz val="8"/>
        <color theme="1"/>
        <rFont val="Century Gothic"/>
        <family val="2"/>
      </rPr>
      <t>u,H</t>
    </r>
  </si>
  <si>
    <r>
      <t>n</t>
    </r>
    <r>
      <rPr>
        <vertAlign val="subscript"/>
        <sz val="8"/>
        <color theme="1"/>
        <rFont val="Century Gothic"/>
        <family val="2"/>
      </rPr>
      <t>ef,J</t>
    </r>
  </si>
  <si>
    <r>
      <t>R</t>
    </r>
    <r>
      <rPr>
        <vertAlign val="subscript"/>
        <sz val="8"/>
        <color theme="1"/>
        <rFont val="Century Gothic"/>
        <family val="2"/>
      </rPr>
      <t>ax,k,J</t>
    </r>
  </si>
  <si>
    <r>
      <t>K</t>
    </r>
    <r>
      <rPr>
        <vertAlign val="subscript"/>
        <sz val="8"/>
        <color theme="1"/>
        <rFont val="Century Gothic"/>
        <family val="2"/>
      </rPr>
      <t>ser,J</t>
    </r>
  </si>
  <si>
    <r>
      <t>K</t>
    </r>
    <r>
      <rPr>
        <vertAlign val="subscript"/>
        <sz val="8"/>
        <color theme="1"/>
        <rFont val="Century Gothic"/>
        <family val="2"/>
      </rPr>
      <t>u,J</t>
    </r>
  </si>
  <si>
    <t>≥</t>
  </si>
  <si>
    <t>Randabstände nach ETA-11/0190:</t>
  </si>
  <si>
    <r>
      <t>f</t>
    </r>
    <r>
      <rPr>
        <vertAlign val="subscript"/>
        <sz val="8"/>
        <color theme="1"/>
        <rFont val="Century Gothic"/>
        <family val="2"/>
      </rPr>
      <t>ax,k</t>
    </r>
    <r>
      <rPr>
        <sz val="8"/>
        <color theme="1"/>
        <rFont val="Century Gothic"/>
        <family val="2"/>
      </rPr>
      <t xml:space="preserve"> · d · l</t>
    </r>
    <r>
      <rPr>
        <vertAlign val="subscript"/>
        <sz val="8"/>
        <color theme="1"/>
        <rFont val="Century Gothic"/>
        <family val="2"/>
      </rPr>
      <t xml:space="preserve">ef </t>
    </r>
    <r>
      <rPr>
        <sz val="8"/>
        <color theme="1"/>
        <rFont val="Century Gothic"/>
        <family val="2"/>
      </rPr>
      <t>· (p</t>
    </r>
    <r>
      <rPr>
        <vertAlign val="subscript"/>
        <sz val="8"/>
        <color theme="1"/>
        <rFont val="Century Gothic"/>
        <family val="2"/>
      </rPr>
      <t>k</t>
    </r>
    <r>
      <rPr>
        <sz val="8"/>
        <color theme="1"/>
        <rFont val="Century Gothic"/>
        <family val="2"/>
      </rPr>
      <t>/350)</t>
    </r>
    <r>
      <rPr>
        <vertAlign val="superscript"/>
        <sz val="8"/>
        <color theme="1"/>
        <rFont val="Century Gothic"/>
        <family val="2"/>
      </rPr>
      <t xml:space="preserve">0,8 </t>
    </r>
    <r>
      <rPr>
        <sz val="8"/>
        <color theme="1"/>
        <rFont val="Century Gothic"/>
        <family val="2"/>
      </rPr>
      <t>· k</t>
    </r>
    <r>
      <rPr>
        <vertAlign val="subscript"/>
        <sz val="8"/>
        <color theme="1"/>
        <rFont val="Century Gothic"/>
        <family val="2"/>
      </rPr>
      <t>ax</t>
    </r>
    <r>
      <rPr>
        <sz val="8"/>
        <color theme="1"/>
        <rFont val="Century Gothic"/>
        <family val="2"/>
      </rPr>
      <t>/k</t>
    </r>
    <r>
      <rPr>
        <vertAlign val="subscript"/>
        <sz val="8"/>
        <color theme="1"/>
        <rFont val="Century Gothic"/>
        <family val="2"/>
      </rPr>
      <t>β</t>
    </r>
    <r>
      <rPr>
        <vertAlign val="superscript"/>
        <sz val="8"/>
        <color theme="1"/>
        <rFont val="Century Gothic"/>
        <family val="2"/>
      </rPr>
      <t xml:space="preserve"> </t>
    </r>
    <r>
      <rPr>
        <sz val="8"/>
        <color theme="1"/>
        <rFont val="Century Gothic"/>
        <family val="2"/>
      </rPr>
      <t>nach ETA 11/0190 in Richtung der Schraubenachse</t>
    </r>
  </si>
  <si>
    <t>Haupträger/Stütze</t>
  </si>
  <si>
    <t xml:space="preserve">bei 45° ≤ α ≤ 90° </t>
  </si>
  <si>
    <t>lef</t>
  </si>
  <si>
    <t>fax,90,k</t>
  </si>
  <si>
    <t>Rax,k</t>
  </si>
  <si>
    <t>Hauptträger:</t>
  </si>
  <si>
    <t>Schraubenspalten horizontal</t>
  </si>
  <si>
    <t>Schrauben quer zu Faser</t>
  </si>
  <si>
    <t>Schrauben parallel zur Faser</t>
  </si>
  <si>
    <r>
      <t>f</t>
    </r>
    <r>
      <rPr>
        <vertAlign val="subscript"/>
        <sz val="8"/>
        <color theme="1"/>
        <rFont val="Century Gothic"/>
        <family val="2"/>
      </rPr>
      <t>ax,k</t>
    </r>
  </si>
  <si>
    <t>Lage der Schraubenreihen</t>
  </si>
  <si>
    <r>
      <t>f</t>
    </r>
    <r>
      <rPr>
        <vertAlign val="subscript"/>
        <sz val="8"/>
        <rFont val="Century Gothic"/>
        <family val="2"/>
      </rPr>
      <t>ax,k</t>
    </r>
    <r>
      <rPr>
        <sz val="8"/>
        <rFont val="Century Gothic"/>
        <family val="2"/>
      </rPr>
      <t xml:space="preserve">  nach ETA 11/0190</t>
    </r>
  </si>
  <si>
    <r>
      <t>f</t>
    </r>
    <r>
      <rPr>
        <vertAlign val="subscript"/>
        <sz val="8"/>
        <color theme="1"/>
        <rFont val="Century Gothic"/>
        <family val="2"/>
      </rPr>
      <t>ax,k</t>
    </r>
    <r>
      <rPr>
        <sz val="8"/>
        <color theme="1"/>
        <rFont val="Century Gothic"/>
        <family val="2"/>
      </rPr>
      <t xml:space="preserve"> · d · l</t>
    </r>
    <r>
      <rPr>
        <vertAlign val="subscript"/>
        <sz val="8"/>
        <color theme="1"/>
        <rFont val="Century Gothic"/>
        <family val="2"/>
      </rPr>
      <t>ef ·</t>
    </r>
    <r>
      <rPr>
        <sz val="8"/>
        <color theme="1"/>
        <rFont val="Century Gothic"/>
        <family val="2"/>
      </rPr>
      <t xml:space="preserve"> (p</t>
    </r>
    <r>
      <rPr>
        <vertAlign val="subscript"/>
        <sz val="8"/>
        <color theme="1"/>
        <rFont val="Century Gothic"/>
        <family val="2"/>
      </rPr>
      <t>k</t>
    </r>
    <r>
      <rPr>
        <sz val="8"/>
        <color theme="1"/>
        <rFont val="Century Gothic"/>
        <family val="2"/>
      </rPr>
      <t>/350)</t>
    </r>
    <r>
      <rPr>
        <vertAlign val="superscript"/>
        <sz val="8"/>
        <color theme="1"/>
        <rFont val="Century Gothic"/>
        <family val="2"/>
      </rPr>
      <t>0,8</t>
    </r>
    <r>
      <rPr>
        <sz val="8"/>
        <color theme="1"/>
        <rFont val="Century Gothic"/>
        <family val="2"/>
      </rPr>
      <t xml:space="preserve"> · k</t>
    </r>
    <r>
      <rPr>
        <vertAlign val="subscript"/>
        <sz val="8"/>
        <color theme="1"/>
        <rFont val="Century Gothic"/>
        <family val="2"/>
      </rPr>
      <t>ax</t>
    </r>
    <r>
      <rPr>
        <sz val="8"/>
        <color theme="1"/>
        <rFont val="Century Gothic"/>
        <family val="2"/>
      </rPr>
      <t>/k</t>
    </r>
    <r>
      <rPr>
        <vertAlign val="subscript"/>
        <sz val="8"/>
        <color theme="1"/>
        <rFont val="Century Gothic"/>
        <family val="2"/>
      </rPr>
      <t>β</t>
    </r>
    <r>
      <rPr>
        <vertAlign val="superscript"/>
        <sz val="8"/>
        <color theme="1"/>
        <rFont val="Century Gothic"/>
        <family val="2"/>
      </rPr>
      <t xml:space="preserve"> </t>
    </r>
    <r>
      <rPr>
        <sz val="8"/>
        <color theme="1"/>
        <rFont val="Century Gothic"/>
        <family val="2"/>
      </rPr>
      <t>nach ETA 11/0190 in Richtung der Schraubenachse</t>
    </r>
  </si>
  <si>
    <r>
      <t xml:space="preserve"> = max { n</t>
    </r>
    <r>
      <rPr>
        <vertAlign val="superscript"/>
        <sz val="8"/>
        <color theme="1"/>
        <rFont val="Century Gothic"/>
        <family val="2"/>
      </rPr>
      <t>0,9</t>
    </r>
    <r>
      <rPr>
        <sz val="8"/>
        <color theme="1"/>
        <rFont val="Century Gothic"/>
        <family val="2"/>
      </rPr>
      <t>; 0,9 · n}  nach ETA 11/0190 pro Reihe</t>
    </r>
  </si>
  <si>
    <t>Beispiel 4: Haupträger-Nebenträger</t>
  </si>
  <si>
    <t>Kammnägel</t>
  </si>
  <si>
    <r>
      <t>R</t>
    </r>
    <r>
      <rPr>
        <vertAlign val="subscript"/>
        <sz val="8"/>
        <color theme="1"/>
        <rFont val="Century Gothic"/>
        <family val="2"/>
      </rPr>
      <t>lat,k</t>
    </r>
  </si>
  <si>
    <t>Kammnägel parallel zur Faser</t>
  </si>
  <si>
    <t>pro Nebenträger</t>
  </si>
  <si>
    <t>CNA4.0X40</t>
  </si>
  <si>
    <t>Kammnägel quer zu Faser</t>
  </si>
  <si>
    <r>
      <t>n</t>
    </r>
    <r>
      <rPr>
        <vertAlign val="subscript"/>
        <sz val="8"/>
        <color theme="1"/>
        <rFont val="Century Gothic"/>
        <family val="2"/>
      </rPr>
      <t>ef</t>
    </r>
    <r>
      <rPr>
        <sz val="8"/>
        <color theme="1"/>
        <rFont val="Century Gothic"/>
        <family val="2"/>
      </rPr>
      <t xml:space="preserve"> </t>
    </r>
  </si>
  <si>
    <t>Breite des Lochblechs</t>
  </si>
  <si>
    <t>KN</t>
  </si>
  <si>
    <t>Dicke</t>
  </si>
  <si>
    <t>A</t>
  </si>
  <si>
    <t>eff. Querschnittsfläche</t>
  </si>
  <si>
    <t>char. Zugtragfähigkeit</t>
  </si>
  <si>
    <t>erf. Länge</t>
  </si>
  <si>
    <r>
      <t>n</t>
    </r>
    <r>
      <rPr>
        <vertAlign val="subscript"/>
        <sz val="8"/>
        <color theme="1"/>
        <rFont val="Century Gothic"/>
        <family val="2"/>
      </rPr>
      <t>ef</t>
    </r>
    <r>
      <rPr>
        <sz val="8"/>
        <color theme="1"/>
        <rFont val="Century Gothic"/>
        <family val="2"/>
      </rPr>
      <t xml:space="preserve"> = n · m</t>
    </r>
    <r>
      <rPr>
        <vertAlign val="superscript"/>
        <sz val="8"/>
        <color theme="1"/>
        <rFont val="Century Gothic"/>
        <family val="2"/>
      </rPr>
      <t xml:space="preserve">kef </t>
    </r>
    <r>
      <rPr>
        <sz val="8"/>
        <color theme="1"/>
        <rFont val="Century Gothic"/>
        <family val="2"/>
      </rPr>
      <t>nach EC5: (8.17) mit k</t>
    </r>
    <r>
      <rPr>
        <vertAlign val="subscript"/>
        <sz val="8"/>
        <color theme="1"/>
        <rFont val="Century Gothic"/>
        <family val="2"/>
      </rPr>
      <t>ef</t>
    </r>
    <r>
      <rPr>
        <sz val="8"/>
        <color theme="1"/>
        <rFont val="Century Gothic"/>
        <family val="2"/>
      </rPr>
      <t xml:space="preserve"> = 0,85</t>
    </r>
  </si>
  <si>
    <r>
      <t>R</t>
    </r>
    <r>
      <rPr>
        <vertAlign val="subscript"/>
        <sz val="8"/>
        <color theme="1"/>
        <rFont val="Century Gothic"/>
        <family val="2"/>
      </rPr>
      <t>1,k,J</t>
    </r>
    <r>
      <rPr>
        <sz val="8"/>
        <color theme="1"/>
        <rFont val="Century Gothic"/>
        <family val="2"/>
      </rPr>
      <t xml:space="preserve"> = n</t>
    </r>
    <r>
      <rPr>
        <vertAlign val="subscript"/>
        <sz val="8"/>
        <color theme="1"/>
        <rFont val="Century Gothic"/>
        <family val="2"/>
      </rPr>
      <t>ef</t>
    </r>
    <r>
      <rPr>
        <sz val="8"/>
        <color theme="1"/>
        <rFont val="Century Gothic"/>
        <family val="2"/>
      </rPr>
      <t xml:space="preserve"> · R</t>
    </r>
    <r>
      <rPr>
        <vertAlign val="subscript"/>
        <sz val="8"/>
        <color theme="1"/>
        <rFont val="Century Gothic"/>
        <family val="2"/>
      </rPr>
      <t>lat,k</t>
    </r>
  </si>
  <si>
    <r>
      <t>K</t>
    </r>
    <r>
      <rPr>
        <vertAlign val="subscript"/>
        <sz val="8"/>
        <color theme="1"/>
        <rFont val="Century Gothic"/>
        <family val="2"/>
      </rPr>
      <t>ser</t>
    </r>
  </si>
  <si>
    <r>
      <t>ρ</t>
    </r>
    <r>
      <rPr>
        <vertAlign val="subscript"/>
        <sz val="8"/>
        <color theme="1"/>
        <rFont val="Century Gothic"/>
        <family val="2"/>
      </rPr>
      <t>k,H</t>
    </r>
  </si>
  <si>
    <r>
      <t>ρ</t>
    </r>
    <r>
      <rPr>
        <vertAlign val="subscript"/>
        <sz val="8"/>
        <color theme="1"/>
        <rFont val="Century Gothic"/>
        <family val="2"/>
      </rPr>
      <t>k,J</t>
    </r>
  </si>
  <si>
    <r>
      <t>K</t>
    </r>
    <r>
      <rPr>
        <vertAlign val="subscript"/>
        <sz val="8"/>
        <color theme="1"/>
        <rFont val="Century Gothic"/>
        <family val="2"/>
      </rPr>
      <t>ser</t>
    </r>
    <r>
      <rPr>
        <sz val="8"/>
        <color theme="1"/>
        <rFont val="Century Gothic"/>
        <family val="2"/>
      </rPr>
      <t xml:space="preserve"> = 2 · ρ</t>
    </r>
    <r>
      <rPr>
        <vertAlign val="subscript"/>
        <sz val="8"/>
        <color theme="1"/>
        <rFont val="Century Gothic"/>
        <family val="2"/>
      </rPr>
      <t>k,J</t>
    </r>
    <r>
      <rPr>
        <vertAlign val="superscript"/>
        <sz val="8"/>
        <color theme="1"/>
        <rFont val="Century Gothic"/>
        <family val="2"/>
      </rPr>
      <t>1,5</t>
    </r>
    <r>
      <rPr>
        <vertAlign val="subscript"/>
        <sz val="8"/>
        <color theme="1"/>
        <rFont val="Century Gothic"/>
        <family val="2"/>
      </rPr>
      <t xml:space="preserve"> · </t>
    </r>
    <r>
      <rPr>
        <sz val="8"/>
        <color theme="1"/>
        <rFont val="Century Gothic"/>
        <family val="2"/>
      </rPr>
      <t>d</t>
    </r>
    <r>
      <rPr>
        <vertAlign val="superscript"/>
        <sz val="8"/>
        <color theme="1"/>
        <rFont val="Century Gothic"/>
        <family val="2"/>
      </rPr>
      <t>0,8</t>
    </r>
    <r>
      <rPr>
        <sz val="8"/>
        <color theme="1"/>
        <rFont val="Century Gothic"/>
        <family val="2"/>
      </rPr>
      <t xml:space="preserve">/30 nach EC5: Tab. 7.1 und 7.1 (3) je Verbindungsmittel </t>
    </r>
  </si>
  <si>
    <r>
      <t>K</t>
    </r>
    <r>
      <rPr>
        <vertAlign val="subscript"/>
        <sz val="8"/>
        <color theme="1"/>
        <rFont val="Century Gothic"/>
        <family val="2"/>
      </rPr>
      <t>u</t>
    </r>
    <r>
      <rPr>
        <sz val="8"/>
        <color theme="1"/>
        <rFont val="Century Gothic"/>
        <family val="2"/>
      </rPr>
      <t xml:space="preserve"> = n  · m  · 2/3  · K</t>
    </r>
    <r>
      <rPr>
        <vertAlign val="subscript"/>
        <sz val="8"/>
        <color theme="1"/>
        <rFont val="Century Gothic"/>
        <family val="2"/>
      </rPr>
      <t>ser</t>
    </r>
    <r>
      <rPr>
        <sz val="8"/>
        <color theme="1"/>
        <rFont val="Century Gothic"/>
        <family val="2"/>
      </rPr>
      <t xml:space="preserve"> des Anschlusses pro Seite</t>
    </r>
  </si>
  <si>
    <t>Verschiebungen aus Lochspiel werden nicht berücksichtigt.</t>
  </si>
  <si>
    <t>Seite der Stütze:</t>
  </si>
  <si>
    <t>Seite des Nebenträgers:</t>
  </si>
  <si>
    <t xml:space="preserve">Stk. </t>
  </si>
  <si>
    <t>Stk</t>
  </si>
  <si>
    <t>NP20/160/XX (Simpson Strong-Tie)</t>
  </si>
  <si>
    <t>Innendurchmesser</t>
  </si>
  <si>
    <t>Anzahl der Schrauben</t>
  </si>
  <si>
    <t>Abstand</t>
  </si>
  <si>
    <t>char. Ausziehparameter</t>
  </si>
  <si>
    <t>unterstes Schraubenkreuz</t>
  </si>
  <si>
    <t>nll</t>
  </si>
  <si>
    <t>n ^</t>
  </si>
  <si>
    <t>ts</t>
  </si>
  <si>
    <t>nt</t>
  </si>
  <si>
    <t>nt,ef</t>
  </si>
  <si>
    <t>Ku</t>
  </si>
  <si>
    <r>
      <t>Abstand Schraubenkreuze von OK/UK Verbinder (a</t>
    </r>
    <r>
      <rPr>
        <vertAlign val="subscript"/>
        <sz val="10"/>
        <color theme="1"/>
        <rFont val="Century Gothic"/>
        <family val="2"/>
      </rPr>
      <t>re,t,min</t>
    </r>
    <r>
      <rPr>
        <sz val="10"/>
        <color theme="1"/>
        <rFont val="Century Gothic"/>
        <family val="2"/>
      </rPr>
      <t xml:space="preserve"> = 2,5d)</t>
    </r>
  </si>
  <si>
    <t>Zuglasche NT-HT-NT</t>
  </si>
  <si>
    <r>
      <t>R</t>
    </r>
    <r>
      <rPr>
        <vertAlign val="subscript"/>
        <sz val="8"/>
        <rFont val="Century Gothic"/>
        <family val="2"/>
      </rPr>
      <t>1,k,H</t>
    </r>
  </si>
  <si>
    <r>
      <t>K</t>
    </r>
    <r>
      <rPr>
        <vertAlign val="subscript"/>
        <sz val="8"/>
        <rFont val="Century Gothic"/>
        <family val="2"/>
      </rPr>
      <t>u,1,H</t>
    </r>
  </si>
  <si>
    <r>
      <t>a</t>
    </r>
    <r>
      <rPr>
        <vertAlign val="subscript"/>
        <sz val="8"/>
        <rFont val="Century Gothic"/>
        <family val="2"/>
      </rPr>
      <t>c</t>
    </r>
  </si>
  <si>
    <r>
      <t>n</t>
    </r>
    <r>
      <rPr>
        <vertAlign val="subscript"/>
        <sz val="8"/>
        <rFont val="Century Gothic"/>
        <family val="2"/>
      </rPr>
      <t>c</t>
    </r>
  </si>
  <si>
    <t xml:space="preserve">Berechnung Zuglasche entfällt: </t>
  </si>
  <si>
    <r>
      <t>Kombinationsnachweis F</t>
    </r>
    <r>
      <rPr>
        <b/>
        <vertAlign val="subscript"/>
        <sz val="8"/>
        <rFont val="Century Gothic"/>
        <family val="2"/>
      </rPr>
      <t>2,Ed</t>
    </r>
  </si>
  <si>
    <r>
      <t>Kombinationsnachweis F</t>
    </r>
    <r>
      <rPr>
        <b/>
        <vertAlign val="subscript"/>
        <sz val="8"/>
        <rFont val="Century Gothic"/>
        <family val="2"/>
      </rPr>
      <t>3,Ed</t>
    </r>
  </si>
  <si>
    <r>
      <t>M</t>
    </r>
    <r>
      <rPr>
        <b/>
        <vertAlign val="subscript"/>
        <sz val="8"/>
        <rFont val="Century Gothic"/>
        <family val="2"/>
      </rPr>
      <t>2,Rd</t>
    </r>
  </si>
  <si>
    <t>Berechnung OHNE Verstärkung</t>
  </si>
  <si>
    <t>Berechnung MIT Verstärkung</t>
  </si>
  <si>
    <t>OHNE</t>
  </si>
  <si>
    <t>MIT</t>
  </si>
  <si>
    <t>* (Ausnutzung OHNE Verstärkung)</t>
  </si>
  <si>
    <t>Eingabekontrolle:</t>
  </si>
  <si>
    <t>Einbauteil Hauptträger-Nebenträger</t>
  </si>
  <si>
    <t>Schraubenkreuz</t>
  </si>
  <si>
    <t>Verschiebungsmodul</t>
  </si>
  <si>
    <t>Abstand VM - MEGANT</t>
  </si>
  <si>
    <t>Anzahl VM-Reihen</t>
  </si>
  <si>
    <t>Querdruckschrauben</t>
  </si>
  <si>
    <t>Länge VM</t>
  </si>
  <si>
    <t>VM = Verbindungsmittel</t>
  </si>
  <si>
    <t>Momententragfähigkeit und Federsteifigkeit mit Verstärkung</t>
  </si>
  <si>
    <t xml:space="preserve">Bemessungswerte beziehen sich auf die Kombination des gewählten MEGANT-Verbinders mit zusätzlicher Verstärkung gemäß den Benutzereingaben. </t>
  </si>
  <si>
    <t>Ausnutzung mit/ohne  Verstärkung [%]</t>
  </si>
  <si>
    <r>
      <t>a</t>
    </r>
    <r>
      <rPr>
        <vertAlign val="subscript"/>
        <sz val="8"/>
        <rFont val="Century Gothic"/>
        <family val="2"/>
      </rPr>
      <t>re,t</t>
    </r>
  </si>
  <si>
    <r>
      <t>a</t>
    </r>
    <r>
      <rPr>
        <vertAlign val="subscript"/>
        <sz val="8"/>
        <rFont val="Century Gothic"/>
        <family val="2"/>
      </rPr>
      <t>2,re,t</t>
    </r>
  </si>
  <si>
    <t>Abstand VM - Bauteilrand NT</t>
  </si>
  <si>
    <r>
      <t>R</t>
    </r>
    <r>
      <rPr>
        <vertAlign val="subscript"/>
        <sz val="8"/>
        <rFont val="Century Gothic"/>
        <family val="2"/>
      </rPr>
      <t>1,k,H</t>
    </r>
    <r>
      <rPr>
        <vertAlign val="superscript"/>
        <sz val="8"/>
        <rFont val="Century Gothic"/>
        <family val="2"/>
      </rPr>
      <t>1)</t>
    </r>
  </si>
  <si>
    <r>
      <t>K</t>
    </r>
    <r>
      <rPr>
        <vertAlign val="subscript"/>
        <sz val="8"/>
        <rFont val="Century Gothic"/>
        <family val="2"/>
      </rPr>
      <t>u,1,H</t>
    </r>
    <r>
      <rPr>
        <vertAlign val="superscript"/>
        <sz val="8"/>
        <rFont val="Century Gothic"/>
        <family val="2"/>
      </rPr>
      <t>1)</t>
    </r>
  </si>
  <si>
    <r>
      <t>R</t>
    </r>
    <r>
      <rPr>
        <vertAlign val="subscript"/>
        <sz val="8"/>
        <rFont val="Century Gothic"/>
        <family val="2"/>
      </rPr>
      <t>V,C,H</t>
    </r>
    <r>
      <rPr>
        <vertAlign val="superscript"/>
        <sz val="8"/>
        <rFont val="Century Gothic"/>
        <family val="2"/>
      </rPr>
      <t>1)</t>
    </r>
  </si>
  <si>
    <r>
      <t>K</t>
    </r>
    <r>
      <rPr>
        <vertAlign val="subscript"/>
        <sz val="8"/>
        <rFont val="Century Gothic"/>
        <family val="2"/>
      </rPr>
      <t>u,1,J</t>
    </r>
    <r>
      <rPr>
        <vertAlign val="superscript"/>
        <sz val="8"/>
        <rFont val="Century Gothic"/>
        <family val="2"/>
      </rPr>
      <t>1)</t>
    </r>
  </si>
  <si>
    <r>
      <t>R</t>
    </r>
    <r>
      <rPr>
        <b/>
        <vertAlign val="subscript"/>
        <sz val="8"/>
        <rFont val="Century Gothic"/>
        <family val="2"/>
      </rPr>
      <t>1,k,J</t>
    </r>
  </si>
  <si>
    <r>
      <t>K</t>
    </r>
    <r>
      <rPr>
        <b/>
        <vertAlign val="subscript"/>
        <sz val="8"/>
        <rFont val="Century Gothic"/>
        <family val="2"/>
      </rPr>
      <t>u,1,J</t>
    </r>
  </si>
  <si>
    <r>
      <t>n · K</t>
    </r>
    <r>
      <rPr>
        <vertAlign val="subscript"/>
        <sz val="8"/>
        <color theme="1"/>
        <rFont val="Century Gothic"/>
        <family val="2"/>
      </rPr>
      <t>u,J</t>
    </r>
    <r>
      <rPr>
        <sz val="8"/>
        <color theme="1"/>
        <rFont val="Century Gothic"/>
        <family val="2"/>
      </rPr>
      <t xml:space="preserve"> · cos(α)</t>
    </r>
    <r>
      <rPr>
        <vertAlign val="superscript"/>
        <sz val="8"/>
        <color theme="1"/>
        <rFont val="Century Gothic"/>
        <family val="2"/>
      </rPr>
      <t>2</t>
    </r>
    <r>
      <rPr>
        <sz val="8"/>
        <color theme="1"/>
        <rFont val="Century Gothic"/>
        <family val="2"/>
      </rPr>
      <t xml:space="preserve"> des Anschlusses rechtwinklig zur Bauteilfuge</t>
    </r>
  </si>
  <si>
    <r>
      <t>K</t>
    </r>
    <r>
      <rPr>
        <b/>
        <vertAlign val="subscript"/>
        <sz val="8"/>
        <rFont val="Century Gothic"/>
        <family val="2"/>
      </rPr>
      <t>u,1,H</t>
    </r>
  </si>
  <si>
    <r>
      <t>R</t>
    </r>
    <r>
      <rPr>
        <vertAlign val="subscript"/>
        <sz val="8"/>
        <rFont val="Century Gothic"/>
        <family val="2"/>
      </rPr>
      <t>ax,k,H</t>
    </r>
  </si>
  <si>
    <t>char. Tragfähigkeit je Schraube</t>
  </si>
  <si>
    <t>Verschiebungsmodul je Schraube</t>
  </si>
  <si>
    <r>
      <t>n</t>
    </r>
    <r>
      <rPr>
        <vertAlign val="subscript"/>
        <sz val="8"/>
        <color theme="1"/>
        <rFont val="Century Gothic"/>
        <family val="2"/>
      </rPr>
      <t>ef</t>
    </r>
  </si>
  <si>
    <r>
      <t>l</t>
    </r>
    <r>
      <rPr>
        <vertAlign val="subscript"/>
        <sz val="8"/>
        <color theme="1"/>
        <rFont val="Century Gothic"/>
        <family val="2"/>
      </rPr>
      <t>ef</t>
    </r>
  </si>
  <si>
    <t>char. Tragfähigkeit je Reihe</t>
  </si>
  <si>
    <t>Verschiebungsmodul je Reihe</t>
  </si>
  <si>
    <r>
      <t>n</t>
    </r>
    <r>
      <rPr>
        <vertAlign val="subscript"/>
        <sz val="8"/>
        <color theme="1"/>
        <rFont val="Century Gothic"/>
        <family val="2"/>
      </rPr>
      <t>ef</t>
    </r>
    <r>
      <rPr>
        <sz val="8"/>
        <color theme="1"/>
        <rFont val="Century Gothic"/>
        <family val="2"/>
      </rPr>
      <t xml:space="preserve"> · R</t>
    </r>
    <r>
      <rPr>
        <vertAlign val="subscript"/>
        <sz val="8"/>
        <color theme="1"/>
        <rFont val="Century Gothic"/>
        <family val="2"/>
      </rPr>
      <t>ax,k</t>
    </r>
    <r>
      <rPr>
        <sz val="8"/>
        <color theme="1"/>
        <rFont val="Century Gothic"/>
        <family val="2"/>
      </rPr>
      <t xml:space="preserve"> · sin(α) je Schraubengruppe</t>
    </r>
  </si>
  <si>
    <r>
      <t>R</t>
    </r>
    <r>
      <rPr>
        <b/>
        <vertAlign val="subscript"/>
        <sz val="8"/>
        <rFont val="Century Gothic"/>
        <family val="2"/>
      </rPr>
      <t>1,k,H</t>
    </r>
  </si>
  <si>
    <t>char. Tragfähigkeit Schraubenkreuz</t>
  </si>
  <si>
    <r>
      <t>R</t>
    </r>
    <r>
      <rPr>
        <vertAlign val="subscript"/>
        <sz val="8"/>
        <color theme="1"/>
        <rFont val="Century Gothic"/>
        <family val="2"/>
      </rPr>
      <t>ax,c</t>
    </r>
  </si>
  <si>
    <r>
      <t>f</t>
    </r>
    <r>
      <rPr>
        <vertAlign val="subscript"/>
        <sz val="8"/>
        <color theme="1"/>
        <rFont val="Century Gothic"/>
        <family val="2"/>
      </rPr>
      <t>ax,90</t>
    </r>
  </si>
  <si>
    <r>
      <t>a</t>
    </r>
    <r>
      <rPr>
        <vertAlign val="subscript"/>
        <sz val="8"/>
        <color theme="1"/>
        <rFont val="Century Gothic"/>
        <family val="2"/>
      </rPr>
      <t>c</t>
    </r>
  </si>
  <si>
    <r>
      <t>n</t>
    </r>
    <r>
      <rPr>
        <vertAlign val="subscript"/>
        <sz val="8"/>
        <color theme="1"/>
        <rFont val="Century Gothic"/>
        <family val="2"/>
      </rPr>
      <t>c</t>
    </r>
  </si>
  <si>
    <r>
      <t>d</t>
    </r>
    <r>
      <rPr>
        <vertAlign val="subscript"/>
        <sz val="8"/>
        <color theme="1"/>
        <rFont val="Century Gothic"/>
        <family val="2"/>
      </rPr>
      <t>1</t>
    </r>
  </si>
  <si>
    <t>Zugverstärkung je Nebenträger</t>
  </si>
  <si>
    <t>je Schraube</t>
  </si>
  <si>
    <t xml:space="preserve">Je Schraubenreihe </t>
  </si>
  <si>
    <t>Je Schraubenkreuz</t>
  </si>
  <si>
    <t>i</t>
  </si>
  <si>
    <t>Beiwert für Holzart bei Ausklinkung</t>
  </si>
  <si>
    <r>
      <t>k</t>
    </r>
    <r>
      <rPr>
        <vertAlign val="subscript"/>
        <sz val="10"/>
        <color theme="1"/>
        <rFont val="Calibri"/>
        <family val="2"/>
        <scheme val="minor"/>
      </rPr>
      <t>n</t>
    </r>
  </si>
  <si>
    <r>
      <t>k</t>
    </r>
    <r>
      <rPr>
        <vertAlign val="subscript"/>
        <sz val="8"/>
        <rFont val="Century Gothic"/>
        <family val="2"/>
      </rPr>
      <t>n</t>
    </r>
  </si>
  <si>
    <t>für 90°</t>
  </si>
  <si>
    <t>Faktor für wirksame Bauteilbreite</t>
  </si>
  <si>
    <r>
      <t>k</t>
    </r>
    <r>
      <rPr>
        <vertAlign val="subscript"/>
        <sz val="10"/>
        <color theme="1"/>
        <rFont val="Calibri"/>
        <family val="2"/>
        <scheme val="minor"/>
      </rPr>
      <t>cr</t>
    </r>
  </si>
  <si>
    <r>
      <t>k</t>
    </r>
    <r>
      <rPr>
        <vertAlign val="subscript"/>
        <sz val="8"/>
        <rFont val="Century Gothic"/>
        <family val="2"/>
      </rPr>
      <t>cr</t>
    </r>
  </si>
  <si>
    <r>
      <t>h</t>
    </r>
    <r>
      <rPr>
        <vertAlign val="subscript"/>
        <sz val="8"/>
        <rFont val="Century Gothic"/>
        <family val="2"/>
      </rPr>
      <t>ef</t>
    </r>
  </si>
  <si>
    <r>
      <t>b</t>
    </r>
    <r>
      <rPr>
        <vertAlign val="subscript"/>
        <sz val="8"/>
        <rFont val="Century Gothic"/>
        <family val="2"/>
      </rPr>
      <t>ef</t>
    </r>
  </si>
  <si>
    <r>
      <t>k</t>
    </r>
    <r>
      <rPr>
        <vertAlign val="subscript"/>
        <sz val="8"/>
        <rFont val="Century Gothic"/>
        <family val="2"/>
      </rPr>
      <t>v</t>
    </r>
  </si>
  <si>
    <r>
      <t>τ</t>
    </r>
    <r>
      <rPr>
        <vertAlign val="subscript"/>
        <sz val="10"/>
        <rFont val="Arial"/>
        <family val="2"/>
      </rPr>
      <t>d</t>
    </r>
  </si>
  <si>
    <r>
      <t>k</t>
    </r>
    <r>
      <rPr>
        <vertAlign val="subscript"/>
        <sz val="11"/>
        <rFont val="Calibri"/>
        <family val="2"/>
        <scheme val="minor"/>
      </rPr>
      <t xml:space="preserve">v </t>
    </r>
    <r>
      <rPr>
        <sz val="11"/>
        <rFont val="Calibri"/>
        <family val="2"/>
        <scheme val="minor"/>
      </rPr>
      <t>⋅ f</t>
    </r>
    <r>
      <rPr>
        <vertAlign val="subscript"/>
        <sz val="11"/>
        <rFont val="Calibri"/>
        <family val="2"/>
        <scheme val="minor"/>
      </rPr>
      <t>v,d</t>
    </r>
  </si>
  <si>
    <t>η</t>
  </si>
  <si>
    <r>
      <t>h</t>
    </r>
    <r>
      <rPr>
        <vertAlign val="subscript"/>
        <sz val="8"/>
        <rFont val="Century Gothic"/>
        <family val="2"/>
      </rPr>
      <t>u</t>
    </r>
  </si>
  <si>
    <r>
      <t>h</t>
    </r>
    <r>
      <rPr>
        <vertAlign val="subscript"/>
        <sz val="8"/>
        <rFont val="Century Gothic"/>
        <family val="2"/>
      </rPr>
      <t>o</t>
    </r>
  </si>
  <si>
    <r>
      <t>R</t>
    </r>
    <r>
      <rPr>
        <vertAlign val="subscript"/>
        <sz val="8"/>
        <rFont val="Century Gothic"/>
        <family val="2"/>
      </rPr>
      <t>ax,d</t>
    </r>
  </si>
  <si>
    <r>
      <t>F</t>
    </r>
    <r>
      <rPr>
        <vertAlign val="subscript"/>
        <sz val="8"/>
        <rFont val="Century Gothic"/>
        <family val="2"/>
      </rPr>
      <t>t,90,d</t>
    </r>
  </si>
  <si>
    <t>Querzugverstärkung</t>
  </si>
  <si>
    <r>
      <t>R</t>
    </r>
    <r>
      <rPr>
        <vertAlign val="subscript"/>
        <sz val="8"/>
        <rFont val="Century Gothic"/>
        <family val="2"/>
      </rPr>
      <t>ax,k</t>
    </r>
  </si>
  <si>
    <t>Querzugverstärkung vorhanden?</t>
  </si>
  <si>
    <t>OK Nebenträger zur Risslinie</t>
  </si>
  <si>
    <t>UK Nebenträger zur Risslinie</t>
  </si>
  <si>
    <r>
      <t>F</t>
    </r>
    <r>
      <rPr>
        <vertAlign val="subscript"/>
        <sz val="8"/>
        <color theme="1"/>
        <rFont val="Century Gothic"/>
        <family val="2"/>
      </rPr>
      <t>ax,Rk</t>
    </r>
  </si>
  <si>
    <t>pro Schraube</t>
  </si>
  <si>
    <t>Anzahl VM in einer Reihe</t>
  </si>
  <si>
    <t>Stk.</t>
  </si>
  <si>
    <t>NW</t>
  </si>
  <si>
    <t>Nacheis ohne Verstärkung:</t>
  </si>
  <si>
    <t>Nachweis mit Verstärkung:</t>
  </si>
  <si>
    <t>Querzugverstärkung erforderlich</t>
  </si>
  <si>
    <t>Keine Querzugverstärkung erforderlich</t>
  </si>
  <si>
    <r>
      <t>H</t>
    </r>
    <r>
      <rPr>
        <vertAlign val="subscript"/>
        <sz val="8"/>
        <rFont val="Century Gothic"/>
        <family val="2"/>
      </rPr>
      <t>MEGANT</t>
    </r>
    <r>
      <rPr>
        <sz val="8"/>
        <rFont val="Century Gothic"/>
        <family val="2"/>
      </rPr>
      <t xml:space="preserve"> + l</t>
    </r>
    <r>
      <rPr>
        <vertAlign val="subscript"/>
        <sz val="8"/>
        <rFont val="Century Gothic"/>
        <family val="2"/>
      </rPr>
      <t>ef,2</t>
    </r>
  </si>
  <si>
    <t>Verstärkung mittels Vollgewindeschrauben</t>
  </si>
  <si>
    <t xml:space="preserve">Einschrauben von </t>
  </si>
  <si>
    <r>
      <t>l</t>
    </r>
    <r>
      <rPr>
        <vertAlign val="subscript"/>
        <sz val="8"/>
        <color theme="1"/>
        <rFont val="Century Gothic"/>
        <family val="2"/>
      </rPr>
      <t>ef,2</t>
    </r>
  </si>
  <si>
    <r>
      <t>l</t>
    </r>
    <r>
      <rPr>
        <vertAlign val="subscript"/>
        <sz val="8"/>
        <color theme="1"/>
        <rFont val="Century Gothic"/>
        <family val="2"/>
      </rPr>
      <t>ef,1</t>
    </r>
  </si>
  <si>
    <t>eff. Gewindelänge über Risslinie</t>
  </si>
  <si>
    <t>eff. Gewindelänge unter Risslinie</t>
  </si>
  <si>
    <r>
      <t>= h - h</t>
    </r>
    <r>
      <rPr>
        <vertAlign val="subscript"/>
        <sz val="8"/>
        <color theme="1"/>
        <rFont val="Century Gothic"/>
        <family val="2"/>
      </rPr>
      <t>ef</t>
    </r>
  </si>
  <si>
    <r>
      <t>h</t>
    </r>
    <r>
      <rPr>
        <vertAlign val="subscript"/>
        <sz val="8"/>
        <color theme="1"/>
        <rFont val="Century Gothic"/>
        <family val="2"/>
      </rPr>
      <t>o</t>
    </r>
  </si>
  <si>
    <r>
      <t>h</t>
    </r>
    <r>
      <rPr>
        <vertAlign val="subscript"/>
        <sz val="8"/>
        <color theme="1"/>
        <rFont val="Century Gothic"/>
        <family val="2"/>
      </rPr>
      <t>u</t>
    </r>
  </si>
  <si>
    <t>Gewählte Schraube</t>
  </si>
  <si>
    <r>
      <t>l</t>
    </r>
    <r>
      <rPr>
        <vertAlign val="subscript"/>
        <sz val="8"/>
        <color theme="1"/>
        <rFont val="Century Gothic"/>
        <family val="2"/>
      </rPr>
      <t>g</t>
    </r>
    <r>
      <rPr>
        <sz val="8"/>
        <color theme="1"/>
        <rFont val="Century Gothic"/>
        <family val="2"/>
      </rPr>
      <t xml:space="preserve"> </t>
    </r>
  </si>
  <si>
    <r>
      <t>a</t>
    </r>
    <r>
      <rPr>
        <vertAlign val="subscript"/>
        <sz val="8"/>
        <color theme="1"/>
        <rFont val="Century Gothic"/>
        <family val="2"/>
      </rPr>
      <t>max</t>
    </r>
  </si>
  <si>
    <t>nach ETA/11-0190 Anhang 9.61 für l = 70 bis l=280mm</t>
  </si>
  <si>
    <t>Zugtragfähigkeit der Schraube</t>
  </si>
  <si>
    <t>Berechnungsbeispiel zur Verstärkung von MEGANT-Verbindungen</t>
  </si>
  <si>
    <t>Beispiel: Stütze-Nebenträger</t>
  </si>
  <si>
    <t>Verstärkung des Biegezugbereichs mittels geschweißtem Stahlteil und Vollgewindeschrauben unter 45° mit Schrauben vom Typ Würth Assy plus VG nach ETA-11/0190.</t>
  </si>
  <si>
    <t>Verstärkung des Biegezugbereichs mittels Schraubenkreuze mit Schrauben vom Typ Würth Assy plus VG nach ETA-11/0190.</t>
  </si>
  <si>
    <t>Beispiel: Nebenträger-Hauptträger-Nebenträger</t>
  </si>
  <si>
    <t>Höhe (Dicke) MEGANT-Verbinder</t>
  </si>
  <si>
    <r>
      <t>Ermittlung von R</t>
    </r>
    <r>
      <rPr>
        <vertAlign val="subscript"/>
        <sz val="10"/>
        <rFont val="Century Gothic"/>
        <family val="2"/>
      </rPr>
      <t>1,k,H</t>
    </r>
    <r>
      <rPr>
        <sz val="10"/>
        <rFont val="Century Gothic"/>
        <family val="2"/>
      </rPr>
      <t xml:space="preserve"> und K</t>
    </r>
    <r>
      <rPr>
        <vertAlign val="subscript"/>
        <sz val="10"/>
        <rFont val="Century Gothic"/>
        <family val="2"/>
      </rPr>
      <t>u,1,H</t>
    </r>
    <r>
      <rPr>
        <sz val="10"/>
        <rFont val="Century Gothic"/>
        <family val="2"/>
      </rPr>
      <t xml:space="preserve"> der Verstärkung </t>
    </r>
  </si>
  <si>
    <t>Stahlteil</t>
  </si>
  <si>
    <r>
      <t>a</t>
    </r>
    <r>
      <rPr>
        <vertAlign val="subscript"/>
        <sz val="8"/>
        <rFont val="Century Gothic"/>
        <family val="2"/>
      </rPr>
      <t>4,re,t</t>
    </r>
  </si>
  <si>
    <t>Nachsweis Ausklinkung</t>
  </si>
  <si>
    <t>aus Eingabe</t>
  </si>
  <si>
    <t>char. Auszietragfähigkeit</t>
  </si>
  <si>
    <t>Prüfung ob Verstärkung zulässig</t>
  </si>
  <si>
    <t>Höhe (Dicke) des MEGANT-Verbinder</t>
  </si>
  <si>
    <r>
      <t>= H</t>
    </r>
    <r>
      <rPr>
        <vertAlign val="subscript"/>
        <sz val="8"/>
        <color theme="1"/>
        <rFont val="Century Gothic"/>
        <family val="2"/>
      </rPr>
      <t>MEGANT</t>
    </r>
    <r>
      <rPr>
        <sz val="8"/>
        <color theme="1"/>
        <rFont val="Century Gothic"/>
        <family val="2"/>
      </rPr>
      <t>/cos(α)</t>
    </r>
  </si>
  <si>
    <r>
      <t>a</t>
    </r>
    <r>
      <rPr>
        <vertAlign val="subscript"/>
        <sz val="8"/>
        <color theme="1"/>
        <rFont val="Century Gothic"/>
        <family val="2"/>
      </rPr>
      <t>3,c</t>
    </r>
  </si>
  <si>
    <r>
      <t>a</t>
    </r>
    <r>
      <rPr>
        <vertAlign val="subscript"/>
        <sz val="8"/>
        <color theme="1"/>
        <rFont val="Century Gothic"/>
        <family val="2"/>
      </rPr>
      <t>4,c</t>
    </r>
  </si>
  <si>
    <t xml:space="preserve">Überstand Gewindestange </t>
  </si>
  <si>
    <r>
      <t>a</t>
    </r>
    <r>
      <rPr>
        <vertAlign val="subscript"/>
        <sz val="8"/>
        <color theme="1"/>
        <rFont val="Century Gothic"/>
        <family val="2"/>
      </rPr>
      <t>GS</t>
    </r>
  </si>
  <si>
    <r>
      <t>a</t>
    </r>
    <r>
      <rPr>
        <vertAlign val="subscript"/>
        <sz val="8"/>
        <color theme="1"/>
        <rFont val="Century Gothic"/>
        <family val="2"/>
      </rPr>
      <t>3,c,min</t>
    </r>
    <r>
      <rPr>
        <sz val="8"/>
        <color theme="1"/>
        <rFont val="Century Gothic"/>
        <family val="2"/>
      </rPr>
      <t xml:space="preserve"> = </t>
    </r>
  </si>
  <si>
    <t>5 · d</t>
  </si>
  <si>
    <r>
      <t>a</t>
    </r>
    <r>
      <rPr>
        <vertAlign val="subscript"/>
        <sz val="8"/>
        <color theme="1"/>
        <rFont val="Century Gothic"/>
        <family val="2"/>
      </rPr>
      <t>4,c,min</t>
    </r>
    <r>
      <rPr>
        <sz val="8"/>
        <color theme="1"/>
        <rFont val="Century Gothic"/>
        <family val="2"/>
      </rPr>
      <t xml:space="preserve"> =</t>
    </r>
  </si>
  <si>
    <r>
      <t>a</t>
    </r>
    <r>
      <rPr>
        <vertAlign val="subscript"/>
        <sz val="8"/>
        <color theme="1"/>
        <rFont val="Century Gothic"/>
        <family val="2"/>
      </rPr>
      <t>4,re,t,min</t>
    </r>
    <r>
      <rPr>
        <sz val="8"/>
        <color theme="1"/>
        <rFont val="Century Gothic"/>
        <family val="2"/>
      </rPr>
      <t xml:space="preserve"> =</t>
    </r>
  </si>
  <si>
    <r>
      <t>a</t>
    </r>
    <r>
      <rPr>
        <vertAlign val="subscript"/>
        <sz val="8"/>
        <color theme="1"/>
        <rFont val="Century Gothic"/>
        <family val="2"/>
      </rPr>
      <t xml:space="preserve">2,re,t,min </t>
    </r>
    <r>
      <rPr>
        <sz val="8"/>
        <color theme="1"/>
        <rFont val="Century Gothic"/>
        <family val="2"/>
      </rPr>
      <t>=</t>
    </r>
  </si>
  <si>
    <t>3 · d</t>
  </si>
  <si>
    <r>
      <t>a</t>
    </r>
    <r>
      <rPr>
        <vertAlign val="subscript"/>
        <sz val="8"/>
        <color theme="1"/>
        <rFont val="Century Gothic"/>
        <family val="2"/>
      </rPr>
      <t>re,t,min</t>
    </r>
    <r>
      <rPr>
        <sz val="8"/>
        <color theme="1"/>
        <rFont val="Century Gothic"/>
        <family val="2"/>
      </rPr>
      <t xml:space="preserve"> = </t>
    </r>
  </si>
  <si>
    <r>
      <t>a</t>
    </r>
    <r>
      <rPr>
        <vertAlign val="subscript"/>
        <sz val="8"/>
        <color theme="1"/>
        <rFont val="Century Gothic"/>
        <family val="2"/>
      </rPr>
      <t>GS</t>
    </r>
    <r>
      <rPr>
        <sz val="8"/>
        <color theme="1"/>
        <rFont val="Century Gothic"/>
        <family val="2"/>
      </rPr>
      <t xml:space="preserve"> + 2 · d</t>
    </r>
  </si>
  <si>
    <t>max. Schraubenlänge HT</t>
  </si>
  <si>
    <t>eff. Schraubenläge NT</t>
  </si>
  <si>
    <t>eff. Schraubenläge HT</t>
  </si>
  <si>
    <r>
      <t>= L</t>
    </r>
    <r>
      <rPr>
        <vertAlign val="subscript"/>
        <sz val="8"/>
        <color theme="1"/>
        <rFont val="Century Gothic"/>
        <family val="2"/>
      </rPr>
      <t>s,gew</t>
    </r>
    <r>
      <rPr>
        <sz val="8"/>
        <color theme="1"/>
        <rFont val="Century Gothic"/>
        <family val="2"/>
      </rPr>
      <t xml:space="preserve"> - 0,5 · B</t>
    </r>
    <r>
      <rPr>
        <vertAlign val="subscript"/>
        <sz val="8"/>
        <color theme="1"/>
        <rFont val="Century Gothic"/>
        <family val="2"/>
      </rPr>
      <t>NT</t>
    </r>
    <r>
      <rPr>
        <sz val="8"/>
        <color theme="1"/>
        <rFont val="Century Gothic"/>
        <family val="2"/>
      </rPr>
      <t>/sin(α)</t>
    </r>
  </si>
  <si>
    <t>nach ETA/11-0190 Anhang 9.61 für l = 290 bis l=450mm</t>
  </si>
  <si>
    <r>
      <t>n</t>
    </r>
    <r>
      <rPr>
        <vertAlign val="subscript"/>
        <sz val="8"/>
        <color theme="1"/>
        <rFont val="Century Gothic"/>
        <family val="2"/>
      </rPr>
      <t>ef</t>
    </r>
    <r>
      <rPr>
        <sz val="8"/>
        <color theme="1"/>
        <rFont val="Century Gothic"/>
        <family val="2"/>
      </rPr>
      <t>/m · 2 · R</t>
    </r>
    <r>
      <rPr>
        <vertAlign val="subscript"/>
        <sz val="8"/>
        <color theme="1"/>
        <rFont val="Century Gothic"/>
        <family val="2"/>
      </rPr>
      <t>ax,k</t>
    </r>
    <r>
      <rPr>
        <sz val="8"/>
        <color theme="1"/>
        <rFont val="Century Gothic"/>
        <family val="2"/>
      </rPr>
      <t xml:space="preserve"> · cos(α) je Schraubenkreuz rechtwinklig Bauteilfuge</t>
    </r>
  </si>
  <si>
    <t>Verstärkung mittels 3xSchraubenkreuzen Assy Plus VG Ø10/350mm SK unter 30° nach ETA-11/0190</t>
  </si>
  <si>
    <t>char. Tragfähigkeit pro Schraubenkreuz</t>
  </si>
  <si>
    <t>Verschiebungsmodul je Schraubenkreuz</t>
  </si>
  <si>
    <t>Zugtragfähigkeit je Schraube</t>
  </si>
  <si>
    <t>char. Ausziehtragfähigkeit pro Schraube</t>
  </si>
  <si>
    <r>
      <t>f</t>
    </r>
    <r>
      <rPr>
        <vertAlign val="subscript"/>
        <sz val="8"/>
        <color theme="1"/>
        <rFont val="Century Gothic"/>
        <family val="2"/>
      </rPr>
      <t>tens,k</t>
    </r>
  </si>
  <si>
    <r>
      <t>f</t>
    </r>
    <r>
      <rPr>
        <vertAlign val="subscript"/>
        <sz val="8"/>
        <color theme="1"/>
        <rFont val="Century Gothic"/>
        <family val="2"/>
      </rPr>
      <t>tens,k</t>
    </r>
    <r>
      <rPr>
        <sz val="8"/>
        <color theme="1"/>
        <rFont val="Century Gothic"/>
        <family val="2"/>
      </rPr>
      <t xml:space="preserve"> nach ETA-11/0190</t>
    </r>
  </si>
  <si>
    <r>
      <t>Ausziehtragfähigkeit R</t>
    </r>
    <r>
      <rPr>
        <vertAlign val="subscript"/>
        <sz val="8"/>
        <rFont val="Century Gothic"/>
        <family val="2"/>
      </rPr>
      <t>ax,k</t>
    </r>
    <r>
      <rPr>
        <sz val="8"/>
        <rFont val="Century Gothic"/>
        <family val="2"/>
      </rPr>
      <t xml:space="preserve"> wird gegenüber der Zugtragfähigkeit f</t>
    </r>
    <r>
      <rPr>
        <vertAlign val="subscript"/>
        <sz val="8"/>
        <rFont val="Century Gothic"/>
        <family val="2"/>
      </rPr>
      <t>tens,k</t>
    </r>
    <r>
      <rPr>
        <sz val="8"/>
        <rFont val="Century Gothic"/>
        <family val="2"/>
      </rPr>
      <t xml:space="preserve"> maßgebend!</t>
    </r>
  </si>
  <si>
    <r>
      <t>2 · K</t>
    </r>
    <r>
      <rPr>
        <vertAlign val="subscript"/>
        <sz val="8"/>
        <color theme="1"/>
        <rFont val="Century Gothic"/>
        <family val="2"/>
      </rPr>
      <t>u,J</t>
    </r>
    <r>
      <rPr>
        <sz val="8"/>
        <color theme="1"/>
        <rFont val="Century Gothic"/>
        <family val="2"/>
      </rPr>
      <t xml:space="preserve"> · cos(α)</t>
    </r>
    <r>
      <rPr>
        <vertAlign val="superscript"/>
        <sz val="8"/>
        <color theme="1"/>
        <rFont val="Century Gothic"/>
        <family val="2"/>
      </rPr>
      <t>2</t>
    </r>
    <r>
      <rPr>
        <sz val="8"/>
        <color theme="1"/>
        <rFont val="Century Gothic"/>
        <family val="2"/>
      </rPr>
      <t xml:space="preserve"> je Schraubenkreuz und Anschlussfuge rechtwinklig Bauteilfuge</t>
    </r>
  </si>
  <si>
    <r>
      <t>a</t>
    </r>
    <r>
      <rPr>
        <b/>
        <vertAlign val="subscript"/>
        <sz val="8"/>
        <rFont val="Century Gothic"/>
        <family val="2"/>
      </rPr>
      <t>re,t,H</t>
    </r>
  </si>
  <si>
    <r>
      <t>a</t>
    </r>
    <r>
      <rPr>
        <b/>
        <vertAlign val="subscript"/>
        <sz val="8"/>
        <rFont val="Century Gothic"/>
        <family val="2"/>
      </rPr>
      <t>2,re,t,H</t>
    </r>
  </si>
  <si>
    <r>
      <t>a</t>
    </r>
    <r>
      <rPr>
        <b/>
        <vertAlign val="subscript"/>
        <sz val="8"/>
        <rFont val="Century Gothic"/>
        <family val="2"/>
      </rPr>
      <t>re,t,J</t>
    </r>
  </si>
  <si>
    <r>
      <t>a</t>
    </r>
    <r>
      <rPr>
        <b/>
        <vertAlign val="subscript"/>
        <sz val="8"/>
        <rFont val="Century Gothic"/>
        <family val="2"/>
      </rPr>
      <t>2,re,t,J</t>
    </r>
  </si>
  <si>
    <t>Verstärkungen sind vor Brandeinwirkung zu schützen</t>
  </si>
  <si>
    <t xml:space="preserve">Überstand Gewindestange an oberer Spannbacke </t>
  </si>
  <si>
    <r>
      <t>R</t>
    </r>
    <r>
      <rPr>
        <vertAlign val="subscript"/>
        <sz val="8"/>
        <rFont val="Century Gothic"/>
        <family val="2"/>
      </rPr>
      <t>1,k,J</t>
    </r>
  </si>
  <si>
    <r>
      <t>K</t>
    </r>
    <r>
      <rPr>
        <vertAlign val="subscript"/>
        <sz val="8"/>
        <rFont val="Century Gothic"/>
        <family val="2"/>
      </rPr>
      <t>u,1,J</t>
    </r>
  </si>
  <si>
    <t>BH</t>
  </si>
  <si>
    <t>HH</t>
  </si>
  <si>
    <r>
      <t>l</t>
    </r>
    <r>
      <rPr>
        <vertAlign val="subscript"/>
        <sz val="8"/>
        <color theme="1"/>
        <rFont val="Century Gothic"/>
        <family val="2"/>
      </rPr>
      <t>eff,J</t>
    </r>
  </si>
  <si>
    <r>
      <t>l</t>
    </r>
    <r>
      <rPr>
        <vertAlign val="subscript"/>
        <sz val="8"/>
        <color theme="1"/>
        <rFont val="Century Gothic"/>
        <family val="2"/>
      </rPr>
      <t>eff,H</t>
    </r>
  </si>
  <si>
    <r>
      <t>l</t>
    </r>
    <r>
      <rPr>
        <vertAlign val="subscript"/>
        <sz val="8"/>
        <color theme="1"/>
        <rFont val="Century Gothic"/>
        <family val="2"/>
      </rPr>
      <t>H,max</t>
    </r>
  </si>
  <si>
    <t>2,5 · d</t>
  </si>
  <si>
    <r>
      <t>a</t>
    </r>
    <r>
      <rPr>
        <vertAlign val="subscript"/>
        <sz val="8"/>
        <color theme="1"/>
        <rFont val="Century Gothic"/>
        <family val="2"/>
      </rPr>
      <t>2,re,t</t>
    </r>
    <r>
      <rPr>
        <sz val="8"/>
        <color theme="1"/>
        <rFont val="Century Gothic"/>
        <family val="2"/>
      </rPr>
      <t xml:space="preserve"> =</t>
    </r>
  </si>
  <si>
    <r>
      <t>a</t>
    </r>
    <r>
      <rPr>
        <vertAlign val="subscript"/>
        <sz val="8"/>
        <color theme="1"/>
        <rFont val="Century Gothic"/>
        <family val="2"/>
      </rPr>
      <t>re,t</t>
    </r>
    <r>
      <rPr>
        <sz val="8"/>
        <color theme="1"/>
        <rFont val="Century Gothic"/>
        <family val="2"/>
      </rPr>
      <t xml:space="preserve"> =</t>
    </r>
  </si>
  <si>
    <r>
      <t>n</t>
    </r>
    <r>
      <rPr>
        <vertAlign val="subscript"/>
        <sz val="8"/>
        <color theme="1"/>
        <rFont val="Century Gothic"/>
        <family val="2"/>
      </rPr>
      <t>ef</t>
    </r>
    <r>
      <rPr>
        <sz val="8"/>
        <color theme="1"/>
        <rFont val="Century Gothic"/>
        <family val="2"/>
      </rPr>
      <t xml:space="preserve"> · R</t>
    </r>
    <r>
      <rPr>
        <vertAlign val="subscript"/>
        <sz val="8"/>
        <color theme="1"/>
        <rFont val="Century Gothic"/>
        <family val="2"/>
      </rPr>
      <t>ax,k</t>
    </r>
    <r>
      <rPr>
        <sz val="8"/>
        <color theme="1"/>
        <rFont val="Century Gothic"/>
        <family val="2"/>
      </rPr>
      <t xml:space="preserve">  je Schraubenreihe rechtwinklig Bauteilfuge</t>
    </r>
  </si>
  <si>
    <r>
      <t>a</t>
    </r>
    <r>
      <rPr>
        <b/>
        <vertAlign val="subscript"/>
        <sz val="8"/>
        <rFont val="Century Gothic"/>
        <family val="2"/>
      </rPr>
      <t>re,t</t>
    </r>
  </si>
  <si>
    <t>Nebenträger an Hauptträger z.b. mittels MEGANT 430x150x50</t>
  </si>
  <si>
    <r>
      <t>a</t>
    </r>
    <r>
      <rPr>
        <b/>
        <vertAlign val="subscript"/>
        <sz val="8"/>
        <rFont val="Century Gothic"/>
        <family val="2"/>
      </rPr>
      <t>c</t>
    </r>
  </si>
  <si>
    <r>
      <t>n</t>
    </r>
    <r>
      <rPr>
        <b/>
        <vertAlign val="subscript"/>
        <sz val="8"/>
        <rFont val="Century Gothic"/>
        <family val="2"/>
      </rPr>
      <t>c</t>
    </r>
  </si>
  <si>
    <r>
      <t>R</t>
    </r>
    <r>
      <rPr>
        <vertAlign val="subscript"/>
        <sz val="8"/>
        <rFont val="Century Gothic"/>
        <family val="2"/>
      </rPr>
      <t>1,k,c</t>
    </r>
  </si>
  <si>
    <r>
      <t>B</t>
    </r>
    <r>
      <rPr>
        <vertAlign val="subscript"/>
        <sz val="8"/>
        <rFont val="Century Gothic"/>
        <family val="2"/>
      </rPr>
      <t>erf</t>
    </r>
  </si>
  <si>
    <r>
      <t>L</t>
    </r>
    <r>
      <rPr>
        <vertAlign val="subscript"/>
        <sz val="8"/>
        <rFont val="Century Gothic"/>
        <family val="2"/>
      </rPr>
      <t>min</t>
    </r>
    <r>
      <rPr>
        <sz val="8"/>
        <rFont val="Century Gothic"/>
        <family val="2"/>
      </rPr>
      <t xml:space="preserve"> = BH + 2 · (H</t>
    </r>
    <r>
      <rPr>
        <vertAlign val="subscript"/>
        <sz val="8"/>
        <rFont val="Century Gothic"/>
        <family val="2"/>
      </rPr>
      <t>MEGANT</t>
    </r>
    <r>
      <rPr>
        <sz val="8"/>
        <rFont val="Century Gothic"/>
        <family val="2"/>
      </rPr>
      <t xml:space="preserve"> + 15·d + (n-1) · 10·d +10)</t>
    </r>
  </si>
  <si>
    <r>
      <t>A</t>
    </r>
    <r>
      <rPr>
        <vertAlign val="subscript"/>
        <sz val="8"/>
        <rFont val="Century Gothic"/>
        <family val="2"/>
      </rPr>
      <t>ef</t>
    </r>
  </si>
  <si>
    <t>Länge Kammnägel</t>
  </si>
  <si>
    <t>Durchmesser Kammnägel</t>
  </si>
  <si>
    <t>Lochblech z.B. NP20/160/XX (Simpson Strong-Tie)</t>
  </si>
  <si>
    <r>
      <t>&gt;= 2 · R</t>
    </r>
    <r>
      <rPr>
        <vertAlign val="subscript"/>
        <sz val="8"/>
        <rFont val="Century Gothic"/>
        <family val="2"/>
      </rPr>
      <t>1,k,J</t>
    </r>
  </si>
  <si>
    <t>nach ETA-04/0013</t>
  </si>
  <si>
    <t>Verstärkung des Biegezugbereichs mittels Lochblech und Kammnägeln vom Typ CNA nach ETA-04/0013 sowie des Biegedruckbereichs mittels durckbeanspruchten Vollgewindeschrauben mit Schrauben vom Typ Würth Assy plus VG nach ETA-11/0190.</t>
  </si>
  <si>
    <t>nach ETA-11/0190</t>
  </si>
  <si>
    <r>
      <t>f</t>
    </r>
    <r>
      <rPr>
        <vertAlign val="subscript"/>
        <sz val="8"/>
        <color theme="1"/>
        <rFont val="Century Gothic"/>
        <family val="2"/>
      </rPr>
      <t>ax,k</t>
    </r>
    <r>
      <rPr>
        <sz val="8"/>
        <color theme="1"/>
        <rFont val="Century Gothic"/>
        <family val="2"/>
      </rPr>
      <t xml:space="preserve"> · d · l</t>
    </r>
    <r>
      <rPr>
        <vertAlign val="subscript"/>
        <sz val="8"/>
        <color theme="1"/>
        <rFont val="Century Gothic"/>
        <family val="2"/>
      </rPr>
      <t>ef</t>
    </r>
    <r>
      <rPr>
        <sz val="8"/>
        <color theme="1"/>
        <rFont val="Century Gothic"/>
        <family val="2"/>
      </rPr>
      <t xml:space="preserve"> · (p</t>
    </r>
    <r>
      <rPr>
        <vertAlign val="subscript"/>
        <sz val="8"/>
        <color theme="1"/>
        <rFont val="Century Gothic"/>
        <family val="2"/>
      </rPr>
      <t>k</t>
    </r>
    <r>
      <rPr>
        <sz val="8"/>
        <color theme="1"/>
        <rFont val="Century Gothic"/>
        <family val="2"/>
      </rPr>
      <t>/350)</t>
    </r>
    <r>
      <rPr>
        <vertAlign val="superscript"/>
        <sz val="8"/>
        <color theme="1"/>
        <rFont val="Century Gothic"/>
        <family val="2"/>
      </rPr>
      <t>0,8</t>
    </r>
    <r>
      <rPr>
        <sz val="8"/>
        <color theme="1"/>
        <rFont val="Century Gothic"/>
        <family val="2"/>
      </rPr>
      <t xml:space="preserve"> · k</t>
    </r>
    <r>
      <rPr>
        <vertAlign val="subscript"/>
        <sz val="8"/>
        <color theme="1"/>
        <rFont val="Century Gothic"/>
        <family val="2"/>
      </rPr>
      <t>ax</t>
    </r>
    <r>
      <rPr>
        <sz val="8"/>
        <color theme="1"/>
        <rFont val="Century Gothic"/>
        <family val="2"/>
      </rPr>
      <t>/k</t>
    </r>
    <r>
      <rPr>
        <vertAlign val="subscript"/>
        <sz val="8"/>
        <color theme="1"/>
        <rFont val="Century Gothic"/>
        <family val="2"/>
      </rPr>
      <t>β</t>
    </r>
    <r>
      <rPr>
        <sz val="8"/>
        <color theme="1"/>
        <rFont val="Century Gothic"/>
        <family val="2"/>
      </rPr>
      <t xml:space="preserve"> nach ETA 11/0190 in Richtung der Schraubenachse</t>
    </r>
  </si>
  <si>
    <r>
      <t>a</t>
    </r>
    <r>
      <rPr>
        <vertAlign val="subscript"/>
        <sz val="8"/>
        <color theme="1"/>
        <rFont val="Century Gothic"/>
        <family val="2"/>
      </rPr>
      <t>1</t>
    </r>
    <r>
      <rPr>
        <sz val="8"/>
        <color theme="1"/>
        <rFont val="Century Gothic"/>
        <family val="2"/>
      </rPr>
      <t xml:space="preserve"> = 10 · d</t>
    </r>
  </si>
  <si>
    <r>
      <t>a</t>
    </r>
    <r>
      <rPr>
        <vertAlign val="subscript"/>
        <sz val="8"/>
        <color theme="1"/>
        <rFont val="Century Gothic"/>
        <family val="2"/>
      </rPr>
      <t>1</t>
    </r>
  </si>
  <si>
    <t>VM  Abstand in Faserrichtung</t>
  </si>
  <si>
    <r>
      <t>a</t>
    </r>
    <r>
      <rPr>
        <vertAlign val="subscript"/>
        <sz val="8"/>
        <color theme="1"/>
        <rFont val="Century Gothic"/>
        <family val="2"/>
      </rPr>
      <t>1,min</t>
    </r>
    <r>
      <rPr>
        <sz val="8"/>
        <color theme="1"/>
        <rFont val="Century Gothic"/>
        <family val="2"/>
      </rPr>
      <t xml:space="preserve"> = </t>
    </r>
  </si>
  <si>
    <t>10 · d</t>
  </si>
  <si>
    <r>
      <t>a</t>
    </r>
    <r>
      <rPr>
        <vertAlign val="subscript"/>
        <sz val="8"/>
        <color theme="1"/>
        <rFont val="Century Gothic"/>
        <family val="2"/>
      </rPr>
      <t>3,t</t>
    </r>
  </si>
  <si>
    <t>15 · d</t>
  </si>
  <si>
    <r>
      <t>a</t>
    </r>
    <r>
      <rPr>
        <vertAlign val="subscript"/>
        <sz val="8"/>
        <color theme="1"/>
        <rFont val="Century Gothic"/>
        <family val="2"/>
      </rPr>
      <t>3,t,min</t>
    </r>
    <r>
      <rPr>
        <sz val="8"/>
        <color theme="1"/>
        <rFont val="Century Gothic"/>
        <family val="2"/>
      </rPr>
      <t xml:space="preserve"> = </t>
    </r>
  </si>
  <si>
    <t>Gewählte Randabstände</t>
  </si>
  <si>
    <r>
      <t>F</t>
    </r>
    <r>
      <rPr>
        <vertAlign val="subscript"/>
        <sz val="8"/>
        <rFont val="Century Gothic"/>
        <family val="2"/>
      </rPr>
      <t>ax,Rk</t>
    </r>
  </si>
  <si>
    <r>
      <t>f</t>
    </r>
    <r>
      <rPr>
        <vertAlign val="subscript"/>
        <sz val="8"/>
        <rFont val="Century Gothic"/>
        <family val="2"/>
      </rPr>
      <t>tens,k</t>
    </r>
  </si>
  <si>
    <r>
      <t>Ausziehtragfähigkeit F</t>
    </r>
    <r>
      <rPr>
        <vertAlign val="subscript"/>
        <sz val="8"/>
        <rFont val="Century Gothic"/>
        <family val="2"/>
      </rPr>
      <t>ax,k</t>
    </r>
    <r>
      <rPr>
        <sz val="8"/>
        <rFont val="Century Gothic"/>
        <family val="2"/>
      </rPr>
      <t xml:space="preserve"> wird gegenüber der Zugtragfähigkeit f</t>
    </r>
    <r>
      <rPr>
        <vertAlign val="subscript"/>
        <sz val="8"/>
        <rFont val="Century Gothic"/>
        <family val="2"/>
      </rPr>
      <t>tens,k</t>
    </r>
    <r>
      <rPr>
        <sz val="8"/>
        <rFont val="Century Gothic"/>
        <family val="2"/>
      </rPr>
      <t xml:space="preserve"> maßgebend!</t>
    </r>
  </si>
  <si>
    <r>
      <t>f</t>
    </r>
    <r>
      <rPr>
        <vertAlign val="subscript"/>
        <sz val="8"/>
        <color theme="1"/>
        <rFont val="Century Gothic"/>
        <family val="2"/>
      </rPr>
      <t>ax,k</t>
    </r>
    <r>
      <rPr>
        <sz val="8"/>
        <color theme="1"/>
        <rFont val="Century Gothic"/>
        <family val="2"/>
      </rPr>
      <t xml:space="preserve"> · d · min[ l</t>
    </r>
    <r>
      <rPr>
        <vertAlign val="subscript"/>
        <sz val="8"/>
        <color theme="1"/>
        <rFont val="Century Gothic"/>
        <family val="2"/>
      </rPr>
      <t>ef,1</t>
    </r>
    <r>
      <rPr>
        <sz val="8"/>
        <color theme="1"/>
        <rFont val="Century Gothic"/>
        <family val="2"/>
      </rPr>
      <t>; l</t>
    </r>
    <r>
      <rPr>
        <vertAlign val="subscript"/>
        <sz val="8"/>
        <color theme="1"/>
        <rFont val="Century Gothic"/>
        <family val="2"/>
      </rPr>
      <t>ef,2</t>
    </r>
    <r>
      <rPr>
        <sz val="8"/>
        <color theme="1"/>
        <rFont val="Century Gothic"/>
        <family val="2"/>
      </rPr>
      <t xml:space="preserve"> ]</t>
    </r>
    <r>
      <rPr>
        <vertAlign val="subscript"/>
        <sz val="8"/>
        <color theme="1"/>
        <rFont val="Century Gothic"/>
        <family val="2"/>
      </rPr>
      <t xml:space="preserve"> ·</t>
    </r>
    <r>
      <rPr>
        <sz val="8"/>
        <color theme="1"/>
        <rFont val="Century Gothic"/>
        <family val="2"/>
      </rPr>
      <t xml:space="preserve"> (p</t>
    </r>
    <r>
      <rPr>
        <vertAlign val="subscript"/>
        <sz val="8"/>
        <color theme="1"/>
        <rFont val="Century Gothic"/>
        <family val="2"/>
      </rPr>
      <t>k</t>
    </r>
    <r>
      <rPr>
        <sz val="8"/>
        <color theme="1"/>
        <rFont val="Century Gothic"/>
        <family val="2"/>
      </rPr>
      <t>/350)</t>
    </r>
    <r>
      <rPr>
        <vertAlign val="superscript"/>
        <sz val="8"/>
        <color theme="1"/>
        <rFont val="Century Gothic"/>
        <family val="2"/>
      </rPr>
      <t>0,8</t>
    </r>
    <r>
      <rPr>
        <sz val="8"/>
        <color theme="1"/>
        <rFont val="Century Gothic"/>
        <family val="2"/>
      </rPr>
      <t xml:space="preserve"> · k</t>
    </r>
    <r>
      <rPr>
        <vertAlign val="subscript"/>
        <sz val="8"/>
        <color theme="1"/>
        <rFont val="Century Gothic"/>
        <family val="2"/>
      </rPr>
      <t>ax</t>
    </r>
    <r>
      <rPr>
        <sz val="8"/>
        <color theme="1"/>
        <rFont val="Century Gothic"/>
        <family val="2"/>
      </rPr>
      <t>/k</t>
    </r>
    <r>
      <rPr>
        <vertAlign val="subscript"/>
        <sz val="8"/>
        <color theme="1"/>
        <rFont val="Century Gothic"/>
        <family val="2"/>
      </rPr>
      <t>β</t>
    </r>
    <r>
      <rPr>
        <vertAlign val="superscript"/>
        <sz val="8"/>
        <color theme="1"/>
        <rFont val="Century Gothic"/>
        <family val="2"/>
      </rPr>
      <t xml:space="preserve"> </t>
    </r>
    <r>
      <rPr>
        <sz val="8"/>
        <color theme="1"/>
        <rFont val="Century Gothic"/>
        <family val="2"/>
      </rPr>
      <t>nach ETA 11/0190 in Richtung der Schraubenachse</t>
    </r>
  </si>
  <si>
    <t xml:space="preserve">Mindesteinbindetiefe muss gewährleistet sein. </t>
  </si>
  <si>
    <r>
      <t>= h</t>
    </r>
    <r>
      <rPr>
        <vertAlign val="subscript"/>
        <sz val="8"/>
        <rFont val="Century Gothic"/>
        <family val="2"/>
      </rPr>
      <t>u</t>
    </r>
    <r>
      <rPr>
        <sz val="8"/>
        <rFont val="Century Gothic"/>
        <family val="2"/>
      </rPr>
      <t xml:space="preserve"> - a</t>
    </r>
    <r>
      <rPr>
        <vertAlign val="subscript"/>
        <sz val="8"/>
        <rFont val="Century Gothic"/>
        <family val="2"/>
      </rPr>
      <t>max</t>
    </r>
  </si>
  <si>
    <r>
      <t>= l</t>
    </r>
    <r>
      <rPr>
        <vertAlign val="subscript"/>
        <sz val="8"/>
        <color theme="1"/>
        <rFont val="Century Gothic"/>
        <family val="2"/>
      </rPr>
      <t xml:space="preserve">s </t>
    </r>
    <r>
      <rPr>
        <sz val="8"/>
        <color theme="1"/>
        <rFont val="Century Gothic"/>
        <family val="2"/>
      </rPr>
      <t>- h</t>
    </r>
    <r>
      <rPr>
        <vertAlign val="subscript"/>
        <sz val="8"/>
        <color theme="1"/>
        <rFont val="Century Gothic"/>
        <family val="2"/>
      </rPr>
      <t>u</t>
    </r>
  </si>
  <si>
    <r>
      <t>= h</t>
    </r>
    <r>
      <rPr>
        <vertAlign val="subscript"/>
        <sz val="8"/>
        <color theme="1"/>
        <rFont val="Century Gothic"/>
        <family val="2"/>
      </rPr>
      <t>ef</t>
    </r>
    <r>
      <rPr>
        <sz val="8"/>
        <color theme="1"/>
        <rFont val="Century Gothic"/>
        <family val="2"/>
      </rPr>
      <t xml:space="preserve"> </t>
    </r>
  </si>
  <si>
    <t>siehe Programmausgabe</t>
  </si>
  <si>
    <r>
      <t>L</t>
    </r>
    <r>
      <rPr>
        <vertAlign val="subscript"/>
        <sz val="8"/>
        <color theme="1"/>
        <rFont val="Century Gothic"/>
        <family val="2"/>
      </rPr>
      <t>a</t>
    </r>
  </si>
  <si>
    <r>
      <t>K</t>
    </r>
    <r>
      <rPr>
        <vertAlign val="subscript"/>
        <sz val="8"/>
        <rFont val="Century Gothic"/>
        <family val="2"/>
      </rPr>
      <t>u,1,c</t>
    </r>
  </si>
  <si>
    <r>
      <t>R</t>
    </r>
    <r>
      <rPr>
        <b/>
        <vertAlign val="subscript"/>
        <sz val="8"/>
        <rFont val="Century Gothic"/>
        <family val="2"/>
      </rPr>
      <t>1,k,c</t>
    </r>
  </si>
  <si>
    <r>
      <t>K</t>
    </r>
    <r>
      <rPr>
        <b/>
        <vertAlign val="subscript"/>
        <sz val="8"/>
        <rFont val="Century Gothic"/>
        <family val="2"/>
      </rPr>
      <t>u,1,c</t>
    </r>
  </si>
  <si>
    <r>
      <t>k</t>
    </r>
    <r>
      <rPr>
        <vertAlign val="subscript"/>
        <sz val="10"/>
        <color theme="1"/>
        <rFont val="Century Gothic"/>
        <family val="2"/>
      </rPr>
      <t>ax</t>
    </r>
  </si>
  <si>
    <r>
      <t>f</t>
    </r>
    <r>
      <rPr>
        <vertAlign val="subscript"/>
        <sz val="8"/>
        <rFont val="Century Gothic"/>
        <family val="2"/>
      </rPr>
      <t>ax,k</t>
    </r>
    <r>
      <rPr>
        <sz val="8"/>
        <rFont val="Century Gothic"/>
        <family val="2"/>
      </rPr>
      <t xml:space="preserve"> = 0,52⋅ d</t>
    </r>
    <r>
      <rPr>
        <vertAlign val="superscript"/>
        <sz val="8"/>
        <rFont val="Century Gothic"/>
        <family val="2"/>
      </rPr>
      <t>-0,5</t>
    </r>
    <r>
      <rPr>
        <sz val="8"/>
        <rFont val="Century Gothic"/>
        <family val="2"/>
      </rPr>
      <t>⋅ l</t>
    </r>
    <r>
      <rPr>
        <vertAlign val="subscript"/>
        <sz val="8"/>
        <rFont val="Century Gothic"/>
        <family val="2"/>
      </rPr>
      <t>ef</t>
    </r>
    <r>
      <rPr>
        <vertAlign val="superscript"/>
        <sz val="8"/>
        <rFont val="Century Gothic"/>
        <family val="2"/>
      </rPr>
      <t>-0,1</t>
    </r>
    <r>
      <rPr>
        <sz val="8"/>
        <rFont val="Century Gothic"/>
        <family val="2"/>
      </rPr>
      <t xml:space="preserve">⋅ </t>
    </r>
    <r>
      <rPr>
        <sz val="8"/>
        <rFont val="Symbol"/>
        <family val="1"/>
        <charset val="2"/>
      </rPr>
      <t>r</t>
    </r>
    <r>
      <rPr>
        <vertAlign val="subscript"/>
        <sz val="8"/>
        <rFont val="Century Gothic"/>
        <family val="2"/>
      </rPr>
      <t>k</t>
    </r>
    <r>
      <rPr>
        <vertAlign val="superscript"/>
        <sz val="8"/>
        <rFont val="Century Gothic"/>
        <family val="2"/>
      </rPr>
      <t>0,8</t>
    </r>
    <r>
      <rPr>
        <sz val="8"/>
        <rFont val="Century Gothic"/>
        <family val="2"/>
      </rPr>
      <t xml:space="preserve"> ⋅ k</t>
    </r>
    <r>
      <rPr>
        <vertAlign val="subscript"/>
        <sz val="8"/>
        <rFont val="Century Gothic"/>
        <family val="2"/>
      </rPr>
      <t>ax</t>
    </r>
    <r>
      <rPr>
        <sz val="8"/>
        <rFont val="Century Gothic"/>
        <family val="2"/>
      </rPr>
      <t xml:space="preserve"> (nach ETA 15/0667)</t>
    </r>
  </si>
  <si>
    <r>
      <t>f</t>
    </r>
    <r>
      <rPr>
        <vertAlign val="subscript"/>
        <sz val="8"/>
        <color theme="1"/>
        <rFont val="Century Gothic"/>
        <family val="2"/>
      </rPr>
      <t>ax,k</t>
    </r>
    <r>
      <rPr>
        <sz val="8"/>
        <color theme="1"/>
        <rFont val="Century Gothic"/>
        <family val="2"/>
      </rPr>
      <t xml:space="preserve"> siehe auch Nachweis der Tragfähgkeit F</t>
    </r>
    <r>
      <rPr>
        <vertAlign val="subscript"/>
        <sz val="8"/>
        <color theme="1"/>
        <rFont val="Century Gothic"/>
        <family val="2"/>
      </rPr>
      <t>1,Rk</t>
    </r>
  </si>
  <si>
    <t>Verstärkung der Zugzone</t>
  </si>
  <si>
    <t>Verstärkung der Druckzone</t>
  </si>
  <si>
    <r>
      <t>1,25⋅ n</t>
    </r>
    <r>
      <rPr>
        <vertAlign val="subscript"/>
        <sz val="8"/>
        <rFont val="Century Gothic"/>
        <family val="2"/>
      </rPr>
      <t>45</t>
    </r>
    <r>
      <rPr>
        <sz val="8"/>
        <rFont val="Century Gothic"/>
        <family val="2"/>
      </rPr>
      <t>/√2⋅ min[ F</t>
    </r>
    <r>
      <rPr>
        <vertAlign val="subscript"/>
        <sz val="8"/>
        <rFont val="Century Gothic"/>
        <family val="2"/>
      </rPr>
      <t>ax,45,J/H</t>
    </r>
    <r>
      <rPr>
        <sz val="8"/>
        <rFont val="Century Gothic"/>
        <family val="2"/>
      </rPr>
      <t>; 1,15⋅ f</t>
    </r>
    <r>
      <rPr>
        <vertAlign val="subscript"/>
        <sz val="8"/>
        <rFont val="Century Gothic"/>
        <family val="2"/>
      </rPr>
      <t>tens,k]</t>
    </r>
    <r>
      <rPr>
        <sz val="8"/>
        <rFont val="Century Gothic"/>
        <family val="2"/>
      </rPr>
      <t xml:space="preserve">  (ETA-15/0667)</t>
    </r>
  </si>
  <si>
    <r>
      <t>min{ 0,25⋅F</t>
    </r>
    <r>
      <rPr>
        <vertAlign val="subscript"/>
        <sz val="8"/>
        <rFont val="Century Gothic"/>
        <family val="2"/>
      </rPr>
      <t>ax,α,Rk</t>
    </r>
    <r>
      <rPr>
        <sz val="8"/>
        <rFont val="Century Gothic"/>
        <family val="2"/>
      </rPr>
      <t>; 2,3⋅√(M</t>
    </r>
    <r>
      <rPr>
        <vertAlign val="subscript"/>
        <sz val="8"/>
        <rFont val="Century Gothic"/>
        <family val="2"/>
      </rPr>
      <t>y,Rk</t>
    </r>
    <r>
      <rPr>
        <sz val="8"/>
        <rFont val="Century Gothic"/>
        <family val="2"/>
      </rPr>
      <t>⋅ f</t>
    </r>
    <r>
      <rPr>
        <vertAlign val="subscript"/>
        <sz val="8"/>
        <rFont val="Century Gothic"/>
        <family val="2"/>
      </rPr>
      <t>h,k</t>
    </r>
    <r>
      <rPr>
        <sz val="8"/>
        <rFont val="Century Gothic"/>
        <family val="2"/>
      </rPr>
      <t>⋅ d) }</t>
    </r>
  </si>
  <si>
    <r>
      <t>2,3⋅√(M</t>
    </r>
    <r>
      <rPr>
        <vertAlign val="subscript"/>
        <sz val="8"/>
        <rFont val="Century Gothic"/>
        <family val="2"/>
      </rPr>
      <t>y,Rk</t>
    </r>
    <r>
      <rPr>
        <sz val="8"/>
        <rFont val="Century Gothic"/>
        <family val="2"/>
      </rPr>
      <t>⋅ f</t>
    </r>
    <r>
      <rPr>
        <vertAlign val="subscript"/>
        <sz val="8"/>
        <rFont val="Century Gothic"/>
        <family val="2"/>
      </rPr>
      <t>h,k</t>
    </r>
    <r>
      <rPr>
        <sz val="8"/>
        <rFont val="Century Gothic"/>
        <family val="2"/>
      </rPr>
      <t>⋅ d) + ΔF</t>
    </r>
    <r>
      <rPr>
        <vertAlign val="subscript"/>
        <sz val="8"/>
        <rFont val="Century Gothic"/>
        <family val="2"/>
      </rPr>
      <t xml:space="preserve">v,Rk </t>
    </r>
  </si>
  <si>
    <t>pj</t>
  </si>
  <si>
    <t>Anzahl der übereinander angeordneten Verstärkungselemente in der Biegezugzone</t>
  </si>
  <si>
    <r>
      <t>m ⋅ ( (m-1) ⋅  a</t>
    </r>
    <r>
      <rPr>
        <vertAlign val="subscript"/>
        <sz val="8"/>
        <color theme="1"/>
        <rFont val="Century Gothic"/>
        <family val="2"/>
      </rPr>
      <t>2,re</t>
    </r>
    <r>
      <rPr>
        <sz val="8"/>
        <color theme="1"/>
        <rFont val="Century Gothic"/>
        <family val="2"/>
      </rPr>
      <t>/2 + L + a</t>
    </r>
    <r>
      <rPr>
        <vertAlign val="subscript"/>
        <sz val="8"/>
        <color theme="1"/>
        <rFont val="Century Gothic"/>
        <family val="2"/>
      </rPr>
      <t>4,re</t>
    </r>
    <r>
      <rPr>
        <sz val="8"/>
        <color theme="1"/>
        <rFont val="Century Gothic"/>
        <family val="2"/>
      </rPr>
      <t xml:space="preserve"> )</t>
    </r>
  </si>
  <si>
    <r>
      <t>2/3⋅K</t>
    </r>
    <r>
      <rPr>
        <vertAlign val="subscript"/>
        <sz val="8"/>
        <color theme="1"/>
        <rFont val="Century Gothic"/>
        <family val="2"/>
      </rPr>
      <t>ser,t</t>
    </r>
  </si>
  <si>
    <r>
      <t>p</t>
    </r>
    <r>
      <rPr>
        <vertAlign val="subscript"/>
        <sz val="8"/>
        <color theme="1"/>
        <rFont val="Century Gothic"/>
        <family val="2"/>
      </rPr>
      <t>J</t>
    </r>
  </si>
  <si>
    <r>
      <t>q</t>
    </r>
    <r>
      <rPr>
        <vertAlign val="subscript"/>
        <sz val="8"/>
        <color theme="1"/>
        <rFont val="Century Gothic"/>
        <family val="2"/>
      </rPr>
      <t>J</t>
    </r>
  </si>
  <si>
    <r>
      <t>a</t>
    </r>
    <r>
      <rPr>
        <vertAlign val="subscript"/>
        <sz val="8"/>
        <color theme="1"/>
        <rFont val="Century Gothic"/>
        <family val="2"/>
      </rPr>
      <t>max</t>
    </r>
    <r>
      <rPr>
        <sz val="8"/>
        <color theme="1"/>
        <rFont val="Century Gothic"/>
        <family val="2"/>
      </rPr>
      <t>/2 + (n ⋅ k</t>
    </r>
    <r>
      <rPr>
        <vertAlign val="subscript"/>
        <sz val="8"/>
        <color theme="1"/>
        <rFont val="Century Gothic"/>
        <family val="2"/>
      </rPr>
      <t>l</t>
    </r>
    <r>
      <rPr>
        <sz val="8"/>
        <color theme="1"/>
        <rFont val="Century Gothic"/>
        <family val="2"/>
      </rPr>
      <t xml:space="preserve"> ⋅ F</t>
    </r>
    <r>
      <rPr>
        <vertAlign val="subscript"/>
        <sz val="8"/>
        <color theme="1"/>
        <rFont val="Century Gothic"/>
        <family val="2"/>
      </rPr>
      <t>ax,max</t>
    </r>
    <r>
      <rPr>
        <sz val="8"/>
        <color theme="1"/>
        <rFont val="Century Gothic"/>
        <family val="2"/>
      </rPr>
      <t xml:space="preserve"> + m⋅w</t>
    </r>
    <r>
      <rPr>
        <vertAlign val="subscript"/>
        <sz val="8"/>
        <color theme="1"/>
        <rFont val="Century Gothic"/>
        <family val="2"/>
      </rPr>
      <t>max</t>
    </r>
    <r>
      <rPr>
        <sz val="8"/>
        <color theme="1"/>
        <rFont val="Century Gothic"/>
        <family val="2"/>
      </rPr>
      <t>⋅K</t>
    </r>
    <r>
      <rPr>
        <vertAlign val="subscript"/>
        <sz val="8"/>
        <color theme="1"/>
        <rFont val="Century Gothic"/>
        <family val="2"/>
      </rPr>
      <t xml:space="preserve">u,t </t>
    </r>
    <r>
      <rPr>
        <sz val="8"/>
        <color theme="1"/>
        <rFont val="Century Gothic"/>
        <family val="2"/>
      </rPr>
      <t>- F</t>
    </r>
    <r>
      <rPr>
        <vertAlign val="subscript"/>
        <sz val="8"/>
        <color theme="1"/>
        <rFont val="Century Gothic"/>
        <family val="2"/>
      </rPr>
      <t>c,re</t>
    </r>
    <r>
      <rPr>
        <sz val="8"/>
        <color theme="1"/>
        <rFont val="Century Gothic"/>
        <family val="2"/>
      </rPr>
      <t>) / s</t>
    </r>
    <r>
      <rPr>
        <vertAlign val="subscript"/>
        <sz val="8"/>
        <color theme="1"/>
        <rFont val="Century Gothic"/>
        <family val="2"/>
      </rPr>
      <t>c,0,k</t>
    </r>
  </si>
  <si>
    <r>
      <t>2  ⋅  k</t>
    </r>
    <r>
      <rPr>
        <vertAlign val="subscript"/>
        <sz val="8"/>
        <color theme="1"/>
        <rFont val="Century Gothic"/>
        <family val="2"/>
      </rPr>
      <t>l</t>
    </r>
    <r>
      <rPr>
        <sz val="8"/>
        <color theme="1"/>
        <rFont val="Century Gothic"/>
        <family val="2"/>
      </rPr>
      <t xml:space="preserve"> ⋅ F</t>
    </r>
    <r>
      <rPr>
        <vertAlign val="subscript"/>
        <sz val="8"/>
        <color theme="1"/>
        <rFont val="Century Gothic"/>
        <family val="2"/>
      </rPr>
      <t>ax,max</t>
    </r>
    <r>
      <rPr>
        <sz val="8"/>
        <color theme="1"/>
        <rFont val="Century Gothic"/>
        <family val="2"/>
      </rPr>
      <t xml:space="preserve"> ⋅ ∑a</t>
    </r>
    <r>
      <rPr>
        <vertAlign val="subscript"/>
        <sz val="8"/>
        <color theme="1"/>
        <rFont val="Century Gothic"/>
        <family val="2"/>
      </rPr>
      <t>i</t>
    </r>
    <r>
      <rPr>
        <sz val="8"/>
        <color theme="1"/>
        <rFont val="Century Gothic"/>
        <family val="2"/>
      </rPr>
      <t xml:space="preserve">  - 2 ⋅ w</t>
    </r>
    <r>
      <rPr>
        <vertAlign val="subscript"/>
        <sz val="8"/>
        <color theme="1"/>
        <rFont val="Century Gothic"/>
        <family val="2"/>
      </rPr>
      <t>max</t>
    </r>
    <r>
      <rPr>
        <sz val="8"/>
        <color theme="1"/>
        <rFont val="Century Gothic"/>
        <family val="2"/>
      </rPr>
      <t xml:space="preserve"> ⋅ K</t>
    </r>
    <r>
      <rPr>
        <vertAlign val="subscript"/>
        <sz val="8"/>
        <color theme="1"/>
        <rFont val="Century Gothic"/>
        <family val="2"/>
      </rPr>
      <t>u,t</t>
    </r>
    <r>
      <rPr>
        <sz val="8"/>
        <color theme="1"/>
        <rFont val="Century Gothic"/>
        <family val="2"/>
      </rPr>
      <t xml:space="preserve"> ⋅ C + 2 ⋅ F</t>
    </r>
    <r>
      <rPr>
        <vertAlign val="subscript"/>
        <sz val="8"/>
        <color theme="1"/>
        <rFont val="Century Gothic"/>
        <family val="2"/>
      </rPr>
      <t>c,re</t>
    </r>
    <r>
      <rPr>
        <sz val="8"/>
        <color theme="1"/>
        <rFont val="Century Gothic"/>
        <family val="2"/>
      </rPr>
      <t xml:space="preserve">  ⋅ a</t>
    </r>
    <r>
      <rPr>
        <vertAlign val="subscript"/>
        <sz val="8"/>
        <color theme="1"/>
        <rFont val="Century Gothic"/>
        <family val="2"/>
      </rPr>
      <t>max</t>
    </r>
  </si>
  <si>
    <t>char. Tragfähigkeit der Verstärkungselemente in der Druckzone</t>
  </si>
  <si>
    <t>Anzahl der übereinander angeordneten Verstärkungselemente in der Biegezugzone:   m = Anzahl Schraubenkreuze</t>
  </si>
  <si>
    <t xml:space="preserve">Anzahl der übereinander angeordneten Verstärkungselemente in der Biegezugzone:     m = 1 für 1x Zuglasche </t>
  </si>
  <si>
    <t>Anzahl der übereinander angeordneten Verstärkungselemente in der Biegezugzone:    m = Anzahl Schraubenreihen</t>
  </si>
  <si>
    <t>Anzahl der übereinander angeordneten Verstärkungselemente in der Biegezugzone:    m = 1 für 1x Zuglasche</t>
  </si>
  <si>
    <r>
      <t>∑ F</t>
    </r>
    <r>
      <rPr>
        <vertAlign val="superscript"/>
        <sz val="8"/>
        <rFont val="Calibri"/>
        <family val="2"/>
        <scheme val="minor"/>
      </rPr>
      <t>i</t>
    </r>
    <r>
      <rPr>
        <vertAlign val="subscript"/>
        <sz val="8"/>
        <rFont val="Calibri"/>
        <family val="2"/>
        <scheme val="minor"/>
      </rPr>
      <t>ax</t>
    </r>
    <r>
      <rPr>
        <sz val="8"/>
        <rFont val="Calibri"/>
        <family val="2"/>
        <scheme val="minor"/>
      </rPr>
      <t xml:space="preserve">  ⋅  e</t>
    </r>
    <r>
      <rPr>
        <vertAlign val="subscript"/>
        <sz val="8"/>
        <rFont val="Calibri"/>
        <family val="2"/>
        <scheme val="minor"/>
      </rPr>
      <t>i</t>
    </r>
    <r>
      <rPr>
        <sz val="8"/>
        <rFont val="Calibri"/>
        <family val="2"/>
        <scheme val="minor"/>
      </rPr>
      <t xml:space="preserve"> ⋅ (s</t>
    </r>
    <r>
      <rPr>
        <vertAlign val="subscript"/>
        <sz val="8"/>
        <rFont val="Calibri"/>
        <family val="2"/>
        <scheme val="minor"/>
      </rPr>
      <t>c,0,k</t>
    </r>
    <r>
      <rPr>
        <sz val="8"/>
        <rFont val="Calibri"/>
        <family val="2"/>
        <scheme val="minor"/>
      </rPr>
      <t xml:space="preserve"> ⋅ x</t>
    </r>
    <r>
      <rPr>
        <vertAlign val="superscript"/>
        <sz val="8"/>
        <rFont val="Calibri"/>
        <family val="2"/>
        <scheme val="minor"/>
      </rPr>
      <t>2</t>
    </r>
    <r>
      <rPr>
        <sz val="8"/>
        <rFont val="Calibri"/>
        <family val="2"/>
        <scheme val="minor"/>
      </rPr>
      <t>)</t>
    </r>
    <r>
      <rPr>
        <vertAlign val="superscript"/>
        <sz val="8"/>
        <rFont val="Calibri"/>
        <family val="2"/>
        <scheme val="minor"/>
      </rPr>
      <t xml:space="preserve"> </t>
    </r>
    <r>
      <rPr>
        <sz val="8"/>
        <rFont val="Calibri"/>
        <family val="2"/>
        <scheme val="minor"/>
      </rPr>
      <t>/ 3 + ∑ F</t>
    </r>
    <r>
      <rPr>
        <vertAlign val="subscript"/>
        <sz val="8"/>
        <rFont val="Calibri"/>
        <family val="2"/>
        <scheme val="minor"/>
      </rPr>
      <t>t,re</t>
    </r>
    <r>
      <rPr>
        <sz val="8"/>
        <rFont val="Calibri"/>
        <family val="2"/>
        <scheme val="minor"/>
      </rPr>
      <t xml:space="preserve">  ⋅  e</t>
    </r>
    <r>
      <rPr>
        <vertAlign val="subscript"/>
        <sz val="8"/>
        <rFont val="Calibri"/>
        <family val="2"/>
        <scheme val="minor"/>
      </rPr>
      <t>t,i</t>
    </r>
    <r>
      <rPr>
        <sz val="8"/>
        <rFont val="Calibri"/>
        <family val="2"/>
        <scheme val="minor"/>
      </rPr>
      <t xml:space="preserve"> + F</t>
    </r>
    <r>
      <rPr>
        <vertAlign val="subscript"/>
        <sz val="8"/>
        <rFont val="Calibri"/>
        <family val="2"/>
        <scheme val="minor"/>
      </rPr>
      <t>c,re</t>
    </r>
    <r>
      <rPr>
        <sz val="8"/>
        <rFont val="Calibri"/>
        <family val="2"/>
        <scheme val="minor"/>
      </rPr>
      <t xml:space="preserve">  ⋅  e</t>
    </r>
    <r>
      <rPr>
        <vertAlign val="subscript"/>
        <sz val="8"/>
        <rFont val="Calibri"/>
        <family val="2"/>
        <scheme val="minor"/>
      </rPr>
      <t>c</t>
    </r>
  </si>
  <si>
    <t>p² + q &gt; 0 ?</t>
  </si>
  <si>
    <t>Lösung</t>
  </si>
  <si>
    <r>
      <t>p</t>
    </r>
    <r>
      <rPr>
        <vertAlign val="subscript"/>
        <sz val="8"/>
        <color theme="1"/>
        <rFont val="Century Gothic"/>
        <family val="2"/>
      </rPr>
      <t>H</t>
    </r>
  </si>
  <si>
    <r>
      <t>q</t>
    </r>
    <r>
      <rPr>
        <vertAlign val="subscript"/>
        <sz val="8"/>
        <color theme="1"/>
        <rFont val="Century Gothic"/>
        <family val="2"/>
      </rPr>
      <t>H</t>
    </r>
  </si>
  <si>
    <r>
      <t>a</t>
    </r>
    <r>
      <rPr>
        <vertAlign val="subscript"/>
        <sz val="10"/>
        <color theme="1"/>
        <rFont val="Century Gothic"/>
        <family val="2"/>
      </rPr>
      <t>4,re,t</t>
    </r>
  </si>
  <si>
    <r>
      <t>a</t>
    </r>
    <r>
      <rPr>
        <vertAlign val="subscript"/>
        <sz val="10"/>
        <color theme="1"/>
        <rFont val="Century Gothic"/>
        <family val="2"/>
      </rPr>
      <t>re,t</t>
    </r>
  </si>
  <si>
    <r>
      <t>a</t>
    </r>
    <r>
      <rPr>
        <vertAlign val="subscript"/>
        <sz val="10"/>
        <color theme="1"/>
        <rFont val="Century Gothic"/>
        <family val="2"/>
      </rPr>
      <t>2,re,t</t>
    </r>
  </si>
  <si>
    <t>Hinweis: Zweiter Unterschied zu Tabellenblatt "Berechnung_BZoben" ist Zelle C56 = "nein" und C92 = "nein"</t>
  </si>
  <si>
    <t>Gutachten:</t>
  </si>
  <si>
    <t>xj_Lösung 2</t>
  </si>
  <si>
    <r>
      <t>p</t>
    </r>
    <r>
      <rPr>
        <vertAlign val="subscript"/>
        <sz val="10"/>
        <color theme="1"/>
        <rFont val="Century Gothic"/>
        <family val="2"/>
      </rPr>
      <t>j</t>
    </r>
  </si>
  <si>
    <r>
      <t>q</t>
    </r>
    <r>
      <rPr>
        <vertAlign val="subscript"/>
        <sz val="10"/>
        <color theme="1"/>
        <rFont val="Century Gothic"/>
        <family val="2"/>
      </rPr>
      <t>j</t>
    </r>
  </si>
  <si>
    <r>
      <t>x</t>
    </r>
    <r>
      <rPr>
        <vertAlign val="subscript"/>
        <sz val="10"/>
        <color theme="1"/>
        <rFont val="Century Gothic"/>
        <family val="2"/>
      </rPr>
      <t>j_Lösung 1</t>
    </r>
  </si>
  <si>
    <r>
      <t>x</t>
    </r>
    <r>
      <rPr>
        <vertAlign val="subscript"/>
        <sz val="10"/>
        <color theme="1" tint="0.34998626667073579"/>
        <rFont val="Century Gothic"/>
        <family val="2"/>
      </rPr>
      <t>j_Lösung 2</t>
    </r>
  </si>
  <si>
    <r>
      <t>M</t>
    </r>
    <r>
      <rPr>
        <b/>
        <vertAlign val="subscript"/>
        <sz val="8"/>
        <rFont val="Century Gothic"/>
        <family val="2"/>
      </rPr>
      <t>tor,Rd</t>
    </r>
  </si>
  <si>
    <r>
      <t>M</t>
    </r>
    <r>
      <rPr>
        <vertAlign val="subscript"/>
        <sz val="8"/>
        <rFont val="Century Gothic"/>
        <family val="2"/>
      </rPr>
      <t>tor,Rk</t>
    </r>
  </si>
  <si>
    <r>
      <t>F</t>
    </r>
    <r>
      <rPr>
        <b/>
        <vertAlign val="subscript"/>
        <sz val="8"/>
        <rFont val="Century Gothic"/>
        <family val="2"/>
      </rPr>
      <t>45,Rd</t>
    </r>
  </si>
  <si>
    <r>
      <t>F</t>
    </r>
    <r>
      <rPr>
        <vertAlign val="subscript"/>
        <sz val="8"/>
        <rFont val="Century Gothic"/>
        <family val="2"/>
      </rPr>
      <t>45,Rk,J/H</t>
    </r>
  </si>
  <si>
    <r>
      <t>F</t>
    </r>
    <r>
      <rPr>
        <vertAlign val="subscript"/>
        <sz val="8"/>
        <rFont val="Century Gothic"/>
        <family val="2"/>
      </rPr>
      <t>45,KCC,Rk</t>
    </r>
  </si>
  <si>
    <r>
      <t>γ</t>
    </r>
    <r>
      <rPr>
        <vertAlign val="subscript"/>
        <sz val="8"/>
        <rFont val="Century Gothic"/>
        <family val="2"/>
      </rPr>
      <t>M2</t>
    </r>
  </si>
  <si>
    <r>
      <t>F</t>
    </r>
    <r>
      <rPr>
        <b/>
        <vertAlign val="subscript"/>
        <sz val="8"/>
        <rFont val="Century Gothic"/>
        <family val="2"/>
      </rPr>
      <t>1,Rd</t>
    </r>
  </si>
  <si>
    <r>
      <t>F</t>
    </r>
    <r>
      <rPr>
        <b/>
        <vertAlign val="subscript"/>
        <sz val="8"/>
        <rFont val="Century Gothic"/>
        <family val="2"/>
      </rPr>
      <t>2,Rd</t>
    </r>
  </si>
  <si>
    <r>
      <t>F</t>
    </r>
    <r>
      <rPr>
        <b/>
        <vertAlign val="subscript"/>
        <sz val="8"/>
        <rFont val="Century Gothic"/>
        <family val="2"/>
      </rPr>
      <t>3,Rd</t>
    </r>
  </si>
  <si>
    <r>
      <t>F</t>
    </r>
    <r>
      <rPr>
        <vertAlign val="subscript"/>
        <sz val="8"/>
        <rFont val="Century Gothic"/>
        <family val="2"/>
      </rPr>
      <t>1,Rk,J/H</t>
    </r>
  </si>
  <si>
    <r>
      <t>F</t>
    </r>
    <r>
      <rPr>
        <vertAlign val="subscript"/>
        <sz val="8"/>
        <rFont val="Century Gothic"/>
        <family val="2"/>
      </rPr>
      <t>t,RK</t>
    </r>
  </si>
  <si>
    <r>
      <t>F</t>
    </r>
    <r>
      <rPr>
        <vertAlign val="subscript"/>
        <sz val="8"/>
        <rFont val="Century Gothic"/>
        <family val="2"/>
      </rPr>
      <t>1,KCC,Rk</t>
    </r>
  </si>
  <si>
    <r>
      <t>F</t>
    </r>
    <r>
      <rPr>
        <vertAlign val="subscript"/>
        <sz val="8"/>
        <rFont val="Century Gothic"/>
        <family val="2"/>
      </rPr>
      <t>2,Rk,J/H</t>
    </r>
  </si>
  <si>
    <r>
      <t>F</t>
    </r>
    <r>
      <rPr>
        <vertAlign val="subscript"/>
        <sz val="8"/>
        <rFont val="Century Gothic"/>
        <family val="2"/>
      </rPr>
      <t>2,KCC,Rk</t>
    </r>
  </si>
  <si>
    <r>
      <t>F</t>
    </r>
    <r>
      <rPr>
        <vertAlign val="subscript"/>
        <sz val="8"/>
        <rFont val="Century Gothic"/>
        <family val="2"/>
      </rPr>
      <t>𝜏,Rk</t>
    </r>
  </si>
  <si>
    <r>
      <t>γ</t>
    </r>
    <r>
      <rPr>
        <vertAlign val="subscript"/>
        <sz val="8"/>
        <rFont val="Century Gothic"/>
        <family val="2"/>
      </rPr>
      <t>M1</t>
    </r>
  </si>
  <si>
    <r>
      <t>F</t>
    </r>
    <r>
      <rPr>
        <vertAlign val="subscript"/>
        <sz val="8"/>
        <rFont val="Century Gothic"/>
        <family val="2"/>
      </rPr>
      <t>3,Rk,J/H</t>
    </r>
  </si>
  <si>
    <r>
      <t>M</t>
    </r>
    <r>
      <rPr>
        <vertAlign val="subscript"/>
        <sz val="8"/>
        <color theme="1"/>
        <rFont val="Century Gothic"/>
        <family val="2"/>
      </rPr>
      <t>2,Ed</t>
    </r>
    <r>
      <rPr>
        <vertAlign val="superscript"/>
        <sz val="8"/>
        <color theme="1"/>
        <rFont val="Century Gothic"/>
        <family val="2"/>
      </rPr>
      <t>1)</t>
    </r>
  </si>
  <si>
    <t>1)</t>
  </si>
  <si>
    <t>Ausgabe der Zwischenwerte erfolgt nur für den maßgebenden Fall (Biegezug oben ODER Biegezug unten)</t>
  </si>
  <si>
    <r>
      <t>e</t>
    </r>
    <r>
      <rPr>
        <vertAlign val="subscript"/>
        <sz val="8"/>
        <color theme="1"/>
        <rFont val="Century Gothic"/>
        <family val="2"/>
      </rPr>
      <t>t,re,max</t>
    </r>
  </si>
  <si>
    <t>Abstand des am weitesten entfernten Verstärkungselements zum Rotationszentrum</t>
  </si>
  <si>
    <r>
      <t>e</t>
    </r>
    <r>
      <rPr>
        <vertAlign val="subscript"/>
        <sz val="10"/>
        <color theme="1"/>
        <rFont val="Century Gothic"/>
        <family val="2"/>
      </rPr>
      <t>t,re,max</t>
    </r>
  </si>
  <si>
    <r>
      <t>e</t>
    </r>
    <r>
      <rPr>
        <vertAlign val="subscript"/>
        <sz val="8"/>
        <color theme="1"/>
        <rFont val="Century Gothic"/>
        <family val="2"/>
      </rPr>
      <t>c,re</t>
    </r>
  </si>
  <si>
    <t>Unterscheidung BZ unten oder oben</t>
  </si>
  <si>
    <r>
      <t>2 x f</t>
    </r>
    <r>
      <rPr>
        <vertAlign val="subscript"/>
        <sz val="8"/>
        <rFont val="Century Gothic"/>
        <family val="2"/>
      </rPr>
      <t>tens,k</t>
    </r>
    <r>
      <rPr>
        <sz val="8"/>
        <rFont val="Century Gothic"/>
        <family val="2"/>
      </rPr>
      <t xml:space="preserve"> (Ø12 VG Schraube)</t>
    </r>
  </si>
  <si>
    <t>2 x 30 x d x lef x 2/3 (Ø12 VG Schraube)</t>
  </si>
  <si>
    <r>
      <t>R</t>
    </r>
    <r>
      <rPr>
        <vertAlign val="subscript"/>
        <sz val="8"/>
        <rFont val="Century Gothic"/>
        <family val="2"/>
      </rPr>
      <t>1,k,J/H</t>
    </r>
    <r>
      <rPr>
        <vertAlign val="superscript"/>
        <sz val="8"/>
        <rFont val="Century Gothic"/>
        <family val="2"/>
      </rPr>
      <t>1)</t>
    </r>
  </si>
  <si>
    <r>
      <t>K</t>
    </r>
    <r>
      <rPr>
        <vertAlign val="subscript"/>
        <sz val="8"/>
        <rFont val="Century Gothic"/>
        <family val="2"/>
      </rPr>
      <t>u,1,J/H</t>
    </r>
    <r>
      <rPr>
        <vertAlign val="superscript"/>
        <sz val="8"/>
        <rFont val="Century Gothic"/>
        <family val="2"/>
      </rPr>
      <t>1)</t>
    </r>
  </si>
  <si>
    <r>
      <t>4 x f</t>
    </r>
    <r>
      <rPr>
        <vertAlign val="subscript"/>
        <sz val="8"/>
        <rFont val="Century Gothic"/>
        <family val="2"/>
      </rPr>
      <t>tens,k</t>
    </r>
    <r>
      <rPr>
        <sz val="8"/>
        <rFont val="Century Gothic"/>
        <family val="2"/>
      </rPr>
      <t xml:space="preserve"> (Ø12 VG Schraube)</t>
    </r>
  </si>
  <si>
    <t>4 x 30 x d x lef x 2/3 (Ø12 VG Schraube)</t>
  </si>
  <si>
    <r>
      <t>10 x f</t>
    </r>
    <r>
      <rPr>
        <vertAlign val="subscript"/>
        <sz val="8"/>
        <rFont val="Century Gothic"/>
        <family val="2"/>
      </rPr>
      <t>tens,k</t>
    </r>
    <r>
      <rPr>
        <sz val="8"/>
        <rFont val="Century Gothic"/>
        <family val="2"/>
      </rPr>
      <t xml:space="preserve"> (Ø12 VG Schraube)</t>
    </r>
  </si>
  <si>
    <t>10 x 30 x d x lef x 2/3 (Ø12 VG Schraube)</t>
  </si>
  <si>
    <t xml:space="preserve">Kontrolle: </t>
  </si>
  <si>
    <t>Ausgabe:</t>
  </si>
  <si>
    <t>Eingabewerte prüfen</t>
  </si>
  <si>
    <t>Eingabe Verstärkung</t>
  </si>
  <si>
    <t>Bitte markierte Eingabewerte prüfen</t>
  </si>
  <si>
    <t>maßgebender Fall</t>
  </si>
  <si>
    <r>
      <t>λ</t>
    </r>
    <r>
      <rPr>
        <vertAlign val="subscript"/>
        <sz val="8"/>
        <color theme="1"/>
        <rFont val="Century Gothic"/>
        <family val="2"/>
      </rPr>
      <t>k</t>
    </r>
  </si>
  <si>
    <r>
      <t>N</t>
    </r>
    <r>
      <rPr>
        <vertAlign val="subscript"/>
        <sz val="8"/>
        <color theme="1"/>
        <rFont val="Century Gothic"/>
        <family val="2"/>
      </rPr>
      <t>pl,k</t>
    </r>
  </si>
  <si>
    <r>
      <t>N</t>
    </r>
    <r>
      <rPr>
        <vertAlign val="subscript"/>
        <sz val="8"/>
        <color theme="1"/>
        <rFont val="Century Gothic"/>
        <family val="2"/>
      </rPr>
      <t>ki,k</t>
    </r>
  </si>
  <si>
    <r>
      <t>c</t>
    </r>
    <r>
      <rPr>
        <vertAlign val="subscript"/>
        <sz val="8"/>
        <color theme="1"/>
        <rFont val="Century Gothic"/>
        <family val="2"/>
      </rPr>
      <t>h</t>
    </r>
  </si>
  <si>
    <r>
      <t>I</t>
    </r>
    <r>
      <rPr>
        <vertAlign val="subscript"/>
        <sz val="8"/>
        <color theme="1"/>
        <rFont val="Century Gothic"/>
        <family val="2"/>
      </rPr>
      <t>s</t>
    </r>
  </si>
  <si>
    <r>
      <t>E</t>
    </r>
    <r>
      <rPr>
        <vertAlign val="subscript"/>
        <sz val="8"/>
        <color theme="1"/>
        <rFont val="Century Gothic"/>
        <family val="2"/>
      </rPr>
      <t>s</t>
    </r>
  </si>
  <si>
    <r>
      <t>mm</t>
    </r>
    <r>
      <rPr>
        <vertAlign val="superscript"/>
        <sz val="8"/>
        <color theme="1"/>
        <rFont val="Century Gothic"/>
        <family val="2"/>
      </rPr>
      <t>4</t>
    </r>
  </si>
  <si>
    <r>
      <t>f</t>
    </r>
    <r>
      <rPr>
        <vertAlign val="subscript"/>
        <sz val="8"/>
        <color theme="1"/>
        <rFont val="Century Gothic"/>
        <family val="2"/>
      </rPr>
      <t>y,k</t>
    </r>
  </si>
  <si>
    <r>
      <t>π · d</t>
    </r>
    <r>
      <rPr>
        <vertAlign val="subscript"/>
        <sz val="8"/>
        <color theme="1"/>
        <rFont val="Century Gothic"/>
        <family val="2"/>
      </rPr>
      <t>1</t>
    </r>
    <r>
      <rPr>
        <vertAlign val="superscript"/>
        <sz val="8"/>
        <color theme="1"/>
        <rFont val="Century Gothic"/>
        <family val="2"/>
      </rPr>
      <t>2</t>
    </r>
    <r>
      <rPr>
        <sz val="8"/>
        <color theme="1"/>
        <rFont val="Century Gothic"/>
        <family val="2"/>
      </rPr>
      <t>/4 · f</t>
    </r>
    <r>
      <rPr>
        <vertAlign val="subscript"/>
        <sz val="8"/>
        <color theme="1"/>
        <rFont val="Century Gothic"/>
        <family val="2"/>
      </rPr>
      <t>y,k</t>
    </r>
  </si>
  <si>
    <t>für Assy Plus VG nach ETA-11/0190</t>
  </si>
  <si>
    <r>
      <t>√( N</t>
    </r>
    <r>
      <rPr>
        <vertAlign val="subscript"/>
        <sz val="8"/>
        <color theme="1"/>
        <rFont val="Century Gothic"/>
        <family val="2"/>
      </rPr>
      <t>pl,k</t>
    </r>
    <r>
      <rPr>
        <sz val="8"/>
        <color theme="1"/>
        <rFont val="Century Gothic"/>
        <family val="2"/>
      </rPr>
      <t>/N</t>
    </r>
    <r>
      <rPr>
        <vertAlign val="subscript"/>
        <sz val="8"/>
        <color theme="1"/>
        <rFont val="Century Gothic"/>
        <family val="2"/>
      </rPr>
      <t>ki,k</t>
    </r>
    <r>
      <rPr>
        <sz val="8"/>
        <color theme="1"/>
        <rFont val="Century Gothic"/>
        <family val="2"/>
      </rPr>
      <t xml:space="preserve"> )</t>
    </r>
  </si>
  <si>
    <r>
      <t>√( c</t>
    </r>
    <r>
      <rPr>
        <vertAlign val="subscript"/>
        <sz val="8"/>
        <color theme="1"/>
        <rFont val="Century Gothic"/>
        <family val="2"/>
      </rPr>
      <t>h</t>
    </r>
    <r>
      <rPr>
        <sz val="8"/>
        <color theme="1"/>
        <rFont val="Century Gothic"/>
        <family val="2"/>
      </rPr>
      <t xml:space="preserve">  · E</t>
    </r>
    <r>
      <rPr>
        <vertAlign val="subscript"/>
        <sz val="8"/>
        <color theme="1"/>
        <rFont val="Century Gothic"/>
        <family val="2"/>
      </rPr>
      <t>s</t>
    </r>
    <r>
      <rPr>
        <sz val="8"/>
        <color theme="1"/>
        <rFont val="Century Gothic"/>
        <family val="2"/>
      </rPr>
      <t xml:space="preserve"> · I</t>
    </r>
    <r>
      <rPr>
        <vertAlign val="subscript"/>
        <sz val="8"/>
        <color theme="1"/>
        <rFont val="Century Gothic"/>
        <family val="2"/>
      </rPr>
      <t>s</t>
    </r>
    <r>
      <rPr>
        <sz val="8"/>
        <color theme="1"/>
        <rFont val="Century Gothic"/>
        <family val="2"/>
      </rPr>
      <t xml:space="preserve"> )</t>
    </r>
  </si>
  <si>
    <r>
      <t>(0,19 + 0,012 · d) · ρ</t>
    </r>
    <r>
      <rPr>
        <vertAlign val="subscript"/>
        <sz val="8"/>
        <color theme="1"/>
        <rFont val="Century Gothic"/>
        <family val="2"/>
      </rPr>
      <t>k,H</t>
    </r>
    <r>
      <rPr>
        <sz val="8"/>
        <color theme="1"/>
        <rFont val="Century Gothic"/>
        <family val="2"/>
      </rPr>
      <t xml:space="preserve"> · ((90°+α)/180°)</t>
    </r>
  </si>
  <si>
    <r>
      <t>π · d</t>
    </r>
    <r>
      <rPr>
        <vertAlign val="subscript"/>
        <sz val="8"/>
        <color theme="1"/>
        <rFont val="Century Gothic"/>
        <family val="2"/>
      </rPr>
      <t>1</t>
    </r>
    <r>
      <rPr>
        <vertAlign val="superscript"/>
        <sz val="8"/>
        <color theme="1"/>
        <rFont val="Century Gothic"/>
        <family val="2"/>
      </rPr>
      <t>4</t>
    </r>
    <r>
      <rPr>
        <sz val="8"/>
        <color theme="1"/>
        <rFont val="Century Gothic"/>
        <family val="2"/>
      </rPr>
      <t>/64</t>
    </r>
  </si>
  <si>
    <r>
      <t>κ</t>
    </r>
    <r>
      <rPr>
        <vertAlign val="subscript"/>
        <sz val="11"/>
        <color theme="1"/>
        <rFont val="Calibri"/>
        <family val="2"/>
        <scheme val="minor"/>
      </rPr>
      <t>c</t>
    </r>
  </si>
  <si>
    <r>
      <t>0,5 · [1 + 0,49 · (λ</t>
    </r>
    <r>
      <rPr>
        <vertAlign val="subscript"/>
        <sz val="8"/>
        <color theme="1"/>
        <rFont val="Century Gothic"/>
        <family val="2"/>
      </rPr>
      <t>k</t>
    </r>
    <r>
      <rPr>
        <sz val="8"/>
        <color theme="1"/>
        <rFont val="Century Gothic"/>
        <family val="2"/>
      </rPr>
      <t xml:space="preserve"> - 0,2)+ λ</t>
    </r>
    <r>
      <rPr>
        <vertAlign val="subscript"/>
        <sz val="8"/>
        <color theme="1"/>
        <rFont val="Century Gothic"/>
        <family val="2"/>
      </rPr>
      <t>k</t>
    </r>
    <r>
      <rPr>
        <vertAlign val="superscript"/>
        <sz val="8"/>
        <color theme="1"/>
        <rFont val="Century Gothic"/>
        <family val="2"/>
      </rPr>
      <t>2</t>
    </r>
    <r>
      <rPr>
        <sz val="8"/>
        <color theme="1"/>
        <rFont val="Century Gothic"/>
        <family val="2"/>
      </rPr>
      <t>]</t>
    </r>
  </si>
  <si>
    <r>
      <t>κ</t>
    </r>
    <r>
      <rPr>
        <vertAlign val="subscript"/>
        <sz val="8"/>
        <color theme="1"/>
        <rFont val="Century Gothic"/>
        <family val="2"/>
      </rPr>
      <t>c</t>
    </r>
    <r>
      <rPr>
        <sz val="8"/>
        <color theme="1"/>
        <rFont val="Century Gothic"/>
        <family val="2"/>
      </rPr>
      <t xml:space="preserve"> * N</t>
    </r>
    <r>
      <rPr>
        <vertAlign val="subscript"/>
        <sz val="8"/>
        <color theme="1"/>
        <rFont val="Century Gothic"/>
        <family val="2"/>
      </rPr>
      <t>pl,d</t>
    </r>
    <r>
      <rPr>
        <sz val="8"/>
        <color theme="1"/>
        <rFont val="Century Gothic"/>
        <family val="2"/>
      </rPr>
      <t xml:space="preserve"> je Schraube nach ETA-11/0190 A.2.3.4 Gleichung (2.18)</t>
    </r>
  </si>
  <si>
    <r>
      <t>R</t>
    </r>
    <r>
      <rPr>
        <vertAlign val="subscript"/>
        <sz val="8"/>
        <color theme="1"/>
        <rFont val="Century Gothic"/>
        <family val="2"/>
      </rPr>
      <t>ax,t,k</t>
    </r>
  </si>
  <si>
    <r>
      <t>R</t>
    </r>
    <r>
      <rPr>
        <vertAlign val="subscript"/>
        <sz val="8"/>
        <color theme="1"/>
        <rFont val="Century Gothic"/>
        <family val="2"/>
      </rPr>
      <t>ax,t,d</t>
    </r>
  </si>
  <si>
    <r>
      <t>F</t>
    </r>
    <r>
      <rPr>
        <vertAlign val="subscript"/>
        <sz val="8"/>
        <color theme="1"/>
        <rFont val="Century Gothic"/>
        <family val="2"/>
      </rPr>
      <t>ax,c,d</t>
    </r>
  </si>
  <si>
    <t>char. Druckwiderstand</t>
  </si>
  <si>
    <r>
      <t>k</t>
    </r>
    <r>
      <rPr>
        <vertAlign val="subscript"/>
        <sz val="8"/>
        <color theme="1"/>
        <rFont val="Century Gothic"/>
        <family val="2"/>
      </rPr>
      <t>mod</t>
    </r>
    <r>
      <rPr>
        <sz val="8"/>
        <color theme="1"/>
        <rFont val="Century Gothic"/>
        <family val="2"/>
      </rPr>
      <t xml:space="preserve"> für maßgebenden Lastfall der Momentenbeanspruchung M</t>
    </r>
    <r>
      <rPr>
        <vertAlign val="subscript"/>
        <sz val="8"/>
        <color theme="1"/>
        <rFont val="Century Gothic"/>
        <family val="2"/>
      </rPr>
      <t>2,Ed</t>
    </r>
  </si>
  <si>
    <t>Die Zugtragfähigkeit des Lochblechs ist separat nachzuweisen</t>
  </si>
  <si>
    <t>Nachweis Querzug der Ausklinkung im Nebenträger</t>
  </si>
  <si>
    <t xml:space="preserve">Prüfung Schraubenüberstand im Nebenträger </t>
  </si>
  <si>
    <r>
      <t>d</t>
    </r>
    <r>
      <rPr>
        <vertAlign val="subscript"/>
        <sz val="11"/>
        <rFont val="Calibri"/>
        <family val="2"/>
        <scheme val="minor"/>
      </rPr>
      <t>i(xi,zi)</t>
    </r>
  </si>
  <si>
    <r>
      <t>H</t>
    </r>
    <r>
      <rPr>
        <vertAlign val="subscript"/>
        <sz val="8"/>
        <rFont val="Century Gothic"/>
        <family val="2"/>
      </rPr>
      <t>MEGANT</t>
    </r>
    <r>
      <rPr>
        <sz val="8"/>
        <rFont val="Century Gothic"/>
        <family val="2"/>
      </rPr>
      <t xml:space="preserve"> + l</t>
    </r>
    <r>
      <rPr>
        <vertAlign val="subscript"/>
        <sz val="8"/>
        <rFont val="Century Gothic"/>
        <family val="2"/>
      </rPr>
      <t>ef,45</t>
    </r>
    <r>
      <rPr>
        <sz val="8"/>
        <rFont val="Century Gothic"/>
        <family val="2"/>
      </rPr>
      <t>/Wurzel(2)</t>
    </r>
  </si>
  <si>
    <t>Maßgebend: Biegezug oben</t>
  </si>
  <si>
    <t>Maßgebend: Biegezug unten</t>
  </si>
  <si>
    <t>Biegezug bei maßgebenden LF</t>
  </si>
  <si>
    <t>Bei Ausführungen mit Anschlusswinkel (horizontal/vertikal) sind keine Verstärkungen zulässig</t>
  </si>
  <si>
    <r>
      <t>n</t>
    </r>
    <r>
      <rPr>
        <vertAlign val="subscript"/>
        <sz val="10"/>
        <color theme="1"/>
        <rFont val="Calibri"/>
        <family val="2"/>
        <scheme val="minor"/>
      </rPr>
      <t>ef,J,H</t>
    </r>
  </si>
  <si>
    <r>
      <t>n</t>
    </r>
    <r>
      <rPr>
        <vertAlign val="subscript"/>
        <sz val="10"/>
        <color theme="1"/>
        <rFont val="Calibri"/>
        <family val="2"/>
        <scheme val="minor"/>
      </rPr>
      <t>90,J/H</t>
    </r>
  </si>
  <si>
    <r>
      <t>n</t>
    </r>
    <r>
      <rPr>
        <vertAlign val="subscript"/>
        <sz val="10"/>
        <color theme="1"/>
        <rFont val="Calibri"/>
        <family val="2"/>
        <scheme val="minor"/>
      </rPr>
      <t>45,J/H</t>
    </r>
  </si>
  <si>
    <r>
      <t>n</t>
    </r>
    <r>
      <rPr>
        <vertAlign val="subscript"/>
        <sz val="10"/>
        <color theme="1"/>
        <rFont val="Calibri"/>
        <family val="2"/>
        <scheme val="minor"/>
      </rPr>
      <t>45</t>
    </r>
  </si>
  <si>
    <r>
      <t>n</t>
    </r>
    <r>
      <rPr>
        <vertAlign val="subscript"/>
        <sz val="10"/>
        <color theme="1"/>
        <rFont val="Calibri"/>
        <family val="2"/>
        <scheme val="minor"/>
      </rPr>
      <t>90</t>
    </r>
    <r>
      <rPr>
        <sz val="10"/>
        <color theme="1"/>
        <rFont val="Calibri"/>
        <family val="2"/>
        <scheme val="minor"/>
      </rPr>
      <t>/ n</t>
    </r>
    <r>
      <rPr>
        <vertAlign val="subscript"/>
        <sz val="10"/>
        <color theme="1"/>
        <rFont val="Calibri"/>
        <family val="2"/>
        <scheme val="minor"/>
      </rPr>
      <t>0</t>
    </r>
  </si>
  <si>
    <t>n GS</t>
  </si>
  <si>
    <t xml:space="preserve"> [Stk.]</t>
  </si>
  <si>
    <r>
      <t>A</t>
    </r>
    <r>
      <rPr>
        <vertAlign val="subscript"/>
        <sz val="10"/>
        <rFont val="Calibri"/>
        <family val="2"/>
        <scheme val="minor"/>
      </rPr>
      <t>s</t>
    </r>
  </si>
  <si>
    <r>
      <t>B</t>
    </r>
    <r>
      <rPr>
        <vertAlign val="subscript"/>
        <sz val="10"/>
        <color theme="1"/>
        <rFont val="Calibri"/>
        <family val="2"/>
        <scheme val="minor"/>
      </rPr>
      <t>J/H</t>
    </r>
  </si>
  <si>
    <r>
      <t>L</t>
    </r>
    <r>
      <rPr>
        <vertAlign val="subscript"/>
        <sz val="10"/>
        <color theme="1"/>
        <rFont val="Calibri"/>
        <family val="2"/>
        <scheme val="minor"/>
      </rPr>
      <t>J/H</t>
    </r>
  </si>
  <si>
    <r>
      <t>H</t>
    </r>
    <r>
      <rPr>
        <vertAlign val="subscript"/>
        <sz val="10"/>
        <color theme="1"/>
        <rFont val="Calibri"/>
        <family val="2"/>
        <scheme val="minor"/>
      </rPr>
      <t>J/H</t>
    </r>
  </si>
  <si>
    <r>
      <t>F</t>
    </r>
    <r>
      <rPr>
        <vertAlign val="subscript"/>
        <sz val="10"/>
        <color theme="1"/>
        <rFont val="Calibri"/>
        <family val="2"/>
        <scheme val="minor"/>
      </rPr>
      <t>1,KCC,Rk</t>
    </r>
  </si>
  <si>
    <r>
      <t>F</t>
    </r>
    <r>
      <rPr>
        <vertAlign val="subscript"/>
        <sz val="10"/>
        <color theme="1"/>
        <rFont val="Calibri"/>
        <family val="2"/>
        <scheme val="minor"/>
      </rPr>
      <t>2,KCC,RK (torsionsweich)</t>
    </r>
  </si>
  <si>
    <r>
      <t>F</t>
    </r>
    <r>
      <rPr>
        <vertAlign val="subscript"/>
        <sz val="10"/>
        <color theme="1"/>
        <rFont val="Calibri"/>
        <family val="2"/>
        <scheme val="minor"/>
      </rPr>
      <t>2,KCC,RK (torsionssteif)</t>
    </r>
  </si>
  <si>
    <r>
      <t>F</t>
    </r>
    <r>
      <rPr>
        <vertAlign val="subscript"/>
        <sz val="10"/>
        <color theme="1"/>
        <rFont val="Calibri"/>
        <family val="2"/>
        <scheme val="minor"/>
      </rPr>
      <t>2,Rk</t>
    </r>
  </si>
  <si>
    <r>
      <t>F</t>
    </r>
    <r>
      <rPr>
        <vertAlign val="subscript"/>
        <sz val="10"/>
        <color theme="1"/>
        <rFont val="Calibri"/>
        <family val="2"/>
        <scheme val="minor"/>
      </rPr>
      <t>3,Rk</t>
    </r>
  </si>
  <si>
    <r>
      <t>F</t>
    </r>
    <r>
      <rPr>
        <vertAlign val="subscript"/>
        <sz val="10"/>
        <color theme="1"/>
        <rFont val="Calibri"/>
        <family val="2"/>
        <scheme val="minor"/>
      </rPr>
      <t>4KCC,Rk</t>
    </r>
  </si>
  <si>
    <r>
      <t>F</t>
    </r>
    <r>
      <rPr>
        <vertAlign val="subscript"/>
        <sz val="10"/>
        <color theme="1"/>
        <rFont val="Calibri"/>
        <family val="2"/>
        <scheme val="minor"/>
      </rPr>
      <t>4,Rk</t>
    </r>
  </si>
  <si>
    <r>
      <t>K</t>
    </r>
    <r>
      <rPr>
        <vertAlign val="subscript"/>
        <sz val="10"/>
        <color theme="1"/>
        <rFont val="Calibri"/>
        <family val="2"/>
        <scheme val="minor"/>
      </rPr>
      <t>tor,ser</t>
    </r>
  </si>
  <si>
    <r>
      <t>Δl</t>
    </r>
    <r>
      <rPr>
        <vertAlign val="subscript"/>
        <sz val="10"/>
        <color theme="1"/>
        <rFont val="Calibri"/>
        <family val="2"/>
        <scheme val="minor"/>
      </rPr>
      <t>ef,J,H,45°</t>
    </r>
    <r>
      <rPr>
        <sz val="10"/>
        <color theme="1"/>
        <rFont val="Calibri"/>
        <family val="2"/>
        <scheme val="minor"/>
      </rPr>
      <t xml:space="preserve"> Grundplatte</t>
    </r>
  </si>
  <si>
    <r>
      <t>Δl</t>
    </r>
    <r>
      <rPr>
        <vertAlign val="subscript"/>
        <sz val="10"/>
        <color theme="1"/>
        <rFont val="Calibri"/>
        <family val="2"/>
        <scheme val="minor"/>
      </rPr>
      <t xml:space="preserve">ef,J,H,45° </t>
    </r>
    <r>
      <rPr>
        <sz val="10"/>
        <color theme="1"/>
        <rFont val="Calibri"/>
        <family val="2"/>
        <scheme val="minor"/>
      </rPr>
      <t>Spannbacke</t>
    </r>
  </si>
  <si>
    <r>
      <t>Δl</t>
    </r>
    <r>
      <rPr>
        <vertAlign val="subscript"/>
        <sz val="10"/>
        <color theme="1"/>
        <rFont val="Calibri"/>
        <family val="2"/>
        <scheme val="minor"/>
      </rPr>
      <t>ef,J,H,0°/90°</t>
    </r>
  </si>
  <si>
    <r>
      <t>l</t>
    </r>
    <r>
      <rPr>
        <vertAlign val="subscript"/>
        <sz val="10"/>
        <color theme="1"/>
        <rFont val="Calibri"/>
        <family val="2"/>
        <scheme val="minor"/>
      </rPr>
      <t>Scr,J/H</t>
    </r>
  </si>
  <si>
    <r>
      <t>f</t>
    </r>
    <r>
      <rPr>
        <vertAlign val="subscript"/>
        <sz val="10"/>
        <color theme="1"/>
        <rFont val="Calibri"/>
        <family val="2"/>
        <scheme val="minor"/>
      </rPr>
      <t>ax</t>
    </r>
  </si>
  <si>
    <r>
      <t>f</t>
    </r>
    <r>
      <rPr>
        <vertAlign val="subscript"/>
        <sz val="10"/>
        <color theme="1"/>
        <rFont val="Calibri"/>
        <family val="2"/>
        <scheme val="minor"/>
      </rPr>
      <t>tens</t>
    </r>
  </si>
  <si>
    <r>
      <t>M</t>
    </r>
    <r>
      <rPr>
        <vertAlign val="subscript"/>
        <sz val="10"/>
        <color theme="1"/>
        <rFont val="Calibri"/>
        <family val="2"/>
        <scheme val="minor"/>
      </rPr>
      <t>y,k</t>
    </r>
  </si>
  <si>
    <r>
      <t>f</t>
    </r>
    <r>
      <rPr>
        <vertAlign val="subscript"/>
        <sz val="10"/>
        <color theme="1"/>
        <rFont val="Calibri"/>
        <family val="2"/>
        <scheme val="minor"/>
      </rPr>
      <t>tor,k</t>
    </r>
  </si>
  <si>
    <r>
      <t>M</t>
    </r>
    <r>
      <rPr>
        <vertAlign val="subscript"/>
        <sz val="8"/>
        <rFont val="Century Gothic"/>
        <family val="2"/>
      </rPr>
      <t>2,ser</t>
    </r>
  </si>
  <si>
    <t>BZ oben</t>
  </si>
  <si>
    <t>BZ unten</t>
  </si>
  <si>
    <t>untere Spannbacke im</t>
  </si>
  <si>
    <t>ohne Verstärkung</t>
  </si>
  <si>
    <t>mit Verstärkung</t>
  </si>
  <si>
    <r>
      <t>F</t>
    </r>
    <r>
      <rPr>
        <vertAlign val="subscript"/>
        <sz val="8"/>
        <rFont val="Century Gothic"/>
        <family val="2"/>
      </rPr>
      <t>1,Rk</t>
    </r>
  </si>
  <si>
    <r>
      <t>F</t>
    </r>
    <r>
      <rPr>
        <vertAlign val="subscript"/>
        <sz val="8"/>
        <rFont val="Century Gothic"/>
        <family val="2"/>
      </rPr>
      <t>2,KCC,RK</t>
    </r>
  </si>
  <si>
    <r>
      <t>F</t>
    </r>
    <r>
      <rPr>
        <vertAlign val="subscript"/>
        <sz val="8"/>
        <rFont val="Century Gothic"/>
        <family val="2"/>
      </rPr>
      <t>2,Rk</t>
    </r>
  </si>
  <si>
    <r>
      <t>F</t>
    </r>
    <r>
      <rPr>
        <vertAlign val="subscript"/>
        <sz val="8"/>
        <rFont val="Century Gothic"/>
        <family val="2"/>
      </rPr>
      <t>3,Rk</t>
    </r>
  </si>
  <si>
    <r>
      <t>F</t>
    </r>
    <r>
      <rPr>
        <vertAlign val="subscript"/>
        <sz val="8"/>
        <rFont val="Century Gothic"/>
        <family val="2"/>
      </rPr>
      <t>4KCC,Rk</t>
    </r>
  </si>
  <si>
    <r>
      <t>M</t>
    </r>
    <r>
      <rPr>
        <vertAlign val="subscript"/>
        <sz val="8"/>
        <rFont val="Century Gothic"/>
        <family val="2"/>
      </rPr>
      <t>tor,ser</t>
    </r>
  </si>
  <si>
    <r>
      <t>ρ</t>
    </r>
    <r>
      <rPr>
        <vertAlign val="subscript"/>
        <sz val="11"/>
        <rFont val="Calibri"/>
        <family val="2"/>
        <scheme val="minor"/>
      </rPr>
      <t>k</t>
    </r>
  </si>
  <si>
    <t>HT/NT</t>
  </si>
  <si>
    <r>
      <t>F</t>
    </r>
    <r>
      <rPr>
        <vertAlign val="subscript"/>
        <sz val="8"/>
        <rFont val="Century Gothic"/>
        <family val="2"/>
      </rPr>
      <t>4,Rk</t>
    </r>
  </si>
  <si>
    <r>
      <t>M</t>
    </r>
    <r>
      <rPr>
        <vertAlign val="subscript"/>
        <sz val="10"/>
        <rFont val="Calibri"/>
        <family val="2"/>
        <scheme val="minor"/>
      </rPr>
      <t xml:space="preserve">tor
</t>
    </r>
    <r>
      <rPr>
        <sz val="10"/>
        <rFont val="Calibri"/>
        <family val="2"/>
        <scheme val="minor"/>
      </rPr>
      <t>LH590</t>
    </r>
  </si>
  <si>
    <r>
      <t>M</t>
    </r>
    <r>
      <rPr>
        <vertAlign val="subscript"/>
        <sz val="10"/>
        <rFont val="Calibri"/>
        <family val="2"/>
        <scheme val="minor"/>
      </rPr>
      <t xml:space="preserve">tor
</t>
    </r>
    <r>
      <rPr>
        <sz val="10"/>
        <rFont val="Calibri"/>
        <family val="2"/>
        <scheme val="minor"/>
      </rPr>
      <t>LH530</t>
    </r>
  </si>
  <si>
    <r>
      <t>M</t>
    </r>
    <r>
      <rPr>
        <vertAlign val="subscript"/>
        <sz val="10"/>
        <color theme="1"/>
        <rFont val="Calibri"/>
        <family val="2"/>
        <scheme val="minor"/>
      </rPr>
      <t xml:space="preserve">tor,Rk
</t>
    </r>
    <r>
      <rPr>
        <sz val="10"/>
        <color theme="1"/>
        <rFont val="Calibri"/>
        <family val="2"/>
        <scheme val="minor"/>
      </rPr>
      <t>GL24h</t>
    </r>
  </si>
  <si>
    <r>
      <t>M</t>
    </r>
    <r>
      <rPr>
        <vertAlign val="subscript"/>
        <sz val="10"/>
        <color theme="1"/>
        <rFont val="Calibri"/>
        <family val="2"/>
        <scheme val="minor"/>
      </rPr>
      <t xml:space="preserve">tor,Rk
</t>
    </r>
    <r>
      <rPr>
        <sz val="10"/>
        <color theme="1"/>
        <rFont val="Calibri"/>
        <family val="2"/>
        <scheme val="minor"/>
      </rPr>
      <t>C24</t>
    </r>
  </si>
  <si>
    <r>
      <t>M</t>
    </r>
    <r>
      <rPr>
        <vertAlign val="subscript"/>
        <sz val="10"/>
        <color theme="1"/>
        <rFont val="Calibri"/>
        <family val="2"/>
        <scheme val="minor"/>
      </rPr>
      <t xml:space="preserve">tor,ser
</t>
    </r>
    <r>
      <rPr>
        <sz val="10"/>
        <color theme="1"/>
        <rFont val="Calibri"/>
        <family val="2"/>
        <scheme val="minor"/>
      </rPr>
      <t>C24</t>
    </r>
  </si>
  <si>
    <r>
      <t>M</t>
    </r>
    <r>
      <rPr>
        <vertAlign val="subscript"/>
        <sz val="10"/>
        <color theme="1"/>
        <rFont val="Calibri"/>
        <family val="2"/>
        <scheme val="minor"/>
      </rPr>
      <t xml:space="preserve">tor,ser
</t>
    </r>
    <r>
      <rPr>
        <sz val="10"/>
        <color theme="1"/>
        <rFont val="Calibri"/>
        <family val="2"/>
        <scheme val="minor"/>
      </rPr>
      <t>GL24h</t>
    </r>
  </si>
  <si>
    <r>
      <t>M</t>
    </r>
    <r>
      <rPr>
        <vertAlign val="subscript"/>
        <sz val="10"/>
        <color theme="1"/>
        <rFont val="Calibri"/>
        <family val="2"/>
        <scheme val="minor"/>
      </rPr>
      <t xml:space="preserve">tor,ser
</t>
    </r>
    <r>
      <rPr>
        <sz val="10"/>
        <color theme="1"/>
        <rFont val="Calibri"/>
        <family val="2"/>
        <scheme val="minor"/>
      </rPr>
      <t>LH530</t>
    </r>
  </si>
  <si>
    <r>
      <t>M</t>
    </r>
    <r>
      <rPr>
        <vertAlign val="subscript"/>
        <sz val="10"/>
        <color theme="1"/>
        <rFont val="Calibri"/>
        <family val="2"/>
        <scheme val="minor"/>
      </rPr>
      <t xml:space="preserve">tor,ser
</t>
    </r>
    <r>
      <rPr>
        <sz val="10"/>
        <color theme="1"/>
        <rFont val="Calibri"/>
        <family val="2"/>
        <scheme val="minor"/>
      </rPr>
      <t>LH590</t>
    </r>
  </si>
  <si>
    <r>
      <t>11⋅ d⋅ l</t>
    </r>
    <r>
      <rPr>
        <vertAlign val="subscript"/>
        <sz val="8"/>
        <rFont val="Century Gothic"/>
        <family val="2"/>
      </rPr>
      <t>ef</t>
    </r>
    <r>
      <rPr>
        <sz val="8"/>
        <rFont val="Century Gothic"/>
        <family val="2"/>
      </rPr>
      <t>⋅ k</t>
    </r>
    <r>
      <rPr>
        <vertAlign val="subscript"/>
        <sz val="8"/>
        <rFont val="Century Gothic"/>
        <family val="2"/>
      </rPr>
      <t xml:space="preserve">ax⋅ </t>
    </r>
    <r>
      <rPr>
        <sz val="8"/>
        <rFont val="Century Gothic"/>
        <family val="2"/>
      </rPr>
      <t>1/k</t>
    </r>
    <r>
      <rPr>
        <vertAlign val="subscript"/>
        <sz val="8"/>
        <rFont val="Century Gothic"/>
        <family val="2"/>
      </rPr>
      <t xml:space="preserve">β⋅ </t>
    </r>
    <r>
      <rPr>
        <sz val="8"/>
        <rFont val="Century Gothic"/>
        <family val="2"/>
      </rPr>
      <t>(ρ</t>
    </r>
    <r>
      <rPr>
        <vertAlign val="subscript"/>
        <sz val="8"/>
        <rFont val="Century Gothic"/>
        <family val="2"/>
      </rPr>
      <t>k</t>
    </r>
    <r>
      <rPr>
        <sz val="8"/>
        <rFont val="Century Gothic"/>
        <family val="2"/>
      </rPr>
      <t>/350)</t>
    </r>
    <r>
      <rPr>
        <vertAlign val="superscript"/>
        <sz val="8"/>
        <rFont val="Century Gothic"/>
        <family val="2"/>
      </rPr>
      <t>0,8</t>
    </r>
    <r>
      <rPr>
        <sz val="8"/>
        <rFont val="Century Gothic"/>
        <family val="2"/>
      </rPr>
      <t xml:space="preserve"> nach ETA-11/0190</t>
    </r>
  </si>
  <si>
    <r>
      <t>35⋅ d⋅ l</t>
    </r>
    <r>
      <rPr>
        <vertAlign val="subscript"/>
        <sz val="8"/>
        <rFont val="Century Gothic"/>
        <family val="2"/>
      </rPr>
      <t>ef</t>
    </r>
    <r>
      <rPr>
        <sz val="8"/>
        <rFont val="Century Gothic"/>
        <family val="2"/>
      </rPr>
      <t>⋅ k</t>
    </r>
    <r>
      <rPr>
        <vertAlign val="subscript"/>
        <sz val="8"/>
        <rFont val="Century Gothic"/>
        <family val="2"/>
      </rPr>
      <t xml:space="preserve">ax⋅ </t>
    </r>
    <r>
      <rPr>
        <sz val="8"/>
        <rFont val="Century Gothic"/>
        <family val="2"/>
      </rPr>
      <t>1/k</t>
    </r>
    <r>
      <rPr>
        <vertAlign val="subscript"/>
        <sz val="8"/>
        <rFont val="Century Gothic"/>
        <family val="2"/>
      </rPr>
      <t xml:space="preserve">β⋅ </t>
    </r>
    <r>
      <rPr>
        <sz val="8"/>
        <rFont val="Century Gothic"/>
        <family val="2"/>
      </rPr>
      <t>(ρ</t>
    </r>
    <r>
      <rPr>
        <vertAlign val="subscript"/>
        <sz val="8"/>
        <rFont val="Century Gothic"/>
        <family val="2"/>
      </rPr>
      <t>k</t>
    </r>
    <r>
      <rPr>
        <sz val="8"/>
        <rFont val="Century Gothic"/>
        <family val="2"/>
      </rPr>
      <t>/730)</t>
    </r>
    <r>
      <rPr>
        <vertAlign val="superscript"/>
        <sz val="8"/>
        <rFont val="Century Gothic"/>
        <family val="2"/>
      </rPr>
      <t>0,8</t>
    </r>
    <r>
      <rPr>
        <sz val="8"/>
        <rFont val="Century Gothic"/>
        <family val="2"/>
      </rPr>
      <t xml:space="preserve"> nach ETA-11/0190</t>
    </r>
  </si>
  <si>
    <t>Verstärkungsmaßnahmen in der Zugzone und/oder Druckzone vorhanden</t>
  </si>
  <si>
    <t>Querzugverstärkung vorhanden</t>
  </si>
  <si>
    <t>keine Verstärkungsmaßnahmen in der Zugzone und/oder Druckzone vorhanden</t>
  </si>
  <si>
    <t>keine Querzugverstärkung vorhanden</t>
  </si>
  <si>
    <t>Nachweis der Ausklinkung am Nebenträger</t>
  </si>
  <si>
    <t>nach ÖNORM B 1995-1-1 Bild NA.6.10-E1 und EN 1995-1-1:2010-12 mit DIN EN 1995-1-1/NA:2031-08</t>
  </si>
  <si>
    <r>
      <t>1,5 ⋅ V</t>
    </r>
    <r>
      <rPr>
        <vertAlign val="subscript"/>
        <sz val="8"/>
        <rFont val="Century Gothic"/>
        <family val="2"/>
      </rPr>
      <t xml:space="preserve">d </t>
    </r>
    <r>
      <rPr>
        <sz val="8"/>
        <rFont val="Century Gothic"/>
        <family val="2"/>
      </rPr>
      <t>/ b</t>
    </r>
    <r>
      <rPr>
        <vertAlign val="subscript"/>
        <sz val="8"/>
        <rFont val="Century Gothic"/>
        <family val="2"/>
      </rPr>
      <t>ef</t>
    </r>
    <r>
      <rPr>
        <sz val="8"/>
        <rFont val="Century Gothic"/>
        <family val="2"/>
      </rPr>
      <t xml:space="preserve"> ⋅ h</t>
    </r>
    <r>
      <rPr>
        <vertAlign val="subscript"/>
        <sz val="8"/>
        <rFont val="Century Gothic"/>
        <family val="2"/>
      </rPr>
      <t>ef</t>
    </r>
  </si>
  <si>
    <r>
      <t>h</t>
    </r>
    <r>
      <rPr>
        <vertAlign val="subscript"/>
        <sz val="8"/>
        <rFont val="Century Gothic"/>
        <family val="2"/>
      </rPr>
      <t xml:space="preserve">ef </t>
    </r>
    <r>
      <rPr>
        <sz val="8"/>
        <rFont val="Century Gothic"/>
        <family val="2"/>
      </rPr>
      <t>/ h</t>
    </r>
  </si>
  <si>
    <r>
      <t>k</t>
    </r>
    <r>
      <rPr>
        <vertAlign val="subscript"/>
        <sz val="8"/>
        <rFont val="Century Gothic"/>
        <family val="2"/>
      </rPr>
      <t>cr</t>
    </r>
    <r>
      <rPr>
        <sz val="8"/>
        <rFont val="Century Gothic"/>
        <family val="2"/>
      </rPr>
      <t xml:space="preserve">  ⋅ b</t>
    </r>
  </si>
  <si>
    <r>
      <t>k + z</t>
    </r>
    <r>
      <rPr>
        <vertAlign val="subscript"/>
        <sz val="8"/>
        <rFont val="Century Gothic"/>
        <family val="2"/>
      </rPr>
      <t>i,max,45</t>
    </r>
    <r>
      <rPr>
        <sz val="8"/>
        <rFont val="Century Gothic"/>
        <family val="2"/>
      </rPr>
      <t xml:space="preserve"> + d</t>
    </r>
    <r>
      <rPr>
        <vertAlign val="subscript"/>
        <sz val="8"/>
        <rFont val="Century Gothic"/>
        <family val="2"/>
      </rPr>
      <t>i,2</t>
    </r>
    <r>
      <rPr>
        <sz val="8"/>
        <rFont val="Century Gothic"/>
        <family val="2"/>
      </rPr>
      <t xml:space="preserve"> + l</t>
    </r>
    <r>
      <rPr>
        <vertAlign val="subscript"/>
        <sz val="8"/>
        <rFont val="Century Gothic"/>
        <family val="2"/>
      </rPr>
      <t>ef,2</t>
    </r>
  </si>
  <si>
    <r>
      <t>τ</t>
    </r>
    <r>
      <rPr>
        <vertAlign val="subscript"/>
        <sz val="8"/>
        <rFont val="Century Gothic"/>
        <family val="2"/>
      </rPr>
      <t>R</t>
    </r>
    <r>
      <rPr>
        <vertAlign val="subscript"/>
        <sz val="10"/>
        <rFont val="Arial"/>
        <family val="2"/>
      </rPr>
      <t>d</t>
    </r>
  </si>
  <si>
    <t>Nachweis ohne Verstärkung:</t>
  </si>
  <si>
    <t>Nachweis mit Verstärkung</t>
  </si>
  <si>
    <r>
      <t>τ</t>
    </r>
    <r>
      <rPr>
        <vertAlign val="subscript"/>
        <sz val="8"/>
        <rFont val="Century Gothic"/>
        <family val="2"/>
      </rPr>
      <t>R</t>
    </r>
    <r>
      <rPr>
        <vertAlign val="subscript"/>
        <sz val="10"/>
        <rFont val="Arial"/>
        <family val="2"/>
      </rPr>
      <t>d</t>
    </r>
    <r>
      <rPr>
        <sz val="8"/>
        <rFont val="Century Gothic"/>
        <family val="2"/>
      </rPr>
      <t xml:space="preserve"> =</t>
    </r>
  </si>
  <si>
    <r>
      <t>R</t>
    </r>
    <r>
      <rPr>
        <vertAlign val="subscript"/>
        <sz val="8"/>
        <rFont val="Century Gothic"/>
        <family val="2"/>
      </rPr>
      <t>ax,d</t>
    </r>
    <r>
      <rPr>
        <sz val="8"/>
        <rFont val="Century Gothic"/>
        <family val="2"/>
      </rPr>
      <t xml:space="preserve"> =</t>
    </r>
  </si>
  <si>
    <r>
      <t>τ</t>
    </r>
    <r>
      <rPr>
        <vertAlign val="subscript"/>
        <sz val="10"/>
        <rFont val="Arial"/>
        <family val="2"/>
      </rPr>
      <t>d</t>
    </r>
    <r>
      <rPr>
        <sz val="8"/>
        <rFont val="Century Gothic"/>
        <family val="2"/>
      </rPr>
      <t xml:space="preserve"> =</t>
    </r>
  </si>
  <si>
    <r>
      <t>F</t>
    </r>
    <r>
      <rPr>
        <vertAlign val="subscript"/>
        <sz val="8"/>
        <rFont val="Century Gothic"/>
        <family val="2"/>
      </rPr>
      <t>t,90,d</t>
    </r>
    <r>
      <rPr>
        <sz val="8"/>
        <rFont val="Century Gothic"/>
        <family val="2"/>
      </rPr>
      <t xml:space="preserve"> =</t>
    </r>
  </si>
  <si>
    <r>
      <t>n</t>
    </r>
    <r>
      <rPr>
        <vertAlign val="subscript"/>
        <sz val="8"/>
        <rFont val="Century Gothic"/>
        <family val="2"/>
      </rPr>
      <t>erf</t>
    </r>
  </si>
  <si>
    <t>max. 3% Abweichung x_Strahlensatz zu x_ETA für BZ oben</t>
  </si>
  <si>
    <t>max. 3% Abweichung x_Strahlensatz zu x_ETA für BZ unten</t>
  </si>
  <si>
    <t>NW Querzugverstärkung eingehalten</t>
  </si>
  <si>
    <t>obertse Schraubenkreuz</t>
  </si>
  <si>
    <t xml:space="preserve">für 45° ≤ α ≤ 90° </t>
  </si>
  <si>
    <r>
      <t>n</t>
    </r>
    <r>
      <rPr>
        <vertAlign val="subscript"/>
        <sz val="8"/>
        <color theme="1"/>
        <rFont val="Century Gothic"/>
        <family val="2"/>
      </rPr>
      <t>ef</t>
    </r>
    <r>
      <rPr>
        <sz val="8"/>
        <color theme="1"/>
        <rFont val="Century Gothic"/>
        <family val="2"/>
      </rPr>
      <t>/m · 2 · R</t>
    </r>
    <r>
      <rPr>
        <vertAlign val="subscript"/>
        <sz val="8"/>
        <color theme="1"/>
        <rFont val="Century Gothic"/>
        <family val="2"/>
      </rPr>
      <t>ax,k</t>
    </r>
    <r>
      <rPr>
        <sz val="8"/>
        <color theme="1"/>
        <rFont val="Century Gothic"/>
        <family val="2"/>
      </rPr>
      <t xml:space="preserve"> · cos(α) je Schraubenkreuz rechtwinklig zur Bauteilfuge</t>
    </r>
  </si>
  <si>
    <r>
      <t>0,5 · B</t>
    </r>
    <r>
      <rPr>
        <vertAlign val="subscript"/>
        <sz val="8"/>
        <color theme="1"/>
        <rFont val="Century Gothic"/>
        <family val="2"/>
      </rPr>
      <t xml:space="preserve">J </t>
    </r>
    <r>
      <rPr>
        <sz val="8"/>
        <color theme="1"/>
        <rFont val="Century Gothic"/>
        <family val="2"/>
      </rPr>
      <t>/ sin(α) - H</t>
    </r>
    <r>
      <rPr>
        <vertAlign val="subscript"/>
        <sz val="8"/>
        <color theme="1"/>
        <rFont val="Century Gothic"/>
        <family val="2"/>
      </rPr>
      <t xml:space="preserve">MEGANT </t>
    </r>
    <r>
      <rPr>
        <sz val="8"/>
        <color theme="1"/>
        <rFont val="Century Gothic"/>
        <family val="2"/>
      </rPr>
      <t>/ cos(α) - a</t>
    </r>
    <r>
      <rPr>
        <vertAlign val="subscript"/>
        <sz val="8"/>
        <color theme="1"/>
        <rFont val="Century Gothic"/>
        <family val="2"/>
      </rPr>
      <t>max</t>
    </r>
  </si>
  <si>
    <t xml:space="preserve">für BSH: 0,3 + 0,7 ·  α / 45° bei 0° ≤ α &lt; 45° </t>
  </si>
  <si>
    <r>
      <t>2/3 · K</t>
    </r>
    <r>
      <rPr>
        <vertAlign val="subscript"/>
        <sz val="8"/>
        <color theme="1"/>
        <rFont val="Century Gothic"/>
        <family val="2"/>
      </rPr>
      <t>ser</t>
    </r>
  </si>
  <si>
    <t>Druckzonenverstärkung</t>
  </si>
  <si>
    <t>Art der Druckzonenverstärkung</t>
  </si>
  <si>
    <t>Verstärkung in der Zugzone vorhanden?</t>
  </si>
  <si>
    <t>Art der Zugzonenverstärkung</t>
  </si>
  <si>
    <t>Der Querzugnachweis im Hauptträger ist gesondert nachzuweisen</t>
  </si>
  <si>
    <t>Querzugverstärkung der Ausklinkung im Nebenträger</t>
  </si>
  <si>
    <t>Vertstärkung der Ausklinkung am Nebenträger mittels Vollgewindeschrauben</t>
  </si>
  <si>
    <t xml:space="preserve">Bild: </t>
  </si>
  <si>
    <t>char. Ausziehtragfähigkeit</t>
  </si>
  <si>
    <t>Assy Plus VG Ø8x220 SK nach ETA-11/0190</t>
  </si>
  <si>
    <r>
      <t>= 0,5 · B</t>
    </r>
    <r>
      <rPr>
        <vertAlign val="subscript"/>
        <sz val="8"/>
        <color theme="1"/>
        <rFont val="Century Gothic"/>
        <family val="2"/>
      </rPr>
      <t>NT</t>
    </r>
    <r>
      <rPr>
        <sz val="8"/>
        <color theme="1"/>
        <rFont val="Century Gothic"/>
        <family val="2"/>
      </rPr>
      <t>/sin(α) - L</t>
    </r>
    <r>
      <rPr>
        <vertAlign val="subscript"/>
        <sz val="8"/>
        <color theme="1"/>
        <rFont val="Century Gothic"/>
        <family val="2"/>
      </rPr>
      <t>a</t>
    </r>
    <r>
      <rPr>
        <sz val="8"/>
        <color theme="1"/>
        <rFont val="Century Gothic"/>
        <family val="2"/>
      </rPr>
      <t xml:space="preserve"> - a</t>
    </r>
    <r>
      <rPr>
        <vertAlign val="subscript"/>
        <sz val="8"/>
        <color theme="1"/>
        <rFont val="Century Gothic"/>
        <family val="2"/>
      </rPr>
      <t>max</t>
    </r>
  </si>
  <si>
    <r>
      <t>≈ 2 · l</t>
    </r>
    <r>
      <rPr>
        <vertAlign val="subscript"/>
        <sz val="8"/>
        <color theme="1"/>
        <rFont val="Century Gothic"/>
        <family val="2"/>
      </rPr>
      <t xml:space="preserve">eff,J </t>
    </r>
    <r>
      <rPr>
        <sz val="8"/>
        <color theme="1"/>
        <rFont val="Century Gothic"/>
        <family val="2"/>
      </rPr>
      <t>+ L</t>
    </r>
    <r>
      <rPr>
        <vertAlign val="subscript"/>
        <sz val="8"/>
        <color theme="1"/>
        <rFont val="Century Gothic"/>
        <family val="2"/>
      </rPr>
      <t>a</t>
    </r>
  </si>
  <si>
    <r>
      <t>= min [ 0,5 · HH / sin (α) ; BH</t>
    </r>
    <r>
      <rPr>
        <vertAlign val="subscript"/>
        <sz val="8"/>
        <color theme="1"/>
        <rFont val="Century Gothic"/>
        <family val="2"/>
      </rPr>
      <t xml:space="preserve"> </t>
    </r>
    <r>
      <rPr>
        <sz val="8"/>
        <color theme="1"/>
        <rFont val="Century Gothic"/>
        <family val="2"/>
      </rPr>
      <t>/ cos(α) ] &gt; l</t>
    </r>
    <r>
      <rPr>
        <vertAlign val="subscript"/>
        <sz val="8"/>
        <color theme="1"/>
        <rFont val="Century Gothic"/>
        <family val="2"/>
      </rPr>
      <t>eff,H</t>
    </r>
  </si>
  <si>
    <r>
      <t>n</t>
    </r>
    <r>
      <rPr>
        <vertAlign val="subscript"/>
        <sz val="8"/>
        <color theme="1"/>
        <rFont val="Century Gothic"/>
        <family val="2"/>
      </rPr>
      <t>ef</t>
    </r>
    <r>
      <rPr>
        <sz val="8"/>
        <color theme="1"/>
        <rFont val="Century Gothic"/>
        <family val="2"/>
      </rPr>
      <t xml:space="preserve"> wird im Bemessungstool nicht berücksichtigt und muss bereits in den Übergabewerten enthalten sein. </t>
    </r>
  </si>
  <si>
    <t>Übergabewerte: Alle Werte beziehen in Richtung des Nebenträgers senkrecht zur Fuge (1-Richtung)</t>
  </si>
  <si>
    <r>
      <t>Ermittlung von R</t>
    </r>
    <r>
      <rPr>
        <vertAlign val="subscript"/>
        <sz val="10"/>
        <rFont val="Century Gothic"/>
        <family val="2"/>
      </rPr>
      <t>1,k,J/H</t>
    </r>
    <r>
      <rPr>
        <sz val="10"/>
        <rFont val="Century Gothic"/>
        <family val="2"/>
      </rPr>
      <t xml:space="preserve"> und K</t>
    </r>
    <r>
      <rPr>
        <vertAlign val="subscript"/>
        <sz val="10"/>
        <rFont val="Century Gothic"/>
        <family val="2"/>
      </rPr>
      <t>u,1,J/H</t>
    </r>
    <r>
      <rPr>
        <sz val="10"/>
        <rFont val="Century Gothic"/>
        <family val="2"/>
      </rPr>
      <t xml:space="preserve"> der Verstärkung </t>
    </r>
  </si>
  <si>
    <r>
      <t>l</t>
    </r>
    <r>
      <rPr>
        <vertAlign val="subscript"/>
        <sz val="8"/>
        <color theme="1"/>
        <rFont val="Century Gothic"/>
        <family val="2"/>
      </rPr>
      <t>s</t>
    </r>
    <r>
      <rPr>
        <sz val="8"/>
        <color theme="1"/>
        <rFont val="Century Gothic"/>
        <family val="2"/>
      </rPr>
      <t xml:space="preserve"> - max { a</t>
    </r>
    <r>
      <rPr>
        <vertAlign val="subscript"/>
        <sz val="8"/>
        <color theme="1"/>
        <rFont val="Century Gothic"/>
        <family val="2"/>
      </rPr>
      <t xml:space="preserve">max </t>
    </r>
    <r>
      <rPr>
        <sz val="8"/>
        <color theme="1"/>
        <rFont val="Century Gothic"/>
        <family val="2"/>
      </rPr>
      <t>; t }</t>
    </r>
  </si>
  <si>
    <r>
      <t>l</t>
    </r>
    <r>
      <rPr>
        <vertAlign val="subscript"/>
        <sz val="8"/>
        <color theme="1"/>
        <rFont val="Century Gothic"/>
        <family val="2"/>
      </rPr>
      <t>s</t>
    </r>
    <r>
      <rPr>
        <sz val="8"/>
        <color theme="1"/>
        <rFont val="Century Gothic"/>
        <family val="2"/>
      </rPr>
      <t xml:space="preserve"> - max { a</t>
    </r>
    <r>
      <rPr>
        <vertAlign val="subscript"/>
        <sz val="8"/>
        <color theme="1"/>
        <rFont val="Century Gothic"/>
        <family val="2"/>
      </rPr>
      <t xml:space="preserve">max </t>
    </r>
    <r>
      <rPr>
        <sz val="8"/>
        <color theme="1"/>
        <rFont val="Century Gothic"/>
        <family val="2"/>
      </rPr>
      <t>; t/cos(α) }</t>
    </r>
  </si>
  <si>
    <r>
      <t xml:space="preserve"> 2/3 · K</t>
    </r>
    <r>
      <rPr>
        <vertAlign val="subscript"/>
        <sz val="8"/>
        <color theme="1"/>
        <rFont val="Century Gothic"/>
        <family val="2"/>
      </rPr>
      <t>ser</t>
    </r>
  </si>
  <si>
    <r>
      <t>n · K</t>
    </r>
    <r>
      <rPr>
        <vertAlign val="subscript"/>
        <sz val="8"/>
        <color theme="1"/>
        <rFont val="Century Gothic"/>
        <family val="2"/>
      </rPr>
      <t>u,H</t>
    </r>
    <r>
      <rPr>
        <sz val="8"/>
        <color theme="1"/>
        <rFont val="Century Gothic"/>
        <family val="2"/>
      </rPr>
      <t xml:space="preserve">  je Schraubenreihe rechtwinklig Bauteilfuge</t>
    </r>
  </si>
  <si>
    <r>
      <t>a + b · α/45° bei 0° ≤ α &lt; 45°, sonst k</t>
    </r>
    <r>
      <rPr>
        <vertAlign val="subscript"/>
        <sz val="8"/>
        <color theme="1"/>
        <rFont val="Century Gothic"/>
        <family val="2"/>
      </rPr>
      <t>ax</t>
    </r>
    <r>
      <rPr>
        <sz val="8"/>
        <color theme="1"/>
        <rFont val="Century Gothic"/>
        <family val="2"/>
      </rPr>
      <t xml:space="preserve"> = 1,0</t>
    </r>
  </si>
  <si>
    <t>entspricht der Länge k. Siehe Eingabe im Bemessungstool</t>
  </si>
  <si>
    <t>Verstärkung Druckzone HT mittels Würth Assy Plus VG Ø12/120mm</t>
  </si>
  <si>
    <t>Nebenträger: Verstärkung mittels Zuglasche mit CNA4,0x40 nach ETA-04/0013</t>
  </si>
  <si>
    <r>
      <t>l</t>
    </r>
    <r>
      <rPr>
        <vertAlign val="subscript"/>
        <sz val="8"/>
        <color theme="1"/>
        <rFont val="Century Gothic"/>
        <family val="2"/>
      </rPr>
      <t>s</t>
    </r>
    <r>
      <rPr>
        <sz val="8"/>
        <color theme="1"/>
        <rFont val="Century Gothic"/>
        <family val="2"/>
      </rPr>
      <t xml:space="preserve"> - a</t>
    </r>
    <r>
      <rPr>
        <vertAlign val="subscript"/>
        <sz val="8"/>
        <color theme="1"/>
        <rFont val="Century Gothic"/>
        <family val="2"/>
      </rPr>
      <t>max</t>
    </r>
  </si>
  <si>
    <t>&lt;</t>
  </si>
  <si>
    <t>Durckverstärkung Hauptträger</t>
  </si>
  <si>
    <t>Assy Plus VG Ø8/120 nach ETA-11/0190</t>
  </si>
  <si>
    <r>
      <t>R</t>
    </r>
    <r>
      <rPr>
        <vertAlign val="subscript"/>
        <sz val="10"/>
        <color theme="0" tint="-0.34998626667073579"/>
        <rFont val="Century Gothic"/>
        <family val="2"/>
      </rPr>
      <t>v,t</t>
    </r>
  </si>
  <si>
    <r>
      <t>K</t>
    </r>
    <r>
      <rPr>
        <vertAlign val="subscript"/>
        <sz val="10"/>
        <color theme="0" tint="-0.34998626667073579"/>
        <rFont val="Century Gothic"/>
        <family val="2"/>
      </rPr>
      <t>u,t</t>
    </r>
  </si>
  <si>
    <r>
      <t>w</t>
    </r>
    <r>
      <rPr>
        <vertAlign val="subscript"/>
        <sz val="10"/>
        <color theme="0" tint="-0.34998626667073579"/>
        <rFont val="Century Gothic"/>
        <family val="2"/>
      </rPr>
      <t>u</t>
    </r>
  </si>
  <si>
    <t>Plausbilität</t>
  </si>
  <si>
    <t xml:space="preserve">Übersicht Tragfähigkeitswerte: </t>
  </si>
  <si>
    <t>Ergebniskontrolle: Moment</t>
  </si>
  <si>
    <t>Kriterium 1</t>
  </si>
  <si>
    <t>Kriterium 2</t>
  </si>
  <si>
    <t>VERSTÄRKUNGEN ZUGZONE:</t>
  </si>
  <si>
    <t>(schematische Darstellung)</t>
  </si>
  <si>
    <t>Art der Verstärkung</t>
  </si>
  <si>
    <t>Kommentar</t>
  </si>
  <si>
    <t>markierte Abstände müssen im Haupt- und Nebenträger gleich sein</t>
  </si>
  <si>
    <t>Im Nebenträger</t>
  </si>
  <si>
    <t>Im Haupt- und Nebenträger</t>
  </si>
  <si>
    <t>BJ</t>
  </si>
  <si>
    <t>HJ</t>
  </si>
  <si>
    <t>BN</t>
  </si>
  <si>
    <t>HN</t>
  </si>
  <si>
    <t>Übergabewerte: Alle Werte beziehen sich in Richtung des Nebenträgers senkrecht zur Fuge (1-Richtung)</t>
  </si>
  <si>
    <t>Gewählte Schraubenlänge</t>
  </si>
  <si>
    <r>
      <t>R</t>
    </r>
    <r>
      <rPr>
        <vertAlign val="subscript"/>
        <sz val="8"/>
        <rFont val="Century Gothic"/>
        <family val="2"/>
      </rPr>
      <t>k,Lochb</t>
    </r>
  </si>
  <si>
    <t>Bei der Tragfähigkeit der Schrauben ist der kleinere Wert von Zugtragfähigkeit und Auszugtragfähigkeit der Schrauben anzusetzen.</t>
  </si>
  <si>
    <t>Verschiebungsmodul je Gruppe</t>
  </si>
  <si>
    <t>char. Tragfähigkeit je Gruppe</t>
  </si>
  <si>
    <t xml:space="preserve">Je Schraubengruppe </t>
  </si>
  <si>
    <t>Die Stahllasche muss separat nachgewiesen.</t>
  </si>
  <si>
    <t>Schraubenreihen vertikal</t>
  </si>
  <si>
    <r>
      <t xml:space="preserve"> = max { n</t>
    </r>
    <r>
      <rPr>
        <vertAlign val="superscript"/>
        <sz val="8"/>
        <color theme="1"/>
        <rFont val="Century Gothic"/>
        <family val="2"/>
      </rPr>
      <t>0,9</t>
    </r>
    <r>
      <rPr>
        <sz val="8"/>
        <color theme="1"/>
        <rFont val="Century Gothic"/>
        <family val="2"/>
      </rPr>
      <t>; 0,9 · n}  nach ETA 11/0190 pro Gruppe</t>
    </r>
  </si>
  <si>
    <t>je Gruppe pro Seite</t>
  </si>
  <si>
    <t>Abstand Schrauben zur UK/OK MEGANT-Verbinder</t>
  </si>
  <si>
    <t>char. Drucktragfähigkeit</t>
  </si>
  <si>
    <r>
      <t>Ausziehtragfähigkeit R</t>
    </r>
    <r>
      <rPr>
        <vertAlign val="subscript"/>
        <sz val="8"/>
        <rFont val="Century Gothic"/>
        <family val="2"/>
      </rPr>
      <t>ax,t,d</t>
    </r>
    <r>
      <rPr>
        <sz val="8"/>
        <rFont val="Century Gothic"/>
        <family val="2"/>
      </rPr>
      <t xml:space="preserve"> wird gegenüber der Durcktragfähigkeit F</t>
    </r>
    <r>
      <rPr>
        <vertAlign val="subscript"/>
        <sz val="8"/>
        <rFont val="Century Gothic"/>
        <family val="2"/>
      </rPr>
      <t>ax,c,d</t>
    </r>
    <r>
      <rPr>
        <sz val="8"/>
        <rFont val="Century Gothic"/>
        <family val="2"/>
      </rPr>
      <t xml:space="preserve"> maßgebend!</t>
    </r>
  </si>
  <si>
    <r>
      <t>25 · d · l</t>
    </r>
    <r>
      <rPr>
        <vertAlign val="subscript"/>
        <sz val="8"/>
        <color theme="1"/>
        <rFont val="Century Gothic"/>
        <family val="2"/>
      </rPr>
      <t>ef</t>
    </r>
    <r>
      <rPr>
        <sz val="8"/>
        <color theme="1"/>
        <rFont val="Century Gothic"/>
        <family val="2"/>
      </rPr>
      <t xml:space="preserve"> nach ETA 11/0190 in Schraubenachse</t>
    </r>
  </si>
  <si>
    <t>Übergabewerte</t>
  </si>
  <si>
    <t>Hinweis</t>
  </si>
  <si>
    <r>
      <t>2 · K</t>
    </r>
    <r>
      <rPr>
        <vertAlign val="subscript"/>
        <sz val="8"/>
        <color theme="1"/>
        <rFont val="Century Gothic"/>
        <family val="2"/>
      </rPr>
      <t>u,H</t>
    </r>
    <r>
      <rPr>
        <sz val="8"/>
        <color theme="1"/>
        <rFont val="Century Gothic"/>
        <family val="2"/>
      </rPr>
      <t xml:space="preserve"> · cos(α)</t>
    </r>
    <r>
      <rPr>
        <vertAlign val="superscript"/>
        <sz val="8"/>
        <color theme="1"/>
        <rFont val="Century Gothic"/>
        <family val="2"/>
      </rPr>
      <t>2</t>
    </r>
    <r>
      <rPr>
        <sz val="8"/>
        <color theme="1"/>
        <rFont val="Century Gothic"/>
        <family val="2"/>
      </rPr>
      <t xml:space="preserve"> je Schraubenkreuz und Anschlussfuge rechtwinklig zur Bauteilfuge</t>
    </r>
  </si>
  <si>
    <t>In Laubholz und BauBuche sind Schrauben mit l_ef &gt; 48mm vorzubohren (ETA 14/0354).</t>
  </si>
  <si>
    <t>In hard wood and BauBuche, screws with l_ef &gt; 48mm must be pre-drilled (ETA 14/0354).</t>
  </si>
  <si>
    <t>Dans le bois dur et le lamibois BauBuche, les vis doivent être prépercées avec l_ef &gt; 48mm (ETA 14/0354).</t>
  </si>
  <si>
    <t>En madera dura y BauBuche, los tornillos con l_ef &gt; 48mm deben ser pretaladrados (ETA 14/0354).</t>
  </si>
  <si>
    <t>Abstand VM - VM</t>
  </si>
  <si>
    <t>Abstand VM - Oberkante  NT</t>
  </si>
  <si>
    <t>Hinweis: Erster Unterschied zu Tabellenblatt "Berechnung_BZunten" ist Zelle C17 = "oben"</t>
  </si>
  <si>
    <t>Hinweis: Erster Unterschied zu Tabellenblatt "Berechnung_BZoben" ist Zelle C17 = "unten"</t>
  </si>
  <si>
    <t>Hinweis: Zweiter Unterschied zu Tabellenblatt "Berechnung_BZunten" ist Zelle C56 und C92 je nach Eingabe "Ja" oder "Nein"</t>
  </si>
  <si>
    <t>a4,re,t,min = 30mm; a4,re,t = k - are,t - (m - 1) · a2,re,t</t>
  </si>
  <si>
    <r>
      <t>R</t>
    </r>
    <r>
      <rPr>
        <vertAlign val="subscript"/>
        <sz val="8"/>
        <color theme="1" tint="0.34998626667073579"/>
        <rFont val="Century Gothic"/>
        <family val="2"/>
      </rPr>
      <t>1,k,H</t>
    </r>
  </si>
  <si>
    <r>
      <t>K</t>
    </r>
    <r>
      <rPr>
        <vertAlign val="subscript"/>
        <sz val="8"/>
        <color theme="1" tint="0.34998626667073579"/>
        <rFont val="Century Gothic"/>
        <family val="2"/>
      </rPr>
      <t>u,1,H</t>
    </r>
  </si>
  <si>
    <r>
      <t>a</t>
    </r>
    <r>
      <rPr>
        <vertAlign val="subscript"/>
        <sz val="8"/>
        <color theme="1" tint="0.34998626667073579"/>
        <rFont val="Century Gothic"/>
        <family val="2"/>
      </rPr>
      <t>re,t,H</t>
    </r>
  </si>
  <si>
    <r>
      <t>a</t>
    </r>
    <r>
      <rPr>
        <vertAlign val="subscript"/>
        <sz val="8"/>
        <color theme="1" tint="0.34998626667073579"/>
        <rFont val="Century Gothic"/>
        <family val="2"/>
      </rPr>
      <t>2,re,t,H</t>
    </r>
  </si>
  <si>
    <r>
      <t>a</t>
    </r>
    <r>
      <rPr>
        <vertAlign val="subscript"/>
        <sz val="8"/>
        <color theme="1" tint="0.34998626667073579"/>
        <rFont val="Century Gothic"/>
        <family val="2"/>
      </rPr>
      <t>4,re,t</t>
    </r>
  </si>
  <si>
    <t>1) Angabe je Schraubenkreuz</t>
  </si>
  <si>
    <t>1) Angabe je Schraubenreihe (eine Schraubenreihe kann aus mehreren Schrauben(spalten) bestehen)</t>
  </si>
  <si>
    <t>Angaben zur Verstärkungen des MEGANT-Verbinders</t>
  </si>
  <si>
    <t>Werte je Schraubenkreuz</t>
  </si>
  <si>
    <t>Werte je Schraubenreihe</t>
  </si>
  <si>
    <t xml:space="preserve">Eine Zugzonenverstärkung kann nur oberhab des MEGANT-Verbinders angeordnet werden. Für alle Lastfälle in der die Biegezugzone "unten" liegt, wird die Verstärkungsmaßnahme rechnerisch nicht berücksichtigt. </t>
  </si>
  <si>
    <t>Verstärkung in der Druckzone vorhanden?</t>
  </si>
  <si>
    <t>Die Vertstärkungen müssen ausreichend vor Brand geschützt sein.</t>
  </si>
  <si>
    <t>Abstand des Verstärkungselements in der Druckzone zum Rotationszentrum</t>
  </si>
  <si>
    <t xml:space="preserve">Querzugnachweis ist nicht eingehalten. Anzahl oder Tragfähigkeit der Querzugverstärkungen erhöhen. </t>
  </si>
  <si>
    <r>
      <t>n</t>
    </r>
    <r>
      <rPr>
        <vertAlign val="subscript"/>
        <sz val="8"/>
        <color theme="1"/>
        <rFont val="Century Gothic"/>
        <family val="2"/>
      </rPr>
      <t>ef</t>
    </r>
    <r>
      <rPr>
        <sz val="8"/>
        <color theme="1"/>
        <rFont val="Century Gothic"/>
        <family val="2"/>
      </rPr>
      <t xml:space="preserve"> = m</t>
    </r>
  </si>
  <si>
    <r>
      <rPr>
        <sz val="8"/>
        <rFont val="Calibri"/>
        <family val="2"/>
      </rPr>
      <t>ρ</t>
    </r>
    <r>
      <rPr>
        <vertAlign val="subscript"/>
        <sz val="8"/>
        <rFont val="Century Gothic"/>
        <family val="2"/>
      </rPr>
      <t>k</t>
    </r>
  </si>
  <si>
    <r>
      <t>f</t>
    </r>
    <r>
      <rPr>
        <vertAlign val="subscript"/>
        <sz val="8"/>
        <rFont val="Century Gothic"/>
        <family val="2"/>
      </rPr>
      <t>ax</t>
    </r>
  </si>
  <si>
    <r>
      <t>k</t>
    </r>
    <r>
      <rPr>
        <vertAlign val="subscript"/>
        <sz val="8"/>
        <rFont val="Century Gothic"/>
        <family val="2"/>
      </rPr>
      <t>ax</t>
    </r>
    <r>
      <rPr>
        <sz val="8"/>
        <rFont val="Century Gothic"/>
        <family val="2"/>
      </rPr>
      <t xml:space="preserve"> </t>
    </r>
  </si>
  <si>
    <r>
      <t>k</t>
    </r>
    <r>
      <rPr>
        <vertAlign val="subscript"/>
        <sz val="8"/>
        <rFont val="Calibri"/>
        <family val="2"/>
      </rPr>
      <t>β</t>
    </r>
  </si>
  <si>
    <r>
      <t>f</t>
    </r>
    <r>
      <rPr>
        <vertAlign val="subscript"/>
        <sz val="8"/>
        <rFont val="Century Gothic"/>
        <family val="2"/>
      </rPr>
      <t>tens</t>
    </r>
  </si>
  <si>
    <r>
      <t>F</t>
    </r>
    <r>
      <rPr>
        <vertAlign val="subscript"/>
        <sz val="8"/>
        <rFont val="Century Gothic"/>
        <family val="2"/>
      </rPr>
      <t>ax,45,Rk,J</t>
    </r>
  </si>
  <si>
    <r>
      <t>F</t>
    </r>
    <r>
      <rPr>
        <vertAlign val="subscript"/>
        <sz val="8"/>
        <rFont val="Century Gothic"/>
        <family val="2"/>
      </rPr>
      <t>2,Rk,J</t>
    </r>
  </si>
  <si>
    <r>
      <t>k</t>
    </r>
    <r>
      <rPr>
        <vertAlign val="subscript"/>
        <sz val="8"/>
        <rFont val="Century Gothic"/>
        <family val="2"/>
      </rPr>
      <t>ax</t>
    </r>
  </si>
  <si>
    <r>
      <t>F</t>
    </r>
    <r>
      <rPr>
        <vertAlign val="subscript"/>
        <sz val="8"/>
        <rFont val="Century Gothic"/>
        <family val="2"/>
      </rPr>
      <t>ax,45,Rk,H</t>
    </r>
  </si>
  <si>
    <r>
      <t>F</t>
    </r>
    <r>
      <rPr>
        <vertAlign val="subscript"/>
        <sz val="8"/>
        <rFont val="Century Gothic"/>
        <family val="2"/>
      </rPr>
      <t>2,Rk,H</t>
    </r>
  </si>
  <si>
    <t>e</t>
  </si>
  <si>
    <r>
      <t>f</t>
    </r>
    <r>
      <rPr>
        <vertAlign val="subscript"/>
        <sz val="8"/>
        <color theme="1"/>
        <rFont val="Century Gothic"/>
        <family val="2"/>
      </rPr>
      <t>R2</t>
    </r>
  </si>
  <si>
    <r>
      <t>F</t>
    </r>
    <r>
      <rPr>
        <vertAlign val="subscript"/>
        <sz val="8"/>
        <color theme="1"/>
        <rFont val="Century Gothic"/>
        <family val="2"/>
      </rPr>
      <t>t,Rk</t>
    </r>
  </si>
  <si>
    <r>
      <t>l</t>
    </r>
    <r>
      <rPr>
        <vertAlign val="subscript"/>
        <sz val="8"/>
        <rFont val="Century Gothic"/>
        <family val="2"/>
      </rPr>
      <t>ef</t>
    </r>
  </si>
  <si>
    <r>
      <t>ΔF</t>
    </r>
    <r>
      <rPr>
        <vertAlign val="subscript"/>
        <sz val="8"/>
        <color theme="1"/>
        <rFont val="Century Gothic"/>
        <family val="2"/>
      </rPr>
      <t>v,Rk</t>
    </r>
  </si>
  <si>
    <r>
      <t>M</t>
    </r>
    <r>
      <rPr>
        <vertAlign val="subscript"/>
        <sz val="8"/>
        <rFont val="Century Gothic"/>
        <family val="2"/>
      </rPr>
      <t>y,Rk</t>
    </r>
  </si>
  <si>
    <r>
      <t>f</t>
    </r>
    <r>
      <rPr>
        <vertAlign val="subscript"/>
        <sz val="8"/>
        <rFont val="Century Gothic"/>
        <family val="2"/>
      </rPr>
      <t>h,45,J,k</t>
    </r>
  </si>
  <si>
    <r>
      <t>F</t>
    </r>
    <r>
      <rPr>
        <vertAlign val="subscript"/>
        <sz val="8"/>
        <rFont val="Century Gothic"/>
        <family val="2"/>
      </rPr>
      <t>v,45,J,RK</t>
    </r>
  </si>
  <si>
    <r>
      <t>F</t>
    </r>
    <r>
      <rPr>
        <vertAlign val="subscript"/>
        <sz val="8"/>
        <rFont val="Century Gothic"/>
        <family val="2"/>
      </rPr>
      <t>3,J,RK</t>
    </r>
  </si>
  <si>
    <r>
      <t>k</t>
    </r>
    <r>
      <rPr>
        <vertAlign val="subscript"/>
        <sz val="8"/>
        <color theme="1"/>
        <rFont val="Century Gothic"/>
        <family val="2"/>
      </rPr>
      <t>β</t>
    </r>
  </si>
  <si>
    <r>
      <t>f</t>
    </r>
    <r>
      <rPr>
        <vertAlign val="subscript"/>
        <sz val="8"/>
        <rFont val="Century Gothic"/>
        <family val="2"/>
      </rPr>
      <t>h,45,H,k</t>
    </r>
  </si>
  <si>
    <r>
      <t>F</t>
    </r>
    <r>
      <rPr>
        <vertAlign val="subscript"/>
        <sz val="8"/>
        <rFont val="Century Gothic"/>
        <family val="2"/>
      </rPr>
      <t>v,45,H,RK</t>
    </r>
  </si>
  <si>
    <r>
      <t>F</t>
    </r>
    <r>
      <rPr>
        <vertAlign val="subscript"/>
        <sz val="8"/>
        <rFont val="Century Gothic"/>
        <family val="2"/>
      </rPr>
      <t>3,H,RK</t>
    </r>
  </si>
  <si>
    <r>
      <t>F</t>
    </r>
    <r>
      <rPr>
        <vertAlign val="subscript"/>
        <sz val="8"/>
        <rFont val="Century Gothic"/>
        <family val="2"/>
      </rPr>
      <t>ax,J,Rk</t>
    </r>
  </si>
  <si>
    <r>
      <t>f</t>
    </r>
    <r>
      <rPr>
        <vertAlign val="subscript"/>
        <sz val="8"/>
        <rFont val="Century Gothic"/>
        <family val="2"/>
      </rPr>
      <t>h,J,k</t>
    </r>
  </si>
  <si>
    <r>
      <t>F</t>
    </r>
    <r>
      <rPr>
        <vertAlign val="subscript"/>
        <sz val="8"/>
        <rFont val="Century Gothic"/>
        <family val="2"/>
      </rPr>
      <t>v,J,Rk</t>
    </r>
  </si>
  <si>
    <r>
      <t>F</t>
    </r>
    <r>
      <rPr>
        <vertAlign val="subscript"/>
        <sz val="8"/>
        <rFont val="Century Gothic"/>
        <family val="2"/>
      </rPr>
      <t>45,J,Rk</t>
    </r>
  </si>
  <si>
    <r>
      <t>F</t>
    </r>
    <r>
      <rPr>
        <vertAlign val="subscript"/>
        <sz val="8"/>
        <rFont val="Century Gothic"/>
        <family val="2"/>
      </rPr>
      <t>ax,H,Rk</t>
    </r>
  </si>
  <si>
    <r>
      <t>f</t>
    </r>
    <r>
      <rPr>
        <vertAlign val="subscript"/>
        <sz val="8"/>
        <rFont val="Century Gothic"/>
        <family val="2"/>
      </rPr>
      <t>h,H,k</t>
    </r>
  </si>
  <si>
    <r>
      <t>F</t>
    </r>
    <r>
      <rPr>
        <vertAlign val="subscript"/>
        <sz val="8"/>
        <rFont val="Century Gothic"/>
        <family val="2"/>
      </rPr>
      <t>v,H,RK</t>
    </r>
  </si>
  <si>
    <r>
      <t>F</t>
    </r>
    <r>
      <rPr>
        <vertAlign val="subscript"/>
        <sz val="8"/>
        <rFont val="Century Gothic"/>
        <family val="2"/>
      </rPr>
      <t>45,H,RK</t>
    </r>
  </si>
  <si>
    <r>
      <t>F</t>
    </r>
    <r>
      <rPr>
        <vertAlign val="subscript"/>
        <sz val="8"/>
        <rFont val="Century Gothic"/>
        <family val="2"/>
      </rPr>
      <t>45,Rk</t>
    </r>
  </si>
  <si>
    <r>
      <t>γ</t>
    </r>
    <r>
      <rPr>
        <vertAlign val="subscript"/>
        <sz val="8"/>
        <rFont val="Century Gothic"/>
        <family val="2"/>
      </rPr>
      <t>M,2</t>
    </r>
  </si>
  <si>
    <r>
      <t>f</t>
    </r>
    <r>
      <rPr>
        <vertAlign val="subscript"/>
        <sz val="8"/>
        <color theme="1"/>
        <rFont val="Century Gothic"/>
        <family val="2"/>
      </rPr>
      <t>c,0,k</t>
    </r>
  </si>
  <si>
    <r>
      <t>w</t>
    </r>
    <r>
      <rPr>
        <vertAlign val="subscript"/>
        <sz val="8"/>
        <color theme="1"/>
        <rFont val="Century Gothic"/>
        <family val="2"/>
      </rPr>
      <t>max</t>
    </r>
  </si>
  <si>
    <r>
      <t>F</t>
    </r>
    <r>
      <rPr>
        <vertAlign val="subscript"/>
        <sz val="8"/>
        <color theme="1"/>
        <rFont val="Century Gothic"/>
        <family val="2"/>
      </rPr>
      <t>ax,max</t>
    </r>
  </si>
  <si>
    <r>
      <rPr>
        <sz val="8"/>
        <color theme="1"/>
        <rFont val="Symbol"/>
        <family val="1"/>
        <charset val="2"/>
      </rPr>
      <t>S</t>
    </r>
    <r>
      <rPr>
        <sz val="8"/>
        <color theme="1"/>
        <rFont val="Century Gothic"/>
        <family val="2"/>
      </rPr>
      <t>a</t>
    </r>
    <r>
      <rPr>
        <vertAlign val="subscript"/>
        <sz val="8"/>
        <color theme="1"/>
        <rFont val="Century Gothic"/>
        <family val="2"/>
      </rPr>
      <t>i</t>
    </r>
  </si>
  <si>
    <r>
      <t>F</t>
    </r>
    <r>
      <rPr>
        <vertAlign val="subscript"/>
        <sz val="8"/>
        <color theme="1"/>
        <rFont val="Century Gothic"/>
        <family val="2"/>
      </rPr>
      <t>c,re</t>
    </r>
  </si>
  <si>
    <r>
      <t>x</t>
    </r>
    <r>
      <rPr>
        <vertAlign val="subscript"/>
        <sz val="8"/>
        <color theme="1"/>
        <rFont val="Century Gothic"/>
        <family val="2"/>
      </rPr>
      <t>J</t>
    </r>
  </si>
  <si>
    <t>w</t>
  </si>
  <si>
    <r>
      <t>k</t>
    </r>
    <r>
      <rPr>
        <vertAlign val="subscript"/>
        <sz val="8"/>
        <color theme="1"/>
        <rFont val="Century Gothic"/>
        <family val="2"/>
      </rPr>
      <t>a</t>
    </r>
  </si>
  <si>
    <r>
      <t>k</t>
    </r>
    <r>
      <rPr>
        <vertAlign val="subscript"/>
        <sz val="8"/>
        <color theme="1"/>
        <rFont val="Century Gothic"/>
        <family val="2"/>
      </rPr>
      <t>b</t>
    </r>
  </si>
  <si>
    <r>
      <rPr>
        <sz val="8"/>
        <rFont val="Symbol"/>
        <family val="1"/>
        <charset val="2"/>
      </rPr>
      <t>S</t>
    </r>
    <r>
      <rPr>
        <sz val="8"/>
        <rFont val="Century Gothic"/>
        <family val="2"/>
      </rPr>
      <t>e</t>
    </r>
    <r>
      <rPr>
        <vertAlign val="subscript"/>
        <sz val="8"/>
        <rFont val="Century Gothic"/>
        <family val="2"/>
      </rPr>
      <t>45,i</t>
    </r>
    <r>
      <rPr>
        <sz val="8"/>
        <rFont val="Century Gothic"/>
        <family val="2"/>
      </rPr>
      <t>²</t>
    </r>
  </si>
  <si>
    <r>
      <t>e</t>
    </r>
    <r>
      <rPr>
        <vertAlign val="subscript"/>
        <sz val="8"/>
        <color theme="1"/>
        <rFont val="Century Gothic"/>
        <family val="2"/>
      </rPr>
      <t>45,max</t>
    </r>
  </si>
  <si>
    <r>
      <t>n</t>
    </r>
    <r>
      <rPr>
        <vertAlign val="subscript"/>
        <sz val="8"/>
        <color theme="1"/>
        <rFont val="Century Gothic"/>
        <family val="2"/>
      </rPr>
      <t>45</t>
    </r>
  </si>
  <si>
    <r>
      <t>e</t>
    </r>
    <r>
      <rPr>
        <vertAlign val="subscript"/>
        <sz val="8"/>
        <color theme="1"/>
        <rFont val="Century Gothic"/>
        <family val="2"/>
      </rPr>
      <t>lim,J</t>
    </r>
  </si>
  <si>
    <r>
      <t>e</t>
    </r>
    <r>
      <rPr>
        <vertAlign val="subscript"/>
        <sz val="8"/>
        <color theme="1"/>
        <rFont val="Century Gothic"/>
        <family val="2"/>
      </rPr>
      <t>lim,H</t>
    </r>
  </si>
  <si>
    <r>
      <rPr>
        <sz val="8"/>
        <color theme="1"/>
        <rFont val="Calibri"/>
        <family val="2"/>
      </rPr>
      <t>ρ</t>
    </r>
    <r>
      <rPr>
        <vertAlign val="subscript"/>
        <sz val="8"/>
        <color theme="1"/>
        <rFont val="Century Gothic"/>
        <family val="2"/>
      </rPr>
      <t>k,J</t>
    </r>
  </si>
  <si>
    <r>
      <t>c</t>
    </r>
    <r>
      <rPr>
        <vertAlign val="subscript"/>
        <sz val="8"/>
        <color theme="1"/>
        <rFont val="Century Gothic"/>
        <family val="2"/>
      </rPr>
      <t>J</t>
    </r>
  </si>
  <si>
    <r>
      <t>k</t>
    </r>
    <r>
      <rPr>
        <vertAlign val="subscript"/>
        <sz val="8"/>
        <color theme="1"/>
        <rFont val="Century Gothic"/>
        <family val="2"/>
      </rPr>
      <t>dens,J</t>
    </r>
  </si>
  <si>
    <r>
      <t>c</t>
    </r>
    <r>
      <rPr>
        <vertAlign val="subscript"/>
        <sz val="8"/>
        <color theme="1"/>
        <rFont val="Century Gothic"/>
        <family val="2"/>
      </rPr>
      <t>H</t>
    </r>
  </si>
  <si>
    <r>
      <t>k</t>
    </r>
    <r>
      <rPr>
        <vertAlign val="subscript"/>
        <sz val="8"/>
        <color theme="1"/>
        <rFont val="Century Gothic"/>
        <family val="2"/>
      </rPr>
      <t>dens,H</t>
    </r>
  </si>
  <si>
    <r>
      <t>K</t>
    </r>
    <r>
      <rPr>
        <vertAlign val="subscript"/>
        <sz val="8"/>
        <color theme="1"/>
        <rFont val="Century Gothic"/>
        <family val="2"/>
      </rPr>
      <t>tor,ser</t>
    </r>
  </si>
  <si>
    <t>Grobe Plausibilitätskontrolle mit folgenden oberen Grenzwerten</t>
  </si>
  <si>
    <t>Eine VM-Reihe pro Haupt- und Nebenträger: m = 1</t>
  </si>
  <si>
    <t>* (Utilisation WITHOUT reinforcement)</t>
  </si>
  <si>
    <t>* (Utilización SIN refuerzo)</t>
  </si>
  <si>
    <t>Information on the reinforcements of the MEGANT connector</t>
  </si>
  <si>
    <t>Información sobre los refuerzos del conector</t>
  </si>
  <si>
    <t>Reinforcement in the tension zone present?</t>
  </si>
  <si>
    <t>¿Refuerzo disponible en la zona de tensión?</t>
  </si>
  <si>
    <t>Screw cross</t>
  </si>
  <si>
    <t>Cruz de tornillo</t>
  </si>
  <si>
    <t>Installation part header - joist</t>
  </si>
  <si>
    <t>Parte de instalación viga ppal. viga sec.</t>
  </si>
  <si>
    <t>Tension plate J - H - J</t>
  </si>
  <si>
    <t>Placa de tensión VS-VP-VS</t>
  </si>
  <si>
    <t>Transverse tension reinforcement</t>
  </si>
  <si>
    <t>Refuerzo de tensión transversal</t>
  </si>
  <si>
    <t>Compression zone reinforcement</t>
  </si>
  <si>
    <t>Refuerzo de zona de compresión</t>
  </si>
  <si>
    <t>modulus of displacement</t>
  </si>
  <si>
    <t>Módulo de desplazamiento</t>
  </si>
  <si>
    <t>Distance VM - VM</t>
  </si>
  <si>
    <t>Distancia VM - VM</t>
  </si>
  <si>
    <t>Distance VM - MEGANT</t>
  </si>
  <si>
    <t>Distancia VM - MEGANT</t>
  </si>
  <si>
    <t>number of VM - rows</t>
  </si>
  <si>
    <t>Número de filas VM</t>
  </si>
  <si>
    <t>Reinforcement in the compression zone present?</t>
  </si>
  <si>
    <t>¿Existe refuerzo en la zona de compresión?</t>
  </si>
  <si>
    <t xml:space="preserve">Type of compression zone reinforcement </t>
  </si>
  <si>
    <t>Tipo de refuerzo de la zona de compresión</t>
  </si>
  <si>
    <t>Type of tension zone reinforcement</t>
  </si>
  <si>
    <t>Tipo de refuerzo de la zona de tensión</t>
  </si>
  <si>
    <t>Transverse pressure screws</t>
  </si>
  <si>
    <t>Tornillos de presión transversal</t>
  </si>
  <si>
    <t>Values per screw cross</t>
  </si>
  <si>
    <t>Valores por cruz de tornillo</t>
  </si>
  <si>
    <t>Values per screw row</t>
  </si>
  <si>
    <t>Valores por fila de tornillo</t>
  </si>
  <si>
    <t>Number VM</t>
  </si>
  <si>
    <t>Número VM</t>
  </si>
  <si>
    <t>Length VM</t>
  </si>
  <si>
    <t>Longitud VM</t>
  </si>
  <si>
    <t>VM = fastener</t>
  </si>
  <si>
    <t>VM = Tornillo</t>
  </si>
  <si>
    <t>Moment resistance and spring stiffness with reinforcement</t>
  </si>
  <si>
    <t xml:space="preserve">Cap. de carga de momento y rigidez del resorte con refz. </t>
  </si>
  <si>
    <t xml:space="preserve">Design values refer to the combination of the selected MEGANT connector with additional reinforcement in accordance with the user specifications. </t>
  </si>
  <si>
    <t xml:space="preserve">Los valores de diseño se refieren a la comb. del conector seleccionado con un refuerzo adicional de acuerdo con las especificaciones del usuario. </t>
  </si>
  <si>
    <t>Distance VM - component edge J</t>
  </si>
  <si>
    <t>Distancia VM - borde componente VS</t>
  </si>
  <si>
    <t>Distance VM - upper edge J</t>
  </si>
  <si>
    <t>Distancia VM - borde superior VS</t>
  </si>
  <si>
    <t>1) Specification per screw cross</t>
  </si>
  <si>
    <t>1) Especificación por cruz de tornillo</t>
  </si>
  <si>
    <t>1) Specification per screw row (a screw row can consist of several screws (columns))</t>
  </si>
  <si>
    <t>1) Especificación por fila de tornillos (una fila de tornillos puede constar de varios columnas de tornillos)</t>
  </si>
  <si>
    <t>The reinforcements must be sufficiently protected against fire.</t>
  </si>
  <si>
    <t>Los refuerzos deben estar suficientemente protegidos contra el fuego.</t>
  </si>
  <si>
    <t>per screw</t>
  </si>
  <si>
    <t>por tornillo</t>
  </si>
  <si>
    <t>Number of reinforcing elements arranged one above the other in the bending tension zone</t>
  </si>
  <si>
    <t>N° de elem. de refz. dispuestos uno encima de otro en zona de tensión</t>
  </si>
  <si>
    <t>char. Load-bearing capacity of the reinforcing elements in the compression zone</t>
  </si>
  <si>
    <t>Cap. char. de carga de los elementos de refz. en la zona de compr.</t>
  </si>
  <si>
    <t>Relevant: Bending tension at the top</t>
  </si>
  <si>
    <t>Determinante: tensión de flexión en la parte superior</t>
  </si>
  <si>
    <t>Relevant: Bending tension at the bottom</t>
  </si>
  <si>
    <t>Determinante: tensión de flexión en la parte inferior</t>
  </si>
  <si>
    <t>The interim values are only given for the decisive case (bending tension at the top OR bending tension at the bottom)</t>
  </si>
  <si>
    <t xml:space="preserve">Valores interm. sólo se emiten para el caso decisivo (tens. de flexión en parte sup. o tens. de flexión en parte inf.) </t>
  </si>
  <si>
    <t>Distance of the furthest reinforcement element to the centre of rotation</t>
  </si>
  <si>
    <t>Distancia del elemento de refuerzo más alejado al centro de rotación</t>
  </si>
  <si>
    <t>Distance of the reinforcement element in the compression zone to the centre of rotation</t>
  </si>
  <si>
    <t>Distancia del elemento de refuerzo en la zona de compresión al centro de rotación</t>
  </si>
  <si>
    <t>Please check the marked input values</t>
  </si>
  <si>
    <t>Por favor, compruebe los parámetros de entrada marcados</t>
  </si>
  <si>
    <t>No reinforcements are permitted for designs with a connection angle (horizontal/vertical)</t>
  </si>
  <si>
    <t>No se permiten refuerzos para diseños con un ángulo de conexión (horizontal/vertical)</t>
  </si>
  <si>
    <t>A tension zone reinforcement can only be arranged above the MEGANT connector. For all load cases in which the bending tension zone is "below", the reinforcement measure is not taken into account in the calculation.</t>
  </si>
  <si>
    <t>Un refz. en la zona de tensión sólo puede disponerse por encima del conector. Para los casos de carga en los que la zona de tensión de flexión está «por debajo», la medída de refz. no se tiene en cuenta en el cálculo.</t>
  </si>
  <si>
    <t>Verification with reinforcement</t>
  </si>
  <si>
    <t>Verificación con refuerzo</t>
  </si>
  <si>
    <t>Verification without reinforcement:</t>
  </si>
  <si>
    <t>Verificación sin refuerzo:</t>
  </si>
  <si>
    <t>Reinforcement measures in the tension zone and/or compression zone available</t>
  </si>
  <si>
    <t>Medidas de refuerzo en la zona de tracción y/o zona de compresión presentes</t>
  </si>
  <si>
    <t>No reinforcement measures in the tension zone and/or compression zone available</t>
  </si>
  <si>
    <t>No hay medidas de refz. en la zona de tracción y/o zona de compresión</t>
  </si>
  <si>
    <t>Verification of the notch on the secondary beam</t>
  </si>
  <si>
    <t>Verificación de la entalladura en la VS</t>
  </si>
  <si>
    <t>Transverse tensile reinforcement of the notch in the secondary beam</t>
  </si>
  <si>
    <t>Refuerzo de tracción transversal de la entalladura en la VS</t>
  </si>
  <si>
    <t>Top of secondary beam to crack line</t>
  </si>
  <si>
    <t>borde sup. de la VS hasta la línea de fisura</t>
  </si>
  <si>
    <t>Bottom of secondary beam to crack line</t>
  </si>
  <si>
    <t>borde inf. de la VS hasta la línea de fisura</t>
  </si>
  <si>
    <t xml:space="preserve">Transverse tension verification is not fulfilled. Increase the number or load-bearing capacity of the transverse tension reinforcements. </t>
  </si>
  <si>
    <t xml:space="preserve">No se cumple la verificación de la tensión transversal. Aumentar el nro. o la cap. de carga de los ref. de tensión transversal. </t>
  </si>
  <si>
    <t>Shear reinforcement present?</t>
  </si>
  <si>
    <t>¿Hay refuerzo de cortante?</t>
  </si>
  <si>
    <t>Transverse tensile reinforcement available</t>
  </si>
  <si>
    <t>Refuerzo de tensión transversal presente</t>
  </si>
  <si>
    <t>No transverse tensile reinforcement available</t>
  </si>
  <si>
    <t>No hay refuerzo de tensión transversal presente</t>
  </si>
  <si>
    <t>No transverse tensile reinforcement required</t>
  </si>
  <si>
    <t>Refuerzo de tensión transversal no requerido</t>
  </si>
  <si>
    <t>Transverse tensile reinforcement required</t>
  </si>
  <si>
    <t>Refuerzo de tensión transversal requerida</t>
  </si>
  <si>
    <t>The transverse tension verification in the main beam must be verified separately</t>
  </si>
  <si>
    <t>La verificación de la tensión transversal en la viga ppal. debe verificarse por separado</t>
  </si>
  <si>
    <t>Marked distances must be the same in the main and secondary beams</t>
  </si>
  <si>
    <t>Las dist. marcadas deben ser las mismas en la viga ppal. y sec.</t>
  </si>
  <si>
    <t>In the secondary beam</t>
  </si>
  <si>
    <t>En la viga sec.</t>
  </si>
  <si>
    <t>In the main and secondary beams</t>
  </si>
  <si>
    <t>En las vigas ppal. y sec.</t>
  </si>
  <si>
    <r>
      <t xml:space="preserve">One row of </t>
    </r>
    <r>
      <rPr>
        <sz val="11"/>
        <rFont val="Calibri"/>
        <family val="2"/>
        <scheme val="minor"/>
      </rPr>
      <t>VM</t>
    </r>
    <r>
      <rPr>
        <sz val="11"/>
        <color theme="1"/>
        <rFont val="Calibri"/>
        <family val="2"/>
        <scheme val="minor"/>
      </rPr>
      <t xml:space="preserve"> per main and secondary beam: m = 1</t>
    </r>
  </si>
  <si>
    <r>
      <t xml:space="preserve">Una fila de </t>
    </r>
    <r>
      <rPr>
        <sz val="11"/>
        <rFont val="Calibri"/>
        <family val="2"/>
        <scheme val="minor"/>
      </rPr>
      <t>VM</t>
    </r>
    <r>
      <rPr>
        <sz val="11"/>
        <color rgb="FFFF0000"/>
        <rFont val="Calibri"/>
        <family val="2"/>
        <scheme val="minor"/>
      </rPr>
      <t xml:space="preserve"> </t>
    </r>
    <r>
      <rPr>
        <sz val="11"/>
        <color theme="1"/>
        <rFont val="Calibri"/>
        <family val="2"/>
        <scheme val="minor"/>
      </rPr>
      <t>por viga ppal. y sec.: m = 1</t>
    </r>
  </si>
  <si>
    <t>Bemessung nach ETA 15/0667 Ausgabe vom 22.04.2025</t>
  </si>
  <si>
    <t>HINWEIS: Die Berechnungen werden gemäß der ETA-15/0667 vom 22.04.2025 durchgeführt.</t>
  </si>
  <si>
    <t>REMARQUE : Les calculs sont effectués conformément au projet</t>
  </si>
  <si>
    <t>NOTE: The calculations are carried out according to the draft of the ETA-15/0667 dated 22.04.2025</t>
  </si>
  <si>
    <t>NOTA: Los cálculos se realizan de acuerdo con el borrador de la ETA-15/0667 con fecha 22.04.2025.</t>
  </si>
  <si>
    <t>Diseño según ETA 15/0667 borrador final de 22.04.2025</t>
  </si>
  <si>
    <t>Dimensionnement selon ETA 15/0667 projet final du 22.04.2025</t>
  </si>
  <si>
    <t>Design according to ETA 15/0667 final draft of 22.04.2025</t>
  </si>
  <si>
    <t>Begrenzung Anschlusswinkel</t>
  </si>
  <si>
    <r>
      <t xml:space="preserve">≤  </t>
    </r>
    <r>
      <rPr>
        <sz val="8"/>
        <rFont val="Symbol"/>
        <family val="1"/>
        <charset val="2"/>
      </rPr>
      <t>g</t>
    </r>
    <r>
      <rPr>
        <sz val="8"/>
        <rFont val="Century Gothic"/>
        <family val="2"/>
      </rPr>
      <t xml:space="preserve">  ≤</t>
    </r>
  </si>
  <si>
    <t>* (utilisation sans renforcement)</t>
  </si>
  <si>
    <t>Informations sur le renforcement du connecteur MEGANT</t>
  </si>
  <si>
    <t>Présence de renforts dans la zone de traction</t>
  </si>
  <si>
    <t>Vis en croix</t>
  </si>
  <si>
    <t>Pièce de montage poutre principale - poutre secondaire</t>
  </si>
  <si>
    <t>Plaque de traction PS-PP-PS</t>
  </si>
  <si>
    <t>Renforcement de la traction transversale</t>
  </si>
  <si>
    <t>Renforcement de la zone de compression</t>
  </si>
  <si>
    <t>Module de glissement</t>
  </si>
  <si>
    <r>
      <t xml:space="preserve">Distance </t>
    </r>
    <r>
      <rPr>
        <sz val="11"/>
        <color rgb="FFFF0000"/>
        <rFont val="Calibri"/>
        <family val="2"/>
        <scheme val="minor"/>
      </rPr>
      <t>MF</t>
    </r>
  </si>
  <si>
    <r>
      <t xml:space="preserve">Distance </t>
    </r>
    <r>
      <rPr>
        <sz val="11"/>
        <color rgb="FFFF0000"/>
        <rFont val="Calibri"/>
        <family val="2"/>
        <scheme val="minor"/>
      </rPr>
      <t>MF - MEGANT</t>
    </r>
  </si>
  <si>
    <r>
      <t>Nombre de rangées</t>
    </r>
    <r>
      <rPr>
        <sz val="11"/>
        <color rgb="FFFF0000"/>
        <rFont val="Calibri"/>
        <family val="2"/>
        <scheme val="minor"/>
      </rPr>
      <t xml:space="preserve"> MF</t>
    </r>
  </si>
  <si>
    <t>Présence de renforts dans la zone de compression ?</t>
  </si>
  <si>
    <t>Type de renforcement de la zone de compression</t>
  </si>
  <si>
    <t>Type de renforcement de la zone de traction</t>
  </si>
  <si>
    <t>Vis de compression transversale</t>
  </si>
  <si>
    <t>Valeur par vis en croix</t>
  </si>
  <si>
    <t>Valeurs par rangée de vis</t>
  </si>
  <si>
    <t>Nombre MF</t>
  </si>
  <si>
    <t>Longueur MF</t>
  </si>
  <si>
    <t>MF = moyen de fixation</t>
  </si>
  <si>
    <t>Capacité de charge du moment et rigidité du ressort avec renforcement</t>
  </si>
  <si>
    <t>Les valeurs de calcul se rapportent à la combinaison du connecteur MEGANT choisi avec un renforcement supplémentaire selon les données de l'utilisateur.</t>
  </si>
  <si>
    <r>
      <t xml:space="preserve">Distance MF au bord latéral de l'élément </t>
    </r>
    <r>
      <rPr>
        <sz val="11"/>
        <color rgb="FFFF0000"/>
        <rFont val="Calibri"/>
        <family val="2"/>
        <scheme val="minor"/>
      </rPr>
      <t>PS</t>
    </r>
  </si>
  <si>
    <r>
      <t>Distance MF au bord supérieur de l'élément</t>
    </r>
    <r>
      <rPr>
        <sz val="11"/>
        <color rgb="FFFF0000"/>
        <rFont val="Calibri"/>
        <family val="2"/>
        <scheme val="minor"/>
      </rPr>
      <t xml:space="preserve"> PS</t>
    </r>
  </si>
  <si>
    <t xml:space="preserve">1) Indication par vis en croix </t>
  </si>
  <si>
    <t>1) Indication par rangée de vis (une rangée de vis peut être composée de plusieurs vis (colonnes)</t>
  </si>
  <si>
    <t>La protection au feu des renforts doivent être pris en compte de manière adéquate.</t>
  </si>
  <si>
    <t>par vis</t>
  </si>
  <si>
    <t>Nombre d'éléments de renforcement superposés dans la zone de traction par flexion</t>
  </si>
  <si>
    <t>Capacité de charge caract. des éléments de renforcement dans la zone de compression</t>
  </si>
  <si>
    <t>Les valeurs intermédiaires ne sont éditées que pour le cas déterminant (traction par flexion en haut OU traction par flexion en bas)</t>
  </si>
  <si>
    <t>Distance de l'élément de renforcement le plus éloigné du centre de rotation</t>
  </si>
  <si>
    <t>Distance entre l'élément de renforcement dans la zone de pression et le centre de rotation</t>
  </si>
  <si>
    <t>Veuillez vérifier les valeurs de saisie sélectionnées</t>
  </si>
  <si>
    <t>Aucun renforcement n'est autorisé pour les versions avec équerre de raccordement (horizontale/verticale)</t>
  </si>
  <si>
    <t>Un renforcement de la zone de traction ne peut être placé qu'au-dessus du connecteur MEGANT. Pour tous les cas de charge dans lesquels la zone de traction par flexion se situe "en bas", la mesure de renforcement n'est pas prise en compte dans le calcul.</t>
  </si>
  <si>
    <t>Vérification avec renforcement</t>
  </si>
  <si>
    <t>Vérification sans renforcement :</t>
  </si>
  <si>
    <t>Présence de mesures de renforcement dans la zone de traction et/ou de compression</t>
  </si>
  <si>
    <t>Absence de mesures de renforcement dans la zone de traction et/ou de compression</t>
  </si>
  <si>
    <t>Vérification de la zone d'encoche sur la poutre secondaire</t>
  </si>
  <si>
    <t>Renforcement par traction transversale de la zone d'encoche dans la poutre secondaire</t>
  </si>
  <si>
    <t>Poutre secondaire par rapport à la ligne théorique de fendage OK</t>
  </si>
  <si>
    <t>Poutre secondaire par rapport à la ligne théorique de fendage pas OK</t>
  </si>
  <si>
    <t>La vérification de la traction transversale n'est pas respectée. Augmenter le nombre ou la capacité de charge des renforts de traction transversale.</t>
  </si>
  <si>
    <t>Présence de renforts de la traction transversale ?</t>
  </si>
  <si>
    <t>Présence de renforts de la traction transversale</t>
  </si>
  <si>
    <t>Pas de renforcement de la traction transversale</t>
  </si>
  <si>
    <t>Pas de renforcement de la traction transversale nécessaire</t>
  </si>
  <si>
    <t>Renforcement de la traction transversale nécessaire</t>
  </si>
  <si>
    <t>La vérification de la traction transversale dans la poutre principale doit être démontrée séparément.</t>
  </si>
  <si>
    <t>Les distances marquées doivent être identiques dans la poutre principale et la poutre secondaire</t>
  </si>
  <si>
    <t>Sur la poutre secondaire</t>
  </si>
  <si>
    <t>Sur la poutre principale et secondaire</t>
  </si>
  <si>
    <t>Critère déterminant : traction de flexion en haut</t>
  </si>
  <si>
    <t>Critère déterminant : traction de flexion en bas</t>
  </si>
  <si>
    <t>Une rangée de MF par poutre principale et secondaire : m = 1</t>
  </si>
  <si>
    <t>Verstärkung</t>
  </si>
  <si>
    <t>0,033⋅ ρk⋅ d-0,3 (ETA-15/0667)</t>
  </si>
  <si>
    <t>0,082⋅ ρk⋅ d-0,3</t>
  </si>
  <si>
    <t>Die Bemessung ist vom Kunden oder einem von ihm beauftragten Ingenieurbüro eigenverantwortlich vorzunehmen. Jeder Vorschlag oder jede Unterstützung durch Mitarbeitende der KNAPP GmbH stellt lediglich eine unverbindliche Empfehlung dar und darf nicht ungeprüft umgesetzt werden. Eine Haftung der KNAPP GmbH für die Richtigkeit der Berechnung oder deren Ergebnisse wird ausdrücklich ausgeschlossen.
Die KNAPP GmbH stellt die zur Bemessung und zur Kontrolle der Bemessung erforderlichen ETA-Dokumente online auf ihrer Homepage zur Verfügung.</t>
  </si>
  <si>
    <t>Haftungsausschluss:</t>
  </si>
  <si>
    <t>Disclaimer:</t>
  </si>
  <si>
    <t>Cláusula de exención de responsabilidad :</t>
  </si>
  <si>
    <t>The structural design must be carried out by the customer or a qualified engineering office commissioned by them, under their own responsibility. Any suggestion or support provided by KNAPP GmbH employees is to be understood solely as a non-binding recommendation and must not be implemented without independent verification. KNAPP GmbH accepts no liability for the accuracy of the calculation or its results.
KNAPP GmbH provides the necessary ETA documents for design and verification purposes online on its website.</t>
  </si>
  <si>
    <t>El cálculo estructural debe ser realizado bajo la responsabilidad del cliente o de la oficina de ingeniería contratada por él. Cualquier sugerencia o asistencia proporcionada por empleados de KNAPP GmbH se considera únicamente una recomendación no vinculante y no debe implementarse sin una verificación independiente. KNAPP GmbH excluye cualquier responsabilidad por la exactitud del cálculo o sus resultados.
KNAPP GmbH pone a disposición en su página web los documentos ETA necesarios para el cálculo y su verificación.</t>
  </si>
  <si>
    <t>SK 8x280</t>
  </si>
  <si>
    <t>SK 8x300</t>
  </si>
  <si>
    <t>SK 8x325</t>
  </si>
  <si>
    <t>SK 8x350</t>
  </si>
  <si>
    <t>SK 8x375</t>
  </si>
  <si>
    <t>SK 8x400</t>
  </si>
  <si>
    <t>SK 8x450</t>
  </si>
  <si>
    <t>SK 8x500</t>
  </si>
  <si>
    <t>SK 8x600</t>
  </si>
  <si>
    <t>Rapid Vollgewindeschraube</t>
  </si>
  <si>
    <t>ETA-12/0373</t>
  </si>
  <si>
    <t>Clause de non-responsabilité</t>
  </si>
  <si>
    <t xml:space="preserve">Le dimensionnement doit être effectué sous la responsabilité du client ou du bureau d’ingénierie mandaté par celui-ci. Toute suggestion ou assistance fournie par les collaborateurs de KNAPP GmbH constitue uniquement une recommandation non contractuelle et ne doit pas être mise en œuvre sans vérification indépendante. KNAPP GmbH décline toute responsabilité quant à l’exactitude du calcul ou de ses résultats.
KNAPP GmbH met à disposition sur son site internet les agréments ETA nécessaires au dimensionnement et à sa vérification.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</si>
</sst>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0.0"/>
    <numFmt numFmtId="165" formatCode="0.000"/>
    <numFmt numFmtId="166" formatCode="0.000E+00"/>
    <numFmt numFmtId="167" formatCode="0.0000"/>
    <numFmt numFmtId="168" formatCode="#,##0_ ;\-#,##0\ "/>
    <numFmt numFmtId="169" formatCode="#,##0.0_ ;\-#,##0.0\ "/>
    <numFmt numFmtId="170" formatCode="0.0%"/>
    <numFmt numFmtId="171" formatCode="#,##0.00_ ;\-#,##0.00\ "/>
    <numFmt numFmtId="172" formatCode="0.0&quot; kN&quot;"/>
    <numFmt numFmtId="173" formatCode="0.0&quot; kNm&quot;"/>
    <numFmt numFmtId="174" formatCode="#,#00"/>
  </numFmts>
  <fonts count="135">
    <font>
      <sz val="11"/>
      <color theme="1"/>
      <name val="Calibri"/>
      <family val="2"/>
      <scheme val="minor"/>
    </font>
    <font>
      <sz val="11"/>
      <color theme="1"/>
      <name val="Calibri"/>
      <family val="2"/>
      <scheme val="minor"/>
    </font>
    <font>
      <sz val="10"/>
      <color theme="1"/>
      <name val="Calibri"/>
      <family val="2"/>
      <scheme val="minor"/>
    </font>
    <font>
      <vertAlign val="subscript"/>
      <sz val="10"/>
      <color theme="1"/>
      <name val="Calibri"/>
      <family val="2"/>
      <scheme val="minor"/>
    </font>
    <font>
      <sz val="10"/>
      <color theme="1"/>
      <name val="Calibri"/>
      <family val="1"/>
      <charset val="2"/>
      <scheme val="minor"/>
    </font>
    <font>
      <sz val="10"/>
      <color theme="1"/>
      <name val="Symbol"/>
      <family val="1"/>
      <charset val="2"/>
    </font>
    <font>
      <vertAlign val="subscript"/>
      <sz val="11"/>
      <color theme="1"/>
      <name val="Calibri"/>
      <family val="2"/>
      <scheme val="minor"/>
    </font>
    <font>
      <vertAlign val="subscript"/>
      <sz val="11"/>
      <color theme="1"/>
      <name val="Symbol"/>
      <family val="1"/>
      <charset val="2"/>
    </font>
    <font>
      <sz val="9"/>
      <color indexed="81"/>
      <name val="Segoe UI"/>
      <family val="2"/>
    </font>
    <font>
      <b/>
      <sz val="9"/>
      <color indexed="81"/>
      <name val="Segoe UI"/>
      <family val="2"/>
    </font>
    <font>
      <sz val="10"/>
      <color theme="1"/>
      <name val="Century Gothic"/>
      <family val="2"/>
    </font>
    <font>
      <vertAlign val="subscript"/>
      <sz val="10"/>
      <color theme="1"/>
      <name val="Century Gothic"/>
      <family val="2"/>
    </font>
    <font>
      <sz val="11"/>
      <color theme="1"/>
      <name val="Century Gothic"/>
      <family val="2"/>
    </font>
    <font>
      <vertAlign val="subscript"/>
      <sz val="11"/>
      <color theme="1"/>
      <name val="Century Gothic"/>
      <family val="2"/>
    </font>
    <font>
      <sz val="10"/>
      <name val="Century Gothic"/>
      <family val="2"/>
    </font>
    <font>
      <sz val="10"/>
      <color rgb="FFFF0000"/>
      <name val="Century Gothic"/>
      <family val="2"/>
    </font>
    <font>
      <b/>
      <sz val="10"/>
      <color theme="1"/>
      <name val="Century Gothic"/>
      <family val="2"/>
    </font>
    <font>
      <sz val="11"/>
      <color theme="1"/>
      <name val="Century Gothic"/>
      <family val="2"/>
      <charset val="2"/>
    </font>
    <font>
      <vertAlign val="subscript"/>
      <sz val="11"/>
      <color theme="1"/>
      <name val="Aptos Display"/>
      <family val="2"/>
    </font>
    <font>
      <sz val="8"/>
      <name val="Calibri"/>
      <family val="2"/>
      <scheme val="minor"/>
    </font>
    <font>
      <b/>
      <sz val="10"/>
      <name val="Century Gothic"/>
      <family val="2"/>
    </font>
    <font>
      <sz val="10"/>
      <color theme="1"/>
      <name val="Century Gothic"/>
      <family val="1"/>
      <charset val="2"/>
    </font>
    <font>
      <sz val="10"/>
      <color theme="0" tint="-0.249977111117893"/>
      <name val="Century Gothic"/>
      <family val="1"/>
      <charset val="2"/>
    </font>
    <font>
      <sz val="10"/>
      <color theme="0" tint="-0.249977111117893"/>
      <name val="Century Gothic"/>
      <family val="2"/>
    </font>
    <font>
      <vertAlign val="subscript"/>
      <sz val="10"/>
      <color theme="0" tint="-0.249977111117893"/>
      <name val="Century Gothic"/>
      <family val="2"/>
    </font>
    <font>
      <vertAlign val="subscript"/>
      <sz val="10"/>
      <name val="Century Gothic"/>
      <family val="2"/>
    </font>
    <font>
      <sz val="10"/>
      <color theme="1"/>
      <name val="Aptos Narrow"/>
      <family val="2"/>
    </font>
    <font>
      <sz val="10"/>
      <color theme="1"/>
      <name val="Cambria"/>
      <family val="1"/>
    </font>
    <font>
      <sz val="10"/>
      <name val="Century Gothic"/>
      <family val="1"/>
      <charset val="2"/>
    </font>
    <font>
      <sz val="10"/>
      <name val="Symbol"/>
      <family val="1"/>
      <charset val="2"/>
    </font>
    <font>
      <b/>
      <vertAlign val="subscript"/>
      <sz val="10"/>
      <name val="Century Gothic"/>
      <family val="2"/>
    </font>
    <font>
      <sz val="11"/>
      <color rgb="FFFF0000"/>
      <name val="Calibri"/>
      <family val="2"/>
      <scheme val="minor"/>
    </font>
    <font>
      <vertAlign val="subscript"/>
      <sz val="10"/>
      <color rgb="FFFF0000"/>
      <name val="Century Gothic"/>
      <family val="2"/>
    </font>
    <font>
      <sz val="10"/>
      <color rgb="FFFF0000"/>
      <name val="Symbol"/>
      <family val="1"/>
      <charset val="2"/>
    </font>
    <font>
      <sz val="10"/>
      <color rgb="FFFF0000"/>
      <name val="MT Extra"/>
      <family val="1"/>
      <charset val="2"/>
    </font>
    <font>
      <sz val="10"/>
      <color rgb="FFFF0000"/>
      <name val="Cambria"/>
      <family val="1"/>
    </font>
    <font>
      <sz val="10"/>
      <color rgb="FFFF0000"/>
      <name val="Century Gothic"/>
      <family val="1"/>
      <charset val="2"/>
    </font>
    <font>
      <vertAlign val="subscript"/>
      <sz val="10"/>
      <color theme="1"/>
      <name val="MT Extra"/>
      <family val="1"/>
      <charset val="2"/>
    </font>
    <font>
      <sz val="11"/>
      <color rgb="FF000000"/>
      <name val="Calibri"/>
      <family val="2"/>
    </font>
    <font>
      <sz val="11"/>
      <name val="Calibri"/>
      <family val="2"/>
      <scheme val="minor"/>
    </font>
    <font>
      <b/>
      <sz val="11"/>
      <color theme="3"/>
      <name val="Calibri"/>
      <family val="2"/>
      <scheme val="minor"/>
    </font>
    <font>
      <sz val="10"/>
      <color rgb="FF0070C0"/>
      <name val="Calibri"/>
      <family val="2"/>
      <scheme val="minor"/>
    </font>
    <font>
      <b/>
      <sz val="8"/>
      <color theme="1"/>
      <name val="Century Gothic"/>
      <family val="2"/>
    </font>
    <font>
      <sz val="8"/>
      <color theme="1"/>
      <name val="Century Gothic"/>
      <family val="2"/>
    </font>
    <font>
      <vertAlign val="subscript"/>
      <sz val="8"/>
      <color theme="1"/>
      <name val="Century Gothic"/>
      <family val="2"/>
    </font>
    <font>
      <sz val="8"/>
      <name val="Century Gothic"/>
      <family val="2"/>
    </font>
    <font>
      <sz val="8"/>
      <color theme="1"/>
      <name val="Century Gothic"/>
      <family val="1"/>
      <charset val="2"/>
    </font>
    <font>
      <sz val="8"/>
      <color theme="1"/>
      <name val="Symbol"/>
      <family val="1"/>
      <charset val="2"/>
    </font>
    <font>
      <sz val="10"/>
      <name val="Calibri"/>
      <family val="2"/>
      <scheme val="minor"/>
    </font>
    <font>
      <sz val="10"/>
      <color rgb="FFFF0000"/>
      <name val="Calibri"/>
      <family val="2"/>
      <scheme val="minor"/>
    </font>
    <font>
      <sz val="14"/>
      <color rgb="FFFF0000"/>
      <name val="Myriad Pro"/>
      <family val="2"/>
    </font>
    <font>
      <sz val="10"/>
      <name val="Arial"/>
      <family val="2"/>
    </font>
    <font>
      <b/>
      <sz val="8"/>
      <name val="Century Gothic"/>
      <family val="2"/>
    </font>
    <font>
      <b/>
      <vertAlign val="subscript"/>
      <sz val="8"/>
      <name val="Century Gothic"/>
      <family val="2"/>
    </font>
    <font>
      <i/>
      <sz val="11"/>
      <color rgb="FFFF0000"/>
      <name val="Calibri"/>
      <family val="2"/>
      <scheme val="minor"/>
    </font>
    <font>
      <sz val="12"/>
      <color rgb="FFFF0000"/>
      <name val="Calibri"/>
      <family val="2"/>
      <scheme val="minor"/>
    </font>
    <font>
      <vertAlign val="subscript"/>
      <sz val="8"/>
      <name val="Century Gothic"/>
      <family val="2"/>
    </font>
    <font>
      <i/>
      <sz val="8"/>
      <name val="Century Gothic"/>
      <family val="2"/>
    </font>
    <font>
      <sz val="14"/>
      <color rgb="FFFF0000"/>
      <name val="Calibri"/>
      <family val="2"/>
      <scheme val="minor"/>
    </font>
    <font>
      <b/>
      <sz val="14"/>
      <color rgb="FFFF0000"/>
      <name val="Calibri"/>
      <family val="2"/>
      <scheme val="minor"/>
    </font>
    <font>
      <i/>
      <vertAlign val="subscript"/>
      <sz val="8"/>
      <name val="Century Gothic"/>
      <family val="2"/>
    </font>
    <font>
      <sz val="8"/>
      <name val="Century Gothic"/>
      <family val="1"/>
      <charset val="2"/>
    </font>
    <font>
      <sz val="8"/>
      <name val="Symbol"/>
      <family val="1"/>
      <charset val="2"/>
    </font>
    <font>
      <b/>
      <i/>
      <sz val="11"/>
      <color rgb="FFFF0000"/>
      <name val="Calibri"/>
      <family val="2"/>
      <scheme val="minor"/>
    </font>
    <font>
      <sz val="8"/>
      <color rgb="FF0070C0"/>
      <name val="Century Gothic"/>
      <family val="2"/>
    </font>
    <font>
      <sz val="12"/>
      <color theme="1"/>
      <name val="Calibri"/>
      <family val="2"/>
      <scheme val="minor"/>
    </font>
    <font>
      <i/>
      <sz val="11"/>
      <color theme="1"/>
      <name val="Calibri"/>
      <family val="2"/>
      <scheme val="minor"/>
    </font>
    <font>
      <b/>
      <i/>
      <sz val="12"/>
      <color theme="1"/>
      <name val="Calibri"/>
      <family val="2"/>
      <scheme val="minor"/>
    </font>
    <font>
      <b/>
      <sz val="11"/>
      <name val="Calibri"/>
      <family val="2"/>
      <scheme val="minor"/>
    </font>
    <font>
      <vertAlign val="superscript"/>
      <sz val="8"/>
      <color theme="1"/>
      <name val="Century Gothic"/>
      <family val="2"/>
    </font>
    <font>
      <vertAlign val="superscript"/>
      <sz val="8"/>
      <name val="Century Gothic"/>
      <family val="2"/>
    </font>
    <font>
      <sz val="8"/>
      <color theme="1"/>
      <name val="Calibri"/>
      <family val="2"/>
    </font>
    <font>
      <vertAlign val="subscript"/>
      <sz val="8"/>
      <color theme="1"/>
      <name val="Calibri"/>
      <family val="2"/>
    </font>
    <font>
      <sz val="8"/>
      <name val="Calibri"/>
      <family val="2"/>
    </font>
    <font>
      <b/>
      <vertAlign val="subscript"/>
      <sz val="8"/>
      <color theme="1"/>
      <name val="Century Gothic"/>
      <family val="2"/>
    </font>
    <font>
      <sz val="8"/>
      <color theme="0"/>
      <name val="Century Gothic"/>
      <family val="2"/>
    </font>
    <font>
      <sz val="10"/>
      <color rgb="FF006600"/>
      <name val="Century Gothic"/>
      <family val="2"/>
    </font>
    <font>
      <b/>
      <sz val="10"/>
      <color rgb="FF006600"/>
      <name val="Century Gothic"/>
      <family val="2"/>
    </font>
    <font>
      <vertAlign val="subscript"/>
      <sz val="8"/>
      <name val="Calibri"/>
      <family val="2"/>
    </font>
    <font>
      <b/>
      <sz val="11"/>
      <color theme="1"/>
      <name val="Calibri"/>
      <family val="2"/>
      <scheme val="minor"/>
    </font>
    <font>
      <u/>
      <sz val="11"/>
      <color theme="10"/>
      <name val="Calibri"/>
      <family val="2"/>
      <scheme val="minor"/>
    </font>
    <font>
      <sz val="8"/>
      <color rgb="FFFF0000"/>
      <name val="Century Gothic"/>
      <family val="2"/>
    </font>
    <font>
      <b/>
      <sz val="8"/>
      <color rgb="FFFF0000"/>
      <name val="Century Gothic"/>
      <family val="2"/>
    </font>
    <font>
      <b/>
      <vertAlign val="subscript"/>
      <sz val="8"/>
      <name val="Symbol"/>
      <family val="1"/>
      <charset val="2"/>
    </font>
    <font>
      <vertAlign val="subscript"/>
      <sz val="8"/>
      <color theme="1"/>
      <name val="MT Extra"/>
      <family val="1"/>
      <charset val="2"/>
    </font>
    <font>
      <vertAlign val="subscript"/>
      <sz val="8"/>
      <color theme="1"/>
      <name val="Aptos Display"/>
      <family val="2"/>
    </font>
    <font>
      <vertAlign val="subscript"/>
      <sz val="8"/>
      <color theme="1"/>
      <name val="Symbol"/>
      <family val="1"/>
      <charset val="2"/>
    </font>
    <font>
      <sz val="8"/>
      <color rgb="FFFF0000"/>
      <name val="Calibri"/>
      <family val="2"/>
      <scheme val="minor"/>
    </font>
    <font>
      <sz val="8"/>
      <color rgb="FF0070C0"/>
      <name val="Calibri"/>
      <family val="2"/>
      <scheme val="minor"/>
    </font>
    <font>
      <sz val="8"/>
      <color theme="1"/>
      <name val="Calibri"/>
      <family val="2"/>
      <scheme val="minor"/>
    </font>
    <font>
      <i/>
      <sz val="8"/>
      <color rgb="FFFF0000"/>
      <name val="Calibri"/>
      <family val="2"/>
      <scheme val="minor"/>
    </font>
    <font>
      <b/>
      <sz val="8"/>
      <color rgb="FFFF0000"/>
      <name val="Calibri"/>
      <family val="2"/>
      <scheme val="minor"/>
    </font>
    <font>
      <b/>
      <i/>
      <sz val="8"/>
      <color rgb="FFFF0000"/>
      <name val="Calibri"/>
      <family val="2"/>
      <scheme val="minor"/>
    </font>
    <font>
      <vertAlign val="subscript"/>
      <sz val="8"/>
      <name val="Cambria"/>
      <family val="1"/>
    </font>
    <font>
      <vertAlign val="subscript"/>
      <sz val="8"/>
      <name val="Symbol"/>
      <family val="1"/>
      <charset val="2"/>
    </font>
    <font>
      <sz val="8"/>
      <color theme="5" tint="-0.249977111117893"/>
      <name val="Century Gothic"/>
      <family val="2"/>
    </font>
    <font>
      <i/>
      <sz val="8"/>
      <color rgb="FFFF0000"/>
      <name val="Century Gothic"/>
      <family val="2"/>
    </font>
    <font>
      <u/>
      <sz val="8"/>
      <color rgb="FFFF0000"/>
      <name val="Century Gothic"/>
      <family val="2"/>
    </font>
    <font>
      <sz val="11"/>
      <color rgb="FFFF0000"/>
      <name val="Century Gothic"/>
      <family val="2"/>
    </font>
    <font>
      <i/>
      <sz val="11"/>
      <color rgb="FFFF0000"/>
      <name val="Century Gothic"/>
      <family val="2"/>
    </font>
    <font>
      <sz val="12"/>
      <color rgb="FFFF0000"/>
      <name val="Century Gothic"/>
      <family val="2"/>
    </font>
    <font>
      <u/>
      <sz val="11"/>
      <color rgb="FFFF0000"/>
      <name val="Century Gothic"/>
      <family val="2"/>
    </font>
    <font>
      <i/>
      <sz val="10"/>
      <name val="Century Gothic"/>
      <family val="2"/>
    </font>
    <font>
      <vertAlign val="subscript"/>
      <sz val="11"/>
      <color rgb="FFFF0000"/>
      <name val="Century Gothic"/>
      <family val="2"/>
    </font>
    <font>
      <sz val="10"/>
      <color rgb="FF008000"/>
      <name val="Century Gothic"/>
      <family val="2"/>
    </font>
    <font>
      <vertAlign val="subscript"/>
      <sz val="10"/>
      <color rgb="FF008000"/>
      <name val="Century Gothic"/>
      <family val="2"/>
    </font>
    <font>
      <sz val="11"/>
      <color rgb="FF008000"/>
      <name val="Century Gothic"/>
      <family val="2"/>
    </font>
    <font>
      <vertAlign val="subscript"/>
      <sz val="11"/>
      <color rgb="FF008000"/>
      <name val="Century Gothic"/>
      <family val="2"/>
    </font>
    <font>
      <vertAlign val="subscript"/>
      <sz val="11"/>
      <name val="Calibri"/>
      <family val="2"/>
      <scheme val="minor"/>
    </font>
    <font>
      <sz val="11"/>
      <name val="Century Gothic"/>
      <family val="2"/>
    </font>
    <font>
      <b/>
      <sz val="10"/>
      <color rgb="FFFF0000"/>
      <name val="Century Gothic"/>
      <family val="2"/>
    </font>
    <font>
      <u/>
      <sz val="10"/>
      <color theme="1"/>
      <name val="Century Gothic"/>
      <family val="2"/>
    </font>
    <font>
      <sz val="10"/>
      <color theme="1"/>
      <name val="MT Extra"/>
      <family val="1"/>
      <charset val="2"/>
    </font>
    <font>
      <sz val="10"/>
      <color theme="1" tint="0.34998626667073579"/>
      <name val="Century Gothic"/>
      <family val="2"/>
    </font>
    <font>
      <sz val="11"/>
      <color rgb="FF3F3F76"/>
      <name val="Calibri"/>
      <family val="2"/>
      <scheme val="minor"/>
    </font>
    <font>
      <sz val="11"/>
      <color rgb="FF9C0006"/>
      <name val="Calibri"/>
      <family val="2"/>
      <scheme val="minor"/>
    </font>
    <font>
      <b/>
      <sz val="8"/>
      <color theme="4"/>
      <name val="Century Gothic"/>
      <family val="2"/>
    </font>
    <font>
      <vertAlign val="subscript"/>
      <sz val="10"/>
      <name val="Arial"/>
      <family val="2"/>
    </font>
    <font>
      <b/>
      <sz val="11"/>
      <color rgb="FFFF0000"/>
      <name val="Calibri"/>
      <family val="2"/>
      <scheme val="minor"/>
    </font>
    <font>
      <b/>
      <sz val="9"/>
      <color rgb="FFC00000"/>
      <name val="Century Gothic"/>
      <family val="2"/>
    </font>
    <font>
      <vertAlign val="superscript"/>
      <sz val="8"/>
      <name val="Calibri"/>
      <family val="2"/>
      <scheme val="minor"/>
    </font>
    <font>
      <vertAlign val="subscript"/>
      <sz val="8"/>
      <name val="Calibri"/>
      <family val="2"/>
      <scheme val="minor"/>
    </font>
    <font>
      <b/>
      <sz val="10"/>
      <color theme="1" tint="0.34998626667073579"/>
      <name val="Century Gothic"/>
      <family val="2"/>
    </font>
    <font>
      <b/>
      <sz val="10"/>
      <color rgb="FF008000"/>
      <name val="Century Gothic"/>
      <family val="2"/>
    </font>
    <font>
      <vertAlign val="subscript"/>
      <sz val="10"/>
      <color theme="1" tint="0.34998626667073579"/>
      <name val="Century Gothic"/>
      <family val="2"/>
    </font>
    <font>
      <sz val="10"/>
      <color rgb="FFC00000"/>
      <name val="Century Gothic"/>
      <family val="2"/>
    </font>
    <font>
      <vertAlign val="subscript"/>
      <sz val="10"/>
      <name val="Calibri"/>
      <family val="2"/>
      <scheme val="minor"/>
    </font>
    <font>
      <sz val="10"/>
      <color theme="0" tint="-0.34998626667073579"/>
      <name val="Century Gothic"/>
      <family val="2"/>
    </font>
    <font>
      <b/>
      <sz val="10"/>
      <color theme="0" tint="-0.34998626667073579"/>
      <name val="Century Gothic"/>
      <family val="2"/>
    </font>
    <font>
      <sz val="11"/>
      <color theme="0" tint="-0.34998626667073579"/>
      <name val="Calibri"/>
      <family val="2"/>
      <scheme val="minor"/>
    </font>
    <font>
      <vertAlign val="subscript"/>
      <sz val="10"/>
      <color theme="0" tint="-0.34998626667073579"/>
      <name val="Century Gothic"/>
      <family val="2"/>
    </font>
    <font>
      <sz val="8"/>
      <color theme="1" tint="0.34998626667073579"/>
      <name val="Century Gothic"/>
      <family val="2"/>
    </font>
    <font>
      <sz val="11"/>
      <color theme="1" tint="0.34998626667073579"/>
      <name val="Calibri"/>
      <family val="2"/>
      <scheme val="minor"/>
    </font>
    <font>
      <vertAlign val="subscript"/>
      <sz val="8"/>
      <color theme="1" tint="0.34998626667073579"/>
      <name val="Century Gothic"/>
      <family val="2"/>
    </font>
    <font>
      <sz val="9"/>
      <name val="Century Gothic"/>
      <family val="2"/>
    </font>
  </fonts>
  <fills count="31">
    <fill>
      <patternFill patternType="none"/>
    </fill>
    <fill>
      <patternFill patternType="gray125"/>
    </fill>
    <fill>
      <patternFill patternType="solid">
        <fgColor theme="5" tint="0.79998168889431442"/>
        <bgColor indexed="64"/>
      </patternFill>
    </fill>
    <fill>
      <patternFill patternType="solid">
        <fgColor theme="4" tint="0.79998168889431442"/>
        <bgColor indexed="65"/>
      </patternFill>
    </fill>
    <fill>
      <patternFill patternType="solid">
        <fgColor theme="4" tint="0.79998168889431442"/>
        <bgColor indexed="64"/>
      </patternFill>
    </fill>
    <fill>
      <patternFill patternType="solid">
        <fgColor rgb="FF92D050"/>
        <bgColor indexed="64"/>
      </patternFill>
    </fill>
    <fill>
      <patternFill patternType="solid">
        <fgColor rgb="FFFFFFCC"/>
        <bgColor indexed="64"/>
      </patternFill>
    </fill>
    <fill>
      <patternFill patternType="solid">
        <fgColor rgb="FFCCFFCC"/>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rgb="FFFFCCFF"/>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rgb="FFFFFFCC"/>
      </patternFill>
    </fill>
    <fill>
      <patternFill patternType="solid">
        <fgColor theme="5" tint="0.39997558519241921"/>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8"/>
        <bgColor indexed="64"/>
      </patternFill>
    </fill>
    <fill>
      <patternFill patternType="solid">
        <fgColor rgb="FF00B050"/>
        <bgColor indexed="64"/>
      </patternFill>
    </fill>
    <fill>
      <patternFill patternType="solid">
        <fgColor rgb="FFFFFF00"/>
        <bgColor indexed="64"/>
      </patternFill>
    </fill>
    <fill>
      <patternFill patternType="solid">
        <fgColor theme="6" tint="0.79998168889431442"/>
        <bgColor indexed="64"/>
      </patternFill>
    </fill>
    <fill>
      <patternFill patternType="solid">
        <fgColor indexed="26"/>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rgb="FFFFCC99"/>
      </patternFill>
    </fill>
    <fill>
      <patternFill patternType="solid">
        <fgColor rgb="FFFFC7CE"/>
      </patternFill>
    </fill>
    <fill>
      <patternFill patternType="solid">
        <fgColor rgb="FF00B0F0"/>
        <bgColor indexed="64"/>
      </patternFill>
    </fill>
  </fills>
  <borders count="67">
    <border>
      <left/>
      <right/>
      <top/>
      <bottom/>
      <diagonal/>
    </border>
    <border>
      <left style="thin">
        <color indexed="64"/>
      </left>
      <right/>
      <top/>
      <bottom style="thin">
        <color indexed="64"/>
      </bottom>
      <diagonal/>
    </border>
    <border>
      <left/>
      <right style="medium">
        <color auto="1"/>
      </right>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thin">
        <color auto="1"/>
      </left>
      <right/>
      <top/>
      <bottom/>
      <diagonal/>
    </border>
    <border>
      <left style="medium">
        <color auto="1"/>
      </left>
      <right style="medium">
        <color auto="1"/>
      </right>
      <top/>
      <bottom/>
      <diagonal/>
    </border>
    <border>
      <left/>
      <right/>
      <top/>
      <bottom style="thin">
        <color indexed="64"/>
      </bottom>
      <diagonal/>
    </border>
    <border>
      <left/>
      <right style="medium">
        <color auto="1"/>
      </right>
      <top/>
      <bottom style="thin">
        <color indexed="64"/>
      </bottom>
      <diagonal/>
    </border>
    <border>
      <left style="medium">
        <color auto="1"/>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medium">
        <color auto="1"/>
      </right>
      <top/>
      <bottom style="thin">
        <color indexed="64"/>
      </bottom>
      <diagonal/>
    </border>
    <border>
      <left style="medium">
        <color auto="1"/>
      </left>
      <right style="medium">
        <color auto="1"/>
      </right>
      <top/>
      <bottom style="thin">
        <color indexed="64"/>
      </bottom>
      <diagonal/>
    </border>
    <border>
      <left style="thin">
        <color indexed="64"/>
      </left>
      <right style="thin">
        <color indexed="64"/>
      </right>
      <top style="thin">
        <color indexed="64"/>
      </top>
      <bottom/>
      <diagonal/>
    </border>
    <border>
      <left/>
      <right style="thin">
        <color auto="1"/>
      </right>
      <top/>
      <bottom/>
      <diagonal/>
    </border>
    <border>
      <left/>
      <right style="thin">
        <color auto="1"/>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rgb="FF7F7F7F"/>
      </left>
      <right style="thin">
        <color rgb="FF7F7F7F"/>
      </right>
      <top style="thin">
        <color rgb="FF7F7F7F"/>
      </top>
      <bottom style="thin">
        <color rgb="FF7F7F7F"/>
      </bottom>
      <diagonal/>
    </border>
  </borders>
  <cellStyleXfs count="15">
    <xf numFmtId="0" fontId="0" fillId="0" borderId="0"/>
    <xf numFmtId="0" fontId="1" fillId="3" borderId="0" applyNumberFormat="0" applyBorder="0" applyAlignment="0" applyProtection="0"/>
    <xf numFmtId="43" fontId="1" fillId="0" borderId="0" applyFont="0" applyFill="0" applyBorder="0" applyAlignment="0" applyProtection="0"/>
    <xf numFmtId="0" fontId="40" fillId="0" borderId="0" applyNumberFormat="0" applyFill="0" applyBorder="0" applyAlignment="0" applyProtection="0"/>
    <xf numFmtId="0" fontId="51" fillId="0" borderId="0"/>
    <xf numFmtId="43" fontId="1" fillId="0" borderId="0" applyFont="0" applyFill="0" applyBorder="0" applyAlignment="0" applyProtection="0"/>
    <xf numFmtId="0" fontId="65" fillId="0" borderId="0"/>
    <xf numFmtId="0" fontId="65" fillId="17" borderId="24" applyNumberFormat="0" applyFont="0" applyAlignment="0" applyProtection="0"/>
    <xf numFmtId="0" fontId="1" fillId="3" borderId="0" applyNumberFormat="0" applyBorder="0" applyAlignment="0" applyProtection="0"/>
    <xf numFmtId="0" fontId="80" fillId="0" borderId="0" applyNumberForma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14" fillId="28" borderId="66" applyNumberFormat="0" applyAlignment="0" applyProtection="0"/>
    <xf numFmtId="0" fontId="115" fillId="29" borderId="0" applyNumberFormat="0" applyBorder="0" applyAlignment="0" applyProtection="0"/>
  </cellStyleXfs>
  <cellXfs count="1605">
    <xf numFmtId="0" fontId="0" fillId="0" borderId="0" xfId="0"/>
    <xf numFmtId="0" fontId="2" fillId="0" borderId="0" xfId="0" applyFont="1"/>
    <xf numFmtId="0" fontId="2" fillId="4" borderId="0" xfId="0" applyFont="1" applyFill="1"/>
    <xf numFmtId="0" fontId="2" fillId="4" borderId="2" xfId="0" applyFont="1" applyFill="1" applyBorder="1"/>
    <xf numFmtId="0" fontId="2" fillId="4" borderId="3" xfId="0" applyFont="1" applyFill="1" applyBorder="1"/>
    <xf numFmtId="0" fontId="2" fillId="4" borderId="4" xfId="0" applyFont="1" applyFill="1" applyBorder="1"/>
    <xf numFmtId="0" fontId="2" fillId="4" borderId="5" xfId="0" applyFont="1" applyFill="1" applyBorder="1"/>
    <xf numFmtId="0" fontId="2" fillId="4" borderId="6" xfId="0" applyFont="1" applyFill="1" applyBorder="1"/>
    <xf numFmtId="0" fontId="2" fillId="4" borderId="7" xfId="0" applyFont="1" applyFill="1" applyBorder="1"/>
    <xf numFmtId="0" fontId="2" fillId="4" borderId="8" xfId="0" applyFont="1" applyFill="1" applyBorder="1"/>
    <xf numFmtId="0" fontId="2" fillId="4" borderId="9" xfId="0" applyFont="1" applyFill="1" applyBorder="1"/>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2" fillId="4" borderId="1" xfId="0" applyFont="1" applyFill="1" applyBorder="1" applyAlignment="1">
      <alignment horizontal="center"/>
    </xf>
    <xf numFmtId="0" fontId="2" fillId="4" borderId="9" xfId="0" applyFont="1" applyFill="1" applyBorder="1" applyAlignment="1">
      <alignment horizontal="center"/>
    </xf>
    <xf numFmtId="0" fontId="2" fillId="4" borderId="13" xfId="0" applyFont="1" applyFill="1" applyBorder="1" applyAlignment="1">
      <alignment horizontal="center"/>
    </xf>
    <xf numFmtId="164" fontId="2" fillId="4" borderId="3" xfId="0" applyNumberFormat="1" applyFont="1" applyFill="1" applyBorder="1" applyAlignment="1">
      <alignment horizontal="center"/>
    </xf>
    <xf numFmtId="164" fontId="2" fillId="4" borderId="4" xfId="0" applyNumberFormat="1" applyFont="1" applyFill="1" applyBorder="1" applyAlignment="1">
      <alignment horizontal="center"/>
    </xf>
    <xf numFmtId="164" fontId="2" fillId="4" borderId="5" xfId="0" applyNumberFormat="1" applyFont="1" applyFill="1" applyBorder="1" applyAlignment="1">
      <alignment horizontal="center"/>
    </xf>
    <xf numFmtId="164" fontId="2" fillId="4" borderId="6" xfId="0" applyNumberFormat="1" applyFont="1" applyFill="1" applyBorder="1" applyAlignment="1">
      <alignment horizontal="center"/>
    </xf>
    <xf numFmtId="164" fontId="2" fillId="4" borderId="2" xfId="0" applyNumberFormat="1" applyFont="1" applyFill="1" applyBorder="1" applyAlignment="1">
      <alignment horizontal="center"/>
    </xf>
    <xf numFmtId="164" fontId="2" fillId="4" borderId="7" xfId="0" applyNumberFormat="1" applyFont="1" applyFill="1" applyBorder="1" applyAlignment="1">
      <alignment horizontal="center"/>
    </xf>
    <xf numFmtId="1" fontId="2" fillId="4" borderId="3" xfId="0" applyNumberFormat="1" applyFont="1" applyFill="1" applyBorder="1" applyAlignment="1">
      <alignment horizontal="center"/>
    </xf>
    <xf numFmtId="1" fontId="2" fillId="4" borderId="4" xfId="0" applyNumberFormat="1" applyFont="1" applyFill="1" applyBorder="1" applyAlignment="1">
      <alignment horizontal="center"/>
    </xf>
    <xf numFmtId="1" fontId="2" fillId="4" borderId="5" xfId="0" applyNumberFormat="1" applyFont="1" applyFill="1" applyBorder="1" applyAlignment="1">
      <alignment horizontal="center"/>
    </xf>
    <xf numFmtId="1" fontId="2" fillId="4" borderId="6" xfId="0" applyNumberFormat="1" applyFont="1" applyFill="1" applyBorder="1" applyAlignment="1">
      <alignment horizontal="center"/>
    </xf>
    <xf numFmtId="1" fontId="2" fillId="4" borderId="2" xfId="0" applyNumberFormat="1" applyFont="1" applyFill="1" applyBorder="1" applyAlignment="1">
      <alignment horizontal="center"/>
    </xf>
    <xf numFmtId="1" fontId="2" fillId="4" borderId="7" xfId="0" applyNumberFormat="1" applyFont="1" applyFill="1" applyBorder="1" applyAlignment="1">
      <alignment horizontal="center"/>
    </xf>
    <xf numFmtId="0" fontId="4" fillId="4" borderId="0" xfId="0" applyFont="1" applyFill="1"/>
    <xf numFmtId="0" fontId="4" fillId="4" borderId="2" xfId="0" applyFont="1" applyFill="1" applyBorder="1"/>
    <xf numFmtId="0" fontId="2" fillId="4" borderId="10" xfId="0" applyFont="1" applyFill="1" applyBorder="1"/>
    <xf numFmtId="0" fontId="2" fillId="4" borderId="11" xfId="0" applyFont="1" applyFill="1" applyBorder="1"/>
    <xf numFmtId="0" fontId="2" fillId="4" borderId="12" xfId="0" applyFont="1" applyFill="1" applyBorder="1"/>
    <xf numFmtId="0" fontId="2" fillId="4" borderId="1" xfId="0" applyFont="1" applyFill="1" applyBorder="1"/>
    <xf numFmtId="0" fontId="2" fillId="4" borderId="13" xfId="0" applyFont="1" applyFill="1" applyBorder="1"/>
    <xf numFmtId="0" fontId="10" fillId="0" borderId="0" xfId="0" applyFont="1"/>
    <xf numFmtId="0" fontId="10" fillId="0" borderId="8" xfId="0" applyFont="1" applyBorder="1" applyAlignment="1">
      <alignment horizontal="center" vertical="center"/>
    </xf>
    <xf numFmtId="0" fontId="16" fillId="0" borderId="0" xfId="0" applyFont="1"/>
    <xf numFmtId="0" fontId="10" fillId="0" borderId="0" xfId="0" applyFont="1" applyAlignment="1">
      <alignment horizontal="center" vertical="center"/>
    </xf>
    <xf numFmtId="0" fontId="10" fillId="0" borderId="0" xfId="0" applyFont="1" applyAlignment="1">
      <alignment vertical="center"/>
    </xf>
    <xf numFmtId="164" fontId="10" fillId="0" borderId="0" xfId="0" applyNumberFormat="1" applyFont="1" applyAlignment="1">
      <alignment vertical="center"/>
    </xf>
    <xf numFmtId="0" fontId="10" fillId="0" borderId="0" xfId="1" applyFont="1" applyFill="1" applyAlignment="1">
      <alignment vertical="center"/>
    </xf>
    <xf numFmtId="1" fontId="10" fillId="0" borderId="0" xfId="0" applyNumberFormat="1" applyFont="1" applyAlignment="1">
      <alignment vertical="center"/>
    </xf>
    <xf numFmtId="0" fontId="16" fillId="0" borderId="0" xfId="0" applyFont="1" applyAlignment="1">
      <alignment horizontal="center" vertical="center"/>
    </xf>
    <xf numFmtId="0" fontId="16" fillId="0" borderId="0" xfId="0" applyFont="1" applyAlignment="1">
      <alignment vertical="center"/>
    </xf>
    <xf numFmtId="164" fontId="10" fillId="0" borderId="0" xfId="0" applyNumberFormat="1" applyFont="1" applyAlignment="1">
      <alignment horizontal="center" vertical="center"/>
    </xf>
    <xf numFmtId="1" fontId="10" fillId="0" borderId="0" xfId="0" applyNumberFormat="1" applyFont="1" applyAlignment="1">
      <alignment horizontal="center" vertical="center"/>
    </xf>
    <xf numFmtId="164" fontId="14" fillId="0" borderId="0" xfId="0" applyNumberFormat="1" applyFont="1" applyAlignment="1">
      <alignment horizontal="center" vertical="center"/>
    </xf>
    <xf numFmtId="0" fontId="14" fillId="0" borderId="0" xfId="0" applyFont="1" applyAlignment="1">
      <alignment horizontal="center" vertical="center"/>
    </xf>
    <xf numFmtId="0" fontId="10" fillId="0" borderId="0" xfId="0" applyFont="1" applyAlignment="1">
      <alignment horizontal="left" vertical="center"/>
    </xf>
    <xf numFmtId="0" fontId="16" fillId="0" borderId="0" xfId="1" applyFont="1" applyFill="1" applyAlignment="1">
      <alignment horizontal="left" vertical="center"/>
    </xf>
    <xf numFmtId="0" fontId="16" fillId="0" borderId="0" xfId="0" applyFont="1" applyAlignment="1">
      <alignment horizontal="left" vertical="center"/>
    </xf>
    <xf numFmtId="0" fontId="10" fillId="0" borderId="4" xfId="0" applyFont="1" applyBorder="1" applyAlignment="1">
      <alignment horizontal="center" vertical="center"/>
    </xf>
    <xf numFmtId="0" fontId="10" fillId="0" borderId="18" xfId="0" applyFont="1" applyBorder="1" applyAlignment="1">
      <alignment horizontal="center" vertical="center"/>
    </xf>
    <xf numFmtId="0" fontId="10" fillId="0" borderId="18" xfId="0" applyFont="1" applyBorder="1" applyAlignment="1">
      <alignment vertical="center"/>
    </xf>
    <xf numFmtId="0" fontId="10" fillId="0" borderId="19" xfId="0" applyFont="1" applyBorder="1" applyAlignment="1">
      <alignment vertical="center"/>
    </xf>
    <xf numFmtId="0" fontId="10" fillId="0" borderId="15" xfId="0" applyFont="1" applyBorder="1" applyAlignment="1">
      <alignment vertical="center"/>
    </xf>
    <xf numFmtId="1" fontId="10" fillId="0" borderId="0" xfId="0" applyNumberFormat="1" applyFont="1" applyAlignment="1">
      <alignment horizontal="right" vertical="center"/>
    </xf>
    <xf numFmtId="0" fontId="10" fillId="0" borderId="8" xfId="0" applyFont="1" applyBorder="1" applyAlignment="1">
      <alignment horizontal="left" vertical="center"/>
    </xf>
    <xf numFmtId="0" fontId="10" fillId="0" borderId="8" xfId="0" applyFont="1" applyBorder="1" applyAlignment="1">
      <alignment vertical="center"/>
    </xf>
    <xf numFmtId="0" fontId="10" fillId="0" borderId="16"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0" fontId="10" fillId="0" borderId="15" xfId="0" applyFont="1" applyBorder="1" applyAlignment="1">
      <alignment horizontal="left" vertical="center"/>
    </xf>
    <xf numFmtId="0" fontId="10" fillId="0" borderId="16" xfId="0" applyFont="1" applyBorder="1" applyAlignment="1">
      <alignment horizontal="left" vertical="center"/>
    </xf>
    <xf numFmtId="0" fontId="10" fillId="0" borderId="20" xfId="0" applyFont="1" applyBorder="1" applyAlignment="1">
      <alignment horizontal="center" vertical="center"/>
    </xf>
    <xf numFmtId="1" fontId="10" fillId="0" borderId="8" xfId="0" applyNumberFormat="1" applyFont="1" applyBorder="1" applyAlignment="1">
      <alignment horizontal="right" vertical="center" indent="2"/>
    </xf>
    <xf numFmtId="0" fontId="10" fillId="0" borderId="6" xfId="0" applyFont="1" applyBorder="1" applyAlignment="1">
      <alignment horizontal="center" vertical="center"/>
    </xf>
    <xf numFmtId="0" fontId="10" fillId="0" borderId="1" xfId="0" applyFont="1" applyBorder="1" applyAlignment="1">
      <alignment horizontal="center" vertical="center"/>
    </xf>
    <xf numFmtId="0" fontId="10" fillId="4" borderId="22" xfId="1" applyFont="1" applyFill="1" applyBorder="1" applyAlignment="1">
      <alignment horizontal="center" vertical="center"/>
    </xf>
    <xf numFmtId="0" fontId="10" fillId="4" borderId="17" xfId="1" applyFont="1" applyFill="1" applyBorder="1" applyAlignment="1">
      <alignment horizontal="center" vertical="center"/>
    </xf>
    <xf numFmtId="1" fontId="10" fillId="4" borderId="18" xfId="1" applyNumberFormat="1" applyFont="1" applyFill="1" applyBorder="1" applyAlignment="1">
      <alignment horizontal="center" vertical="center"/>
    </xf>
    <xf numFmtId="0" fontId="10" fillId="4" borderId="19" xfId="1" applyFont="1" applyFill="1" applyBorder="1" applyAlignment="1">
      <alignment horizontal="center" vertical="center"/>
    </xf>
    <xf numFmtId="1" fontId="10" fillId="4" borderId="8" xfId="1" applyNumberFormat="1" applyFont="1" applyFill="1" applyBorder="1" applyAlignment="1">
      <alignment horizontal="center" vertical="center"/>
    </xf>
    <xf numFmtId="0" fontId="10" fillId="4" borderId="16" xfId="1" applyFont="1" applyFill="1" applyBorder="1" applyAlignment="1">
      <alignment horizontal="center" vertical="center"/>
    </xf>
    <xf numFmtId="1" fontId="10" fillId="4" borderId="18" xfId="0" applyNumberFormat="1" applyFont="1" applyFill="1" applyBorder="1" applyAlignment="1">
      <alignment horizontal="center" vertical="center"/>
    </xf>
    <xf numFmtId="1" fontId="10" fillId="4" borderId="8" xfId="0" applyNumberFormat="1" applyFont="1" applyFill="1" applyBorder="1" applyAlignment="1">
      <alignment horizontal="center" vertical="center"/>
    </xf>
    <xf numFmtId="1" fontId="21" fillId="4" borderId="8" xfId="0" applyNumberFormat="1" applyFont="1" applyFill="1" applyBorder="1" applyAlignment="1">
      <alignment horizontal="center" vertical="center"/>
    </xf>
    <xf numFmtId="0" fontId="10" fillId="4" borderId="21" xfId="1" applyFont="1" applyFill="1" applyBorder="1" applyAlignment="1">
      <alignment horizontal="center" vertical="center"/>
    </xf>
    <xf numFmtId="1" fontId="10" fillId="4" borderId="6" xfId="1" applyNumberFormat="1" applyFont="1" applyFill="1" applyBorder="1" applyAlignment="1">
      <alignment horizontal="center" vertical="center"/>
    </xf>
    <xf numFmtId="0" fontId="10" fillId="4" borderId="8" xfId="0" applyFont="1" applyFill="1" applyBorder="1" applyAlignment="1">
      <alignment horizontal="center" vertical="center"/>
    </xf>
    <xf numFmtId="0" fontId="10" fillId="4" borderId="16" xfId="0" applyFont="1" applyFill="1" applyBorder="1" applyAlignment="1">
      <alignment horizontal="center" vertical="center"/>
    </xf>
    <xf numFmtId="164" fontId="10" fillId="4" borderId="8" xfId="1" applyNumberFormat="1" applyFont="1" applyFill="1" applyBorder="1" applyAlignment="1">
      <alignment horizontal="center" vertical="center"/>
    </xf>
    <xf numFmtId="164" fontId="10" fillId="4" borderId="16" xfId="1" applyNumberFormat="1" applyFont="1" applyFill="1" applyBorder="1" applyAlignment="1">
      <alignment horizontal="center" vertical="center"/>
    </xf>
    <xf numFmtId="0" fontId="10" fillId="0" borderId="6" xfId="0" applyFont="1" applyBorder="1" applyAlignment="1">
      <alignment vertical="center"/>
    </xf>
    <xf numFmtId="0" fontId="10" fillId="0" borderId="1" xfId="0" applyFont="1" applyBorder="1" applyAlignment="1">
      <alignment vertical="center"/>
    </xf>
    <xf numFmtId="0" fontId="10" fillId="0" borderId="0" xfId="1" applyFont="1" applyFill="1" applyBorder="1" applyAlignment="1">
      <alignment horizontal="center" vertical="center"/>
    </xf>
    <xf numFmtId="0" fontId="10" fillId="4" borderId="18" xfId="1" applyFont="1" applyFill="1" applyBorder="1" applyAlignment="1">
      <alignment horizontal="center" vertical="center"/>
    </xf>
    <xf numFmtId="0" fontId="10" fillId="2" borderId="21" xfId="1" applyFont="1" applyFill="1" applyBorder="1" applyAlignment="1">
      <alignment horizontal="center" vertical="center"/>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xf>
    <xf numFmtId="1" fontId="10" fillId="2" borderId="6" xfId="1" applyNumberFormat="1" applyFont="1" applyFill="1" applyBorder="1" applyAlignment="1">
      <alignment horizontal="center" vertical="center"/>
    </xf>
    <xf numFmtId="0" fontId="10" fillId="2" borderId="8" xfId="0" applyFont="1" applyFill="1" applyBorder="1" applyAlignment="1">
      <alignment horizontal="center" vertical="center"/>
    </xf>
    <xf numFmtId="1" fontId="10" fillId="2" borderId="8" xfId="1" applyNumberFormat="1" applyFont="1" applyFill="1" applyBorder="1" applyAlignment="1">
      <alignment horizontal="center" vertical="center"/>
    </xf>
    <xf numFmtId="0" fontId="10" fillId="2" borderId="8" xfId="1" applyFont="1" applyFill="1" applyBorder="1" applyAlignment="1">
      <alignment horizontal="center" vertical="center"/>
    </xf>
    <xf numFmtId="0" fontId="10" fillId="0" borderId="0" xfId="0" applyFont="1" applyAlignment="1">
      <alignment horizontal="right" vertical="center"/>
    </xf>
    <xf numFmtId="0" fontId="10" fillId="0" borderId="18" xfId="0" applyFont="1" applyBorder="1" applyAlignment="1">
      <alignment horizontal="left" vertical="center"/>
    </xf>
    <xf numFmtId="1" fontId="10" fillId="4" borderId="17" xfId="1" applyNumberFormat="1" applyFont="1" applyFill="1" applyBorder="1" applyAlignment="1">
      <alignment horizontal="center" vertical="center"/>
    </xf>
    <xf numFmtId="0" fontId="10" fillId="4" borderId="18" xfId="0" applyFont="1" applyFill="1" applyBorder="1" applyAlignment="1">
      <alignment horizontal="center" vertical="center"/>
    </xf>
    <xf numFmtId="1" fontId="10" fillId="4" borderId="1" xfId="1" applyNumberFormat="1" applyFont="1" applyFill="1" applyBorder="1" applyAlignment="1">
      <alignment horizontal="center" vertical="center"/>
    </xf>
    <xf numFmtId="0" fontId="10" fillId="0" borderId="16" xfId="0" applyFont="1" applyBorder="1" applyAlignment="1">
      <alignment horizontal="center" vertical="center"/>
    </xf>
    <xf numFmtId="0" fontId="15" fillId="0" borderId="0" xfId="0" applyFont="1" applyAlignment="1">
      <alignment horizontal="left" vertical="center"/>
    </xf>
    <xf numFmtId="0" fontId="10" fillId="0" borderId="17"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4" fillId="0" borderId="16" xfId="0" applyFont="1" applyBorder="1" applyAlignment="1">
      <alignment horizontal="center" vertical="center"/>
    </xf>
    <xf numFmtId="0" fontId="10" fillId="0" borderId="17" xfId="0" applyFont="1" applyBorder="1" applyAlignment="1">
      <alignment horizontal="left" vertical="center"/>
    </xf>
    <xf numFmtId="0" fontId="10" fillId="2" borderId="22" xfId="1" applyFont="1" applyFill="1" applyBorder="1" applyAlignment="1">
      <alignment horizontal="center" vertical="center"/>
    </xf>
    <xf numFmtId="0" fontId="10" fillId="0" borderId="17" xfId="1" applyFont="1" applyFill="1" applyBorder="1" applyAlignment="1">
      <alignment horizontal="left" vertical="center"/>
    </xf>
    <xf numFmtId="0" fontId="10" fillId="4" borderId="21" xfId="0" applyFont="1" applyFill="1" applyBorder="1" applyAlignment="1">
      <alignment vertical="center"/>
    </xf>
    <xf numFmtId="0" fontId="10" fillId="4" borderId="22" xfId="0" applyFont="1" applyFill="1" applyBorder="1" applyAlignment="1">
      <alignment vertical="center"/>
    </xf>
    <xf numFmtId="0" fontId="10" fillId="2" borderId="21" xfId="0" applyFont="1" applyFill="1" applyBorder="1" applyAlignment="1">
      <alignment vertical="center"/>
    </xf>
    <xf numFmtId="0" fontId="10" fillId="2" borderId="22" xfId="0" applyFont="1" applyFill="1" applyBorder="1" applyAlignment="1">
      <alignment vertical="center"/>
    </xf>
    <xf numFmtId="1" fontId="10" fillId="2" borderId="17" xfId="1" applyNumberFormat="1" applyFont="1" applyFill="1" applyBorder="1" applyAlignment="1">
      <alignment horizontal="center" vertical="center"/>
    </xf>
    <xf numFmtId="1" fontId="10" fillId="2" borderId="18" xfId="1" applyNumberFormat="1" applyFont="1" applyFill="1" applyBorder="1" applyAlignment="1">
      <alignment horizontal="center" vertical="center"/>
    </xf>
    <xf numFmtId="0" fontId="10" fillId="2" borderId="18" xfId="1" applyFont="1" applyFill="1" applyBorder="1" applyAlignment="1">
      <alignment horizontal="center" vertical="center"/>
    </xf>
    <xf numFmtId="1" fontId="10" fillId="2" borderId="1" xfId="1" applyNumberFormat="1" applyFont="1" applyFill="1" applyBorder="1" applyAlignment="1">
      <alignment horizontal="center" vertical="center"/>
    </xf>
    <xf numFmtId="1" fontId="10" fillId="4" borderId="19" xfId="1" applyNumberFormat="1" applyFont="1" applyFill="1" applyBorder="1" applyAlignment="1">
      <alignment horizontal="center" vertical="center"/>
    </xf>
    <xf numFmtId="164" fontId="10" fillId="4" borderId="18" xfId="1" applyNumberFormat="1" applyFont="1" applyFill="1" applyBorder="1" applyAlignment="1">
      <alignment horizontal="center" vertical="center"/>
    </xf>
    <xf numFmtId="1" fontId="10" fillId="4" borderId="16" xfId="1" applyNumberFormat="1" applyFont="1" applyFill="1" applyBorder="1" applyAlignment="1">
      <alignment horizontal="center" vertical="center"/>
    </xf>
    <xf numFmtId="0" fontId="10" fillId="4" borderId="8" xfId="1" applyFont="1" applyFill="1" applyBorder="1" applyAlignment="1">
      <alignment horizontal="center" vertical="center"/>
    </xf>
    <xf numFmtId="164" fontId="10" fillId="4" borderId="19" xfId="1" applyNumberFormat="1" applyFont="1" applyFill="1" applyBorder="1" applyAlignment="1">
      <alignment horizontal="center" vertical="center"/>
    </xf>
    <xf numFmtId="1" fontId="21" fillId="4" borderId="18" xfId="0" applyNumberFormat="1" applyFont="1" applyFill="1" applyBorder="1" applyAlignment="1">
      <alignment horizontal="center" vertical="center"/>
    </xf>
    <xf numFmtId="0" fontId="10" fillId="2" borderId="19" xfId="1" applyFont="1" applyFill="1" applyBorder="1" applyAlignment="1">
      <alignment horizontal="center" vertical="center"/>
    </xf>
    <xf numFmtId="0" fontId="10" fillId="2" borderId="17" xfId="1" applyFont="1" applyFill="1" applyBorder="1" applyAlignment="1">
      <alignment horizontal="center" vertical="center"/>
    </xf>
    <xf numFmtId="1" fontId="21" fillId="2" borderId="18" xfId="0" applyNumberFormat="1" applyFont="1" applyFill="1" applyBorder="1" applyAlignment="1">
      <alignment horizontal="center" vertical="center"/>
    </xf>
    <xf numFmtId="1" fontId="21" fillId="2" borderId="8" xfId="0" applyNumberFormat="1" applyFont="1" applyFill="1" applyBorder="1" applyAlignment="1">
      <alignment horizontal="center" vertical="center"/>
    </xf>
    <xf numFmtId="0" fontId="10" fillId="2" borderId="16" xfId="1" applyFont="1" applyFill="1" applyBorder="1" applyAlignment="1">
      <alignment horizontal="center" vertical="center"/>
    </xf>
    <xf numFmtId="1" fontId="10" fillId="2" borderId="19" xfId="1" applyNumberFormat="1" applyFont="1" applyFill="1" applyBorder="1" applyAlignment="1">
      <alignment horizontal="center" vertical="center"/>
    </xf>
    <xf numFmtId="164" fontId="10" fillId="2" borderId="19" xfId="1" applyNumberFormat="1" applyFont="1" applyFill="1" applyBorder="1" applyAlignment="1">
      <alignment horizontal="center" vertical="center"/>
    </xf>
    <xf numFmtId="1" fontId="10" fillId="2" borderId="16" xfId="1" applyNumberFormat="1" applyFont="1" applyFill="1" applyBorder="1" applyAlignment="1">
      <alignment horizontal="center" vertical="center"/>
    </xf>
    <xf numFmtId="164" fontId="10" fillId="2" borderId="16" xfId="1" applyNumberFormat="1" applyFont="1" applyFill="1" applyBorder="1" applyAlignment="1">
      <alignment horizontal="center" vertical="center"/>
    </xf>
    <xf numFmtId="0" fontId="15" fillId="0" borderId="0" xfId="0" applyFont="1" applyAlignment="1">
      <alignment horizontal="center" vertical="center"/>
    </xf>
    <xf numFmtId="164" fontId="10" fillId="0" borderId="18" xfId="1" applyNumberFormat="1" applyFont="1" applyFill="1" applyBorder="1" applyAlignment="1">
      <alignment horizontal="center" vertical="center"/>
    </xf>
    <xf numFmtId="164" fontId="10" fillId="0" borderId="8" xfId="1" applyNumberFormat="1" applyFont="1" applyFill="1" applyBorder="1" applyAlignment="1">
      <alignment horizontal="center" vertical="center"/>
    </xf>
    <xf numFmtId="164" fontId="10" fillId="2" borderId="1" xfId="1" applyNumberFormat="1" applyFont="1" applyFill="1" applyBorder="1" applyAlignment="1">
      <alignment horizontal="center" vertical="center"/>
    </xf>
    <xf numFmtId="0" fontId="10" fillId="2" borderId="16" xfId="0" applyFont="1" applyFill="1" applyBorder="1" applyAlignment="1">
      <alignment horizontal="center" vertical="center"/>
    </xf>
    <xf numFmtId="0" fontId="10" fillId="0" borderId="19" xfId="0" applyFont="1" applyBorder="1" applyAlignment="1">
      <alignment horizontal="left" vertical="center"/>
    </xf>
    <xf numFmtId="0" fontId="10" fillId="0" borderId="17" xfId="0" applyFont="1" applyBorder="1" applyAlignment="1">
      <alignment vertical="center"/>
    </xf>
    <xf numFmtId="0" fontId="16" fillId="0" borderId="17" xfId="0" applyFont="1" applyBorder="1" applyAlignment="1">
      <alignment horizontal="left" vertical="center"/>
    </xf>
    <xf numFmtId="0" fontId="21" fillId="0" borderId="6" xfId="0" applyFont="1" applyBorder="1" applyAlignment="1">
      <alignment horizontal="center" vertical="center"/>
    </xf>
    <xf numFmtId="1" fontId="21" fillId="0" borderId="6" xfId="0" applyNumberFormat="1" applyFont="1" applyBorder="1" applyAlignment="1">
      <alignment horizontal="center" vertical="center"/>
    </xf>
    <xf numFmtId="1" fontId="10" fillId="0" borderId="18" xfId="0" applyNumberFormat="1" applyFont="1" applyBorder="1" applyAlignment="1">
      <alignment horizontal="right" vertical="center"/>
    </xf>
    <xf numFmtId="165" fontId="10" fillId="0" borderId="8" xfId="0" applyNumberFormat="1" applyFont="1" applyBorder="1" applyAlignment="1">
      <alignment horizontal="right" vertical="center"/>
    </xf>
    <xf numFmtId="0" fontId="10" fillId="0" borderId="18" xfId="0" applyFont="1" applyBorder="1" applyAlignment="1">
      <alignment horizontal="right" vertical="center"/>
    </xf>
    <xf numFmtId="0" fontId="10" fillId="5" borderId="0" xfId="0" applyFont="1" applyFill="1" applyAlignment="1">
      <alignment horizontal="right" vertical="center"/>
    </xf>
    <xf numFmtId="165" fontId="10" fillId="0" borderId="0" xfId="0" applyNumberFormat="1" applyFont="1" applyAlignment="1">
      <alignment horizontal="right" vertical="center"/>
    </xf>
    <xf numFmtId="1" fontId="10" fillId="0" borderId="8" xfId="0" applyNumberFormat="1" applyFont="1" applyBorder="1" applyAlignment="1">
      <alignment horizontal="right" vertical="center"/>
    </xf>
    <xf numFmtId="1" fontId="10" fillId="0" borderId="17" xfId="1" applyNumberFormat="1" applyFont="1" applyFill="1" applyBorder="1" applyAlignment="1">
      <alignment horizontal="center" vertical="center"/>
    </xf>
    <xf numFmtId="165" fontId="14" fillId="0" borderId="8" xfId="0" applyNumberFormat="1" applyFont="1" applyBorder="1" applyAlignment="1">
      <alignment horizontal="right" vertical="center"/>
    </xf>
    <xf numFmtId="1" fontId="10" fillId="2" borderId="18" xfId="0" applyNumberFormat="1" applyFont="1" applyFill="1" applyBorder="1" applyAlignment="1">
      <alignment horizontal="center" vertical="center"/>
    </xf>
    <xf numFmtId="164" fontId="14" fillId="5" borderId="8" xfId="0" applyNumberFormat="1" applyFont="1" applyFill="1" applyBorder="1" applyAlignment="1">
      <alignment horizontal="right" vertical="center"/>
    </xf>
    <xf numFmtId="0" fontId="16" fillId="4" borderId="21" xfId="1" applyFont="1" applyFill="1" applyBorder="1" applyAlignment="1">
      <alignment horizontal="left" vertical="center"/>
    </xf>
    <xf numFmtId="0" fontId="16" fillId="4" borderId="22" xfId="1" applyFont="1" applyFill="1" applyBorder="1" applyAlignment="1">
      <alignment horizontal="left" vertical="center"/>
    </xf>
    <xf numFmtId="0" fontId="10" fillId="0" borderId="0" xfId="1" applyFont="1" applyFill="1" applyBorder="1" applyAlignment="1">
      <alignment horizontal="left" vertical="center"/>
    </xf>
    <xf numFmtId="0" fontId="10" fillId="0" borderId="6" xfId="0" applyFont="1" applyBorder="1" applyAlignment="1">
      <alignment horizontal="right" vertical="center"/>
    </xf>
    <xf numFmtId="0" fontId="10" fillId="0" borderId="6" xfId="0" applyFont="1" applyBorder="1" applyAlignment="1">
      <alignment horizontal="right" vertical="center" indent="3"/>
    </xf>
    <xf numFmtId="0" fontId="16" fillId="0" borderId="0" xfId="1" applyFont="1" applyFill="1" applyBorder="1" applyAlignment="1">
      <alignment horizontal="center" vertical="center"/>
    </xf>
    <xf numFmtId="0" fontId="16" fillId="0" borderId="0" xfId="1" applyFont="1" applyFill="1" applyBorder="1" applyAlignment="1">
      <alignment horizontal="left" vertical="center"/>
    </xf>
    <xf numFmtId="0" fontId="16" fillId="0" borderId="23" xfId="0" applyFont="1" applyBorder="1" applyAlignment="1">
      <alignment vertical="center"/>
    </xf>
    <xf numFmtId="0" fontId="16" fillId="0" borderId="21" xfId="0" applyFont="1" applyBorder="1" applyAlignment="1">
      <alignment vertical="center"/>
    </xf>
    <xf numFmtId="1" fontId="10" fillId="0" borderId="0" xfId="1" applyNumberFormat="1" applyFont="1" applyFill="1" applyBorder="1" applyAlignment="1">
      <alignment horizontal="left" vertical="center"/>
    </xf>
    <xf numFmtId="164" fontId="10" fillId="0" borderId="0" xfId="1" applyNumberFormat="1" applyFont="1" applyFill="1" applyBorder="1" applyAlignment="1">
      <alignment horizontal="center" vertical="center"/>
    </xf>
    <xf numFmtId="164" fontId="10" fillId="0" borderId="0" xfId="1" applyNumberFormat="1" applyFont="1" applyFill="1" applyBorder="1" applyAlignment="1">
      <alignment horizontal="left" vertical="center"/>
    </xf>
    <xf numFmtId="1" fontId="22" fillId="4" borderId="18" xfId="0" applyNumberFormat="1" applyFont="1" applyFill="1" applyBorder="1" applyAlignment="1">
      <alignment horizontal="center" vertical="center"/>
    </xf>
    <xf numFmtId="1" fontId="23" fillId="4" borderId="8" xfId="1" applyNumberFormat="1" applyFont="1" applyFill="1" applyBorder="1" applyAlignment="1">
      <alignment horizontal="center" vertical="center"/>
    </xf>
    <xf numFmtId="11" fontId="10" fillId="0" borderId="0" xfId="0" applyNumberFormat="1" applyFont="1" applyAlignment="1">
      <alignment vertical="center"/>
    </xf>
    <xf numFmtId="0" fontId="10" fillId="0" borderId="0" xfId="1" applyFont="1" applyFill="1" applyBorder="1" applyAlignment="1">
      <alignment horizontal="right" vertical="center"/>
    </xf>
    <xf numFmtId="164" fontId="10" fillId="0" borderId="0" xfId="1" applyNumberFormat="1" applyFont="1" applyFill="1" applyBorder="1" applyAlignment="1">
      <alignment horizontal="right" vertical="center"/>
    </xf>
    <xf numFmtId="164" fontId="10" fillId="10" borderId="18" xfId="1" applyNumberFormat="1" applyFont="1" applyFill="1" applyBorder="1" applyAlignment="1">
      <alignment horizontal="right" vertical="center" indent="4"/>
    </xf>
    <xf numFmtId="164" fontId="10" fillId="10" borderId="0" xfId="1" applyNumberFormat="1" applyFont="1" applyFill="1" applyBorder="1" applyAlignment="1">
      <alignment horizontal="right" vertical="center" indent="4"/>
    </xf>
    <xf numFmtId="164" fontId="10" fillId="10" borderId="8" xfId="1" applyNumberFormat="1" applyFont="1" applyFill="1" applyBorder="1" applyAlignment="1">
      <alignment horizontal="right" vertical="center" indent="4"/>
    </xf>
    <xf numFmtId="164" fontId="10" fillId="11" borderId="0" xfId="1" applyNumberFormat="1" applyFont="1" applyFill="1" applyBorder="1" applyAlignment="1">
      <alignment horizontal="right" vertical="center" indent="4"/>
    </xf>
    <xf numFmtId="164" fontId="10" fillId="11" borderId="8" xfId="1" applyNumberFormat="1" applyFont="1" applyFill="1" applyBorder="1" applyAlignment="1">
      <alignment horizontal="right" vertical="center" indent="4"/>
    </xf>
    <xf numFmtId="164" fontId="10" fillId="11" borderId="18" xfId="1" applyNumberFormat="1" applyFont="1" applyFill="1" applyBorder="1" applyAlignment="1">
      <alignment horizontal="right" vertical="center" indent="4"/>
    </xf>
    <xf numFmtId="164" fontId="10" fillId="0" borderId="0" xfId="1" applyNumberFormat="1" applyFont="1" applyFill="1" applyBorder="1" applyAlignment="1">
      <alignment horizontal="right" vertical="center" indent="4"/>
    </xf>
    <xf numFmtId="164" fontId="10" fillId="10" borderId="19" xfId="1" applyNumberFormat="1" applyFont="1" applyFill="1" applyBorder="1" applyAlignment="1">
      <alignment horizontal="right" vertical="center" indent="4"/>
    </xf>
    <xf numFmtId="164" fontId="10" fillId="10" borderId="15" xfId="1" applyNumberFormat="1" applyFont="1" applyFill="1" applyBorder="1" applyAlignment="1">
      <alignment horizontal="right" vertical="center" indent="4"/>
    </xf>
    <xf numFmtId="164" fontId="10" fillId="10" borderId="16" xfId="1" applyNumberFormat="1" applyFont="1" applyFill="1" applyBorder="1" applyAlignment="1">
      <alignment horizontal="right" vertical="center" indent="4"/>
    </xf>
    <xf numFmtId="164" fontId="10" fillId="11" borderId="15" xfId="1" applyNumberFormat="1" applyFont="1" applyFill="1" applyBorder="1" applyAlignment="1">
      <alignment horizontal="right" vertical="center" indent="4"/>
    </xf>
    <xf numFmtId="164" fontId="10" fillId="11" borderId="16" xfId="1" applyNumberFormat="1" applyFont="1" applyFill="1" applyBorder="1" applyAlignment="1">
      <alignment horizontal="right" vertical="center" indent="4"/>
    </xf>
    <xf numFmtId="1" fontId="10" fillId="10" borderId="17" xfId="1" applyNumberFormat="1" applyFont="1" applyFill="1" applyBorder="1" applyAlignment="1">
      <alignment horizontal="center" vertical="center"/>
    </xf>
    <xf numFmtId="1" fontId="10" fillId="10" borderId="6" xfId="1" applyNumberFormat="1" applyFont="1" applyFill="1" applyBorder="1" applyAlignment="1">
      <alignment horizontal="center" vertical="center"/>
    </xf>
    <xf numFmtId="1" fontId="10" fillId="10" borderId="1" xfId="1" applyNumberFormat="1" applyFont="1" applyFill="1" applyBorder="1" applyAlignment="1">
      <alignment horizontal="center" vertical="center"/>
    </xf>
    <xf numFmtId="1" fontId="10" fillId="11" borderId="6" xfId="1" applyNumberFormat="1" applyFont="1" applyFill="1" applyBorder="1" applyAlignment="1">
      <alignment horizontal="center" vertical="center"/>
    </xf>
    <xf numFmtId="1" fontId="10" fillId="11" borderId="1" xfId="1" applyNumberFormat="1" applyFont="1" applyFill="1" applyBorder="1" applyAlignment="1">
      <alignment horizontal="center" vertical="center"/>
    </xf>
    <xf numFmtId="1" fontId="10" fillId="11" borderId="17" xfId="1" applyNumberFormat="1" applyFont="1" applyFill="1" applyBorder="1" applyAlignment="1">
      <alignment horizontal="center" vertical="center"/>
    </xf>
    <xf numFmtId="164" fontId="10" fillId="11" borderId="19" xfId="1" applyNumberFormat="1" applyFont="1" applyFill="1" applyBorder="1" applyAlignment="1">
      <alignment horizontal="right" vertical="center" indent="4"/>
    </xf>
    <xf numFmtId="1" fontId="10" fillId="12" borderId="17" xfId="1" applyNumberFormat="1" applyFont="1" applyFill="1" applyBorder="1" applyAlignment="1">
      <alignment horizontal="center" vertical="center"/>
    </xf>
    <xf numFmtId="164" fontId="10" fillId="12" borderId="18" xfId="1" applyNumberFormat="1" applyFont="1" applyFill="1" applyBorder="1" applyAlignment="1">
      <alignment horizontal="right" vertical="center" indent="4"/>
    </xf>
    <xf numFmtId="164" fontId="10" fillId="12" borderId="19" xfId="1" applyNumberFormat="1" applyFont="1" applyFill="1" applyBorder="1" applyAlignment="1">
      <alignment horizontal="right" vertical="center" indent="4"/>
    </xf>
    <xf numFmtId="1" fontId="10" fillId="12" borderId="6" xfId="1" applyNumberFormat="1" applyFont="1" applyFill="1" applyBorder="1" applyAlignment="1">
      <alignment horizontal="center" vertical="center"/>
    </xf>
    <xf numFmtId="164" fontId="10" fillId="12" borderId="0" xfId="1" applyNumberFormat="1" applyFont="1" applyFill="1" applyBorder="1" applyAlignment="1">
      <alignment horizontal="right" vertical="center" indent="4"/>
    </xf>
    <xf numFmtId="164" fontId="10" fillId="12" borderId="15" xfId="1" applyNumberFormat="1" applyFont="1" applyFill="1" applyBorder="1" applyAlignment="1">
      <alignment horizontal="right" vertical="center" indent="4"/>
    </xf>
    <xf numFmtId="1" fontId="10" fillId="12" borderId="1" xfId="1" applyNumberFormat="1" applyFont="1" applyFill="1" applyBorder="1" applyAlignment="1">
      <alignment horizontal="center" vertical="center"/>
    </xf>
    <xf numFmtId="164" fontId="10" fillId="12" borderId="8" xfId="1" applyNumberFormat="1" applyFont="1" applyFill="1" applyBorder="1" applyAlignment="1">
      <alignment horizontal="right" vertical="center" indent="4"/>
    </xf>
    <xf numFmtId="164" fontId="10" fillId="12" borderId="16" xfId="1" applyNumberFormat="1" applyFont="1" applyFill="1" applyBorder="1" applyAlignment="1">
      <alignment horizontal="right" vertical="center" indent="4"/>
    </xf>
    <xf numFmtId="1" fontId="14" fillId="11" borderId="6" xfId="1" applyNumberFormat="1" applyFont="1" applyFill="1" applyBorder="1" applyAlignment="1">
      <alignment horizontal="center" vertical="center"/>
    </xf>
    <xf numFmtId="164" fontId="14" fillId="11" borderId="0" xfId="1" applyNumberFormat="1" applyFont="1" applyFill="1" applyBorder="1" applyAlignment="1">
      <alignment horizontal="right" vertical="center" indent="4"/>
    </xf>
    <xf numFmtId="164" fontId="14" fillId="11" borderId="15" xfId="1" applyNumberFormat="1" applyFont="1" applyFill="1" applyBorder="1" applyAlignment="1">
      <alignment horizontal="right" vertical="center" indent="4"/>
    </xf>
    <xf numFmtId="1" fontId="14" fillId="10" borderId="6" xfId="1" applyNumberFormat="1" applyFont="1" applyFill="1" applyBorder="1" applyAlignment="1">
      <alignment horizontal="center" vertical="center"/>
    </xf>
    <xf numFmtId="164" fontId="14" fillId="10" borderId="0" xfId="1" applyNumberFormat="1" applyFont="1" applyFill="1" applyBorder="1" applyAlignment="1">
      <alignment horizontal="right" vertical="center" indent="4"/>
    </xf>
    <xf numFmtId="164" fontId="14" fillId="10" borderId="15" xfId="1" applyNumberFormat="1" applyFont="1" applyFill="1" applyBorder="1" applyAlignment="1">
      <alignment horizontal="right" vertical="center" indent="4"/>
    </xf>
    <xf numFmtId="1" fontId="14" fillId="10" borderId="17" xfId="1" applyNumberFormat="1" applyFont="1" applyFill="1" applyBorder="1" applyAlignment="1">
      <alignment horizontal="center" vertical="center"/>
    </xf>
    <xf numFmtId="164" fontId="14" fillId="10" borderId="18" xfId="1" applyNumberFormat="1" applyFont="1" applyFill="1" applyBorder="1" applyAlignment="1">
      <alignment horizontal="right" vertical="center" indent="4"/>
    </xf>
    <xf numFmtId="164" fontId="14" fillId="10" borderId="19" xfId="1" applyNumberFormat="1" applyFont="1" applyFill="1" applyBorder="1" applyAlignment="1">
      <alignment horizontal="right" vertical="center" indent="4"/>
    </xf>
    <xf numFmtId="1" fontId="14" fillId="10" borderId="1" xfId="1" applyNumberFormat="1" applyFont="1" applyFill="1" applyBorder="1" applyAlignment="1">
      <alignment horizontal="center" vertical="center"/>
    </xf>
    <xf numFmtId="164" fontId="14" fillId="10" borderId="8" xfId="1" applyNumberFormat="1" applyFont="1" applyFill="1" applyBorder="1" applyAlignment="1">
      <alignment horizontal="right" vertical="center" indent="4"/>
    </xf>
    <xf numFmtId="164" fontId="14" fillId="10" borderId="16" xfId="1" applyNumberFormat="1" applyFont="1" applyFill="1" applyBorder="1" applyAlignment="1">
      <alignment horizontal="right" vertical="center" indent="4"/>
    </xf>
    <xf numFmtId="164" fontId="10" fillId="6" borderId="0" xfId="1" applyNumberFormat="1" applyFont="1" applyFill="1" applyBorder="1" applyAlignment="1">
      <alignment horizontal="right" vertical="center" indent="4"/>
    </xf>
    <xf numFmtId="164" fontId="10" fillId="0" borderId="17" xfId="1" applyNumberFormat="1" applyFont="1" applyFill="1" applyBorder="1" applyAlignment="1">
      <alignment horizontal="center" vertical="center"/>
    </xf>
    <xf numFmtId="164" fontId="10" fillId="6" borderId="19" xfId="1" applyNumberFormat="1" applyFont="1" applyFill="1" applyBorder="1" applyAlignment="1">
      <alignment horizontal="right" vertical="center" indent="4"/>
    </xf>
    <xf numFmtId="164" fontId="10" fillId="0" borderId="6" xfId="1" applyNumberFormat="1" applyFont="1" applyFill="1" applyBorder="1" applyAlignment="1">
      <alignment horizontal="center" vertical="center"/>
    </xf>
    <xf numFmtId="164" fontId="10" fillId="6" borderId="15" xfId="1" applyNumberFormat="1" applyFont="1" applyFill="1" applyBorder="1" applyAlignment="1">
      <alignment horizontal="right" vertical="center" indent="4"/>
    </xf>
    <xf numFmtId="164" fontId="10" fillId="0" borderId="15" xfId="1" applyNumberFormat="1" applyFont="1" applyFill="1" applyBorder="1" applyAlignment="1">
      <alignment horizontal="right" vertical="center" indent="4"/>
    </xf>
    <xf numFmtId="164" fontId="10" fillId="0" borderId="1" xfId="1" applyNumberFormat="1" applyFont="1" applyFill="1" applyBorder="1" applyAlignment="1">
      <alignment horizontal="center" vertical="center"/>
    </xf>
    <xf numFmtId="164" fontId="10" fillId="6" borderId="8" xfId="1" applyNumberFormat="1" applyFont="1" applyFill="1" applyBorder="1" applyAlignment="1">
      <alignment horizontal="right" vertical="center" indent="4"/>
    </xf>
    <xf numFmtId="164" fontId="10" fillId="0" borderId="16" xfId="1" applyNumberFormat="1" applyFont="1" applyFill="1" applyBorder="1" applyAlignment="1">
      <alignment horizontal="right" vertical="center" indent="4"/>
    </xf>
    <xf numFmtId="164" fontId="21" fillId="0" borderId="17" xfId="1" applyNumberFormat="1" applyFont="1" applyFill="1" applyBorder="1" applyAlignment="1">
      <alignment horizontal="center" vertical="center"/>
    </xf>
    <xf numFmtId="164" fontId="10" fillId="0" borderId="8" xfId="1" applyNumberFormat="1" applyFont="1" applyFill="1" applyBorder="1" applyAlignment="1">
      <alignment horizontal="right" vertical="center" indent="4"/>
    </xf>
    <xf numFmtId="164" fontId="21" fillId="0" borderId="6" xfId="1" applyNumberFormat="1" applyFont="1" applyFill="1" applyBorder="1" applyAlignment="1">
      <alignment horizontal="center" vertical="center"/>
    </xf>
    <xf numFmtId="1" fontId="10" fillId="6" borderId="18" xfId="1" applyNumberFormat="1" applyFont="1" applyFill="1" applyBorder="1" applyAlignment="1">
      <alignment horizontal="right" vertical="center" indent="4"/>
    </xf>
    <xf numFmtId="164" fontId="10" fillId="0" borderId="19" xfId="1" applyNumberFormat="1" applyFont="1" applyFill="1" applyBorder="1" applyAlignment="1">
      <alignment horizontal="right" vertical="center" indent="4"/>
    </xf>
    <xf numFmtId="164" fontId="10" fillId="6" borderId="16" xfId="1" applyNumberFormat="1" applyFont="1" applyFill="1" applyBorder="1" applyAlignment="1">
      <alignment horizontal="right" vertical="center" indent="4"/>
    </xf>
    <xf numFmtId="1" fontId="10" fillId="6" borderId="19" xfId="1" applyNumberFormat="1" applyFont="1" applyFill="1" applyBorder="1" applyAlignment="1">
      <alignment horizontal="right" vertical="center" indent="4"/>
    </xf>
    <xf numFmtId="164" fontId="16" fillId="0" borderId="0" xfId="1" applyNumberFormat="1" applyFont="1" applyFill="1" applyBorder="1" applyAlignment="1">
      <alignment horizontal="center" vertical="center"/>
    </xf>
    <xf numFmtId="0" fontId="16" fillId="0" borderId="0" xfId="1" applyFont="1" applyFill="1" applyBorder="1" applyAlignment="1">
      <alignment horizontal="right" vertical="center"/>
    </xf>
    <xf numFmtId="1" fontId="16" fillId="0" borderId="0" xfId="1" applyNumberFormat="1" applyFont="1" applyFill="1" applyBorder="1" applyAlignment="1">
      <alignment horizontal="center" vertical="center"/>
    </xf>
    <xf numFmtId="2" fontId="10" fillId="6" borderId="15" xfId="1" applyNumberFormat="1" applyFont="1" applyFill="1" applyBorder="1" applyAlignment="1">
      <alignment horizontal="right" vertical="center" indent="4"/>
    </xf>
    <xf numFmtId="2" fontId="10" fillId="0" borderId="15" xfId="1" applyNumberFormat="1" applyFont="1" applyFill="1" applyBorder="1" applyAlignment="1">
      <alignment horizontal="right" vertical="center" indent="4"/>
    </xf>
    <xf numFmtId="0" fontId="20" fillId="0" borderId="0"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0" xfId="1" applyFont="1" applyFill="1" applyBorder="1" applyAlignment="1">
      <alignment horizontal="left" vertical="center"/>
    </xf>
    <xf numFmtId="1" fontId="14" fillId="0" borderId="0" xfId="1" applyNumberFormat="1" applyFont="1" applyFill="1" applyBorder="1" applyAlignment="1">
      <alignment horizontal="left" vertical="center"/>
    </xf>
    <xf numFmtId="1" fontId="14" fillId="4" borderId="17" xfId="1" applyNumberFormat="1" applyFont="1" applyFill="1" applyBorder="1" applyAlignment="1">
      <alignment horizontal="center" vertical="center"/>
    </xf>
    <xf numFmtId="1" fontId="14" fillId="4" borderId="18" xfId="1" applyNumberFormat="1" applyFont="1" applyFill="1" applyBorder="1" applyAlignment="1">
      <alignment horizontal="center" vertical="center"/>
    </xf>
    <xf numFmtId="1" fontId="14" fillId="4" borderId="19" xfId="1" applyNumberFormat="1" applyFont="1" applyFill="1" applyBorder="1" applyAlignment="1">
      <alignment horizontal="center" vertical="center"/>
    </xf>
    <xf numFmtId="1" fontId="14" fillId="4" borderId="1" xfId="1" applyNumberFormat="1" applyFont="1" applyFill="1" applyBorder="1" applyAlignment="1">
      <alignment horizontal="center" vertical="center"/>
    </xf>
    <xf numFmtId="1" fontId="14" fillId="4" borderId="8" xfId="1" applyNumberFormat="1" applyFont="1" applyFill="1" applyBorder="1" applyAlignment="1">
      <alignment horizontal="center" vertical="center"/>
    </xf>
    <xf numFmtId="1" fontId="14" fillId="4" borderId="16" xfId="1" applyNumberFormat="1" applyFont="1" applyFill="1" applyBorder="1" applyAlignment="1">
      <alignment horizontal="center" vertical="center"/>
    </xf>
    <xf numFmtId="1" fontId="14" fillId="12" borderId="17" xfId="1" applyNumberFormat="1" applyFont="1" applyFill="1" applyBorder="1" applyAlignment="1">
      <alignment horizontal="center" vertical="center"/>
    </xf>
    <xf numFmtId="164" fontId="14" fillId="12" borderId="18" xfId="1" applyNumberFormat="1" applyFont="1" applyFill="1" applyBorder="1" applyAlignment="1">
      <alignment horizontal="right" vertical="center" indent="4"/>
    </xf>
    <xf numFmtId="164" fontId="14" fillId="12" borderId="19" xfId="1" applyNumberFormat="1" applyFont="1" applyFill="1" applyBorder="1" applyAlignment="1">
      <alignment horizontal="right" vertical="center" indent="4"/>
    </xf>
    <xf numFmtId="1" fontId="14" fillId="12" borderId="6" xfId="1" applyNumberFormat="1" applyFont="1" applyFill="1" applyBorder="1" applyAlignment="1">
      <alignment horizontal="center" vertical="center"/>
    </xf>
    <xf numFmtId="164" fontId="14" fillId="12" borderId="0" xfId="1" applyNumberFormat="1" applyFont="1" applyFill="1" applyBorder="1" applyAlignment="1">
      <alignment horizontal="right" vertical="center" indent="4"/>
    </xf>
    <xf numFmtId="164" fontId="14" fillId="12" borderId="15" xfId="1" applyNumberFormat="1" applyFont="1" applyFill="1" applyBorder="1" applyAlignment="1">
      <alignment horizontal="right" vertical="center" indent="4"/>
    </xf>
    <xf numFmtId="1" fontId="14" fillId="12" borderId="1" xfId="1" applyNumberFormat="1" applyFont="1" applyFill="1" applyBorder="1" applyAlignment="1">
      <alignment horizontal="center" vertical="center"/>
    </xf>
    <xf numFmtId="164" fontId="14" fillId="12" borderId="8" xfId="1" applyNumberFormat="1" applyFont="1" applyFill="1" applyBorder="1" applyAlignment="1">
      <alignment horizontal="right" vertical="center" indent="4"/>
    </xf>
    <xf numFmtId="164" fontId="14" fillId="12" borderId="16" xfId="1" applyNumberFormat="1" applyFont="1" applyFill="1" applyBorder="1" applyAlignment="1">
      <alignment horizontal="right" vertical="center" indent="4"/>
    </xf>
    <xf numFmtId="1" fontId="14" fillId="11" borderId="1" xfId="1" applyNumberFormat="1" applyFont="1" applyFill="1" applyBorder="1" applyAlignment="1">
      <alignment horizontal="center" vertical="center"/>
    </xf>
    <xf numFmtId="164" fontId="14" fillId="11" borderId="8" xfId="1" applyNumberFormat="1" applyFont="1" applyFill="1" applyBorder="1" applyAlignment="1">
      <alignment horizontal="right" vertical="center" indent="4"/>
    </xf>
    <xf numFmtId="164" fontId="14" fillId="11" borderId="16" xfId="1" applyNumberFormat="1" applyFont="1" applyFill="1" applyBorder="1" applyAlignment="1">
      <alignment horizontal="right" vertical="center" indent="4"/>
    </xf>
    <xf numFmtId="0" fontId="15" fillId="0" borderId="0" xfId="0" applyFont="1" applyAlignment="1">
      <alignment vertical="center"/>
    </xf>
    <xf numFmtId="164" fontId="14" fillId="12" borderId="17" xfId="1" applyNumberFormat="1" applyFont="1" applyFill="1" applyBorder="1" applyAlignment="1">
      <alignment horizontal="right" vertical="center" indent="4"/>
    </xf>
    <xf numFmtId="164" fontId="14" fillId="12" borderId="6" xfId="1" applyNumberFormat="1" applyFont="1" applyFill="1" applyBorder="1" applyAlignment="1">
      <alignment horizontal="right" vertical="center" indent="4"/>
    </xf>
    <xf numFmtId="164" fontId="14" fillId="12" borderId="1" xfId="1" applyNumberFormat="1" applyFont="1" applyFill="1" applyBorder="1" applyAlignment="1">
      <alignment horizontal="right" vertical="center" indent="4"/>
    </xf>
    <xf numFmtId="164" fontId="10" fillId="4" borderId="18" xfId="1" applyNumberFormat="1" applyFont="1" applyFill="1" applyBorder="1" applyAlignment="1">
      <alignment horizontal="right" vertical="center" indent="4"/>
    </xf>
    <xf numFmtId="164" fontId="10" fillId="4" borderId="19" xfId="1" applyNumberFormat="1" applyFont="1" applyFill="1" applyBorder="1" applyAlignment="1">
      <alignment horizontal="right" vertical="center" indent="4"/>
    </xf>
    <xf numFmtId="164" fontId="10" fillId="4" borderId="0" xfId="1" applyNumberFormat="1" applyFont="1" applyFill="1" applyBorder="1" applyAlignment="1">
      <alignment horizontal="right" vertical="center" indent="4"/>
    </xf>
    <xf numFmtId="164" fontId="10" fillId="4" borderId="15" xfId="1" applyNumberFormat="1" applyFont="1" applyFill="1" applyBorder="1" applyAlignment="1">
      <alignment horizontal="right" vertical="center" indent="4"/>
    </xf>
    <xf numFmtId="1" fontId="14" fillId="4" borderId="6" xfId="1" applyNumberFormat="1" applyFont="1" applyFill="1" applyBorder="1" applyAlignment="1">
      <alignment horizontal="center" vertical="center"/>
    </xf>
    <xf numFmtId="164" fontId="14" fillId="4" borderId="0" xfId="1" applyNumberFormat="1" applyFont="1" applyFill="1" applyBorder="1" applyAlignment="1">
      <alignment horizontal="right" vertical="center" indent="4"/>
    </xf>
    <xf numFmtId="164" fontId="14" fillId="4" borderId="15" xfId="1" applyNumberFormat="1" applyFont="1" applyFill="1" applyBorder="1" applyAlignment="1">
      <alignment horizontal="right" vertical="center" indent="4"/>
    </xf>
    <xf numFmtId="164" fontId="10" fillId="4" borderId="8" xfId="1" applyNumberFormat="1" applyFont="1" applyFill="1" applyBorder="1" applyAlignment="1">
      <alignment horizontal="right" vertical="center" indent="4"/>
    </xf>
    <xf numFmtId="164" fontId="10" fillId="4" borderId="16" xfId="1" applyNumberFormat="1" applyFont="1" applyFill="1" applyBorder="1" applyAlignment="1">
      <alignment horizontal="right" vertical="center" indent="4"/>
    </xf>
    <xf numFmtId="164" fontId="10" fillId="2" borderId="18" xfId="1" applyNumberFormat="1" applyFont="1" applyFill="1" applyBorder="1" applyAlignment="1">
      <alignment horizontal="right" vertical="center" indent="4"/>
    </xf>
    <xf numFmtId="164" fontId="10" fillId="2" borderId="19" xfId="1" applyNumberFormat="1" applyFont="1" applyFill="1" applyBorder="1" applyAlignment="1">
      <alignment horizontal="right" vertical="center" indent="4"/>
    </xf>
    <xf numFmtId="164" fontId="10" fillId="2" borderId="0" xfId="1" applyNumberFormat="1" applyFont="1" applyFill="1" applyBorder="1" applyAlignment="1">
      <alignment horizontal="right" vertical="center" indent="4"/>
    </xf>
    <xf numFmtId="164" fontId="10" fillId="2" borderId="15" xfId="1" applyNumberFormat="1" applyFont="1" applyFill="1" applyBorder="1" applyAlignment="1">
      <alignment horizontal="right" vertical="center" indent="4"/>
    </xf>
    <xf numFmtId="1" fontId="14" fillId="2" borderId="6" xfId="1" applyNumberFormat="1" applyFont="1" applyFill="1" applyBorder="1" applyAlignment="1">
      <alignment horizontal="center" vertical="center"/>
    </xf>
    <xf numFmtId="164" fontId="14" fillId="2" borderId="0" xfId="1" applyNumberFormat="1" applyFont="1" applyFill="1" applyBorder="1" applyAlignment="1">
      <alignment horizontal="right" vertical="center" indent="4"/>
    </xf>
    <xf numFmtId="164" fontId="14" fillId="2" borderId="15" xfId="1" applyNumberFormat="1" applyFont="1" applyFill="1" applyBorder="1" applyAlignment="1">
      <alignment horizontal="right" vertical="center" indent="4"/>
    </xf>
    <xf numFmtId="164" fontId="10" fillId="2" borderId="8" xfId="1" applyNumberFormat="1" applyFont="1" applyFill="1" applyBorder="1" applyAlignment="1">
      <alignment horizontal="right" vertical="center" indent="4"/>
    </xf>
    <xf numFmtId="164" fontId="10" fillId="2" borderId="16" xfId="1" applyNumberFormat="1" applyFont="1" applyFill="1" applyBorder="1" applyAlignment="1">
      <alignment horizontal="right" vertical="center" indent="4"/>
    </xf>
    <xf numFmtId="0" fontId="16" fillId="13" borderId="0" xfId="1" applyFont="1" applyFill="1" applyBorder="1" applyAlignment="1">
      <alignment horizontal="center" vertical="center"/>
    </xf>
    <xf numFmtId="0" fontId="16" fillId="13" borderId="0" xfId="1" applyFont="1" applyFill="1" applyBorder="1" applyAlignment="1">
      <alignment horizontal="right" vertical="center"/>
    </xf>
    <xf numFmtId="0" fontId="10" fillId="13" borderId="0" xfId="1" applyFont="1" applyFill="1" applyBorder="1" applyAlignment="1">
      <alignment horizontal="right" vertical="center"/>
    </xf>
    <xf numFmtId="0" fontId="16" fillId="13" borderId="0" xfId="1" applyFont="1" applyFill="1" applyBorder="1" applyAlignment="1">
      <alignment horizontal="left" vertical="center"/>
    </xf>
    <xf numFmtId="164" fontId="10" fillId="13" borderId="0" xfId="1" applyNumberFormat="1" applyFont="1" applyFill="1" applyBorder="1" applyAlignment="1">
      <alignment horizontal="right" vertical="center"/>
    </xf>
    <xf numFmtId="1" fontId="10" fillId="14" borderId="0" xfId="0" applyNumberFormat="1" applyFont="1" applyFill="1" applyAlignment="1">
      <alignment horizontal="right" vertical="center"/>
    </xf>
    <xf numFmtId="1" fontId="10" fillId="14" borderId="0" xfId="0" applyNumberFormat="1" applyFont="1" applyFill="1" applyAlignment="1">
      <alignment horizontal="left" vertical="center"/>
    </xf>
    <xf numFmtId="1" fontId="16" fillId="14" borderId="0" xfId="0" applyNumberFormat="1" applyFont="1" applyFill="1" applyAlignment="1">
      <alignment horizontal="left" vertical="center"/>
    </xf>
    <xf numFmtId="0" fontId="16" fillId="14" borderId="0" xfId="0" applyFont="1" applyFill="1" applyAlignment="1">
      <alignment horizontal="left" vertical="center"/>
    </xf>
    <xf numFmtId="1" fontId="10" fillId="14" borderId="0" xfId="0" applyNumberFormat="1" applyFont="1" applyFill="1" applyAlignment="1">
      <alignment horizontal="center" vertical="center"/>
    </xf>
    <xf numFmtId="0" fontId="10" fillId="14" borderId="0" xfId="0" applyFont="1" applyFill="1" applyAlignment="1">
      <alignment horizontal="right" vertical="center"/>
    </xf>
    <xf numFmtId="1" fontId="16" fillId="0" borderId="0" xfId="0" applyNumberFormat="1" applyFont="1" applyAlignment="1">
      <alignment horizontal="left" vertical="center"/>
    </xf>
    <xf numFmtId="164" fontId="16" fillId="0" borderId="0" xfId="0" applyNumberFormat="1" applyFont="1" applyAlignment="1">
      <alignment horizontal="left" vertical="center"/>
    </xf>
    <xf numFmtId="0" fontId="10" fillId="13" borderId="0" xfId="0" applyFont="1" applyFill="1" applyAlignment="1">
      <alignment horizontal="right" vertical="center"/>
    </xf>
    <xf numFmtId="0" fontId="20" fillId="0" borderId="0" xfId="0" applyFont="1" applyAlignment="1">
      <alignment horizontal="center" vertical="center"/>
    </xf>
    <xf numFmtId="0" fontId="14" fillId="0" borderId="19" xfId="0" applyFont="1" applyBorder="1" applyAlignment="1">
      <alignment horizontal="center" vertical="center"/>
    </xf>
    <xf numFmtId="0" fontId="14" fillId="0" borderId="15" xfId="0" applyFont="1" applyBorder="1" applyAlignment="1">
      <alignment horizontal="center" vertical="center"/>
    </xf>
    <xf numFmtId="1" fontId="10" fillId="13" borderId="0" xfId="0" applyNumberFormat="1" applyFont="1" applyFill="1" applyAlignment="1">
      <alignment horizontal="center" vertical="center"/>
    </xf>
    <xf numFmtId="164" fontId="10" fillId="13" borderId="0" xfId="0" applyNumberFormat="1" applyFont="1" applyFill="1" applyAlignment="1">
      <alignment horizontal="center" vertical="center"/>
    </xf>
    <xf numFmtId="0" fontId="10" fillId="0" borderId="14" xfId="0" applyFont="1" applyBorder="1" applyAlignment="1">
      <alignment horizontal="right" vertical="center" indent="3"/>
    </xf>
    <xf numFmtId="0" fontId="10" fillId="0" borderId="4" xfId="0" applyFont="1" applyBorder="1" applyAlignment="1">
      <alignment horizontal="right" vertical="center" indent="3"/>
    </xf>
    <xf numFmtId="0" fontId="10" fillId="0" borderId="11" xfId="0" applyFont="1" applyBorder="1" applyAlignment="1">
      <alignment horizontal="right" vertical="center" indent="3"/>
    </xf>
    <xf numFmtId="0" fontId="10" fillId="0" borderId="14" xfId="0" applyFont="1" applyBorder="1" applyAlignment="1">
      <alignment horizontal="center" vertical="center"/>
    </xf>
    <xf numFmtId="0" fontId="10" fillId="0" borderId="4" xfId="0" applyFont="1" applyBorder="1" applyAlignment="1">
      <alignment vertical="center"/>
    </xf>
    <xf numFmtId="0" fontId="10" fillId="0" borderId="11" xfId="0" applyFont="1" applyBorder="1" applyAlignment="1">
      <alignment vertical="center"/>
    </xf>
    <xf numFmtId="0" fontId="10" fillId="0" borderId="11" xfId="0" applyFont="1" applyBorder="1" applyAlignment="1">
      <alignment horizontal="center" vertical="center"/>
    </xf>
    <xf numFmtId="0" fontId="10" fillId="0" borderId="18" xfId="0" applyFont="1" applyBorder="1" applyAlignment="1">
      <alignment vertical="center" wrapText="1"/>
    </xf>
    <xf numFmtId="0" fontId="10" fillId="0" borderId="23" xfId="0" applyFont="1" applyBorder="1" applyAlignment="1">
      <alignment vertical="center"/>
    </xf>
    <xf numFmtId="1" fontId="14" fillId="0" borderId="0" xfId="0" applyNumberFormat="1" applyFont="1" applyAlignment="1">
      <alignment horizontal="right" vertical="center"/>
    </xf>
    <xf numFmtId="0" fontId="14" fillId="0" borderId="15" xfId="0" applyFont="1" applyBorder="1" applyAlignment="1">
      <alignment horizontal="left" vertical="center"/>
    </xf>
    <xf numFmtId="0" fontId="17" fillId="0" borderId="20" xfId="0" applyFont="1" applyBorder="1" applyAlignment="1">
      <alignment horizontal="center" vertical="center"/>
    </xf>
    <xf numFmtId="164" fontId="10" fillId="5" borderId="0" xfId="0" applyNumberFormat="1" applyFont="1" applyFill="1" applyAlignment="1">
      <alignment horizontal="right" vertical="center"/>
    </xf>
    <xf numFmtId="2" fontId="10" fillId="0" borderId="0" xfId="0" applyNumberFormat="1" applyFont="1" applyAlignment="1">
      <alignment vertical="center"/>
    </xf>
    <xf numFmtId="165" fontId="10" fillId="6" borderId="18" xfId="0" applyNumberFormat="1" applyFont="1" applyFill="1" applyBorder="1" applyAlignment="1">
      <alignment horizontal="right" vertical="center"/>
    </xf>
    <xf numFmtId="0" fontId="23" fillId="0" borderId="0" xfId="0" applyFont="1" applyAlignment="1">
      <alignment vertical="center"/>
    </xf>
    <xf numFmtId="0" fontId="14" fillId="0" borderId="0" xfId="0" applyFont="1" applyAlignment="1">
      <alignment vertical="center"/>
    </xf>
    <xf numFmtId="0" fontId="14" fillId="4" borderId="21" xfId="1" applyFont="1" applyFill="1" applyBorder="1" applyAlignment="1">
      <alignment horizontal="center" vertical="center"/>
    </xf>
    <xf numFmtId="0" fontId="20" fillId="0" borderId="0" xfId="0" applyFont="1" applyAlignment="1">
      <alignment vertical="center"/>
    </xf>
    <xf numFmtId="0" fontId="14" fillId="0" borderId="0" xfId="0" applyFont="1" applyAlignment="1">
      <alignment horizontal="right" vertical="center"/>
    </xf>
    <xf numFmtId="1" fontId="14" fillId="0" borderId="8" xfId="0" applyNumberFormat="1" applyFont="1" applyBorder="1" applyAlignment="1">
      <alignment horizontal="right" vertical="center"/>
    </xf>
    <xf numFmtId="0" fontId="14" fillId="0" borderId="8" xfId="0" applyFont="1" applyBorder="1" applyAlignment="1">
      <alignment horizontal="left" vertical="center"/>
    </xf>
    <xf numFmtId="0" fontId="20" fillId="0" borderId="0" xfId="0" applyFont="1" applyAlignment="1">
      <alignment horizontal="left" vertical="center"/>
    </xf>
    <xf numFmtId="1" fontId="14" fillId="0" borderId="18" xfId="0" applyNumberFormat="1" applyFont="1" applyBorder="1" applyAlignment="1">
      <alignment horizontal="right" vertical="center"/>
    </xf>
    <xf numFmtId="1" fontId="28" fillId="0" borderId="6" xfId="0" applyNumberFormat="1" applyFont="1" applyBorder="1" applyAlignment="1">
      <alignment horizontal="center" vertical="center"/>
    </xf>
    <xf numFmtId="1" fontId="28" fillId="0" borderId="17" xfId="0" applyNumberFormat="1" applyFont="1" applyBorder="1" applyAlignment="1">
      <alignment horizontal="center" vertical="center"/>
    </xf>
    <xf numFmtId="11" fontId="14" fillId="0" borderId="18" xfId="0" applyNumberFormat="1" applyFont="1" applyBorder="1" applyAlignment="1">
      <alignment horizontal="left" vertical="center"/>
    </xf>
    <xf numFmtId="11" fontId="14" fillId="0" borderId="19" xfId="0" applyNumberFormat="1" applyFont="1" applyBorder="1" applyAlignment="1">
      <alignment horizontal="center" vertical="center"/>
    </xf>
    <xf numFmtId="0" fontId="21" fillId="4" borderId="18" xfId="0" applyFont="1" applyFill="1" applyBorder="1" applyAlignment="1">
      <alignment horizontal="center" vertical="center"/>
    </xf>
    <xf numFmtId="1" fontId="10" fillId="0" borderId="16" xfId="0" applyNumberFormat="1" applyFont="1" applyBorder="1" applyAlignment="1">
      <alignment horizontal="left" vertical="center"/>
    </xf>
    <xf numFmtId="1" fontId="28" fillId="4" borderId="18" xfId="0" applyNumberFormat="1" applyFont="1" applyFill="1" applyBorder="1" applyAlignment="1">
      <alignment horizontal="center" vertical="center"/>
    </xf>
    <xf numFmtId="1" fontId="28" fillId="4" borderId="8" xfId="0" applyNumberFormat="1" applyFont="1" applyFill="1" applyBorder="1" applyAlignment="1">
      <alignment horizontal="center" vertical="center"/>
    </xf>
    <xf numFmtId="0" fontId="14" fillId="2" borderId="21" xfId="1" applyFont="1" applyFill="1" applyBorder="1" applyAlignment="1">
      <alignment horizontal="center" vertical="center"/>
    </xf>
    <xf numFmtId="0" fontId="16" fillId="2" borderId="21" xfId="1" applyFont="1" applyFill="1" applyBorder="1" applyAlignment="1">
      <alignment horizontal="left" vertical="center"/>
    </xf>
    <xf numFmtId="0" fontId="16" fillId="2" borderId="22" xfId="1" applyFont="1" applyFill="1" applyBorder="1" applyAlignment="1">
      <alignment horizontal="left" vertical="center"/>
    </xf>
    <xf numFmtId="0" fontId="21" fillId="2" borderId="18" xfId="0" applyFont="1" applyFill="1" applyBorder="1" applyAlignment="1">
      <alignment horizontal="center" vertical="center"/>
    </xf>
    <xf numFmtId="1" fontId="10" fillId="2" borderId="21" xfId="1" applyNumberFormat="1" applyFont="1" applyFill="1" applyBorder="1" applyAlignment="1">
      <alignment horizontal="center" vertical="center"/>
    </xf>
    <xf numFmtId="0" fontId="14" fillId="0" borderId="0" xfId="0" applyFont="1" applyAlignment="1">
      <alignment horizontal="left" vertical="center"/>
    </xf>
    <xf numFmtId="164" fontId="10" fillId="4" borderId="1" xfId="1" applyNumberFormat="1" applyFont="1" applyFill="1" applyBorder="1" applyAlignment="1">
      <alignment horizontal="center" vertical="center"/>
    </xf>
    <xf numFmtId="1" fontId="28" fillId="2" borderId="18" xfId="0" applyNumberFormat="1" applyFont="1" applyFill="1" applyBorder="1" applyAlignment="1">
      <alignment horizontal="center" vertical="center"/>
    </xf>
    <xf numFmtId="1" fontId="28" fillId="2" borderId="8" xfId="0" applyNumberFormat="1" applyFont="1" applyFill="1" applyBorder="1" applyAlignment="1">
      <alignment horizontal="center" vertical="center"/>
    </xf>
    <xf numFmtId="166" fontId="14" fillId="0" borderId="0" xfId="0" applyNumberFormat="1" applyFont="1" applyAlignment="1">
      <alignment horizontal="right" vertical="center"/>
    </xf>
    <xf numFmtId="166" fontId="10" fillId="0" borderId="18" xfId="0" applyNumberFormat="1" applyFont="1" applyBorder="1" applyAlignment="1">
      <alignment horizontal="right" vertical="center"/>
    </xf>
    <xf numFmtId="166" fontId="10" fillId="0" borderId="8" xfId="0" applyNumberFormat="1" applyFont="1" applyBorder="1" applyAlignment="1">
      <alignment horizontal="right" vertical="center"/>
    </xf>
    <xf numFmtId="166" fontId="10" fillId="0" borderId="0" xfId="0" applyNumberFormat="1" applyFont="1" applyAlignment="1">
      <alignment horizontal="right" vertical="center"/>
    </xf>
    <xf numFmtId="0" fontId="15" fillId="0" borderId="0" xfId="0" applyFont="1" applyAlignment="1">
      <alignment horizontal="right" vertical="center"/>
    </xf>
    <xf numFmtId="165" fontId="0" fillId="0" borderId="0" xfId="0" applyNumberFormat="1"/>
    <xf numFmtId="0" fontId="31" fillId="0" borderId="0" xfId="0" applyFont="1" applyAlignment="1">
      <alignment horizontal="right"/>
    </xf>
    <xf numFmtId="0" fontId="14" fillId="0" borderId="18" xfId="0" applyFont="1" applyBorder="1" applyAlignment="1">
      <alignment horizontal="right" vertical="center"/>
    </xf>
    <xf numFmtId="0" fontId="10" fillId="15" borderId="8" xfId="1" applyFont="1" applyFill="1" applyBorder="1" applyAlignment="1">
      <alignment horizontal="center" vertical="center"/>
    </xf>
    <xf numFmtId="11" fontId="15" fillId="0" borderId="0" xfId="0" applyNumberFormat="1" applyFont="1" applyAlignment="1">
      <alignment horizontal="right" vertical="center"/>
    </xf>
    <xf numFmtId="1" fontId="16" fillId="0" borderId="0" xfId="0" applyNumberFormat="1" applyFont="1" applyAlignment="1">
      <alignment vertical="center"/>
    </xf>
    <xf numFmtId="1" fontId="10" fillId="0" borderId="15" xfId="0" applyNumberFormat="1" applyFont="1" applyBorder="1" applyAlignment="1">
      <alignment vertical="center"/>
    </xf>
    <xf numFmtId="1" fontId="10" fillId="0" borderId="0" xfId="1" applyNumberFormat="1" applyFont="1" applyFill="1" applyAlignment="1">
      <alignment vertical="center"/>
    </xf>
    <xf numFmtId="1" fontId="10" fillId="0" borderId="19" xfId="0" applyNumberFormat="1" applyFont="1" applyBorder="1" applyAlignment="1">
      <alignment horizontal="center" vertical="center"/>
    </xf>
    <xf numFmtId="1" fontId="10" fillId="0" borderId="15"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4" fillId="0" borderId="19" xfId="0" applyNumberFormat="1" applyFont="1" applyBorder="1" applyAlignment="1">
      <alignment horizontal="center" vertical="center"/>
    </xf>
    <xf numFmtId="1" fontId="14" fillId="0" borderId="15" xfId="0" applyNumberFormat="1" applyFont="1" applyBorder="1" applyAlignment="1">
      <alignment horizontal="center" vertical="center"/>
    </xf>
    <xf numFmtId="0" fontId="14" fillId="4" borderId="17" xfId="0" applyFont="1" applyFill="1" applyBorder="1" applyAlignment="1">
      <alignment horizontal="center" vertical="center"/>
    </xf>
    <xf numFmtId="0" fontId="14" fillId="4" borderId="1" xfId="0" applyFont="1" applyFill="1" applyBorder="1" applyAlignment="1">
      <alignment horizontal="center" vertical="center"/>
    </xf>
    <xf numFmtId="1" fontId="21" fillId="4" borderId="17" xfId="0" applyNumberFormat="1" applyFont="1" applyFill="1" applyBorder="1" applyAlignment="1">
      <alignment horizontal="center" vertical="center"/>
    </xf>
    <xf numFmtId="1" fontId="21" fillId="4" borderId="1" xfId="0" applyNumberFormat="1" applyFont="1" applyFill="1" applyBorder="1" applyAlignment="1">
      <alignment horizontal="center" vertical="center"/>
    </xf>
    <xf numFmtId="0" fontId="14" fillId="2" borderId="17" xfId="0" applyFont="1" applyFill="1" applyBorder="1" applyAlignment="1">
      <alignment horizontal="center" vertical="center"/>
    </xf>
    <xf numFmtId="0" fontId="14" fillId="2" borderId="1" xfId="0" applyFont="1" applyFill="1" applyBorder="1" applyAlignment="1">
      <alignment horizontal="center" vertical="center"/>
    </xf>
    <xf numFmtId="1" fontId="21" fillId="2" borderId="17" xfId="0" applyNumberFormat="1" applyFont="1" applyFill="1" applyBorder="1" applyAlignment="1">
      <alignment horizontal="center" vertical="center"/>
    </xf>
    <xf numFmtId="1" fontId="21" fillId="2" borderId="1" xfId="0" applyNumberFormat="1" applyFont="1" applyFill="1" applyBorder="1" applyAlignment="1">
      <alignment horizontal="center" vertical="center"/>
    </xf>
    <xf numFmtId="1" fontId="28" fillId="2" borderId="17" xfId="0" applyNumberFormat="1" applyFont="1" applyFill="1" applyBorder="1" applyAlignment="1">
      <alignment horizontal="center" vertical="center"/>
    </xf>
    <xf numFmtId="1" fontId="28" fillId="2" borderId="1" xfId="0" applyNumberFormat="1" applyFont="1" applyFill="1" applyBorder="1" applyAlignment="1">
      <alignment horizontal="center" vertical="center"/>
    </xf>
    <xf numFmtId="0" fontId="10" fillId="9" borderId="0" xfId="0" applyFont="1" applyFill="1" applyAlignment="1">
      <alignment horizontal="center" vertical="center"/>
    </xf>
    <xf numFmtId="0" fontId="10" fillId="6" borderId="0" xfId="0" applyFont="1" applyFill="1" applyAlignment="1">
      <alignment vertical="center"/>
    </xf>
    <xf numFmtId="0" fontId="10" fillId="4" borderId="0" xfId="0" applyFont="1" applyFill="1" applyAlignment="1">
      <alignment vertical="center"/>
    </xf>
    <xf numFmtId="0" fontId="10" fillId="2" borderId="0" xfId="0" applyFont="1" applyFill="1" applyAlignment="1">
      <alignment vertical="center"/>
    </xf>
    <xf numFmtId="0" fontId="10" fillId="7" borderId="0" xfId="0" applyFont="1" applyFill="1" applyAlignment="1">
      <alignment vertical="center"/>
    </xf>
    <xf numFmtId="0" fontId="10" fillId="8" borderId="18" xfId="0" applyFont="1" applyFill="1" applyBorder="1" applyAlignment="1">
      <alignment vertical="center"/>
    </xf>
    <xf numFmtId="2" fontId="10" fillId="0" borderId="0" xfId="0" applyNumberFormat="1" applyFont="1" applyAlignment="1">
      <alignment horizontal="right" vertical="center"/>
    </xf>
    <xf numFmtId="1" fontId="10" fillId="4" borderId="18" xfId="0" applyNumberFormat="1" applyFont="1" applyFill="1" applyBorder="1" applyAlignment="1">
      <alignment horizontal="right" vertical="center" indent="3"/>
    </xf>
    <xf numFmtId="1" fontId="10" fillId="4" borderId="0" xfId="0" applyNumberFormat="1" applyFont="1" applyFill="1" applyAlignment="1">
      <alignment horizontal="right" vertical="center" indent="3"/>
    </xf>
    <xf numFmtId="1" fontId="10" fillId="4" borderId="8" xfId="0" applyNumberFormat="1" applyFont="1" applyFill="1" applyBorder="1" applyAlignment="1">
      <alignment horizontal="right" vertical="center" indent="3"/>
    </xf>
    <xf numFmtId="1" fontId="10" fillId="4" borderId="17" xfId="0" applyNumberFormat="1" applyFont="1" applyFill="1" applyBorder="1" applyAlignment="1">
      <alignment horizontal="right" vertical="center" indent="3"/>
    </xf>
    <xf numFmtId="0" fontId="10" fillId="4" borderId="18" xfId="0" applyFont="1" applyFill="1" applyBorder="1" applyAlignment="1">
      <alignment horizontal="right" vertical="center" indent="3"/>
    </xf>
    <xf numFmtId="165" fontId="10" fillId="4" borderId="19" xfId="0" applyNumberFormat="1" applyFont="1" applyFill="1" applyBorder="1" applyAlignment="1">
      <alignment horizontal="right" vertical="center" indent="3"/>
    </xf>
    <xf numFmtId="1" fontId="10" fillId="4" borderId="6" xfId="0" applyNumberFormat="1" applyFont="1" applyFill="1" applyBorder="1" applyAlignment="1">
      <alignment horizontal="right" vertical="center" indent="3"/>
    </xf>
    <xf numFmtId="0" fontId="10" fillId="4" borderId="0" xfId="0" applyFont="1" applyFill="1" applyAlignment="1">
      <alignment horizontal="right" vertical="center" indent="3"/>
    </xf>
    <xf numFmtId="165" fontId="10" fillId="4" borderId="15" xfId="0" applyNumberFormat="1" applyFont="1" applyFill="1" applyBorder="1" applyAlignment="1">
      <alignment horizontal="right" vertical="center" indent="3"/>
    </xf>
    <xf numFmtId="1" fontId="10" fillId="4" borderId="1" xfId="0" applyNumberFormat="1" applyFont="1" applyFill="1" applyBorder="1" applyAlignment="1">
      <alignment horizontal="right" vertical="center" indent="3"/>
    </xf>
    <xf numFmtId="0" fontId="10" fillId="4" borderId="8" xfId="0" applyFont="1" applyFill="1" applyBorder="1" applyAlignment="1">
      <alignment horizontal="right" vertical="center" indent="3"/>
    </xf>
    <xf numFmtId="165" fontId="10" fillId="4" borderId="16" xfId="0" applyNumberFormat="1" applyFont="1" applyFill="1" applyBorder="1" applyAlignment="1">
      <alignment horizontal="right" vertical="center" indent="3"/>
    </xf>
    <xf numFmtId="1" fontId="10" fillId="4" borderId="16" xfId="0" applyNumberFormat="1" applyFont="1" applyFill="1" applyBorder="1" applyAlignment="1">
      <alignment horizontal="right" vertical="center" indent="3"/>
    </xf>
    <xf numFmtId="11" fontId="10" fillId="4" borderId="0" xfId="0" applyNumberFormat="1" applyFont="1" applyFill="1" applyAlignment="1">
      <alignment horizontal="right" vertical="center" indent="3"/>
    </xf>
    <xf numFmtId="1" fontId="10" fillId="4" borderId="1" xfId="1" applyNumberFormat="1" applyFont="1" applyFill="1" applyBorder="1" applyAlignment="1">
      <alignment horizontal="right" vertical="center" indent="3"/>
    </xf>
    <xf numFmtId="1" fontId="14" fillId="4" borderId="8" xfId="0" applyNumberFormat="1" applyFont="1" applyFill="1" applyBorder="1" applyAlignment="1">
      <alignment horizontal="right" vertical="center" indent="3"/>
    </xf>
    <xf numFmtId="11" fontId="10" fillId="4" borderId="8" xfId="0" applyNumberFormat="1" applyFont="1" applyFill="1" applyBorder="1" applyAlignment="1">
      <alignment horizontal="right" vertical="center" indent="3"/>
    </xf>
    <xf numFmtId="1" fontId="10" fillId="4" borderId="23" xfId="0" applyNumberFormat="1" applyFont="1" applyFill="1" applyBorder="1" applyAlignment="1">
      <alignment horizontal="right" vertical="center" indent="3"/>
    </xf>
    <xf numFmtId="1" fontId="10" fillId="4" borderId="21" xfId="0" applyNumberFormat="1" applyFont="1" applyFill="1" applyBorder="1" applyAlignment="1">
      <alignment horizontal="right" vertical="center" indent="3"/>
    </xf>
    <xf numFmtId="1" fontId="10" fillId="2" borderId="17" xfId="0" applyNumberFormat="1" applyFont="1" applyFill="1" applyBorder="1" applyAlignment="1">
      <alignment horizontal="right" vertical="center" indent="3"/>
    </xf>
    <xf numFmtId="1" fontId="10" fillId="2" borderId="18" xfId="0" applyNumberFormat="1" applyFont="1" applyFill="1" applyBorder="1" applyAlignment="1">
      <alignment horizontal="right" vertical="center" indent="3"/>
    </xf>
    <xf numFmtId="165" fontId="10" fillId="2" borderId="19" xfId="0" applyNumberFormat="1" applyFont="1" applyFill="1" applyBorder="1" applyAlignment="1">
      <alignment horizontal="right" vertical="center" indent="3"/>
    </xf>
    <xf numFmtId="1" fontId="10" fillId="2" borderId="6" xfId="0" applyNumberFormat="1" applyFont="1" applyFill="1" applyBorder="1" applyAlignment="1">
      <alignment horizontal="right" vertical="center" indent="3"/>
    </xf>
    <xf numFmtId="1" fontId="10" fillId="2" borderId="0" xfId="0" applyNumberFormat="1" applyFont="1" applyFill="1" applyAlignment="1">
      <alignment horizontal="right" vertical="center" indent="3"/>
    </xf>
    <xf numFmtId="165" fontId="10" fillId="2" borderId="15" xfId="0" applyNumberFormat="1" applyFont="1" applyFill="1" applyBorder="1" applyAlignment="1">
      <alignment horizontal="right" vertical="center" indent="3"/>
    </xf>
    <xf numFmtId="1" fontId="10" fillId="2" borderId="15" xfId="0" applyNumberFormat="1" applyFont="1" applyFill="1" applyBorder="1" applyAlignment="1">
      <alignment horizontal="right" vertical="center" indent="3"/>
    </xf>
    <xf numFmtId="1" fontId="10" fillId="2" borderId="1" xfId="0" applyNumberFormat="1" applyFont="1" applyFill="1" applyBorder="1" applyAlignment="1">
      <alignment horizontal="right" vertical="center" indent="3"/>
    </xf>
    <xf numFmtId="1" fontId="10" fillId="2" borderId="8" xfId="0" applyNumberFormat="1" applyFont="1" applyFill="1" applyBorder="1" applyAlignment="1">
      <alignment horizontal="right" vertical="center" indent="3"/>
    </xf>
    <xf numFmtId="165" fontId="10" fillId="2" borderId="16" xfId="0" applyNumberFormat="1" applyFont="1" applyFill="1" applyBorder="1" applyAlignment="1">
      <alignment horizontal="right" vertical="center" indent="3"/>
    </xf>
    <xf numFmtId="1" fontId="10" fillId="6" borderId="0" xfId="1" applyNumberFormat="1" applyFont="1" applyFill="1" applyBorder="1" applyAlignment="1">
      <alignment horizontal="right" vertical="center" indent="3"/>
    </xf>
    <xf numFmtId="164" fontId="10" fillId="6" borderId="0" xfId="1" applyNumberFormat="1" applyFont="1" applyFill="1" applyBorder="1" applyAlignment="1">
      <alignment horizontal="right" vertical="center" indent="3"/>
    </xf>
    <xf numFmtId="164" fontId="10" fillId="6" borderId="15" xfId="1" applyNumberFormat="1" applyFont="1" applyFill="1" applyBorder="1" applyAlignment="1">
      <alignment horizontal="right" vertical="center" indent="3"/>
    </xf>
    <xf numFmtId="1" fontId="10" fillId="4" borderId="0" xfId="1" applyNumberFormat="1" applyFont="1" applyFill="1" applyBorder="1" applyAlignment="1">
      <alignment horizontal="right" vertical="center" indent="3"/>
    </xf>
    <xf numFmtId="1" fontId="23" fillId="4" borderId="0" xfId="1" applyNumberFormat="1" applyFont="1" applyFill="1" applyBorder="1" applyAlignment="1">
      <alignment horizontal="right" vertical="center" indent="3"/>
    </xf>
    <xf numFmtId="1" fontId="10" fillId="4" borderId="15" xfId="1" applyNumberFormat="1" applyFont="1" applyFill="1" applyBorder="1" applyAlignment="1">
      <alignment horizontal="right" vertical="center" indent="3"/>
    </xf>
    <xf numFmtId="1" fontId="10" fillId="4" borderId="8" xfId="1" applyNumberFormat="1" applyFont="1" applyFill="1" applyBorder="1" applyAlignment="1">
      <alignment horizontal="right" vertical="center" indent="3"/>
    </xf>
    <xf numFmtId="1" fontId="10" fillId="4" borderId="16" xfId="1" applyNumberFormat="1" applyFont="1" applyFill="1" applyBorder="1" applyAlignment="1">
      <alignment horizontal="right" vertical="center" indent="3"/>
    </xf>
    <xf numFmtId="165" fontId="10" fillId="0" borderId="0" xfId="0" applyNumberFormat="1" applyFont="1" applyAlignment="1">
      <alignment horizontal="center" vertical="center"/>
    </xf>
    <xf numFmtId="165" fontId="10" fillId="0" borderId="0" xfId="0" applyNumberFormat="1" applyFont="1" applyAlignment="1">
      <alignment vertical="center"/>
    </xf>
    <xf numFmtId="0" fontId="15" fillId="2" borderId="19" xfId="1" applyFont="1" applyFill="1" applyBorder="1" applyAlignment="1">
      <alignment horizontal="center" vertical="center"/>
    </xf>
    <xf numFmtId="0" fontId="15" fillId="2" borderId="16" xfId="1" applyFont="1" applyFill="1" applyBorder="1" applyAlignment="1">
      <alignment horizontal="center" vertical="center"/>
    </xf>
    <xf numFmtId="2" fontId="10" fillId="0" borderId="0" xfId="0" applyNumberFormat="1" applyFont="1" applyAlignment="1">
      <alignment horizontal="center" vertical="center"/>
    </xf>
    <xf numFmtId="1" fontId="21" fillId="0" borderId="0" xfId="0" applyNumberFormat="1" applyFont="1" applyAlignment="1">
      <alignment horizontal="center" vertical="center"/>
    </xf>
    <xf numFmtId="165" fontId="10" fillId="0" borderId="16" xfId="0" applyNumberFormat="1" applyFont="1" applyBorder="1" applyAlignment="1">
      <alignment horizontal="right" vertical="center" indent="3"/>
    </xf>
    <xf numFmtId="0" fontId="15" fillId="4" borderId="14" xfId="1" applyFont="1" applyFill="1" applyBorder="1" applyAlignment="1">
      <alignment horizontal="center" vertical="center"/>
    </xf>
    <xf numFmtId="0" fontId="15" fillId="4" borderId="11" xfId="1" applyFont="1" applyFill="1" applyBorder="1" applyAlignment="1">
      <alignment horizontal="center" vertical="center"/>
    </xf>
    <xf numFmtId="0" fontId="10" fillId="4" borderId="14" xfId="0" applyFont="1" applyFill="1" applyBorder="1" applyAlignment="1">
      <alignment horizontal="center" vertical="center"/>
    </xf>
    <xf numFmtId="1" fontId="10" fillId="4" borderId="4" xfId="0" applyNumberFormat="1" applyFont="1" applyFill="1" applyBorder="1" applyAlignment="1">
      <alignment horizontal="right" vertical="center" indent="3"/>
    </xf>
    <xf numFmtId="1" fontId="10" fillId="4" borderId="11" xfId="0" applyNumberFormat="1" applyFont="1" applyFill="1" applyBorder="1" applyAlignment="1">
      <alignment horizontal="right" vertical="center" indent="3"/>
    </xf>
    <xf numFmtId="0" fontId="10" fillId="4" borderId="14" xfId="1" applyFont="1" applyFill="1" applyBorder="1" applyAlignment="1">
      <alignment horizontal="center" vertical="center"/>
    </xf>
    <xf numFmtId="0" fontId="10" fillId="4" borderId="11" xfId="1" applyFont="1" applyFill="1" applyBorder="1" applyAlignment="1">
      <alignment horizontal="center" vertical="center"/>
    </xf>
    <xf numFmtId="165" fontId="10" fillId="4" borderId="11" xfId="0" applyNumberFormat="1" applyFont="1" applyFill="1" applyBorder="1" applyAlignment="1">
      <alignment horizontal="right" vertical="center" indent="3"/>
    </xf>
    <xf numFmtId="0" fontId="36" fillId="4" borderId="11" xfId="0" quotePrefix="1" applyFont="1" applyFill="1" applyBorder="1" applyAlignment="1">
      <alignment horizontal="left" vertical="center"/>
    </xf>
    <xf numFmtId="0" fontId="10" fillId="2" borderId="14" xfId="1" applyFont="1" applyFill="1" applyBorder="1" applyAlignment="1">
      <alignment horizontal="center" vertical="center"/>
    </xf>
    <xf numFmtId="0" fontId="10" fillId="2" borderId="11" xfId="1" applyFont="1" applyFill="1" applyBorder="1" applyAlignment="1">
      <alignment horizontal="center" vertical="center"/>
    </xf>
    <xf numFmtId="0" fontId="10" fillId="2" borderId="14" xfId="0" applyFont="1" applyFill="1" applyBorder="1" applyAlignment="1">
      <alignment horizontal="center" vertical="center"/>
    </xf>
    <xf numFmtId="0" fontId="14" fillId="0" borderId="15" xfId="0" applyFont="1" applyBorder="1" applyAlignment="1">
      <alignment vertical="center"/>
    </xf>
    <xf numFmtId="0" fontId="10" fillId="0" borderId="20" xfId="0" applyFont="1" applyBorder="1" applyAlignment="1">
      <alignment horizontal="left" vertical="center"/>
    </xf>
    <xf numFmtId="0" fontId="10" fillId="0" borderId="4" xfId="0" applyFont="1" applyBorder="1" applyAlignment="1">
      <alignment horizontal="left" vertical="center"/>
    </xf>
    <xf numFmtId="0" fontId="39" fillId="0" borderId="0" xfId="0" applyFont="1"/>
    <xf numFmtId="164" fontId="10" fillId="6" borderId="18" xfId="0" applyNumberFormat="1" applyFont="1" applyFill="1" applyBorder="1" applyAlignment="1">
      <alignment horizontal="right" vertical="center"/>
    </xf>
    <xf numFmtId="165" fontId="10" fillId="0" borderId="18" xfId="0" applyNumberFormat="1" applyFont="1" applyBorder="1" applyAlignment="1">
      <alignment horizontal="right" vertical="center"/>
    </xf>
    <xf numFmtId="167" fontId="10" fillId="0" borderId="0" xfId="0" applyNumberFormat="1" applyFont="1" applyAlignment="1">
      <alignment vertical="center"/>
    </xf>
    <xf numFmtId="2" fontId="16" fillId="0" borderId="0" xfId="0" applyNumberFormat="1" applyFont="1" applyAlignment="1">
      <alignment vertical="center"/>
    </xf>
    <xf numFmtId="1" fontId="10" fillId="0" borderId="20" xfId="0" applyNumberFormat="1" applyFont="1" applyBorder="1" applyAlignment="1">
      <alignment horizontal="right" vertical="center" indent="2"/>
    </xf>
    <xf numFmtId="2" fontId="10" fillId="0" borderId="20" xfId="0" applyNumberFormat="1" applyFont="1" applyBorder="1" applyAlignment="1">
      <alignment horizontal="right" vertical="center" indent="2"/>
    </xf>
    <xf numFmtId="2" fontId="10" fillId="0" borderId="21" xfId="0" applyNumberFormat="1" applyFont="1" applyBorder="1" applyAlignment="1">
      <alignment horizontal="right" vertical="center" indent="2"/>
    </xf>
    <xf numFmtId="1" fontId="10" fillId="0" borderId="21" xfId="0" applyNumberFormat="1" applyFont="1" applyBorder="1" applyAlignment="1">
      <alignment horizontal="center" vertical="center"/>
    </xf>
    <xf numFmtId="164" fontId="10" fillId="0" borderId="21" xfId="0" applyNumberFormat="1" applyFont="1" applyBorder="1" applyAlignment="1">
      <alignment horizontal="center" vertical="center"/>
    </xf>
    <xf numFmtId="2" fontId="15" fillId="0" borderId="0" xfId="0" applyNumberFormat="1" applyFont="1" applyAlignment="1">
      <alignment vertical="center"/>
    </xf>
    <xf numFmtId="0" fontId="2" fillId="4" borderId="8" xfId="0" applyFont="1" applyFill="1" applyBorder="1" applyAlignment="1">
      <alignment horizontal="center"/>
    </xf>
    <xf numFmtId="0" fontId="2" fillId="4" borderId="0" xfId="0" applyFont="1" applyFill="1" applyAlignment="1">
      <alignment horizontal="center"/>
    </xf>
    <xf numFmtId="0" fontId="2" fillId="0" borderId="0" xfId="0" applyFont="1" applyAlignment="1">
      <alignment horizontal="center"/>
    </xf>
    <xf numFmtId="0" fontId="2" fillId="16" borderId="0" xfId="0" applyFont="1" applyFill="1"/>
    <xf numFmtId="0" fontId="2" fillId="16" borderId="0" xfId="0" applyFont="1" applyFill="1" applyAlignment="1">
      <alignment horizontal="center"/>
    </xf>
    <xf numFmtId="0" fontId="41" fillId="4" borderId="13" xfId="0" applyFont="1" applyFill="1" applyBorder="1" applyAlignment="1">
      <alignment horizontal="center"/>
    </xf>
    <xf numFmtId="0" fontId="41" fillId="4" borderId="3" xfId="0" applyFont="1" applyFill="1" applyBorder="1"/>
    <xf numFmtId="0" fontId="42" fillId="18" borderId="0" xfId="0" applyFont="1" applyFill="1"/>
    <xf numFmtId="0" fontId="43" fillId="18" borderId="0" xfId="0" applyFont="1" applyFill="1"/>
    <xf numFmtId="0" fontId="43" fillId="2" borderId="16" xfId="0" applyFont="1" applyFill="1" applyBorder="1"/>
    <xf numFmtId="0" fontId="43" fillId="2" borderId="11" xfId="0" applyFont="1" applyFill="1" applyBorder="1" applyAlignment="1">
      <alignment horizontal="center"/>
    </xf>
    <xf numFmtId="2" fontId="43" fillId="2" borderId="1" xfId="0" applyNumberFormat="1" applyFont="1" applyFill="1" applyBorder="1" applyAlignment="1">
      <alignment horizontal="center"/>
    </xf>
    <xf numFmtId="0" fontId="43" fillId="2" borderId="0" xfId="0" applyFont="1" applyFill="1"/>
    <xf numFmtId="2" fontId="43" fillId="2" borderId="11" xfId="0" applyNumberFormat="1" applyFont="1" applyFill="1" applyBorder="1" applyAlignment="1">
      <alignment horizontal="center"/>
    </xf>
    <xf numFmtId="0" fontId="43" fillId="2" borderId="15" xfId="0" applyFont="1" applyFill="1" applyBorder="1"/>
    <xf numFmtId="0" fontId="43" fillId="2" borderId="4" xfId="0" applyFont="1" applyFill="1" applyBorder="1" applyAlignment="1">
      <alignment horizontal="center"/>
    </xf>
    <xf numFmtId="2" fontId="43" fillId="2" borderId="4" xfId="0" applyNumberFormat="1" applyFont="1" applyFill="1" applyBorder="1" applyAlignment="1">
      <alignment horizontal="center"/>
    </xf>
    <xf numFmtId="2" fontId="43" fillId="2" borderId="6" xfId="0" applyNumberFormat="1" applyFont="1" applyFill="1" applyBorder="1" applyAlignment="1">
      <alignment horizontal="center"/>
    </xf>
    <xf numFmtId="0" fontId="43" fillId="2" borderId="19" xfId="0" applyFont="1" applyFill="1" applyBorder="1"/>
    <xf numFmtId="0" fontId="43" fillId="2" borderId="14" xfId="0" applyFont="1" applyFill="1" applyBorder="1" applyAlignment="1">
      <alignment horizontal="center"/>
    </xf>
    <xf numFmtId="2" fontId="43" fillId="2" borderId="14" xfId="0" applyNumberFormat="1" applyFont="1" applyFill="1" applyBorder="1" applyAlignment="1">
      <alignment horizontal="center"/>
    </xf>
    <xf numFmtId="2" fontId="43" fillId="2" borderId="17" xfId="0" applyNumberFormat="1" applyFont="1" applyFill="1" applyBorder="1" applyAlignment="1">
      <alignment horizontal="center"/>
    </xf>
    <xf numFmtId="0" fontId="45" fillId="2" borderId="19" xfId="0" applyFont="1" applyFill="1" applyBorder="1"/>
    <xf numFmtId="0" fontId="45" fillId="2" borderId="14" xfId="0" applyFont="1" applyFill="1" applyBorder="1" applyAlignment="1">
      <alignment horizontal="center"/>
    </xf>
    <xf numFmtId="0" fontId="45" fillId="2" borderId="15" xfId="0" applyFont="1" applyFill="1" applyBorder="1"/>
    <xf numFmtId="0" fontId="45" fillId="2" borderId="4" xfId="0" applyFont="1" applyFill="1" applyBorder="1" applyAlignment="1">
      <alignment horizontal="center"/>
    </xf>
    <xf numFmtId="0" fontId="45" fillId="2" borderId="16" xfId="0" applyFont="1" applyFill="1" applyBorder="1"/>
    <xf numFmtId="0" fontId="45" fillId="2" borderId="11" xfId="0" applyFont="1" applyFill="1" applyBorder="1" applyAlignment="1">
      <alignment horizontal="center"/>
    </xf>
    <xf numFmtId="2" fontId="45" fillId="2" borderId="14" xfId="0" applyNumberFormat="1" applyFont="1" applyFill="1" applyBorder="1" applyAlignment="1">
      <alignment horizontal="center"/>
    </xf>
    <xf numFmtId="2" fontId="45" fillId="2" borderId="17" xfId="0" applyNumberFormat="1" applyFont="1" applyFill="1" applyBorder="1" applyAlignment="1">
      <alignment horizontal="center"/>
    </xf>
    <xf numFmtId="0" fontId="45" fillId="2" borderId="0" xfId="0" applyFont="1" applyFill="1"/>
    <xf numFmtId="2" fontId="45" fillId="2" borderId="4" xfId="0" applyNumberFormat="1" applyFont="1" applyFill="1" applyBorder="1" applyAlignment="1">
      <alignment horizontal="center"/>
    </xf>
    <xf numFmtId="2" fontId="45" fillId="2" borderId="6" xfId="0" applyNumberFormat="1" applyFont="1" applyFill="1" applyBorder="1" applyAlignment="1">
      <alignment horizontal="center"/>
    </xf>
    <xf numFmtId="0" fontId="43" fillId="0" borderId="0" xfId="0" applyFont="1"/>
    <xf numFmtId="0" fontId="42" fillId="19" borderId="0" xfId="0" applyFont="1" applyFill="1"/>
    <xf numFmtId="0" fontId="43" fillId="19" borderId="0" xfId="0" applyFont="1" applyFill="1"/>
    <xf numFmtId="0" fontId="43" fillId="20" borderId="16" xfId="0" applyFont="1" applyFill="1" applyBorder="1"/>
    <xf numFmtId="0" fontId="46" fillId="20" borderId="11" xfId="0" applyFont="1" applyFill="1" applyBorder="1" applyAlignment="1">
      <alignment horizontal="center"/>
    </xf>
    <xf numFmtId="0" fontId="43" fillId="20" borderId="1" xfId="0" applyFont="1" applyFill="1" applyBorder="1"/>
    <xf numFmtId="0" fontId="43" fillId="20" borderId="0" xfId="0" applyFont="1" applyFill="1"/>
    <xf numFmtId="0" fontId="43" fillId="20" borderId="15" xfId="0" applyFont="1" applyFill="1" applyBorder="1"/>
    <xf numFmtId="2" fontId="43" fillId="20" borderId="4" xfId="0" applyNumberFormat="1" applyFont="1" applyFill="1" applyBorder="1" applyAlignment="1">
      <alignment horizontal="center"/>
    </xf>
    <xf numFmtId="0" fontId="43" fillId="20" borderId="6" xfId="0" applyFont="1" applyFill="1" applyBorder="1"/>
    <xf numFmtId="0" fontId="2" fillId="21" borderId="0" xfId="0" applyFont="1" applyFill="1" applyAlignment="1">
      <alignment horizontal="center"/>
    </xf>
    <xf numFmtId="0" fontId="2" fillId="21" borderId="0" xfId="0" applyFont="1" applyFill="1"/>
    <xf numFmtId="0" fontId="48" fillId="0" borderId="0" xfId="0" applyFont="1" applyAlignment="1">
      <alignment horizontal="center"/>
    </xf>
    <xf numFmtId="0" fontId="2" fillId="0" borderId="0" xfId="0" applyFont="1" applyAlignment="1">
      <alignment horizontal="left"/>
    </xf>
    <xf numFmtId="2" fontId="2" fillId="0" borderId="0" xfId="0" applyNumberFormat="1" applyFont="1" applyAlignment="1">
      <alignment horizontal="center"/>
    </xf>
    <xf numFmtId="0" fontId="49" fillId="0" borderId="0" xfId="0" applyFont="1"/>
    <xf numFmtId="0" fontId="48" fillId="0" borderId="0" xfId="0" applyFont="1"/>
    <xf numFmtId="0" fontId="2" fillId="22" borderId="0" xfId="0" applyFont="1" applyFill="1"/>
    <xf numFmtId="0" fontId="2" fillId="0" borderId="0" xfId="0" applyFont="1" applyAlignment="1">
      <alignment horizontal="left" vertical="center"/>
    </xf>
    <xf numFmtId="0" fontId="2" fillId="0" borderId="0" xfId="0" applyFont="1" applyAlignment="1">
      <alignment horizontal="center" vertical="center"/>
    </xf>
    <xf numFmtId="0" fontId="0" fillId="0" borderId="0" xfId="0" applyAlignment="1">
      <alignment horizontal="center" vertical="center"/>
    </xf>
    <xf numFmtId="43" fontId="0" fillId="0" borderId="0" xfId="2" applyFont="1" applyFill="1" applyBorder="1" applyAlignment="1">
      <alignment horizontal="center" vertical="center"/>
    </xf>
    <xf numFmtId="0" fontId="48" fillId="23" borderId="0" xfId="0" applyFont="1" applyFill="1" applyAlignment="1">
      <alignment horizontal="left"/>
    </xf>
    <xf numFmtId="0" fontId="48" fillId="23" borderId="0" xfId="0" applyFont="1" applyFill="1" applyAlignment="1">
      <alignment horizontal="center"/>
    </xf>
    <xf numFmtId="49" fontId="2" fillId="0" borderId="0" xfId="0" applyNumberFormat="1" applyFont="1" applyAlignment="1">
      <alignment horizontal="center"/>
    </xf>
    <xf numFmtId="0" fontId="31" fillId="0" borderId="0" xfId="0" applyFont="1"/>
    <xf numFmtId="0" fontId="45" fillId="0" borderId="6" xfId="4" applyFont="1" applyBorder="1" applyAlignment="1">
      <alignment vertical="center"/>
    </xf>
    <xf numFmtId="0" fontId="45" fillId="0" borderId="0" xfId="0" applyFont="1" applyAlignment="1">
      <alignment vertical="center"/>
    </xf>
    <xf numFmtId="0" fontId="45" fillId="0" borderId="0" xfId="0" applyFont="1" applyAlignment="1">
      <alignment horizontal="left" vertical="center"/>
    </xf>
    <xf numFmtId="0" fontId="52" fillId="0" borderId="31" xfId="0" applyFont="1" applyBorder="1" applyAlignment="1">
      <alignment vertical="center"/>
    </xf>
    <xf numFmtId="0" fontId="52" fillId="0" borderId="32" xfId="0" applyFont="1" applyBorder="1" applyAlignment="1">
      <alignment vertical="center"/>
    </xf>
    <xf numFmtId="0" fontId="52" fillId="0" borderId="32" xfId="4" applyFont="1" applyBorder="1" applyAlignment="1">
      <alignment horizontal="center" vertical="center"/>
    </xf>
    <xf numFmtId="0" fontId="52" fillId="0" borderId="33" xfId="0" applyFont="1" applyBorder="1" applyAlignment="1">
      <alignment vertical="center"/>
    </xf>
    <xf numFmtId="0" fontId="43" fillId="0" borderId="0" xfId="0" applyFont="1" applyAlignment="1">
      <alignment horizontal="right" vertical="center"/>
    </xf>
    <xf numFmtId="0" fontId="43" fillId="0" borderId="0" xfId="0" applyFont="1" applyAlignment="1">
      <alignment horizontal="left" vertical="center"/>
    </xf>
    <xf numFmtId="0" fontId="54" fillId="0" borderId="0" xfId="0" applyFont="1"/>
    <xf numFmtId="0" fontId="45" fillId="25" borderId="0" xfId="4" applyFont="1" applyFill="1" applyAlignment="1">
      <alignment horizontal="center" vertical="center"/>
    </xf>
    <xf numFmtId="0" fontId="45" fillId="0" borderId="31" xfId="0" applyFont="1" applyBorder="1" applyAlignment="1">
      <alignment horizontal="center" vertical="center"/>
    </xf>
    <xf numFmtId="0" fontId="45" fillId="0" borderId="33" xfId="0" applyFont="1" applyBorder="1" applyAlignment="1">
      <alignment horizontal="center" vertical="center"/>
    </xf>
    <xf numFmtId="0" fontId="42" fillId="0" borderId="23" xfId="0" applyFont="1" applyBorder="1" applyAlignment="1">
      <alignment vertical="center"/>
    </xf>
    <xf numFmtId="0" fontId="42" fillId="0" borderId="21" xfId="0" applyFont="1" applyBorder="1" applyAlignment="1">
      <alignment vertical="center"/>
    </xf>
    <xf numFmtId="0" fontId="55" fillId="0" borderId="0" xfId="0" applyFont="1"/>
    <xf numFmtId="2" fontId="31" fillId="0" borderId="0" xfId="0" applyNumberFormat="1" applyFont="1"/>
    <xf numFmtId="0" fontId="45" fillId="0" borderId="35" xfId="0" applyFont="1" applyBorder="1" applyAlignment="1">
      <alignment vertical="center"/>
    </xf>
    <xf numFmtId="0" fontId="45" fillId="0" borderId="36" xfId="0" applyFont="1" applyBorder="1" applyAlignment="1">
      <alignment horizontal="center" vertical="center"/>
    </xf>
    <xf numFmtId="0" fontId="45" fillId="0" borderId="37" xfId="0" applyFont="1" applyBorder="1" applyAlignment="1">
      <alignment horizontal="left" vertical="center"/>
    </xf>
    <xf numFmtId="0" fontId="31" fillId="0" borderId="38" xfId="0" applyFont="1" applyBorder="1"/>
    <xf numFmtId="0" fontId="31" fillId="0" borderId="39" xfId="0" applyFont="1" applyBorder="1"/>
    <xf numFmtId="0" fontId="52" fillId="0" borderId="40" xfId="0" applyFont="1" applyBorder="1" applyAlignment="1">
      <alignment horizontal="center" vertical="center"/>
    </xf>
    <xf numFmtId="0" fontId="52" fillId="0" borderId="41" xfId="0" applyFont="1" applyBorder="1" applyAlignment="1">
      <alignment horizontal="center" vertical="center"/>
    </xf>
    <xf numFmtId="0" fontId="45" fillId="0" borderId="34" xfId="0" applyFont="1" applyBorder="1" applyAlignment="1">
      <alignment vertical="center"/>
    </xf>
    <xf numFmtId="0" fontId="52" fillId="0" borderId="0" xfId="0" applyFont="1" applyAlignment="1">
      <alignment vertical="center"/>
    </xf>
    <xf numFmtId="0" fontId="45" fillId="0" borderId="2" xfId="0" applyFont="1" applyBorder="1" applyAlignment="1">
      <alignment vertical="center"/>
    </xf>
    <xf numFmtId="0" fontId="52" fillId="0" borderId="0" xfId="4" applyFont="1" applyAlignment="1">
      <alignment horizontal="right" vertical="center"/>
    </xf>
    <xf numFmtId="0" fontId="45" fillId="0" borderId="0" xfId="4" applyFont="1" applyAlignment="1">
      <alignment horizontal="center" vertical="center"/>
    </xf>
    <xf numFmtId="0" fontId="45" fillId="0" borderId="31" xfId="0" applyFont="1" applyBorder="1" applyAlignment="1">
      <alignment vertical="center"/>
    </xf>
    <xf numFmtId="0" fontId="45" fillId="0" borderId="33" xfId="0" applyFont="1" applyBorder="1" applyAlignment="1">
      <alignment vertical="center"/>
    </xf>
    <xf numFmtId="0" fontId="45" fillId="0" borderId="21" xfId="0" applyFont="1" applyBorder="1" applyAlignment="1">
      <alignment horizontal="center" vertical="center"/>
    </xf>
    <xf numFmtId="0" fontId="45" fillId="0" borderId="22" xfId="0" applyFont="1" applyBorder="1" applyAlignment="1">
      <alignment horizontal="center" vertical="center"/>
    </xf>
    <xf numFmtId="0" fontId="45" fillId="0" borderId="40" xfId="0" applyFont="1" applyBorder="1" applyAlignment="1">
      <alignment vertical="center"/>
    </xf>
    <xf numFmtId="0" fontId="45" fillId="0" borderId="42" xfId="0" applyFont="1" applyBorder="1" applyAlignment="1">
      <alignment horizontal="center" vertical="center"/>
    </xf>
    <xf numFmtId="0" fontId="45" fillId="0" borderId="43" xfId="0" applyFont="1" applyBorder="1" applyAlignment="1">
      <alignment horizontal="left" vertical="center"/>
    </xf>
    <xf numFmtId="0" fontId="31" fillId="0" borderId="30" xfId="0" applyFont="1" applyBorder="1"/>
    <xf numFmtId="0" fontId="31" fillId="0" borderId="29" xfId="0" applyFont="1" applyBorder="1"/>
    <xf numFmtId="0" fontId="52" fillId="0" borderId="20" xfId="0" applyFont="1" applyBorder="1" applyAlignment="1">
      <alignment horizontal="center" vertical="center"/>
    </xf>
    <xf numFmtId="0" fontId="52" fillId="0" borderId="23" xfId="0" applyFont="1" applyBorder="1" applyAlignment="1">
      <alignment vertical="center"/>
    </xf>
    <xf numFmtId="0" fontId="45" fillId="0" borderId="21" xfId="0" applyFont="1" applyBorder="1" applyAlignment="1">
      <alignment vertical="center"/>
    </xf>
    <xf numFmtId="0" fontId="45" fillId="0" borderId="22" xfId="0" applyFont="1" applyBorder="1" applyAlignment="1">
      <alignment vertical="center"/>
    </xf>
    <xf numFmtId="0" fontId="45" fillId="0" borderId="20" xfId="0" applyFont="1" applyBorder="1" applyAlignment="1">
      <alignment vertical="center"/>
    </xf>
    <xf numFmtId="0" fontId="52" fillId="0" borderId="20" xfId="0" applyFont="1" applyBorder="1" applyAlignment="1">
      <alignment horizontal="left" vertical="center"/>
    </xf>
    <xf numFmtId="0" fontId="45" fillId="0" borderId="2" xfId="0" applyFont="1" applyBorder="1" applyAlignment="1">
      <alignment horizontal="left" vertical="center"/>
    </xf>
    <xf numFmtId="0" fontId="45" fillId="0" borderId="44" xfId="4" applyFont="1" applyBorder="1" applyAlignment="1">
      <alignment horizontal="center" vertical="center"/>
    </xf>
    <xf numFmtId="0" fontId="45" fillId="0" borderId="45" xfId="4" applyFont="1" applyBorder="1" applyAlignment="1">
      <alignment vertical="center"/>
    </xf>
    <xf numFmtId="0" fontId="45" fillId="0" borderId="46" xfId="0" applyFont="1" applyBorder="1" applyAlignment="1">
      <alignment horizontal="center" vertical="center"/>
    </xf>
    <xf numFmtId="0" fontId="45" fillId="0" borderId="35" xfId="0" applyFont="1" applyBorder="1" applyAlignment="1">
      <alignment horizontal="center" vertical="center"/>
    </xf>
    <xf numFmtId="0" fontId="45" fillId="0" borderId="47" xfId="0" applyFont="1" applyBorder="1" applyAlignment="1">
      <alignment horizontal="center" vertical="center"/>
    </xf>
    <xf numFmtId="1" fontId="43" fillId="0" borderId="14" xfId="0" applyNumberFormat="1" applyFont="1" applyBorder="1" applyAlignment="1">
      <alignment horizontal="center" vertical="center"/>
    </xf>
    <xf numFmtId="0" fontId="43" fillId="0" borderId="17" xfId="0" applyFont="1" applyBorder="1" applyAlignment="1">
      <alignment vertical="center"/>
    </xf>
    <xf numFmtId="2" fontId="42" fillId="0" borderId="0" xfId="0" applyNumberFormat="1" applyFont="1" applyAlignment="1">
      <alignment horizontal="center" vertical="center"/>
    </xf>
    <xf numFmtId="2" fontId="43" fillId="0" borderId="0" xfId="0" applyNumberFormat="1" applyFont="1" applyAlignment="1">
      <alignment horizontal="center" vertical="center"/>
    </xf>
    <xf numFmtId="0" fontId="52" fillId="0" borderId="0" xfId="0" applyFont="1" applyAlignment="1">
      <alignment horizontal="center" vertical="center"/>
    </xf>
    <xf numFmtId="0" fontId="45" fillId="0" borderId="3" xfId="0" applyFont="1" applyBorder="1" applyAlignment="1">
      <alignment horizontal="left" vertical="center"/>
    </xf>
    <xf numFmtId="0" fontId="45" fillId="0" borderId="14" xfId="0" applyFont="1" applyBorder="1" applyAlignment="1">
      <alignment vertical="center"/>
    </xf>
    <xf numFmtId="0" fontId="45" fillId="0" borderId="4" xfId="0" applyFont="1" applyBorder="1" applyAlignment="1">
      <alignment vertical="center"/>
    </xf>
    <xf numFmtId="0" fontId="57" fillId="4" borderId="6" xfId="0" applyFont="1" applyFill="1" applyBorder="1" applyAlignment="1">
      <alignment horizontal="center"/>
    </xf>
    <xf numFmtId="0" fontId="45" fillId="4" borderId="0" xfId="0" applyFont="1" applyFill="1"/>
    <xf numFmtId="0" fontId="45" fillId="4" borderId="15" xfId="0" applyFont="1" applyFill="1" applyBorder="1"/>
    <xf numFmtId="0" fontId="45" fillId="0" borderId="4" xfId="0" applyFont="1" applyBorder="1" applyAlignment="1">
      <alignment horizontal="left" vertical="center"/>
    </xf>
    <xf numFmtId="2" fontId="45" fillId="0" borderId="4" xfId="0" applyNumberFormat="1" applyFont="1" applyBorder="1" applyAlignment="1">
      <alignment horizontal="left" vertical="center"/>
    </xf>
    <xf numFmtId="2" fontId="45" fillId="0" borderId="11" xfId="0" applyNumberFormat="1" applyFont="1" applyBorder="1" applyAlignment="1">
      <alignment horizontal="left" vertical="center"/>
    </xf>
    <xf numFmtId="1" fontId="45" fillId="0" borderId="4" xfId="0" applyNumberFormat="1" applyFont="1" applyBorder="1" applyAlignment="1">
      <alignment horizontal="left" vertical="center"/>
    </xf>
    <xf numFmtId="0" fontId="45" fillId="0" borderId="48" xfId="4" applyFont="1" applyBorder="1" applyAlignment="1">
      <alignment horizontal="center" vertical="center"/>
    </xf>
    <xf numFmtId="0" fontId="45" fillId="0" borderId="49" xfId="4" applyFont="1" applyBorder="1" applyAlignment="1">
      <alignment vertical="center"/>
    </xf>
    <xf numFmtId="0" fontId="45" fillId="0" borderId="50" xfId="0" applyFont="1" applyBorder="1" applyAlignment="1">
      <alignment horizontal="center" vertical="center"/>
    </xf>
    <xf numFmtId="0" fontId="45" fillId="0" borderId="45" xfId="0" applyFont="1" applyBorder="1" applyAlignment="1">
      <alignment horizontal="center" vertical="center"/>
    </xf>
    <xf numFmtId="0" fontId="45" fillId="0" borderId="44" xfId="0" applyFont="1" applyBorder="1" applyAlignment="1">
      <alignment horizontal="center" vertical="center"/>
    </xf>
    <xf numFmtId="0" fontId="45" fillId="0" borderId="0" xfId="4" applyFont="1" applyAlignment="1">
      <alignment vertical="center"/>
    </xf>
    <xf numFmtId="1" fontId="43" fillId="0" borderId="4" xfId="0" applyNumberFormat="1" applyFont="1" applyBorder="1" applyAlignment="1">
      <alignment horizontal="center" vertical="center"/>
    </xf>
    <xf numFmtId="0" fontId="43" fillId="0" borderId="6" xfId="0" applyFont="1" applyBorder="1" applyAlignment="1">
      <alignment vertical="center"/>
    </xf>
    <xf numFmtId="0" fontId="45" fillId="0" borderId="25" xfId="0" applyFont="1" applyBorder="1" applyAlignment="1">
      <alignment vertical="center"/>
    </xf>
    <xf numFmtId="0" fontId="57" fillId="0" borderId="4" xfId="0" applyFont="1" applyBorder="1" applyAlignment="1">
      <alignment horizontal="left" vertical="center"/>
    </xf>
    <xf numFmtId="0" fontId="45" fillId="0" borderId="49" xfId="0" applyFont="1" applyBorder="1" applyAlignment="1">
      <alignment horizontal="center" vertical="center"/>
    </xf>
    <xf numFmtId="0" fontId="45" fillId="0" borderId="48" xfId="0" applyFont="1" applyBorder="1" applyAlignment="1">
      <alignment horizontal="center" vertical="center"/>
    </xf>
    <xf numFmtId="0" fontId="45" fillId="0" borderId="51" xfId="0" applyFont="1" applyBorder="1" applyAlignment="1">
      <alignment vertical="center"/>
    </xf>
    <xf numFmtId="0" fontId="45" fillId="0" borderId="29" xfId="0" applyFont="1" applyBorder="1" applyAlignment="1">
      <alignment horizontal="left" vertical="center"/>
    </xf>
    <xf numFmtId="0" fontId="45" fillId="0" borderId="52" xfId="0" applyFont="1" applyBorder="1" applyAlignment="1">
      <alignment horizontal="center" vertical="center"/>
    </xf>
    <xf numFmtId="0" fontId="31" fillId="0" borderId="2" xfId="0" applyFont="1" applyBorder="1" applyAlignment="1">
      <alignment horizontal="left"/>
    </xf>
    <xf numFmtId="0" fontId="45" fillId="0" borderId="40" xfId="4" applyFont="1" applyBorder="1" applyAlignment="1">
      <alignment horizontal="center" vertical="center"/>
    </xf>
    <xf numFmtId="0" fontId="45" fillId="0" borderId="41" xfId="4" applyFont="1" applyBorder="1" applyAlignment="1">
      <alignment vertical="center"/>
    </xf>
    <xf numFmtId="0" fontId="45" fillId="0" borderId="53" xfId="0" applyFont="1" applyBorder="1" applyAlignment="1">
      <alignment horizontal="center" vertical="center"/>
    </xf>
    <xf numFmtId="0" fontId="45" fillId="0" borderId="41" xfId="0" applyFont="1" applyBorder="1" applyAlignment="1">
      <alignment horizontal="center" vertical="center"/>
    </xf>
    <xf numFmtId="0" fontId="45" fillId="0" borderId="40" xfId="0" applyFont="1" applyBorder="1" applyAlignment="1">
      <alignment horizontal="center" vertical="center"/>
    </xf>
    <xf numFmtId="0" fontId="52" fillId="8" borderId="8" xfId="4" applyFont="1" applyFill="1" applyBorder="1" applyAlignment="1">
      <alignment vertical="center"/>
    </xf>
    <xf numFmtId="0" fontId="58" fillId="8" borderId="8" xfId="0" applyFont="1" applyFill="1" applyBorder="1"/>
    <xf numFmtId="0" fontId="59" fillId="8" borderId="8" xfId="0" applyFont="1" applyFill="1" applyBorder="1"/>
    <xf numFmtId="2" fontId="58" fillId="8" borderId="8" xfId="0" applyNumberFormat="1" applyFont="1" applyFill="1" applyBorder="1"/>
    <xf numFmtId="0" fontId="52" fillId="0" borderId="26" xfId="4" applyFont="1" applyBorder="1" applyAlignment="1">
      <alignment horizontal="center" vertical="center"/>
    </xf>
    <xf numFmtId="0" fontId="57" fillId="0" borderId="11" xfId="0" applyFont="1" applyBorder="1" applyAlignment="1">
      <alignment horizontal="left" vertical="center"/>
    </xf>
    <xf numFmtId="0" fontId="42" fillId="0" borderId="0" xfId="0" applyFont="1" applyAlignment="1">
      <alignment vertical="center"/>
    </xf>
    <xf numFmtId="0" fontId="45" fillId="0" borderId="18" xfId="0" applyFont="1" applyBorder="1" applyAlignment="1">
      <alignment horizontal="left" vertical="center"/>
    </xf>
    <xf numFmtId="0" fontId="57" fillId="0" borderId="20" xfId="0" applyFont="1" applyBorder="1" applyAlignment="1">
      <alignment vertical="center"/>
    </xf>
    <xf numFmtId="2" fontId="45" fillId="0" borderId="20" xfId="0" applyNumberFormat="1" applyFont="1" applyBorder="1" applyAlignment="1">
      <alignment horizontal="left" vertical="center"/>
    </xf>
    <xf numFmtId="0" fontId="45" fillId="0" borderId="11" xfId="0" applyFont="1" applyBorder="1" applyAlignment="1">
      <alignment vertical="center"/>
    </xf>
    <xf numFmtId="0" fontId="57" fillId="0" borderId="0" xfId="0" applyFont="1" applyAlignment="1">
      <alignment vertical="center"/>
    </xf>
    <xf numFmtId="2" fontId="45" fillId="0" borderId="0" xfId="0" applyNumberFormat="1" applyFont="1" applyAlignment="1">
      <alignment horizontal="left" vertical="center"/>
    </xf>
    <xf numFmtId="0" fontId="31" fillId="0" borderId="8" xfId="0" applyFont="1" applyBorder="1"/>
    <xf numFmtId="0" fontId="43" fillId="0" borderId="8" xfId="0" applyFont="1" applyBorder="1" applyAlignment="1">
      <alignment horizontal="right" vertical="center"/>
    </xf>
    <xf numFmtId="0" fontId="31" fillId="0" borderId="16" xfId="0" applyFont="1" applyBorder="1"/>
    <xf numFmtId="0" fontId="61" fillId="4" borderId="0" xfId="0" applyFont="1" applyFill="1"/>
    <xf numFmtId="0" fontId="61" fillId="4" borderId="15" xfId="0" applyFont="1" applyFill="1" applyBorder="1"/>
    <xf numFmtId="0" fontId="31" fillId="0" borderId="0" xfId="0" applyFont="1" applyAlignment="1">
      <alignment horizontal="center"/>
    </xf>
    <xf numFmtId="0" fontId="57" fillId="4" borderId="1" xfId="0" applyFont="1" applyFill="1" applyBorder="1" applyAlignment="1">
      <alignment horizontal="center"/>
    </xf>
    <xf numFmtId="0" fontId="61" fillId="4" borderId="8" xfId="0" applyFont="1" applyFill="1" applyBorder="1"/>
    <xf numFmtId="0" fontId="61" fillId="4" borderId="16" xfId="0" applyFont="1" applyFill="1" applyBorder="1"/>
    <xf numFmtId="0" fontId="31" fillId="0" borderId="3" xfId="0" applyFont="1" applyBorder="1" applyAlignment="1">
      <alignment horizontal="left"/>
    </xf>
    <xf numFmtId="0" fontId="43" fillId="0" borderId="8" xfId="0" applyFont="1" applyBorder="1" applyAlignment="1">
      <alignment horizontal="center" vertical="center"/>
    </xf>
    <xf numFmtId="0" fontId="43" fillId="0" borderId="0" xfId="0" applyFont="1" applyAlignment="1">
      <alignment vertical="center"/>
    </xf>
    <xf numFmtId="0" fontId="43" fillId="0" borderId="0" xfId="0" applyFont="1" applyAlignment="1">
      <alignment horizontal="center" vertical="center"/>
    </xf>
    <xf numFmtId="0" fontId="31" fillId="0" borderId="54" xfId="0" applyFont="1" applyBorder="1" applyAlignment="1">
      <alignment horizontal="left"/>
    </xf>
    <xf numFmtId="0" fontId="31" fillId="0" borderId="30" xfId="0" applyFont="1" applyBorder="1" applyAlignment="1">
      <alignment horizontal="left"/>
    </xf>
    <xf numFmtId="0" fontId="45" fillId="0" borderId="28" xfId="0" applyFont="1" applyBorder="1" applyAlignment="1">
      <alignment vertical="center"/>
    </xf>
    <xf numFmtId="0" fontId="45" fillId="0" borderId="29" xfId="0" applyFont="1" applyBorder="1" applyAlignment="1">
      <alignment vertical="center"/>
    </xf>
    <xf numFmtId="0" fontId="45" fillId="0" borderId="30" xfId="0" applyFont="1" applyBorder="1" applyAlignment="1">
      <alignment vertical="center"/>
    </xf>
    <xf numFmtId="0" fontId="63" fillId="0" borderId="0" xfId="0" applyFont="1"/>
    <xf numFmtId="168" fontId="45" fillId="0" borderId="0" xfId="5" applyNumberFormat="1" applyFont="1" applyFill="1" applyBorder="1" applyAlignment="1">
      <alignment horizontal="left" vertical="center"/>
    </xf>
    <xf numFmtId="164" fontId="43" fillId="0" borderId="0" xfId="0" applyNumberFormat="1" applyFont="1" applyAlignment="1">
      <alignment horizontal="center" vertical="center"/>
    </xf>
    <xf numFmtId="164" fontId="45" fillId="0" borderId="0" xfId="0" applyNumberFormat="1" applyFont="1" applyAlignment="1">
      <alignment horizontal="center" vertical="center"/>
    </xf>
    <xf numFmtId="0" fontId="64" fillId="0" borderId="0" xfId="0" applyFont="1" applyAlignment="1">
      <alignment vertical="center"/>
    </xf>
    <xf numFmtId="0" fontId="31" fillId="0" borderId="6" xfId="0" applyFont="1" applyBorder="1"/>
    <xf numFmtId="0" fontId="0" fillId="0" borderId="0" xfId="0" applyAlignment="1">
      <alignment horizontal="center"/>
    </xf>
    <xf numFmtId="164" fontId="43" fillId="0" borderId="0" xfId="0" applyNumberFormat="1" applyFont="1" applyAlignment="1">
      <alignment horizontal="right" vertical="center"/>
    </xf>
    <xf numFmtId="0" fontId="66" fillId="0" borderId="0" xfId="0" applyFont="1"/>
    <xf numFmtId="0" fontId="45" fillId="0" borderId="2" xfId="0" applyFont="1" applyBorder="1" applyAlignment="1">
      <alignment horizontal="right" vertical="center"/>
    </xf>
    <xf numFmtId="0" fontId="0" fillId="0" borderId="26" xfId="0" applyBorder="1"/>
    <xf numFmtId="0" fontId="0" fillId="0" borderId="27" xfId="0" applyBorder="1"/>
    <xf numFmtId="0" fontId="0" fillId="0" borderId="34" xfId="0" applyBorder="1"/>
    <xf numFmtId="0" fontId="0" fillId="0" borderId="2" xfId="0" applyBorder="1"/>
    <xf numFmtId="0" fontId="52" fillId="0" borderId="34" xfId="4" applyFont="1" applyBorder="1" applyAlignment="1">
      <alignment horizontal="right" vertical="center"/>
    </xf>
    <xf numFmtId="0" fontId="45" fillId="0" borderId="0" xfId="4" applyFont="1" applyAlignment="1">
      <alignment horizontal="right" vertical="center"/>
    </xf>
    <xf numFmtId="0" fontId="45" fillId="0" borderId="0" xfId="4" applyFont="1" applyAlignment="1">
      <alignment horizontal="left" vertical="center"/>
    </xf>
    <xf numFmtId="0" fontId="45" fillId="0" borderId="34" xfId="4" applyFont="1" applyBorder="1" applyAlignment="1">
      <alignment horizontal="center" vertical="center"/>
    </xf>
    <xf numFmtId="0" fontId="52" fillId="0" borderId="25" xfId="4" applyFont="1" applyBorder="1" applyAlignment="1">
      <alignment horizontal="right" vertical="center"/>
    </xf>
    <xf numFmtId="0" fontId="45" fillId="0" borderId="26" xfId="4" applyFont="1" applyBorder="1" applyAlignment="1">
      <alignment horizontal="right" vertical="center"/>
    </xf>
    <xf numFmtId="0" fontId="45" fillId="0" borderId="26" xfId="4" applyFont="1" applyBorder="1" applyAlignment="1">
      <alignment horizontal="left" vertical="center"/>
    </xf>
    <xf numFmtId="0" fontId="45" fillId="0" borderId="29" xfId="4" applyFont="1" applyBorder="1" applyAlignment="1">
      <alignment horizontal="center" vertical="center"/>
    </xf>
    <xf numFmtId="0" fontId="0" fillId="0" borderId="29" xfId="0" applyBorder="1"/>
    <xf numFmtId="0" fontId="0" fillId="0" borderId="30" xfId="0" applyBorder="1"/>
    <xf numFmtId="0" fontId="45" fillId="0" borderId="23" xfId="4" applyFont="1" applyBorder="1" applyAlignment="1">
      <alignment vertical="center"/>
    </xf>
    <xf numFmtId="0" fontId="45" fillId="0" borderId="55" xfId="4" applyFont="1" applyBorder="1" applyAlignment="1">
      <alignment vertical="center"/>
    </xf>
    <xf numFmtId="0" fontId="43" fillId="0" borderId="0" xfId="0" applyFont="1" applyAlignment="1">
      <alignment vertical="top" wrapText="1"/>
    </xf>
    <xf numFmtId="0" fontId="31" fillId="0" borderId="15" xfId="0" applyFont="1" applyBorder="1"/>
    <xf numFmtId="1" fontId="43" fillId="0" borderId="0" xfId="0" applyNumberFormat="1" applyFont="1" applyAlignment="1">
      <alignment horizontal="center" vertical="center"/>
    </xf>
    <xf numFmtId="0" fontId="43" fillId="0" borderId="0" xfId="0" applyFont="1" applyAlignment="1">
      <alignment horizontal="right" vertical="top"/>
    </xf>
    <xf numFmtId="0" fontId="43" fillId="0" borderId="0" xfId="0" applyFont="1" applyAlignment="1">
      <alignment horizontal="left" vertical="top"/>
    </xf>
    <xf numFmtId="0" fontId="0" fillId="0" borderId="0" xfId="0" applyAlignment="1">
      <alignment vertical="top"/>
    </xf>
    <xf numFmtId="164" fontId="43" fillId="0" borderId="0" xfId="0" applyNumberFormat="1" applyFont="1" applyAlignment="1">
      <alignment horizontal="right" vertical="top"/>
    </xf>
    <xf numFmtId="0" fontId="45" fillId="0" borderId="0" xfId="0" applyFont="1" applyAlignment="1">
      <alignment horizontal="center" vertical="center"/>
    </xf>
    <xf numFmtId="0" fontId="45" fillId="0" borderId="0" xfId="0" applyFont="1" applyAlignment="1">
      <alignment horizontal="left" vertical="top"/>
    </xf>
    <xf numFmtId="0" fontId="2" fillId="0" borderId="0" xfId="0" applyFont="1" applyAlignment="1">
      <alignment horizontal="center" wrapText="1"/>
    </xf>
    <xf numFmtId="0" fontId="48" fillId="0" borderId="0" xfId="0" applyFont="1" applyAlignment="1">
      <alignment horizontal="center" wrapText="1"/>
    </xf>
    <xf numFmtId="0" fontId="49" fillId="0" borderId="0" xfId="0" applyFont="1" applyAlignment="1">
      <alignment horizontal="center" wrapText="1"/>
    </xf>
    <xf numFmtId="0" fontId="2" fillId="0" borderId="0" xfId="0" applyFont="1" applyAlignment="1">
      <alignment horizontal="left" wrapText="1"/>
    </xf>
    <xf numFmtId="1" fontId="10" fillId="2" borderId="11" xfId="0" applyNumberFormat="1" applyFont="1" applyFill="1" applyBorder="1" applyAlignment="1">
      <alignment horizontal="right" vertical="center" indent="3"/>
    </xf>
    <xf numFmtId="1" fontId="10" fillId="2" borderId="17" xfId="0" applyNumberFormat="1" applyFont="1" applyFill="1" applyBorder="1" applyAlignment="1">
      <alignment horizontal="center" vertical="center"/>
    </xf>
    <xf numFmtId="1" fontId="10" fillId="2" borderId="1" xfId="0" applyNumberFormat="1" applyFont="1" applyFill="1" applyBorder="1" applyAlignment="1">
      <alignment horizontal="center" vertical="center"/>
    </xf>
    <xf numFmtId="1" fontId="10" fillId="2" borderId="6" xfId="0" applyNumberFormat="1" applyFont="1" applyFill="1" applyBorder="1" applyAlignment="1">
      <alignment horizontal="center" vertical="center"/>
    </xf>
    <xf numFmtId="0" fontId="21" fillId="0" borderId="17" xfId="1" applyFont="1" applyFill="1" applyBorder="1" applyAlignment="1">
      <alignment horizontal="center" vertical="center"/>
    </xf>
    <xf numFmtId="0" fontId="21" fillId="0" borderId="18" xfId="1" applyFont="1" applyFill="1" applyBorder="1" applyAlignment="1">
      <alignment horizontal="center" vertical="center"/>
    </xf>
    <xf numFmtId="164" fontId="14" fillId="0" borderId="18" xfId="8" applyNumberFormat="1" applyFont="1" applyFill="1" applyBorder="1" applyAlignment="1">
      <alignment horizontal="center" vertical="center"/>
    </xf>
    <xf numFmtId="164" fontId="14" fillId="6" borderId="18" xfId="8" applyNumberFormat="1" applyFont="1" applyFill="1" applyBorder="1" applyAlignment="1">
      <alignment horizontal="center" vertical="center"/>
    </xf>
    <xf numFmtId="164" fontId="14" fillId="6" borderId="0" xfId="8" applyNumberFormat="1" applyFont="1" applyFill="1" applyBorder="1" applyAlignment="1">
      <alignment horizontal="center" vertical="center"/>
    </xf>
    <xf numFmtId="164" fontId="14" fillId="6" borderId="8" xfId="8" applyNumberFormat="1" applyFont="1" applyFill="1" applyBorder="1" applyAlignment="1">
      <alignment horizontal="center" vertical="center"/>
    </xf>
    <xf numFmtId="0" fontId="10" fillId="0" borderId="0" xfId="8" applyFont="1" applyFill="1" applyBorder="1" applyAlignment="1">
      <alignment horizontal="left" vertical="center"/>
    </xf>
    <xf numFmtId="0" fontId="10" fillId="0" borderId="17" xfId="8" applyFont="1" applyFill="1" applyBorder="1" applyAlignment="1">
      <alignment horizontal="center" vertical="center"/>
    </xf>
    <xf numFmtId="164" fontId="10" fillId="0" borderId="18" xfId="8" applyNumberFormat="1" applyFont="1" applyFill="1" applyBorder="1" applyAlignment="1">
      <alignment horizontal="left" vertical="center"/>
    </xf>
    <xf numFmtId="0" fontId="10" fillId="0" borderId="19" xfId="8" applyFont="1" applyFill="1" applyBorder="1" applyAlignment="1">
      <alignment horizontal="center" vertical="center"/>
    </xf>
    <xf numFmtId="0" fontId="10" fillId="0" borderId="6" xfId="8" applyFont="1" applyFill="1" applyBorder="1" applyAlignment="1">
      <alignment horizontal="center" vertical="center"/>
    </xf>
    <xf numFmtId="164" fontId="10" fillId="0" borderId="0" xfId="8" applyNumberFormat="1" applyFont="1" applyFill="1" applyBorder="1" applyAlignment="1">
      <alignment horizontal="left" vertical="center"/>
    </xf>
    <xf numFmtId="164" fontId="14" fillId="0" borderId="0" xfId="8" applyNumberFormat="1" applyFont="1" applyFill="1" applyBorder="1" applyAlignment="1">
      <alignment horizontal="center" vertical="center"/>
    </xf>
    <xf numFmtId="0" fontId="10" fillId="0" borderId="15" xfId="8" applyFont="1" applyFill="1" applyBorder="1" applyAlignment="1">
      <alignment horizontal="center" vertical="center"/>
    </xf>
    <xf numFmtId="0" fontId="10" fillId="0" borderId="1" xfId="8" applyFont="1" applyFill="1" applyBorder="1" applyAlignment="1">
      <alignment horizontal="center" vertical="center"/>
    </xf>
    <xf numFmtId="164" fontId="10" fillId="0" borderId="8" xfId="8" applyNumberFormat="1" applyFont="1" applyFill="1" applyBorder="1" applyAlignment="1">
      <alignment horizontal="left" vertical="center"/>
    </xf>
    <xf numFmtId="164" fontId="14" fillId="0" borderId="8" xfId="8" applyNumberFormat="1" applyFont="1" applyFill="1" applyBorder="1" applyAlignment="1">
      <alignment horizontal="center" vertical="center"/>
    </xf>
    <xf numFmtId="0" fontId="10" fillId="0" borderId="16" xfId="8" applyFont="1" applyFill="1" applyBorder="1" applyAlignment="1">
      <alignment horizontal="center" vertical="center"/>
    </xf>
    <xf numFmtId="0" fontId="43" fillId="0" borderId="0" xfId="0" applyFont="1" applyAlignment="1">
      <alignment horizontal="left" vertical="top" wrapText="1"/>
    </xf>
    <xf numFmtId="0" fontId="43" fillId="0" borderId="8" xfId="0" applyFont="1" applyBorder="1" applyAlignment="1">
      <alignment vertical="center"/>
    </xf>
    <xf numFmtId="164" fontId="45" fillId="0" borderId="8" xfId="0" applyNumberFormat="1" applyFont="1" applyBorder="1" applyAlignment="1">
      <alignment horizontal="center" vertical="center"/>
    </xf>
    <xf numFmtId="0" fontId="45" fillId="0" borderId="10" xfId="0" applyFont="1" applyBorder="1" applyAlignment="1">
      <alignment horizontal="center" vertical="center"/>
    </xf>
    <xf numFmtId="0" fontId="14" fillId="0" borderId="8" xfId="0" applyFont="1" applyBorder="1" applyAlignment="1">
      <alignment horizontal="center" vertical="center"/>
    </xf>
    <xf numFmtId="164" fontId="76" fillId="0" borderId="18" xfId="8" applyNumberFormat="1" applyFont="1" applyFill="1" applyBorder="1" applyAlignment="1">
      <alignment horizontal="left" vertical="center"/>
    </xf>
    <xf numFmtId="164" fontId="76" fillId="0" borderId="0" xfId="8" applyNumberFormat="1" applyFont="1" applyFill="1" applyBorder="1" applyAlignment="1">
      <alignment horizontal="left" vertical="center"/>
    </xf>
    <xf numFmtId="164" fontId="76" fillId="0" borderId="8" xfId="8" applyNumberFormat="1" applyFont="1" applyFill="1" applyBorder="1" applyAlignment="1">
      <alignment horizontal="left" vertical="center"/>
    </xf>
    <xf numFmtId="164" fontId="77" fillId="6" borderId="18" xfId="8" applyNumberFormat="1" applyFont="1" applyFill="1" applyBorder="1" applyAlignment="1">
      <alignment horizontal="center" vertical="center"/>
    </xf>
    <xf numFmtId="0" fontId="14" fillId="0" borderId="18" xfId="0" applyFont="1" applyBorder="1" applyAlignment="1">
      <alignment horizontal="center" vertical="center"/>
    </xf>
    <xf numFmtId="0" fontId="28" fillId="0" borderId="0" xfId="1" applyFont="1" applyFill="1" applyBorder="1" applyAlignment="1">
      <alignment horizontal="center" vertical="center"/>
    </xf>
    <xf numFmtId="164" fontId="14" fillId="0" borderId="0" xfId="0" applyNumberFormat="1" applyFont="1" applyAlignment="1">
      <alignment horizontal="right" vertical="center"/>
    </xf>
    <xf numFmtId="2" fontId="14" fillId="0" borderId="0" xfId="0" applyNumberFormat="1" applyFont="1" applyAlignment="1">
      <alignment horizontal="right" vertical="center"/>
    </xf>
    <xf numFmtId="2" fontId="14" fillId="6" borderId="0" xfId="0" applyNumberFormat="1" applyFont="1" applyFill="1" applyAlignment="1">
      <alignment horizontal="right" vertical="center"/>
    </xf>
    <xf numFmtId="0" fontId="14" fillId="6" borderId="8" xfId="0" applyFont="1" applyFill="1" applyBorder="1" applyAlignment="1">
      <alignment horizontal="right" vertical="center"/>
    </xf>
    <xf numFmtId="0" fontId="14" fillId="0" borderId="16" xfId="0" applyFont="1" applyBorder="1" applyAlignment="1">
      <alignment horizontal="left" vertical="center"/>
    </xf>
    <xf numFmtId="0" fontId="14" fillId="0" borderId="18" xfId="0" applyFont="1" applyBorder="1" applyAlignment="1">
      <alignment horizontal="right"/>
    </xf>
    <xf numFmtId="2" fontId="16" fillId="0" borderId="20" xfId="0" applyNumberFormat="1" applyFont="1" applyBorder="1" applyAlignment="1">
      <alignment horizontal="right" vertical="center" indent="2"/>
    </xf>
    <xf numFmtId="1" fontId="16" fillId="0" borderId="20" xfId="0" applyNumberFormat="1" applyFont="1" applyBorder="1" applyAlignment="1">
      <alignment horizontal="right" vertical="center" indent="2"/>
    </xf>
    <xf numFmtId="164" fontId="10" fillId="4" borderId="6" xfId="0" applyNumberFormat="1" applyFont="1" applyFill="1" applyBorder="1" applyAlignment="1">
      <alignment horizontal="right" vertical="center" indent="3"/>
    </xf>
    <xf numFmtId="0" fontId="45" fillId="0" borderId="0" xfId="0" applyFont="1" applyAlignment="1">
      <alignment horizontal="right" vertical="top"/>
    </xf>
    <xf numFmtId="0" fontId="39" fillId="0" borderId="0" xfId="0" applyFont="1" applyAlignment="1">
      <alignment vertical="top"/>
    </xf>
    <xf numFmtId="169" fontId="45" fillId="0" borderId="0" xfId="5" applyNumberFormat="1" applyFont="1" applyFill="1" applyBorder="1" applyAlignment="1">
      <alignment horizontal="center" vertical="center"/>
    </xf>
    <xf numFmtId="0" fontId="45" fillId="0" borderId="14" xfId="4" applyFont="1" applyBorder="1" applyAlignment="1">
      <alignment vertical="center"/>
    </xf>
    <xf numFmtId="0" fontId="45" fillId="0" borderId="11" xfId="4" applyFont="1" applyBorder="1" applyAlignment="1">
      <alignment vertical="center"/>
    </xf>
    <xf numFmtId="0" fontId="45" fillId="0" borderId="4" xfId="4" applyFont="1" applyBorder="1" applyAlignment="1">
      <alignment vertical="center"/>
    </xf>
    <xf numFmtId="0" fontId="45" fillId="0" borderId="0" xfId="4" quotePrefix="1" applyFont="1" applyAlignment="1">
      <alignment vertical="center"/>
    </xf>
    <xf numFmtId="0" fontId="52" fillId="0" borderId="56" xfId="0" applyFont="1" applyBorder="1" applyAlignment="1">
      <alignment horizontal="center" vertical="center"/>
    </xf>
    <xf numFmtId="0" fontId="52" fillId="0" borderId="57" xfId="0" applyFont="1" applyBorder="1" applyAlignment="1">
      <alignment horizontal="center" vertical="center"/>
    </xf>
    <xf numFmtId="0" fontId="45" fillId="0" borderId="5" xfId="0" applyFont="1" applyBorder="1" applyAlignment="1">
      <alignment horizontal="left" vertical="center"/>
    </xf>
    <xf numFmtId="0" fontId="31" fillId="0" borderId="5" xfId="0" applyFont="1" applyBorder="1" applyAlignment="1">
      <alignment horizontal="left"/>
    </xf>
    <xf numFmtId="0" fontId="31" fillId="0" borderId="5" xfId="0" applyFont="1" applyBorder="1"/>
    <xf numFmtId="0" fontId="31" fillId="0" borderId="58" xfId="0" applyFont="1" applyBorder="1" applyAlignment="1">
      <alignment horizontal="left"/>
    </xf>
    <xf numFmtId="2" fontId="45" fillId="0" borderId="0" xfId="0" applyNumberFormat="1" applyFont="1" applyAlignment="1">
      <alignment horizontal="center" vertical="center"/>
    </xf>
    <xf numFmtId="0" fontId="45" fillId="0" borderId="17" xfId="4" applyFont="1" applyBorder="1" applyAlignment="1">
      <alignment vertical="center"/>
    </xf>
    <xf numFmtId="0" fontId="45" fillId="0" borderId="1" xfId="4" applyFont="1" applyBorder="1" applyAlignment="1">
      <alignment vertical="center"/>
    </xf>
    <xf numFmtId="0" fontId="45" fillId="0" borderId="22" xfId="4" applyFont="1" applyBorder="1" applyAlignment="1">
      <alignment vertical="center"/>
    </xf>
    <xf numFmtId="0" fontId="45" fillId="0" borderId="19" xfId="4" applyFont="1" applyBorder="1" applyAlignment="1">
      <alignment vertical="center"/>
    </xf>
    <xf numFmtId="0" fontId="31" fillId="0" borderId="19" xfId="0" applyFont="1" applyBorder="1"/>
    <xf numFmtId="0" fontId="43" fillId="0" borderId="0" xfId="0" applyFont="1" applyAlignment="1">
      <alignment horizontal="left" vertical="center" wrapText="1"/>
    </xf>
    <xf numFmtId="0" fontId="39" fillId="0" borderId="0" xfId="0" applyFont="1" applyAlignment="1">
      <alignment vertical="center"/>
    </xf>
    <xf numFmtId="0" fontId="45" fillId="0" borderId="18" xfId="4" applyFont="1" applyBorder="1" applyAlignment="1">
      <alignment vertical="center"/>
    </xf>
    <xf numFmtId="0" fontId="45" fillId="0" borderId="15" xfId="4" applyFont="1" applyBorder="1" applyAlignment="1">
      <alignment horizontal="center" vertical="center"/>
    </xf>
    <xf numFmtId="0" fontId="45" fillId="0" borderId="16" xfId="4" applyFont="1" applyBorder="1" applyAlignment="1">
      <alignment horizontal="center" vertical="center"/>
    </xf>
    <xf numFmtId="0" fontId="45" fillId="0" borderId="15" xfId="0" applyFont="1" applyBorder="1" applyAlignment="1">
      <alignment horizontal="left" vertical="top"/>
    </xf>
    <xf numFmtId="0" fontId="45" fillId="0" borderId="0" xfId="0" applyFont="1"/>
    <xf numFmtId="164" fontId="45" fillId="0" borderId="15" xfId="0" applyNumberFormat="1" applyFont="1" applyBorder="1"/>
    <xf numFmtId="1" fontId="45" fillId="0" borderId="15" xfId="0" applyNumberFormat="1" applyFont="1" applyBorder="1"/>
    <xf numFmtId="1" fontId="45" fillId="0" borderId="16" xfId="0" applyNumberFormat="1" applyFont="1" applyBorder="1"/>
    <xf numFmtId="2" fontId="2" fillId="4" borderId="3" xfId="0" applyNumberFormat="1" applyFont="1" applyFill="1" applyBorder="1" applyAlignment="1">
      <alignment horizontal="center"/>
    </xf>
    <xf numFmtId="2" fontId="2" fillId="4" borderId="4" xfId="0" applyNumberFormat="1" applyFont="1" applyFill="1" applyBorder="1" applyAlignment="1">
      <alignment horizontal="center"/>
    </xf>
    <xf numFmtId="2" fontId="2" fillId="4" borderId="5" xfId="0" applyNumberFormat="1" applyFont="1" applyFill="1" applyBorder="1" applyAlignment="1">
      <alignment horizontal="center"/>
    </xf>
    <xf numFmtId="2" fontId="2" fillId="4" borderId="6" xfId="0" applyNumberFormat="1" applyFont="1" applyFill="1" applyBorder="1" applyAlignment="1">
      <alignment horizontal="center"/>
    </xf>
    <xf numFmtId="2" fontId="2" fillId="4" borderId="2" xfId="0" applyNumberFormat="1" applyFont="1" applyFill="1" applyBorder="1" applyAlignment="1">
      <alignment horizontal="center"/>
    </xf>
    <xf numFmtId="2" fontId="2" fillId="4" borderId="7" xfId="0" applyNumberFormat="1" applyFont="1" applyFill="1" applyBorder="1" applyAlignment="1">
      <alignment horizontal="center"/>
    </xf>
    <xf numFmtId="2" fontId="2" fillId="4" borderId="0" xfId="0" applyNumberFormat="1" applyFont="1" applyFill="1"/>
    <xf numFmtId="0" fontId="45" fillId="0" borderId="14" xfId="4" applyFont="1" applyBorder="1" applyAlignment="1">
      <alignment horizontal="left" vertical="center"/>
    </xf>
    <xf numFmtId="0" fontId="45" fillId="0" borderId="11" xfId="4" applyFont="1" applyBorder="1" applyAlignment="1">
      <alignment horizontal="left" vertical="center"/>
    </xf>
    <xf numFmtId="0" fontId="45" fillId="0" borderId="4" xfId="4" applyFont="1" applyBorder="1" applyAlignment="1">
      <alignment horizontal="left" vertical="center"/>
    </xf>
    <xf numFmtId="0" fontId="45" fillId="0" borderId="0" xfId="0" applyFont="1" applyAlignment="1">
      <alignment horizontal="right"/>
    </xf>
    <xf numFmtId="164" fontId="45" fillId="0" borderId="11" xfId="0" applyNumberFormat="1" applyFont="1" applyBorder="1" applyAlignment="1">
      <alignment vertical="center"/>
    </xf>
    <xf numFmtId="0" fontId="79" fillId="0" borderId="0" xfId="0" applyFont="1" applyAlignment="1">
      <alignment vertical="center"/>
    </xf>
    <xf numFmtId="0" fontId="0" fillId="0" borderId="0" xfId="0" applyAlignment="1">
      <alignment vertical="center" wrapText="1"/>
    </xf>
    <xf numFmtId="0" fontId="0" fillId="0" borderId="0" xfId="0" applyAlignment="1">
      <alignment vertical="center"/>
    </xf>
    <xf numFmtId="0" fontId="80" fillId="0" borderId="0" xfId="9" applyAlignment="1">
      <alignment vertical="center"/>
    </xf>
    <xf numFmtId="0" fontId="45" fillId="0" borderId="0" xfId="0" applyFont="1" applyAlignment="1">
      <alignment horizontal="left" vertical="top" wrapText="1"/>
    </xf>
    <xf numFmtId="0" fontId="62" fillId="0" borderId="0" xfId="4" applyFont="1" applyAlignment="1">
      <alignment horizontal="right" vertical="center"/>
    </xf>
    <xf numFmtId="0" fontId="81" fillId="0" borderId="0" xfId="0" applyFont="1" applyAlignment="1">
      <alignment vertical="center"/>
    </xf>
    <xf numFmtId="2" fontId="81" fillId="0" borderId="0" xfId="0" applyNumberFormat="1" applyFont="1" applyAlignment="1">
      <alignment horizontal="center" vertical="center"/>
    </xf>
    <xf numFmtId="0" fontId="61" fillId="0" borderId="8" xfId="0" applyFont="1" applyBorder="1" applyAlignment="1">
      <alignment horizontal="center" vertical="center"/>
    </xf>
    <xf numFmtId="0" fontId="52" fillId="8" borderId="8" xfId="4" applyFont="1" applyFill="1" applyBorder="1" applyAlignment="1">
      <alignment horizontal="left" vertical="center"/>
    </xf>
    <xf numFmtId="2" fontId="43" fillId="0" borderId="0" xfId="0" applyNumberFormat="1" applyFont="1" applyAlignment="1">
      <alignment horizontal="right" vertical="top"/>
    </xf>
    <xf numFmtId="0" fontId="46" fillId="0" borderId="0" xfId="0" applyFont="1" applyAlignment="1">
      <alignment horizontal="right" vertical="top"/>
    </xf>
    <xf numFmtId="0" fontId="87" fillId="0" borderId="0" xfId="0" applyFont="1" applyAlignment="1">
      <alignment vertical="top"/>
    </xf>
    <xf numFmtId="0" fontId="43" fillId="0" borderId="0" xfId="0" applyFont="1" applyAlignment="1">
      <alignment horizontal="center" vertical="top"/>
    </xf>
    <xf numFmtId="0" fontId="87" fillId="0" borderId="0" xfId="0" applyFont="1" applyAlignment="1">
      <alignment horizontal="center" vertical="top"/>
    </xf>
    <xf numFmtId="0" fontId="43" fillId="0" borderId="0" xfId="0" applyFont="1" applyAlignment="1">
      <alignment vertical="top"/>
    </xf>
    <xf numFmtId="0" fontId="45" fillId="0" borderId="0" xfId="0" applyFont="1" applyAlignment="1">
      <alignment vertical="top"/>
    </xf>
    <xf numFmtId="0" fontId="45" fillId="0" borderId="0" xfId="0" applyFont="1" applyAlignment="1">
      <alignment vertical="top" wrapText="1"/>
    </xf>
    <xf numFmtId="0" fontId="45" fillId="10" borderId="0" xfId="0" applyFont="1" applyFill="1" applyAlignment="1">
      <alignment horizontal="right" vertical="top"/>
    </xf>
    <xf numFmtId="0" fontId="19" fillId="0" borderId="0" xfId="0" applyFont="1" applyAlignment="1">
      <alignment vertical="center"/>
    </xf>
    <xf numFmtId="0" fontId="90" fillId="0" borderId="0" xfId="0" applyFont="1" applyAlignment="1">
      <alignment vertical="top"/>
    </xf>
    <xf numFmtId="0" fontId="42" fillId="0" borderId="8" xfId="0" applyFont="1" applyBorder="1" applyAlignment="1">
      <alignment vertical="top"/>
    </xf>
    <xf numFmtId="0" fontId="19" fillId="0" borderId="8" xfId="0" applyFont="1" applyBorder="1" applyAlignment="1">
      <alignment vertical="top"/>
    </xf>
    <xf numFmtId="0" fontId="45" fillId="0" borderId="8" xfId="4" applyFont="1" applyBorder="1" applyAlignment="1">
      <alignment vertical="top"/>
    </xf>
    <xf numFmtId="0" fontId="87" fillId="0" borderId="8" xfId="0" applyFont="1" applyBorder="1" applyAlignment="1">
      <alignment vertical="top"/>
    </xf>
    <xf numFmtId="0" fontId="43" fillId="0" borderId="8" xfId="0" applyFont="1" applyBorder="1" applyAlignment="1">
      <alignment vertical="top"/>
    </xf>
    <xf numFmtId="0" fontId="45" fillId="0" borderId="0" xfId="4" applyFont="1" applyAlignment="1">
      <alignment horizontal="right" vertical="top"/>
    </xf>
    <xf numFmtId="0" fontId="45" fillId="0" borderId="0" xfId="4" applyFont="1" applyAlignment="1">
      <alignment vertical="top"/>
    </xf>
    <xf numFmtId="0" fontId="45" fillId="0" borderId="0" xfId="4" applyFont="1" applyAlignment="1">
      <alignment horizontal="center" vertical="top"/>
    </xf>
    <xf numFmtId="0" fontId="42" fillId="0" borderId="0" xfId="0" applyFont="1" applyAlignment="1">
      <alignment vertical="top"/>
    </xf>
    <xf numFmtId="0" fontId="91" fillId="0" borderId="0" xfId="0" applyFont="1" applyAlignment="1">
      <alignment vertical="top"/>
    </xf>
    <xf numFmtId="0" fontId="42" fillId="0" borderId="0" xfId="0" applyFont="1" applyAlignment="1">
      <alignment horizontal="left" vertical="top"/>
    </xf>
    <xf numFmtId="0" fontId="92" fillId="0" borderId="0" xfId="0" applyFont="1" applyAlignment="1">
      <alignment vertical="top"/>
    </xf>
    <xf numFmtId="0" fontId="43" fillId="0" borderId="8" xfId="0" applyFont="1" applyBorder="1" applyAlignment="1">
      <alignment horizontal="right" vertical="top"/>
    </xf>
    <xf numFmtId="0" fontId="43" fillId="0" borderId="8" xfId="0" applyFont="1" applyBorder="1" applyAlignment="1">
      <alignment horizontal="center" vertical="top"/>
    </xf>
    <xf numFmtId="0" fontId="43" fillId="0" borderId="8" xfId="0" applyFont="1" applyBorder="1" applyAlignment="1">
      <alignment horizontal="left" vertical="top"/>
    </xf>
    <xf numFmtId="0" fontId="87" fillId="0" borderId="21" xfId="0" applyFont="1" applyBorder="1" applyAlignment="1">
      <alignment vertical="top"/>
    </xf>
    <xf numFmtId="0" fontId="61" fillId="0" borderId="0" xfId="0" applyFont="1" applyAlignment="1">
      <alignment horizontal="right" vertical="top"/>
    </xf>
    <xf numFmtId="0" fontId="19" fillId="0" borderId="0" xfId="0" applyFont="1" applyAlignment="1">
      <alignment vertical="top"/>
    </xf>
    <xf numFmtId="0" fontId="87" fillId="0" borderId="0" xfId="0" applyFont="1" applyAlignment="1">
      <alignment horizontal="left" vertical="top"/>
    </xf>
    <xf numFmtId="164" fontId="43" fillId="0" borderId="0" xfId="0" applyNumberFormat="1" applyFont="1" applyAlignment="1">
      <alignment horizontal="center" vertical="top"/>
    </xf>
    <xf numFmtId="2" fontId="43" fillId="0" borderId="0" xfId="0" applyNumberFormat="1" applyFont="1" applyAlignment="1">
      <alignment horizontal="center" vertical="top"/>
    </xf>
    <xf numFmtId="164" fontId="45" fillId="0" borderId="0" xfId="0" applyNumberFormat="1" applyFont="1" applyAlignment="1">
      <alignment horizontal="center" vertical="top"/>
    </xf>
    <xf numFmtId="0" fontId="42" fillId="0" borderId="0" xfId="0" applyFont="1" applyAlignment="1">
      <alignment horizontal="center" vertical="top"/>
    </xf>
    <xf numFmtId="0" fontId="75" fillId="0" borderId="0" xfId="0" applyFont="1" applyAlignment="1">
      <alignment horizontal="right" vertical="top"/>
    </xf>
    <xf numFmtId="0" fontId="73" fillId="0" borderId="0" xfId="0" applyFont="1" applyAlignment="1">
      <alignment horizontal="right" vertical="top"/>
    </xf>
    <xf numFmtId="0" fontId="56" fillId="0" borderId="0" xfId="0" applyFont="1" applyAlignment="1">
      <alignment horizontal="right" vertical="top"/>
    </xf>
    <xf numFmtId="0" fontId="44" fillId="0" borderId="0" xfId="0" applyFont="1" applyAlignment="1">
      <alignment horizontal="right" vertical="top"/>
    </xf>
    <xf numFmtId="0" fontId="71" fillId="0" borderId="0" xfId="0" applyFont="1" applyAlignment="1">
      <alignment horizontal="right" vertical="top"/>
    </xf>
    <xf numFmtId="1" fontId="43" fillId="0" borderId="0" xfId="0" applyNumberFormat="1" applyFont="1" applyAlignment="1">
      <alignment horizontal="center" vertical="top"/>
    </xf>
    <xf numFmtId="0" fontId="52" fillId="0" borderId="0" xfId="0" applyFont="1" applyAlignment="1">
      <alignment vertical="top"/>
    </xf>
    <xf numFmtId="0" fontId="52" fillId="0" borderId="0" xfId="0" applyFont="1" applyAlignment="1">
      <alignment horizontal="left" vertical="top"/>
    </xf>
    <xf numFmtId="0" fontId="19" fillId="0" borderId="0" xfId="0" applyFont="1" applyAlignment="1">
      <alignment horizontal="left" vertical="top"/>
    </xf>
    <xf numFmtId="0" fontId="88" fillId="0" borderId="0" xfId="0" applyFont="1" applyAlignment="1">
      <alignment vertical="top"/>
    </xf>
    <xf numFmtId="49" fontId="43" fillId="0" borderId="0" xfId="0" applyNumberFormat="1" applyFont="1" applyAlignment="1">
      <alignment horizontal="left" vertical="top"/>
    </xf>
    <xf numFmtId="0" fontId="88" fillId="0" borderId="0" xfId="0" applyFont="1" applyAlignment="1">
      <alignment horizontal="left" vertical="top"/>
    </xf>
    <xf numFmtId="0" fontId="89" fillId="0" borderId="0" xfId="0" applyFont="1" applyAlignment="1">
      <alignment vertical="top"/>
    </xf>
    <xf numFmtId="164" fontId="42" fillId="0" borderId="0" xfId="0" applyNumberFormat="1" applyFont="1" applyAlignment="1">
      <alignment horizontal="left" vertical="top"/>
    </xf>
    <xf numFmtId="0" fontId="45" fillId="0" borderId="0" xfId="0" applyFont="1" applyAlignment="1">
      <alignment horizontal="center" vertical="top"/>
    </xf>
    <xf numFmtId="0" fontId="87" fillId="8" borderId="8" xfId="0" applyFont="1" applyFill="1" applyBorder="1" applyAlignment="1">
      <alignment vertical="center"/>
    </xf>
    <xf numFmtId="0" fontId="91" fillId="8" borderId="8" xfId="0" applyFont="1" applyFill="1" applyBorder="1" applyAlignment="1">
      <alignment vertical="center"/>
    </xf>
    <xf numFmtId="2" fontId="87" fillId="8" borderId="8" xfId="0" applyNumberFormat="1" applyFont="1" applyFill="1" applyBorder="1" applyAlignment="1">
      <alignment vertical="center"/>
    </xf>
    <xf numFmtId="0" fontId="67" fillId="8" borderId="0" xfId="0" applyFont="1" applyFill="1" applyAlignment="1">
      <alignment vertical="center"/>
    </xf>
    <xf numFmtId="0" fontId="43" fillId="10" borderId="0" xfId="0" applyFont="1" applyFill="1" applyAlignment="1">
      <alignment horizontal="right" vertical="top"/>
    </xf>
    <xf numFmtId="0" fontId="43" fillId="10" borderId="0" xfId="0" applyFont="1" applyFill="1" applyAlignment="1">
      <alignment horizontal="center" vertical="top"/>
    </xf>
    <xf numFmtId="0" fontId="75" fillId="0" borderId="0" xfId="0" applyFont="1" applyAlignment="1">
      <alignment horizontal="left" vertical="top"/>
    </xf>
    <xf numFmtId="0" fontId="43" fillId="0" borderId="0" xfId="0" quotePrefix="1" applyFont="1" applyAlignment="1">
      <alignment horizontal="left" vertical="top"/>
    </xf>
    <xf numFmtId="0" fontId="45" fillId="0" borderId="0" xfId="0" quotePrefix="1" applyFont="1" applyAlignment="1">
      <alignment horizontal="left" vertical="top"/>
    </xf>
    <xf numFmtId="164" fontId="45" fillId="0" borderId="0" xfId="0" applyNumberFormat="1" applyFont="1" applyAlignment="1">
      <alignment vertical="top"/>
    </xf>
    <xf numFmtId="164" fontId="43" fillId="0" borderId="0" xfId="0" applyNumberFormat="1" applyFont="1" applyAlignment="1">
      <alignment vertical="top"/>
    </xf>
    <xf numFmtId="1" fontId="43" fillId="0" borderId="0" xfId="0" applyNumberFormat="1" applyFont="1" applyAlignment="1">
      <alignment vertical="top"/>
    </xf>
    <xf numFmtId="2" fontId="43" fillId="0" borderId="0" xfId="0" applyNumberFormat="1" applyFont="1" applyAlignment="1">
      <alignment vertical="top"/>
    </xf>
    <xf numFmtId="1" fontId="45" fillId="0" borderId="0" xfId="0" applyNumberFormat="1" applyFont="1" applyAlignment="1">
      <alignment vertical="top"/>
    </xf>
    <xf numFmtId="2" fontId="45" fillId="0" borderId="0" xfId="0" applyNumberFormat="1" applyFont="1" applyAlignment="1">
      <alignment vertical="top"/>
    </xf>
    <xf numFmtId="11" fontId="43" fillId="0" borderId="0" xfId="0" applyNumberFormat="1" applyFont="1" applyAlignment="1">
      <alignment vertical="top"/>
    </xf>
    <xf numFmtId="165" fontId="43" fillId="0" borderId="0" xfId="0" applyNumberFormat="1" applyFont="1" applyAlignment="1">
      <alignment horizontal="left" vertical="center"/>
    </xf>
    <xf numFmtId="0" fontId="61" fillId="0" borderId="21" xfId="0" applyFont="1" applyBorder="1" applyAlignment="1">
      <alignment horizontal="center" vertical="center"/>
    </xf>
    <xf numFmtId="165" fontId="31" fillId="0" borderId="0" xfId="0" applyNumberFormat="1" applyFont="1"/>
    <xf numFmtId="0" fontId="45" fillId="0" borderId="23" xfId="0" applyFont="1" applyBorder="1" applyAlignment="1">
      <alignment horizontal="center" vertical="center"/>
    </xf>
    <xf numFmtId="2" fontId="43" fillId="0" borderId="0" xfId="0" applyNumberFormat="1" applyFont="1" applyAlignment="1">
      <alignment horizontal="left" vertical="center"/>
    </xf>
    <xf numFmtId="1" fontId="43" fillId="0" borderId="0" xfId="0" applyNumberFormat="1" applyFont="1" applyAlignment="1">
      <alignment horizontal="left" vertical="center"/>
    </xf>
    <xf numFmtId="165" fontId="43" fillId="0" borderId="0" xfId="0" applyNumberFormat="1" applyFont="1" applyAlignment="1">
      <alignment horizontal="right" vertical="center"/>
    </xf>
    <xf numFmtId="1" fontId="81" fillId="0" borderId="8" xfId="0" applyNumberFormat="1" applyFont="1" applyBorder="1" applyAlignment="1">
      <alignment horizontal="left" vertical="center"/>
    </xf>
    <xf numFmtId="164" fontId="45" fillId="0" borderId="6" xfId="0" applyNumberFormat="1" applyFont="1" applyBorder="1" applyAlignment="1">
      <alignment horizontal="center" vertical="center"/>
    </xf>
    <xf numFmtId="164" fontId="45" fillId="0" borderId="17" xfId="0" applyNumberFormat="1" applyFont="1" applyBorder="1" applyAlignment="1">
      <alignment horizontal="center" vertical="center"/>
    </xf>
    <xf numFmtId="164" fontId="45" fillId="0" borderId="1" xfId="0" applyNumberFormat="1" applyFont="1" applyBorder="1" applyAlignment="1">
      <alignment horizontal="center" vertical="center"/>
    </xf>
    <xf numFmtId="1" fontId="43" fillId="0" borderId="11" xfId="0" applyNumberFormat="1" applyFont="1" applyBorder="1" applyAlignment="1">
      <alignment horizontal="center" vertical="center"/>
    </xf>
    <xf numFmtId="0" fontId="43" fillId="0" borderId="1" xfId="0" applyFont="1" applyBorder="1" applyAlignment="1">
      <alignment vertical="center"/>
    </xf>
    <xf numFmtId="0" fontId="43" fillId="0" borderId="21" xfId="0" applyFont="1" applyBorder="1" applyAlignment="1">
      <alignment horizontal="right" vertical="center"/>
    </xf>
    <xf numFmtId="0" fontId="43" fillId="0" borderId="22" xfId="0" applyFont="1" applyBorder="1" applyAlignment="1">
      <alignment horizontal="right" vertical="center"/>
    </xf>
    <xf numFmtId="2" fontId="45" fillId="0" borderId="18" xfId="0" applyNumberFormat="1" applyFont="1" applyBorder="1" applyAlignment="1">
      <alignment horizontal="center" vertical="center"/>
    </xf>
    <xf numFmtId="164" fontId="45" fillId="0" borderId="18" xfId="0" applyNumberFormat="1" applyFont="1" applyBorder="1" applyAlignment="1">
      <alignment horizontal="center" vertical="center"/>
    </xf>
    <xf numFmtId="2" fontId="45" fillId="0" borderId="19" xfId="0" applyNumberFormat="1" applyFont="1" applyBorder="1" applyAlignment="1">
      <alignment horizontal="center" vertical="center"/>
    </xf>
    <xf numFmtId="1" fontId="45" fillId="0" borderId="18" xfId="0" applyNumberFormat="1" applyFont="1" applyBorder="1" applyAlignment="1">
      <alignment horizontal="center" vertical="center"/>
    </xf>
    <xf numFmtId="170" fontId="45" fillId="0" borderId="19" xfId="0" applyNumberFormat="1" applyFont="1" applyBorder="1" applyAlignment="1">
      <alignment horizontal="center" vertical="center"/>
    </xf>
    <xf numFmtId="2" fontId="45" fillId="0" borderId="15" xfId="0" applyNumberFormat="1" applyFont="1" applyBorder="1" applyAlignment="1">
      <alignment horizontal="center" vertical="center"/>
    </xf>
    <xf numFmtId="1" fontId="45" fillId="0" borderId="0" xfId="0" applyNumberFormat="1" applyFont="1" applyAlignment="1">
      <alignment horizontal="center" vertical="center"/>
    </xf>
    <xf numFmtId="170" fontId="45" fillId="0" borderId="15" xfId="0" applyNumberFormat="1" applyFont="1" applyBorder="1" applyAlignment="1">
      <alignment horizontal="center" vertical="center"/>
    </xf>
    <xf numFmtId="2" fontId="45" fillId="0" borderId="8" xfId="0" applyNumberFormat="1" applyFont="1" applyBorder="1" applyAlignment="1">
      <alignment horizontal="center" vertical="center"/>
    </xf>
    <xf numFmtId="2" fontId="45" fillId="0" borderId="16" xfId="0" applyNumberFormat="1" applyFont="1" applyBorder="1" applyAlignment="1">
      <alignment horizontal="center" vertical="center"/>
    </xf>
    <xf numFmtId="1" fontId="45" fillId="0" borderId="8" xfId="0" applyNumberFormat="1" applyFont="1" applyBorder="1" applyAlignment="1">
      <alignment horizontal="center" vertical="center"/>
    </xf>
    <xf numFmtId="170" fontId="45" fillId="0" borderId="16" xfId="0" applyNumberFormat="1" applyFont="1" applyBorder="1" applyAlignment="1">
      <alignment horizontal="center" vertical="center"/>
    </xf>
    <xf numFmtId="0" fontId="45" fillId="0" borderId="8" xfId="0" applyFont="1" applyBorder="1" applyAlignment="1">
      <alignment horizontal="center" vertical="center"/>
    </xf>
    <xf numFmtId="0" fontId="45" fillId="0" borderId="8" xfId="0" applyFont="1" applyBorder="1" applyAlignment="1">
      <alignment vertical="center"/>
    </xf>
    <xf numFmtId="0" fontId="62" fillId="0" borderId="8" xfId="0" applyFont="1" applyBorder="1" applyAlignment="1">
      <alignment horizontal="center" vertical="center"/>
    </xf>
    <xf numFmtId="0" fontId="45" fillId="0" borderId="59" xfId="0" applyFont="1" applyBorder="1" applyAlignment="1">
      <alignment horizontal="center" vertical="center"/>
    </xf>
    <xf numFmtId="0" fontId="45" fillId="0" borderId="56" xfId="0" applyFont="1" applyBorder="1" applyAlignment="1">
      <alignment horizontal="center" vertical="center"/>
    </xf>
    <xf numFmtId="0" fontId="45" fillId="0" borderId="32" xfId="0" applyFont="1" applyBorder="1" applyAlignment="1">
      <alignment vertical="center"/>
    </xf>
    <xf numFmtId="0" fontId="31" fillId="0" borderId="32" xfId="0" applyFont="1" applyBorder="1"/>
    <xf numFmtId="0" fontId="31" fillId="0" borderId="33" xfId="0" applyFont="1" applyBorder="1"/>
    <xf numFmtId="2" fontId="45" fillId="0" borderId="17" xfId="0" applyNumberFormat="1" applyFont="1" applyBorder="1" applyAlignment="1">
      <alignment horizontal="center" vertical="center"/>
    </xf>
    <xf numFmtId="2" fontId="45" fillId="0" borderId="6" xfId="0" applyNumberFormat="1" applyFont="1" applyBorder="1" applyAlignment="1">
      <alignment horizontal="center" vertical="center"/>
    </xf>
    <xf numFmtId="2" fontId="45" fillId="0" borderId="1" xfId="0" applyNumberFormat="1" applyFont="1" applyBorder="1" applyAlignment="1">
      <alignment horizontal="center" vertical="center"/>
    </xf>
    <xf numFmtId="11" fontId="45" fillId="0" borderId="0" xfId="4" applyNumberFormat="1" applyFont="1" applyAlignment="1">
      <alignment horizontal="center" vertical="top"/>
    </xf>
    <xf numFmtId="0" fontId="43" fillId="0" borderId="21" xfId="0" applyFont="1" applyBorder="1" applyAlignment="1">
      <alignment horizontal="center" vertical="top"/>
    </xf>
    <xf numFmtId="0" fontId="43" fillId="0" borderId="4" xfId="0" applyFont="1" applyBorder="1" applyAlignment="1">
      <alignment horizontal="center" vertical="center"/>
    </xf>
    <xf numFmtId="0" fontId="43" fillId="0" borderId="6" xfId="0" applyFont="1" applyBorder="1" applyAlignment="1">
      <alignment horizontal="center" vertical="center"/>
    </xf>
    <xf numFmtId="0" fontId="43" fillId="0" borderId="11" xfId="0" applyFont="1" applyBorder="1" applyAlignment="1">
      <alignment horizontal="center" vertical="center"/>
    </xf>
    <xf numFmtId="0" fontId="43" fillId="0" borderId="1" xfId="0" applyFont="1" applyBorder="1" applyAlignment="1">
      <alignment horizontal="center" vertical="center"/>
    </xf>
    <xf numFmtId="164" fontId="45" fillId="0" borderId="4" xfId="4" applyNumberFormat="1" applyFont="1" applyBorder="1" applyAlignment="1">
      <alignment horizontal="center" vertical="center"/>
    </xf>
    <xf numFmtId="164" fontId="45" fillId="0" borderId="6" xfId="4" applyNumberFormat="1" applyFont="1" applyBorder="1" applyAlignment="1">
      <alignment horizontal="center" vertical="center"/>
    </xf>
    <xf numFmtId="2" fontId="45" fillId="0" borderId="0" xfId="4" applyNumberFormat="1" applyFont="1" applyAlignment="1">
      <alignment horizontal="center" vertical="center"/>
    </xf>
    <xf numFmtId="0" fontId="61" fillId="0" borderId="0" xfId="0" applyFont="1" applyAlignment="1">
      <alignment vertical="center"/>
    </xf>
    <xf numFmtId="171" fontId="45" fillId="0" borderId="0" xfId="5" applyNumberFormat="1" applyFont="1" applyFill="1" applyBorder="1" applyAlignment="1">
      <alignment horizontal="center" vertical="center"/>
    </xf>
    <xf numFmtId="0" fontId="46" fillId="0" borderId="0" xfId="0" applyFont="1" applyAlignment="1">
      <alignment horizontal="right" vertical="center"/>
    </xf>
    <xf numFmtId="0" fontId="43" fillId="0" borderId="17" xfId="0" applyFont="1" applyBorder="1" applyAlignment="1">
      <alignment horizontal="center" vertical="top"/>
    </xf>
    <xf numFmtId="0" fontId="43" fillId="0" borderId="18" xfId="0" applyFont="1" applyBorder="1" applyAlignment="1">
      <alignment horizontal="center" vertical="top"/>
    </xf>
    <xf numFmtId="0" fontId="43" fillId="0" borderId="23" xfId="0" applyFont="1" applyBorder="1" applyAlignment="1">
      <alignment horizontal="center" vertical="top"/>
    </xf>
    <xf numFmtId="9" fontId="43" fillId="0" borderId="0" xfId="10" applyFont="1" applyAlignment="1">
      <alignment horizontal="center" vertical="top"/>
    </xf>
    <xf numFmtId="1" fontId="43" fillId="0" borderId="0" xfId="0" applyNumberFormat="1" applyFont="1" applyAlignment="1">
      <alignment vertical="center"/>
    </xf>
    <xf numFmtId="0" fontId="62" fillId="0" borderId="22" xfId="0" applyFont="1" applyBorder="1" applyAlignment="1">
      <alignment horizontal="center" vertical="center"/>
    </xf>
    <xf numFmtId="0" fontId="45" fillId="0" borderId="18" xfId="0" applyFont="1" applyBorder="1" applyAlignment="1">
      <alignment horizontal="center" vertical="center"/>
    </xf>
    <xf numFmtId="0" fontId="62" fillId="0" borderId="19" xfId="0" applyFont="1" applyBorder="1" applyAlignment="1">
      <alignment horizontal="center" vertical="center"/>
    </xf>
    <xf numFmtId="0" fontId="0" fillId="10" borderId="0" xfId="0" applyFill="1"/>
    <xf numFmtId="0" fontId="0" fillId="10" borderId="0" xfId="0" applyFill="1" applyAlignment="1">
      <alignment vertical="center"/>
    </xf>
    <xf numFmtId="0" fontId="39" fillId="10" borderId="0" xfId="0" applyFont="1" applyFill="1"/>
    <xf numFmtId="0" fontId="68" fillId="10" borderId="0" xfId="3" applyFont="1" applyFill="1" applyBorder="1" applyAlignment="1">
      <alignment horizontal="center" vertical="center"/>
    </xf>
    <xf numFmtId="0" fontId="66" fillId="10" borderId="0" xfId="0" applyFont="1" applyFill="1"/>
    <xf numFmtId="0" fontId="39" fillId="10" borderId="0" xfId="0" applyFont="1" applyFill="1" applyAlignment="1">
      <alignment vertical="top"/>
    </xf>
    <xf numFmtId="0" fontId="0" fillId="10" borderId="0" xfId="0" applyFill="1" applyAlignment="1">
      <alignment vertical="top"/>
    </xf>
    <xf numFmtId="0" fontId="67" fillId="10" borderId="0" xfId="0" applyFont="1" applyFill="1" applyAlignment="1">
      <alignment vertical="center"/>
    </xf>
    <xf numFmtId="0" fontId="2" fillId="10" borderId="0" xfId="0" applyFont="1" applyFill="1"/>
    <xf numFmtId="2" fontId="45" fillId="0" borderId="0" xfId="4" applyNumberFormat="1" applyFont="1" applyAlignment="1">
      <alignment horizontal="center" vertical="top"/>
    </xf>
    <xf numFmtId="0" fontId="61" fillId="0" borderId="0" xfId="0" applyFont="1" applyAlignment="1">
      <alignment horizontal="center" vertical="top"/>
    </xf>
    <xf numFmtId="0" fontId="45" fillId="0" borderId="61" xfId="0" applyFont="1" applyBorder="1" applyAlignment="1">
      <alignment horizontal="left" vertical="center"/>
    </xf>
    <xf numFmtId="0" fontId="45" fillId="0" borderId="55" xfId="0" applyFont="1" applyBorder="1" applyAlignment="1">
      <alignment horizontal="left" vertical="center"/>
    </xf>
    <xf numFmtId="0" fontId="31" fillId="0" borderId="62" xfId="0" applyFont="1" applyBorder="1"/>
    <xf numFmtId="0" fontId="31" fillId="0" borderId="63" xfId="0" applyFont="1" applyBorder="1"/>
    <xf numFmtId="1" fontId="43" fillId="0" borderId="0" xfId="0" applyNumberFormat="1" applyFont="1" applyAlignment="1">
      <alignment horizontal="left" vertical="top"/>
    </xf>
    <xf numFmtId="0" fontId="42" fillId="0" borderId="20" xfId="0" applyFont="1" applyBorder="1" applyAlignment="1">
      <alignment vertical="top"/>
    </xf>
    <xf numFmtId="0" fontId="62" fillId="0" borderId="20" xfId="0" applyFont="1" applyBorder="1" applyAlignment="1">
      <alignment horizontal="center" vertical="center"/>
    </xf>
    <xf numFmtId="2" fontId="45" fillId="0" borderId="4" xfId="0" applyNumberFormat="1" applyFont="1" applyBorder="1" applyAlignment="1">
      <alignment horizontal="center" vertical="center"/>
    </xf>
    <xf numFmtId="2" fontId="45" fillId="0" borderId="11" xfId="0" applyNumberFormat="1" applyFont="1" applyBorder="1" applyAlignment="1">
      <alignment horizontal="center" vertical="center"/>
    </xf>
    <xf numFmtId="2" fontId="45" fillId="0" borderId="14" xfId="0" applyNumberFormat="1" applyFont="1" applyBorder="1" applyAlignment="1">
      <alignment horizontal="center" vertical="center"/>
    </xf>
    <xf numFmtId="172" fontId="43" fillId="0" borderId="0" xfId="0" applyNumberFormat="1" applyFont="1" applyAlignment="1">
      <alignment horizontal="center" vertical="top"/>
    </xf>
    <xf numFmtId="173" fontId="43" fillId="0" borderId="0" xfId="0" applyNumberFormat="1" applyFont="1" applyAlignment="1">
      <alignment horizontal="center" vertical="top"/>
    </xf>
    <xf numFmtId="0" fontId="42" fillId="0" borderId="8" xfId="0" applyFont="1" applyBorder="1" applyAlignment="1">
      <alignment horizontal="center" vertical="top"/>
    </xf>
    <xf numFmtId="0" fontId="81" fillId="0" borderId="0" xfId="4" applyFont="1" applyAlignment="1">
      <alignment horizontal="left" vertical="center"/>
    </xf>
    <xf numFmtId="0" fontId="45" fillId="0" borderId="0" xfId="0" applyFont="1" applyAlignment="1">
      <alignment horizontal="center"/>
    </xf>
    <xf numFmtId="0" fontId="39" fillId="0" borderId="15" xfId="0" applyFont="1" applyBorder="1"/>
    <xf numFmtId="164" fontId="48" fillId="0" borderId="0" xfId="0" applyNumberFormat="1" applyFont="1" applyAlignment="1">
      <alignment horizontal="center"/>
    </xf>
    <xf numFmtId="0" fontId="45" fillId="20" borderId="34" xfId="0" applyFont="1" applyFill="1" applyBorder="1" applyAlignment="1">
      <alignment horizontal="center" vertical="top"/>
    </xf>
    <xf numFmtId="0" fontId="45" fillId="20" borderId="3" xfId="0" applyFont="1" applyFill="1" applyBorder="1" applyAlignment="1">
      <alignment horizontal="center" vertical="top"/>
    </xf>
    <xf numFmtId="0" fontId="45" fillId="0" borderId="6" xfId="0" applyFont="1" applyBorder="1" applyAlignment="1">
      <alignment horizontal="center" vertical="top"/>
    </xf>
    <xf numFmtId="0" fontId="43" fillId="24" borderId="3" xfId="0" applyFont="1" applyFill="1" applyBorder="1" applyAlignment="1">
      <alignment horizontal="center" vertical="top"/>
    </xf>
    <xf numFmtId="0" fontId="43" fillId="26" borderId="4" xfId="0" applyFont="1" applyFill="1" applyBorder="1" applyAlignment="1">
      <alignment horizontal="center" vertical="top"/>
    </xf>
    <xf numFmtId="0" fontId="45" fillId="24" borderId="4" xfId="0" applyFont="1" applyFill="1" applyBorder="1" applyAlignment="1">
      <alignment horizontal="center" vertical="top"/>
    </xf>
    <xf numFmtId="0" fontId="45" fillId="26" borderId="4" xfId="0" applyFont="1" applyFill="1" applyBorder="1" applyAlignment="1">
      <alignment horizontal="center" vertical="top"/>
    </xf>
    <xf numFmtId="0" fontId="45" fillId="20" borderId="54" xfId="0" applyFont="1" applyFill="1" applyBorder="1" applyAlignment="1">
      <alignment horizontal="center" vertical="top"/>
    </xf>
    <xf numFmtId="0" fontId="45" fillId="0" borderId="65" xfId="0" applyFont="1" applyBorder="1" applyAlignment="1">
      <alignment horizontal="center" vertical="top"/>
    </xf>
    <xf numFmtId="0" fontId="43" fillId="24" borderId="54" xfId="0" applyFont="1" applyFill="1" applyBorder="1" applyAlignment="1">
      <alignment horizontal="center" vertical="top"/>
    </xf>
    <xf numFmtId="0" fontId="43" fillId="26" borderId="43" xfId="0" applyFont="1" applyFill="1" applyBorder="1" applyAlignment="1">
      <alignment horizontal="center" vertical="top"/>
    </xf>
    <xf numFmtId="0" fontId="45" fillId="24" borderId="43" xfId="0" applyFont="1" applyFill="1" applyBorder="1" applyAlignment="1">
      <alignment horizontal="center" vertical="top"/>
    </xf>
    <xf numFmtId="0" fontId="45" fillId="26" borderId="43" xfId="0" applyFont="1" applyFill="1" applyBorder="1" applyAlignment="1">
      <alignment horizontal="center" vertical="top"/>
    </xf>
    <xf numFmtId="0" fontId="43" fillId="10" borderId="23" xfId="0" applyFont="1" applyFill="1" applyBorder="1" applyAlignment="1">
      <alignment horizontal="right" vertical="top"/>
    </xf>
    <xf numFmtId="164" fontId="45" fillId="20" borderId="34" xfId="0" applyNumberFormat="1" applyFont="1" applyFill="1" applyBorder="1" applyAlignment="1">
      <alignment horizontal="center" vertical="top"/>
    </xf>
    <xf numFmtId="2" fontId="45" fillId="20" borderId="34" xfId="0" applyNumberFormat="1" applyFont="1" applyFill="1" applyBorder="1" applyAlignment="1">
      <alignment horizontal="center" vertical="top"/>
    </xf>
    <xf numFmtId="164" fontId="45" fillId="24" borderId="34" xfId="0" applyNumberFormat="1" applyFont="1" applyFill="1" applyBorder="1" applyAlignment="1">
      <alignment horizontal="center" vertical="top"/>
    </xf>
    <xf numFmtId="1" fontId="45" fillId="20" borderId="34" xfId="0" applyNumberFormat="1" applyFont="1" applyFill="1" applyBorder="1" applyAlignment="1">
      <alignment horizontal="center" vertical="top"/>
    </xf>
    <xf numFmtId="0" fontId="43" fillId="24" borderId="34" xfId="0" applyFont="1" applyFill="1" applyBorder="1" applyAlignment="1">
      <alignment horizontal="center" vertical="top"/>
    </xf>
    <xf numFmtId="0" fontId="45" fillId="24" borderId="34" xfId="0" applyFont="1" applyFill="1" applyBorder="1" applyAlignment="1">
      <alignment horizontal="center" vertical="top"/>
    </xf>
    <xf numFmtId="2" fontId="43" fillId="24" borderId="34" xfId="0" applyNumberFormat="1" applyFont="1" applyFill="1" applyBorder="1" applyAlignment="1">
      <alignment horizontal="center" vertical="top"/>
    </xf>
    <xf numFmtId="1" fontId="45" fillId="24" borderId="34" xfId="0" applyNumberFormat="1" applyFont="1" applyFill="1" applyBorder="1" applyAlignment="1">
      <alignment horizontal="center" vertical="top"/>
    </xf>
    <xf numFmtId="2" fontId="45" fillId="24" borderId="34" xfId="0" applyNumberFormat="1" applyFont="1" applyFill="1" applyBorder="1" applyAlignment="1">
      <alignment horizontal="center" vertical="top"/>
    </xf>
    <xf numFmtId="164" fontId="43" fillId="24" borderId="34" xfId="0" applyNumberFormat="1" applyFont="1" applyFill="1" applyBorder="1" applyAlignment="1">
      <alignment horizontal="center" vertical="top"/>
    </xf>
    <xf numFmtId="1" fontId="43" fillId="24" borderId="34" xfId="0" applyNumberFormat="1" applyFont="1" applyFill="1" applyBorder="1" applyAlignment="1">
      <alignment horizontal="center" vertical="top"/>
    </xf>
    <xf numFmtId="0" fontId="0" fillId="0" borderId="25" xfId="0" applyBorder="1"/>
    <xf numFmtId="0" fontId="0" fillId="0" borderId="34" xfId="0" applyBorder="1" applyAlignment="1">
      <alignment vertical="center"/>
    </xf>
    <xf numFmtId="0" fontId="39" fillId="0" borderId="34" xfId="0" applyFont="1" applyBorder="1"/>
    <xf numFmtId="0" fontId="39" fillId="0" borderId="34" xfId="0" applyFont="1" applyBorder="1" applyAlignment="1">
      <alignment vertical="top"/>
    </xf>
    <xf numFmtId="0" fontId="0" fillId="0" borderId="34" xfId="0" applyBorder="1" applyAlignment="1">
      <alignment vertical="top"/>
    </xf>
    <xf numFmtId="0" fontId="67" fillId="8" borderId="34" xfId="0" applyFont="1" applyFill="1" applyBorder="1" applyAlignment="1">
      <alignment vertical="center"/>
    </xf>
    <xf numFmtId="0" fontId="66" fillId="0" borderId="34" xfId="0" applyFont="1" applyBorder="1"/>
    <xf numFmtId="0" fontId="43" fillId="0" borderId="6" xfId="0" applyFont="1" applyBorder="1" applyAlignment="1">
      <alignment horizontal="center" vertical="top"/>
    </xf>
    <xf numFmtId="0" fontId="43" fillId="0" borderId="65" xfId="0" applyFont="1" applyBorder="1" applyAlignment="1">
      <alignment horizontal="center" vertical="top"/>
    </xf>
    <xf numFmtId="0" fontId="43" fillId="26" borderId="6" xfId="0" applyFont="1" applyFill="1" applyBorder="1" applyAlignment="1">
      <alignment horizontal="center" vertical="top"/>
    </xf>
    <xf numFmtId="0" fontId="45" fillId="26" borderId="6" xfId="0" applyFont="1" applyFill="1" applyBorder="1" applyAlignment="1">
      <alignment horizontal="center" vertical="top"/>
    </xf>
    <xf numFmtId="164" fontId="45" fillId="24" borderId="6" xfId="0" applyNumberFormat="1" applyFont="1" applyFill="1" applyBorder="1" applyAlignment="1">
      <alignment horizontal="center" vertical="top"/>
    </xf>
    <xf numFmtId="2" fontId="43" fillId="26" borderId="6" xfId="0" applyNumberFormat="1" applyFont="1" applyFill="1" applyBorder="1" applyAlignment="1">
      <alignment horizontal="center" vertical="top"/>
    </xf>
    <xf numFmtId="1" fontId="45" fillId="26" borderId="6" xfId="0" applyNumberFormat="1" applyFont="1" applyFill="1" applyBorder="1" applyAlignment="1">
      <alignment horizontal="center" vertical="top"/>
    </xf>
    <xf numFmtId="164" fontId="45" fillId="26" borderId="6" xfId="0" applyNumberFormat="1" applyFont="1" applyFill="1" applyBorder="1" applyAlignment="1">
      <alignment horizontal="center" vertical="top"/>
    </xf>
    <xf numFmtId="2" fontId="45" fillId="26" borderId="6" xfId="0" applyNumberFormat="1" applyFont="1" applyFill="1" applyBorder="1" applyAlignment="1">
      <alignment horizontal="center" vertical="top"/>
    </xf>
    <xf numFmtId="164" fontId="43" fillId="26" borderId="6" xfId="0" applyNumberFormat="1" applyFont="1" applyFill="1" applyBorder="1" applyAlignment="1">
      <alignment horizontal="center" vertical="top"/>
    </xf>
    <xf numFmtId="1" fontId="43" fillId="26" borderId="6" xfId="0" applyNumberFormat="1" applyFont="1" applyFill="1" applyBorder="1" applyAlignment="1">
      <alignment horizontal="center" vertical="top"/>
    </xf>
    <xf numFmtId="0" fontId="45" fillId="24" borderId="6" xfId="0" applyFont="1" applyFill="1" applyBorder="1" applyAlignment="1">
      <alignment horizontal="center" vertical="top"/>
    </xf>
    <xf numFmtId="2" fontId="45" fillId="24" borderId="6" xfId="0" applyNumberFormat="1" applyFont="1" applyFill="1" applyBorder="1" applyAlignment="1">
      <alignment horizontal="center" vertical="top"/>
    </xf>
    <xf numFmtId="1" fontId="45" fillId="24" borderId="6" xfId="0" applyNumberFormat="1" applyFont="1" applyFill="1" applyBorder="1" applyAlignment="1">
      <alignment horizontal="center" vertical="top"/>
    </xf>
    <xf numFmtId="2" fontId="43" fillId="24" borderId="6" xfId="0" applyNumberFormat="1" applyFont="1" applyFill="1" applyBorder="1" applyAlignment="1">
      <alignment horizontal="center" vertical="top"/>
    </xf>
    <xf numFmtId="2" fontId="95" fillId="0" borderId="18" xfId="0" applyNumberFormat="1" applyFont="1" applyBorder="1" applyAlignment="1">
      <alignment horizontal="center" vertical="center"/>
    </xf>
    <xf numFmtId="2" fontId="95" fillId="0" borderId="0" xfId="0" applyNumberFormat="1" applyFont="1" applyAlignment="1">
      <alignment horizontal="center" vertical="center"/>
    </xf>
    <xf numFmtId="0" fontId="42" fillId="0" borderId="21" xfId="0" applyFont="1" applyBorder="1" applyAlignment="1">
      <alignment horizontal="center" vertical="center"/>
    </xf>
    <xf numFmtId="0" fontId="43" fillId="0" borderId="18" xfId="0" applyFont="1" applyBorder="1" applyAlignment="1">
      <alignment horizontal="center" vertical="center"/>
    </xf>
    <xf numFmtId="1" fontId="45" fillId="0" borderId="0" xfId="0" applyNumberFormat="1" applyFont="1"/>
    <xf numFmtId="164" fontId="45" fillId="0" borderId="0" xfId="0" applyNumberFormat="1" applyFont="1"/>
    <xf numFmtId="1" fontId="45" fillId="0" borderId="19" xfId="0" applyNumberFormat="1" applyFont="1" applyBorder="1"/>
    <xf numFmtId="0" fontId="45" fillId="0" borderId="0" xfId="4" applyFont="1" applyAlignment="1">
      <alignment horizontal="left" vertical="center" wrapText="1"/>
    </xf>
    <xf numFmtId="0" fontId="0" fillId="24" borderId="0" xfId="0" applyFill="1"/>
    <xf numFmtId="0" fontId="79" fillId="27" borderId="8" xfId="0" applyFont="1" applyFill="1" applyBorder="1"/>
    <xf numFmtId="0" fontId="0" fillId="0" borderId="8" xfId="0" applyBorder="1"/>
    <xf numFmtId="0" fontId="79" fillId="24" borderId="8" xfId="0" applyFont="1" applyFill="1" applyBorder="1"/>
    <xf numFmtId="0" fontId="0" fillId="27" borderId="0" xfId="0" applyFill="1"/>
    <xf numFmtId="0" fontId="0" fillId="24" borderId="0" xfId="0" quotePrefix="1" applyFill="1"/>
    <xf numFmtId="0" fontId="0" fillId="27" borderId="8" xfId="0" applyFill="1" applyBorder="1"/>
    <xf numFmtId="0" fontId="0" fillId="24" borderId="8" xfId="0" applyFill="1" applyBorder="1"/>
    <xf numFmtId="0" fontId="0" fillId="27" borderId="29" xfId="0" applyFill="1" applyBorder="1"/>
    <xf numFmtId="0" fontId="0" fillId="24" borderId="29" xfId="0" applyFill="1" applyBorder="1"/>
    <xf numFmtId="0" fontId="0" fillId="27" borderId="21" xfId="0" applyFill="1" applyBorder="1"/>
    <xf numFmtId="0" fontId="0" fillId="0" borderId="21" xfId="0" applyBorder="1"/>
    <xf numFmtId="0" fontId="0" fillId="24" borderId="21" xfId="0" applyFill="1" applyBorder="1"/>
    <xf numFmtId="0" fontId="0" fillId="27" borderId="26" xfId="0" applyFill="1" applyBorder="1"/>
    <xf numFmtId="0" fontId="0" fillId="24" borderId="26" xfId="0" applyFill="1" applyBorder="1"/>
    <xf numFmtId="0" fontId="39" fillId="0" borderId="14" xfId="0" applyFont="1" applyBorder="1"/>
    <xf numFmtId="0" fontId="39" fillId="0" borderId="11" xfId="0" applyFont="1" applyBorder="1"/>
    <xf numFmtId="0" fontId="45" fillId="0" borderId="18" xfId="0" applyFont="1" applyBorder="1" applyAlignment="1" applyProtection="1">
      <alignment horizontal="center" vertical="top"/>
      <protection locked="0"/>
    </xf>
    <xf numFmtId="0" fontId="52" fillId="0" borderId="0" xfId="0" applyFont="1" applyAlignment="1">
      <alignment horizontal="right" vertical="top"/>
    </xf>
    <xf numFmtId="0" fontId="96" fillId="0" borderId="0" xfId="0" applyFont="1" applyAlignment="1">
      <alignment vertical="top"/>
    </xf>
    <xf numFmtId="0" fontId="81" fillId="0" borderId="0" xfId="0" applyFont="1" applyAlignment="1">
      <alignment vertical="top"/>
    </xf>
    <xf numFmtId="2" fontId="81" fillId="0" borderId="0" xfId="0" applyNumberFormat="1" applyFont="1" applyAlignment="1">
      <alignment vertical="top"/>
    </xf>
    <xf numFmtId="0" fontId="97" fillId="0" borderId="0" xfId="0" applyFont="1" applyAlignment="1">
      <alignment vertical="top"/>
    </xf>
    <xf numFmtId="0" fontId="52" fillId="6" borderId="18" xfId="0" applyFont="1" applyFill="1" applyBorder="1" applyAlignment="1" applyProtection="1">
      <alignment horizontal="center"/>
      <protection locked="0"/>
    </xf>
    <xf numFmtId="0" fontId="52" fillId="0" borderId="0" xfId="0" applyFont="1" applyAlignment="1">
      <alignment horizontal="right"/>
    </xf>
    <xf numFmtId="0" fontId="100" fillId="0" borderId="0" xfId="0" applyFont="1"/>
    <xf numFmtId="0" fontId="98" fillId="0" borderId="0" xfId="0" applyFont="1"/>
    <xf numFmtId="2" fontId="98" fillId="0" borderId="0" xfId="0" applyNumberFormat="1" applyFont="1"/>
    <xf numFmtId="0" fontId="101" fillId="0" borderId="0" xfId="0" applyFont="1"/>
    <xf numFmtId="0" fontId="14" fillId="0" borderId="8" xfId="0" applyFont="1" applyBorder="1" applyAlignment="1">
      <alignment vertical="center"/>
    </xf>
    <xf numFmtId="0" fontId="15" fillId="0" borderId="20" xfId="0" applyFont="1" applyBorder="1" applyAlignment="1">
      <alignment horizontal="center" vertical="center"/>
    </xf>
    <xf numFmtId="0" fontId="98" fillId="0" borderId="20" xfId="0" applyFont="1" applyBorder="1" applyAlignment="1">
      <alignment horizontal="center" vertical="center"/>
    </xf>
    <xf numFmtId="0" fontId="104" fillId="0" borderId="20" xfId="0" applyFont="1" applyBorder="1" applyAlignment="1">
      <alignment horizontal="center" vertical="center"/>
    </xf>
    <xf numFmtId="0" fontId="106" fillId="0" borderId="20" xfId="0" applyFont="1" applyBorder="1" applyAlignment="1">
      <alignment horizontal="center" vertical="center"/>
    </xf>
    <xf numFmtId="0" fontId="14" fillId="0" borderId="20" xfId="0" applyFont="1" applyBorder="1" applyAlignment="1">
      <alignment horizontal="center" vertical="center"/>
    </xf>
    <xf numFmtId="0" fontId="109" fillId="0" borderId="20" xfId="0" applyFont="1" applyBorder="1" applyAlignment="1">
      <alignment horizontal="center" vertical="center"/>
    </xf>
    <xf numFmtId="2" fontId="109" fillId="0" borderId="20" xfId="0" applyNumberFormat="1" applyFont="1" applyBorder="1" applyAlignment="1">
      <alignment horizontal="center" vertical="center"/>
    </xf>
    <xf numFmtId="1" fontId="109" fillId="0" borderId="20" xfId="0" applyNumberFormat="1" applyFont="1" applyBorder="1" applyAlignment="1">
      <alignment horizontal="center" vertical="center"/>
    </xf>
    <xf numFmtId="0" fontId="104" fillId="0" borderId="0" xfId="0" applyFont="1" applyAlignment="1">
      <alignment horizontal="center" vertical="center"/>
    </xf>
    <xf numFmtId="2" fontId="14" fillId="0" borderId="20" xfId="0" applyNumberFormat="1" applyFont="1" applyBorder="1" applyAlignment="1">
      <alignment horizontal="center" vertical="center"/>
    </xf>
    <xf numFmtId="1" fontId="14" fillId="0" borderId="20" xfId="0" applyNumberFormat="1" applyFont="1" applyBorder="1" applyAlignment="1">
      <alignment horizontal="center" vertical="center"/>
    </xf>
    <xf numFmtId="1" fontId="10" fillId="0" borderId="22" xfId="0" applyNumberFormat="1" applyFont="1" applyBorder="1" applyAlignment="1">
      <alignment horizontal="right" vertical="center" indent="2"/>
    </xf>
    <xf numFmtId="1" fontId="15" fillId="0" borderId="23" xfId="0" applyNumberFormat="1" applyFont="1" applyBorder="1" applyAlignment="1">
      <alignment horizontal="right" vertical="center" indent="2"/>
    </xf>
    <xf numFmtId="1" fontId="15" fillId="0" borderId="20" xfId="0" applyNumberFormat="1" applyFont="1" applyBorder="1" applyAlignment="1">
      <alignment horizontal="right" vertical="center" indent="2"/>
    </xf>
    <xf numFmtId="1" fontId="104" fillId="0" borderId="21" xfId="0" applyNumberFormat="1" applyFont="1" applyBorder="1" applyAlignment="1">
      <alignment horizontal="right" vertical="center" indent="2"/>
    </xf>
    <xf numFmtId="1" fontId="104" fillId="0" borderId="20" xfId="0" applyNumberFormat="1" applyFont="1" applyBorder="1" applyAlignment="1">
      <alignment horizontal="right" vertical="center" indent="2"/>
    </xf>
    <xf numFmtId="2" fontId="14" fillId="0" borderId="20" xfId="0" applyNumberFormat="1" applyFont="1" applyBorder="1" applyAlignment="1">
      <alignment horizontal="right" vertical="center" indent="2"/>
    </xf>
    <xf numFmtId="2" fontId="14" fillId="0" borderId="22" xfId="0" applyNumberFormat="1" applyFont="1" applyBorder="1" applyAlignment="1">
      <alignment horizontal="right" vertical="center" indent="2"/>
    </xf>
    <xf numFmtId="1" fontId="14" fillId="0" borderId="20" xfId="0" applyNumberFormat="1" applyFont="1" applyBorder="1" applyAlignment="1">
      <alignment horizontal="right" vertical="center" indent="2"/>
    </xf>
    <xf numFmtId="164" fontId="14" fillId="0" borderId="20" xfId="0" applyNumberFormat="1" applyFont="1" applyBorder="1" applyAlignment="1">
      <alignment horizontal="right" vertical="center" indent="2"/>
    </xf>
    <xf numFmtId="164" fontId="14" fillId="0" borderId="22" xfId="0" applyNumberFormat="1" applyFont="1" applyBorder="1" applyAlignment="1">
      <alignment horizontal="right" vertical="center" indent="2"/>
    </xf>
    <xf numFmtId="165" fontId="14" fillId="0" borderId="20" xfId="0" applyNumberFormat="1" applyFont="1" applyBorder="1" applyAlignment="1">
      <alignment horizontal="right" vertical="center" indent="2"/>
    </xf>
    <xf numFmtId="9" fontId="10" fillId="0" borderId="20" xfId="10" applyFont="1" applyBorder="1" applyAlignment="1">
      <alignment horizontal="center" vertical="center"/>
    </xf>
    <xf numFmtId="9" fontId="14" fillId="0" borderId="20" xfId="10" applyFont="1" applyBorder="1" applyAlignment="1">
      <alignment horizontal="center" vertical="center"/>
    </xf>
    <xf numFmtId="0" fontId="31" fillId="0" borderId="0" xfId="0" applyFont="1" applyAlignment="1">
      <alignment horizontal="left"/>
    </xf>
    <xf numFmtId="1" fontId="16" fillId="0" borderId="22" xfId="0" applyNumberFormat="1" applyFont="1" applyBorder="1" applyAlignment="1">
      <alignment vertical="center"/>
    </xf>
    <xf numFmtId="167" fontId="10" fillId="0" borderId="22" xfId="0" applyNumberFormat="1" applyFont="1" applyBorder="1" applyAlignment="1">
      <alignment vertical="center"/>
    </xf>
    <xf numFmtId="0" fontId="10" fillId="0" borderId="6" xfId="0" applyFont="1" applyBorder="1" applyAlignment="1">
      <alignment horizontal="left" vertical="center"/>
    </xf>
    <xf numFmtId="165" fontId="10" fillId="0" borderId="19" xfId="0" applyNumberFormat="1" applyFont="1" applyBorder="1" applyAlignment="1">
      <alignment horizontal="right" vertical="center"/>
    </xf>
    <xf numFmtId="2" fontId="10" fillId="0" borderId="19" xfId="0" applyNumberFormat="1" applyFont="1" applyBorder="1" applyAlignment="1">
      <alignment horizontal="right" vertical="center"/>
    </xf>
    <xf numFmtId="2" fontId="14" fillId="0" borderId="19" xfId="0" applyNumberFormat="1" applyFont="1" applyBorder="1" applyAlignment="1">
      <alignment horizontal="right" vertical="center"/>
    </xf>
    <xf numFmtId="165" fontId="14" fillId="0" borderId="16" xfId="0" applyNumberFormat="1" applyFont="1" applyBorder="1" applyAlignment="1">
      <alignment horizontal="right" vertical="center"/>
    </xf>
    <xf numFmtId="2" fontId="14" fillId="0" borderId="16" xfId="0" applyNumberFormat="1" applyFont="1" applyBorder="1" applyAlignment="1">
      <alignment horizontal="right" vertical="center"/>
    </xf>
    <xf numFmtId="165" fontId="10" fillId="0" borderId="16" xfId="0" applyNumberFormat="1" applyFont="1" applyBorder="1" applyAlignment="1">
      <alignment horizontal="right" vertical="center"/>
    </xf>
    <xf numFmtId="0" fontId="110" fillId="0" borderId="0" xfId="0" applyFont="1" applyAlignment="1">
      <alignment vertical="center"/>
    </xf>
    <xf numFmtId="165" fontId="10" fillId="6" borderId="19" xfId="0" applyNumberFormat="1" applyFont="1" applyFill="1" applyBorder="1" applyAlignment="1">
      <alignment horizontal="center" vertical="center"/>
    </xf>
    <xf numFmtId="165" fontId="10" fillId="0" borderId="16" xfId="0" applyNumberFormat="1" applyFont="1" applyBorder="1" applyAlignment="1">
      <alignment horizontal="center" vertical="center"/>
    </xf>
    <xf numFmtId="1" fontId="14" fillId="0" borderId="0" xfId="0" applyNumberFormat="1" applyFont="1" applyAlignment="1">
      <alignment vertical="center"/>
    </xf>
    <xf numFmtId="0" fontId="14" fillId="0" borderId="6" xfId="0" applyFont="1" applyBorder="1" applyAlignment="1">
      <alignment horizontal="center" vertical="center"/>
    </xf>
    <xf numFmtId="9" fontId="10" fillId="0" borderId="6" xfId="10" applyFont="1" applyBorder="1" applyAlignment="1">
      <alignment horizontal="center" vertical="center"/>
    </xf>
    <xf numFmtId="9" fontId="14" fillId="0" borderId="6" xfId="10" applyFont="1" applyBorder="1" applyAlignment="1">
      <alignment horizontal="center" vertical="center"/>
    </xf>
    <xf numFmtId="1" fontId="15" fillId="0" borderId="0" xfId="0" applyNumberFormat="1" applyFont="1" applyAlignment="1">
      <alignment vertical="center"/>
    </xf>
    <xf numFmtId="1" fontId="14" fillId="5" borderId="0" xfId="0" applyNumberFormat="1" applyFont="1" applyFill="1" applyAlignment="1">
      <alignment horizontal="right" vertical="center"/>
    </xf>
    <xf numFmtId="174" fontId="14" fillId="0" borderId="0" xfId="0" applyNumberFormat="1" applyFont="1" applyAlignment="1">
      <alignment vertical="center"/>
    </xf>
    <xf numFmtId="0" fontId="14" fillId="0" borderId="1" xfId="0" applyFont="1" applyBorder="1" applyAlignment="1">
      <alignment horizontal="center" vertical="center"/>
    </xf>
    <xf numFmtId="1" fontId="14" fillId="5" borderId="8" xfId="0" applyNumberFormat="1" applyFont="1" applyFill="1" applyBorder="1" applyAlignment="1">
      <alignment horizontal="right" vertical="center"/>
    </xf>
    <xf numFmtId="1" fontId="10" fillId="0" borderId="21" xfId="0" applyNumberFormat="1" applyFont="1" applyBorder="1" applyAlignment="1">
      <alignment vertical="center"/>
    </xf>
    <xf numFmtId="0" fontId="15" fillId="0" borderId="21" xfId="0" applyFont="1" applyBorder="1" applyAlignment="1">
      <alignment horizontal="right" vertical="center"/>
    </xf>
    <xf numFmtId="167" fontId="15" fillId="0" borderId="22" xfId="0" applyNumberFormat="1" applyFont="1" applyBorder="1" applyAlignment="1">
      <alignment horizontal="left" vertical="center"/>
    </xf>
    <xf numFmtId="0" fontId="15" fillId="0" borderId="18" xfId="0" applyFont="1" applyBorder="1" applyAlignment="1">
      <alignment horizontal="left" vertical="center"/>
    </xf>
    <xf numFmtId="1" fontId="21" fillId="0" borderId="0" xfId="0" applyNumberFormat="1" applyFont="1" applyAlignment="1">
      <alignment horizontal="right" vertical="center"/>
    </xf>
    <xf numFmtId="167" fontId="10" fillId="0" borderId="15" xfId="0" applyNumberFormat="1" applyFont="1" applyBorder="1" applyAlignment="1">
      <alignment horizontal="left" vertical="center" indent="2"/>
    </xf>
    <xf numFmtId="1" fontId="10" fillId="0" borderId="15" xfId="0" applyNumberFormat="1" applyFont="1" applyBorder="1" applyAlignment="1">
      <alignment horizontal="right" vertical="center" indent="2"/>
    </xf>
    <xf numFmtId="1" fontId="0" fillId="0" borderId="0" xfId="0" applyNumberFormat="1"/>
    <xf numFmtId="167" fontId="10" fillId="0" borderId="8" xfId="0" applyNumberFormat="1" applyFont="1" applyBorder="1" applyAlignment="1">
      <alignment horizontal="right" vertical="center"/>
    </xf>
    <xf numFmtId="165" fontId="10" fillId="0" borderId="16" xfId="0" applyNumberFormat="1" applyFont="1" applyBorder="1" applyAlignment="1">
      <alignment horizontal="right" vertical="center" indent="2"/>
    </xf>
    <xf numFmtId="1" fontId="14" fillId="0" borderId="15" xfId="0" applyNumberFormat="1" applyFont="1" applyBorder="1" applyAlignment="1">
      <alignment horizontal="left" vertical="center"/>
    </xf>
    <xf numFmtId="0" fontId="16" fillId="4" borderId="23" xfId="1" applyFont="1" applyFill="1" applyBorder="1" applyAlignment="1">
      <alignment horizontal="left" vertical="center"/>
    </xf>
    <xf numFmtId="1" fontId="16" fillId="4" borderId="23" xfId="1" applyNumberFormat="1" applyFont="1" applyFill="1" applyBorder="1" applyAlignment="1">
      <alignment horizontal="left" vertical="center"/>
    </xf>
    <xf numFmtId="0" fontId="10" fillId="4" borderId="23" xfId="1" applyFont="1" applyFill="1" applyBorder="1" applyAlignment="1">
      <alignment horizontal="center" vertical="center"/>
    </xf>
    <xf numFmtId="0" fontId="15" fillId="4" borderId="17" xfId="1" applyFont="1" applyFill="1" applyBorder="1" applyAlignment="1">
      <alignment horizontal="center" vertical="center"/>
    </xf>
    <xf numFmtId="0" fontId="15" fillId="4" borderId="18" xfId="1" applyFont="1" applyFill="1" applyBorder="1" applyAlignment="1">
      <alignment horizontal="center" vertical="center"/>
    </xf>
    <xf numFmtId="0" fontId="15" fillId="4" borderId="19" xfId="1" applyFont="1" applyFill="1" applyBorder="1" applyAlignment="1">
      <alignment horizontal="center" vertical="center"/>
    </xf>
    <xf numFmtId="164" fontId="15" fillId="4" borderId="1" xfId="1" applyNumberFormat="1" applyFont="1" applyFill="1" applyBorder="1" applyAlignment="1">
      <alignment horizontal="center" vertical="center"/>
    </xf>
    <xf numFmtId="0" fontId="15" fillId="4" borderId="8" xfId="1" applyFont="1" applyFill="1" applyBorder="1" applyAlignment="1">
      <alignment horizontal="center" vertical="center"/>
    </xf>
    <xf numFmtId="0" fontId="15" fillId="4" borderId="16" xfId="1" applyFont="1" applyFill="1" applyBorder="1" applyAlignment="1">
      <alignment horizontal="center" vertical="center"/>
    </xf>
    <xf numFmtId="1" fontId="10" fillId="7" borderId="17" xfId="1" applyNumberFormat="1" applyFont="1" applyFill="1" applyBorder="1" applyAlignment="1">
      <alignment horizontal="right" vertical="center" indent="3"/>
    </xf>
    <xf numFmtId="1" fontId="10" fillId="7" borderId="18" xfId="1" applyNumberFormat="1" applyFont="1" applyFill="1" applyBorder="1" applyAlignment="1">
      <alignment horizontal="right" vertical="center" indent="3"/>
    </xf>
    <xf numFmtId="164" fontId="10" fillId="7" borderId="19" xfId="1" applyNumberFormat="1" applyFont="1" applyFill="1" applyBorder="1" applyAlignment="1">
      <alignment horizontal="right" vertical="center" indent="3"/>
    </xf>
    <xf numFmtId="1" fontId="10" fillId="7" borderId="17" xfId="0" applyNumberFormat="1" applyFont="1" applyFill="1" applyBorder="1" applyAlignment="1">
      <alignment horizontal="right" vertical="center" indent="3"/>
    </xf>
    <xf numFmtId="0" fontId="10" fillId="7" borderId="18" xfId="0" applyFont="1" applyFill="1" applyBorder="1" applyAlignment="1">
      <alignment horizontal="right" vertical="center" indent="3"/>
    </xf>
    <xf numFmtId="1" fontId="10" fillId="7" borderId="18" xfId="0" applyNumberFormat="1" applyFont="1" applyFill="1" applyBorder="1" applyAlignment="1">
      <alignment horizontal="right" vertical="center" indent="3"/>
    </xf>
    <xf numFmtId="165" fontId="10" fillId="7" borderId="19" xfId="0" applyNumberFormat="1" applyFont="1" applyFill="1" applyBorder="1" applyAlignment="1">
      <alignment horizontal="right" vertical="center" indent="3"/>
    </xf>
    <xf numFmtId="165" fontId="10" fillId="7" borderId="20" xfId="0" applyNumberFormat="1" applyFont="1" applyFill="1" applyBorder="1" applyAlignment="1">
      <alignment horizontal="right" vertical="center" indent="3"/>
    </xf>
    <xf numFmtId="1" fontId="10" fillId="7" borderId="6" xfId="1" applyNumberFormat="1" applyFont="1" applyFill="1" applyBorder="1" applyAlignment="1">
      <alignment horizontal="right" vertical="center" indent="3"/>
    </xf>
    <xf numFmtId="1" fontId="10" fillId="7" borderId="0" xfId="1" applyNumberFormat="1" applyFont="1" applyFill="1" applyBorder="1" applyAlignment="1">
      <alignment horizontal="right" vertical="center" indent="3"/>
    </xf>
    <xf numFmtId="164" fontId="10" fillId="7" borderId="15" xfId="1" applyNumberFormat="1" applyFont="1" applyFill="1" applyBorder="1" applyAlignment="1">
      <alignment horizontal="right" vertical="center" indent="3"/>
    </xf>
    <xf numFmtId="1" fontId="10" fillId="7" borderId="6" xfId="0" applyNumberFormat="1" applyFont="1" applyFill="1" applyBorder="1" applyAlignment="1">
      <alignment horizontal="right" vertical="center" indent="3"/>
    </xf>
    <xf numFmtId="0" fontId="10" fillId="7" borderId="0" xfId="0" applyFont="1" applyFill="1" applyAlignment="1">
      <alignment horizontal="right" vertical="center" indent="3"/>
    </xf>
    <xf numFmtId="1" fontId="10" fillId="7" borderId="0" xfId="0" applyNumberFormat="1" applyFont="1" applyFill="1" applyAlignment="1">
      <alignment horizontal="right" vertical="center" indent="3"/>
    </xf>
    <xf numFmtId="165" fontId="10" fillId="7" borderId="15" xfId="0" applyNumberFormat="1" applyFont="1" applyFill="1" applyBorder="1" applyAlignment="1">
      <alignment horizontal="right" vertical="center" indent="3"/>
    </xf>
    <xf numFmtId="1" fontId="10" fillId="7" borderId="1" xfId="1" applyNumberFormat="1" applyFont="1" applyFill="1" applyBorder="1" applyAlignment="1">
      <alignment horizontal="right" vertical="center" indent="3"/>
    </xf>
    <xf numFmtId="1" fontId="10" fillId="7" borderId="8" xfId="1" applyNumberFormat="1" applyFont="1" applyFill="1" applyBorder="1" applyAlignment="1">
      <alignment horizontal="right" vertical="center" indent="3"/>
    </xf>
    <xf numFmtId="164" fontId="10" fillId="7" borderId="16" xfId="1" applyNumberFormat="1" applyFont="1" applyFill="1" applyBorder="1" applyAlignment="1">
      <alignment horizontal="right" vertical="center" indent="3"/>
    </xf>
    <xf numFmtId="1" fontId="10" fillId="7" borderId="1" xfId="0" applyNumberFormat="1" applyFont="1" applyFill="1" applyBorder="1" applyAlignment="1">
      <alignment horizontal="right" vertical="center" indent="3"/>
    </xf>
    <xf numFmtId="0" fontId="10" fillId="7" borderId="8" xfId="0" applyFont="1" applyFill="1" applyBorder="1" applyAlignment="1">
      <alignment horizontal="right" vertical="center" indent="3"/>
    </xf>
    <xf numFmtId="1" fontId="10" fillId="7" borderId="8" xfId="0" applyNumberFormat="1" applyFont="1" applyFill="1" applyBorder="1" applyAlignment="1">
      <alignment horizontal="right" vertical="center" indent="3"/>
    </xf>
    <xf numFmtId="165" fontId="10" fillId="7" borderId="16" xfId="0" applyNumberFormat="1" applyFont="1" applyFill="1" applyBorder="1" applyAlignment="1">
      <alignment horizontal="right" vertical="center" indent="3"/>
    </xf>
    <xf numFmtId="1" fontId="10" fillId="7" borderId="16" xfId="0" applyNumberFormat="1" applyFont="1" applyFill="1" applyBorder="1" applyAlignment="1">
      <alignment horizontal="right" vertical="center" indent="3"/>
    </xf>
    <xf numFmtId="1" fontId="15" fillId="15" borderId="17" xfId="1" applyNumberFormat="1" applyFont="1" applyFill="1" applyBorder="1" applyAlignment="1">
      <alignment horizontal="right" vertical="center" indent="3"/>
    </xf>
    <xf numFmtId="1" fontId="15" fillId="15" borderId="18" xfId="1" applyNumberFormat="1" applyFont="1" applyFill="1" applyBorder="1" applyAlignment="1">
      <alignment horizontal="right" vertical="center" indent="3"/>
    </xf>
    <xf numFmtId="1" fontId="10" fillId="15" borderId="19" xfId="1" applyNumberFormat="1" applyFont="1" applyFill="1" applyBorder="1" applyAlignment="1">
      <alignment horizontal="right" vertical="center" indent="3"/>
    </xf>
    <xf numFmtId="1" fontId="15" fillId="15" borderId="18" xfId="0" applyNumberFormat="1" applyFont="1" applyFill="1" applyBorder="1" applyAlignment="1">
      <alignment horizontal="right" vertical="center" indent="3"/>
    </xf>
    <xf numFmtId="165" fontId="15" fillId="15" borderId="18" xfId="0" applyNumberFormat="1" applyFont="1" applyFill="1" applyBorder="1" applyAlignment="1">
      <alignment horizontal="right" vertical="center" indent="3"/>
    </xf>
    <xf numFmtId="165" fontId="15" fillId="15" borderId="14" xfId="0" applyNumberFormat="1" applyFont="1" applyFill="1" applyBorder="1" applyAlignment="1">
      <alignment horizontal="right" vertical="center" indent="3"/>
    </xf>
    <xf numFmtId="167" fontId="15" fillId="15" borderId="14" xfId="0" applyNumberFormat="1" applyFont="1" applyFill="1" applyBorder="1" applyAlignment="1">
      <alignment horizontal="right" vertical="center" indent="3"/>
    </xf>
    <xf numFmtId="165" fontId="15" fillId="15" borderId="20" xfId="0" applyNumberFormat="1" applyFont="1" applyFill="1" applyBorder="1" applyAlignment="1">
      <alignment horizontal="right" vertical="center" indent="3"/>
    </xf>
    <xf numFmtId="1" fontId="15" fillId="15" borderId="6" xfId="1" applyNumberFormat="1" applyFont="1" applyFill="1" applyBorder="1" applyAlignment="1">
      <alignment horizontal="right" vertical="center" indent="3"/>
    </xf>
    <xf numFmtId="1" fontId="15" fillId="15" borderId="0" xfId="1" applyNumberFormat="1" applyFont="1" applyFill="1" applyBorder="1" applyAlignment="1">
      <alignment horizontal="right" vertical="center" indent="3"/>
    </xf>
    <xf numFmtId="1" fontId="10" fillId="15" borderId="15" xfId="1" applyNumberFormat="1" applyFont="1" applyFill="1" applyBorder="1" applyAlignment="1">
      <alignment horizontal="right" vertical="center" indent="3"/>
    </xf>
    <xf numFmtId="1" fontId="15" fillId="15" borderId="0" xfId="0" applyNumberFormat="1" applyFont="1" applyFill="1" applyAlignment="1">
      <alignment horizontal="right" vertical="center" indent="3"/>
    </xf>
    <xf numFmtId="165" fontId="15" fillId="15" borderId="0" xfId="0" applyNumberFormat="1" applyFont="1" applyFill="1" applyAlignment="1">
      <alignment horizontal="right" vertical="center" indent="3"/>
    </xf>
    <xf numFmtId="165" fontId="15" fillId="15" borderId="4" xfId="0" applyNumberFormat="1" applyFont="1" applyFill="1" applyBorder="1" applyAlignment="1">
      <alignment horizontal="right" vertical="center" indent="3"/>
    </xf>
    <xf numFmtId="167" fontId="15" fillId="15" borderId="4" xfId="0" applyNumberFormat="1" applyFont="1" applyFill="1" applyBorder="1" applyAlignment="1">
      <alignment horizontal="right" vertical="center" indent="3"/>
    </xf>
    <xf numFmtId="1" fontId="15" fillId="15" borderId="1" xfId="1" applyNumberFormat="1" applyFont="1" applyFill="1" applyBorder="1" applyAlignment="1">
      <alignment horizontal="right" vertical="center" indent="3"/>
    </xf>
    <xf numFmtId="1" fontId="15" fillId="15" borderId="8" xfId="1" applyNumberFormat="1" applyFont="1" applyFill="1" applyBorder="1" applyAlignment="1">
      <alignment horizontal="right" vertical="center" indent="3"/>
    </xf>
    <xf numFmtId="1" fontId="10" fillId="15" borderId="16" xfId="1" applyNumberFormat="1" applyFont="1" applyFill="1" applyBorder="1" applyAlignment="1">
      <alignment horizontal="right" vertical="center" indent="3"/>
    </xf>
    <xf numFmtId="1" fontId="15" fillId="15" borderId="8" xfId="0" applyNumberFormat="1" applyFont="1" applyFill="1" applyBorder="1" applyAlignment="1">
      <alignment horizontal="right" vertical="center" indent="3"/>
    </xf>
    <xf numFmtId="165" fontId="15" fillId="15" borderId="8" xfId="0" applyNumberFormat="1" applyFont="1" applyFill="1" applyBorder="1" applyAlignment="1">
      <alignment horizontal="right" vertical="center" indent="3"/>
    </xf>
    <xf numFmtId="165" fontId="15" fillId="15" borderId="11" xfId="0" applyNumberFormat="1" applyFont="1" applyFill="1" applyBorder="1" applyAlignment="1">
      <alignment horizontal="right" vertical="center" indent="3"/>
    </xf>
    <xf numFmtId="167" fontId="15" fillId="15" borderId="11" xfId="0" applyNumberFormat="1" applyFont="1" applyFill="1" applyBorder="1" applyAlignment="1">
      <alignment horizontal="right" vertical="center" indent="3"/>
    </xf>
    <xf numFmtId="1" fontId="14" fillId="6" borderId="6" xfId="1" applyNumberFormat="1" applyFont="1" applyFill="1" applyBorder="1" applyAlignment="1">
      <alignment horizontal="right" vertical="center" indent="3"/>
    </xf>
    <xf numFmtId="1" fontId="10" fillId="4" borderId="19" xfId="0" applyNumberFormat="1" applyFont="1" applyFill="1" applyBorder="1" applyAlignment="1">
      <alignment horizontal="right" vertical="center" indent="3"/>
    </xf>
    <xf numFmtId="1" fontId="10" fillId="0" borderId="0" xfId="0" applyNumberFormat="1" applyFont="1" applyAlignment="1">
      <alignment horizontal="right" vertical="center" indent="3"/>
    </xf>
    <xf numFmtId="165" fontId="10" fillId="4" borderId="18" xfId="0" applyNumberFormat="1" applyFont="1" applyFill="1" applyBorder="1" applyAlignment="1">
      <alignment horizontal="right" vertical="center" indent="3"/>
    </xf>
    <xf numFmtId="1" fontId="10" fillId="4" borderId="14" xfId="0" applyNumberFormat="1" applyFont="1" applyFill="1" applyBorder="1" applyAlignment="1">
      <alignment horizontal="right" vertical="center" indent="3"/>
    </xf>
    <xf numFmtId="167" fontId="10" fillId="4" borderId="14" xfId="0" applyNumberFormat="1" applyFont="1" applyFill="1" applyBorder="1" applyAlignment="1">
      <alignment horizontal="right" vertical="center" indent="3"/>
    </xf>
    <xf numFmtId="165" fontId="10" fillId="4" borderId="14" xfId="0" applyNumberFormat="1" applyFont="1" applyFill="1" applyBorder="1" applyAlignment="1">
      <alignment horizontal="right" vertical="center" indent="3"/>
    </xf>
    <xf numFmtId="165" fontId="10" fillId="4" borderId="20" xfId="0" applyNumberFormat="1" applyFont="1" applyFill="1" applyBorder="1" applyAlignment="1">
      <alignment horizontal="right" vertical="center" indent="3"/>
    </xf>
    <xf numFmtId="1" fontId="10" fillId="4" borderId="15" xfId="0" applyNumberFormat="1" applyFont="1" applyFill="1" applyBorder="1" applyAlignment="1">
      <alignment horizontal="right" vertical="center" indent="3"/>
    </xf>
    <xf numFmtId="1" fontId="14" fillId="4" borderId="6" xfId="1" applyNumberFormat="1" applyFont="1" applyFill="1" applyBorder="1" applyAlignment="1">
      <alignment horizontal="right" vertical="center" indent="3"/>
    </xf>
    <xf numFmtId="165" fontId="10" fillId="4" borderId="0" xfId="0" applyNumberFormat="1" applyFont="1" applyFill="1" applyAlignment="1">
      <alignment horizontal="right" vertical="center" indent="3"/>
    </xf>
    <xf numFmtId="167" fontId="10" fillId="4" borderId="4" xfId="0" applyNumberFormat="1" applyFont="1" applyFill="1" applyBorder="1" applyAlignment="1">
      <alignment horizontal="right" vertical="center" indent="3"/>
    </xf>
    <xf numFmtId="165" fontId="10" fillId="4" borderId="4" xfId="0" applyNumberFormat="1" applyFont="1" applyFill="1" applyBorder="1" applyAlignment="1">
      <alignment horizontal="right" vertical="center" indent="3"/>
    </xf>
    <xf numFmtId="0" fontId="10" fillId="0" borderId="0" xfId="0" applyFont="1" applyAlignment="1">
      <alignment horizontal="right" vertical="center" indent="3"/>
    </xf>
    <xf numFmtId="1" fontId="14" fillId="4" borderId="1" xfId="1" applyNumberFormat="1" applyFont="1" applyFill="1" applyBorder="1" applyAlignment="1">
      <alignment horizontal="right" vertical="center" indent="3"/>
    </xf>
    <xf numFmtId="165" fontId="10" fillId="4" borderId="8" xfId="0" applyNumberFormat="1" applyFont="1" applyFill="1" applyBorder="1" applyAlignment="1">
      <alignment horizontal="right" vertical="center" indent="3"/>
    </xf>
    <xf numFmtId="0" fontId="23" fillId="0" borderId="0" xfId="0" applyFont="1" applyAlignment="1">
      <alignment horizontal="center" vertical="center"/>
    </xf>
    <xf numFmtId="1" fontId="23" fillId="0" borderId="8" xfId="0" applyNumberFormat="1" applyFont="1" applyBorder="1" applyAlignment="1">
      <alignment horizontal="center" vertical="center"/>
    </xf>
    <xf numFmtId="0" fontId="10" fillId="4" borderId="19" xfId="0" applyFont="1" applyFill="1" applyBorder="1" applyAlignment="1">
      <alignment horizontal="center" vertical="center"/>
    </xf>
    <xf numFmtId="0" fontId="10" fillId="4" borderId="18" xfId="0" applyFont="1" applyFill="1" applyBorder="1" applyAlignment="1">
      <alignment vertical="center"/>
    </xf>
    <xf numFmtId="0" fontId="10" fillId="4" borderId="8" xfId="0" applyFont="1" applyFill="1" applyBorder="1" applyAlignment="1">
      <alignment vertical="center"/>
    </xf>
    <xf numFmtId="1" fontId="10" fillId="4" borderId="6" xfId="1" applyNumberFormat="1" applyFont="1" applyFill="1" applyBorder="1" applyAlignment="1">
      <alignment horizontal="right" vertical="center" indent="3"/>
    </xf>
    <xf numFmtId="1" fontId="10" fillId="4" borderId="23" xfId="1" applyNumberFormat="1" applyFont="1" applyFill="1" applyBorder="1" applyAlignment="1">
      <alignment horizontal="right" vertical="center" indent="3"/>
    </xf>
    <xf numFmtId="0" fontId="10" fillId="4" borderId="17" xfId="0" applyFont="1" applyFill="1" applyBorder="1" applyAlignment="1">
      <alignment horizontal="center" vertical="center"/>
    </xf>
    <xf numFmtId="0" fontId="36" fillId="0" borderId="4" xfId="0" quotePrefix="1" applyFont="1" applyBorder="1" applyAlignment="1">
      <alignment horizontal="left" vertical="center"/>
    </xf>
    <xf numFmtId="0" fontId="10" fillId="4" borderId="1" xfId="0" applyFont="1" applyFill="1" applyBorder="1" applyAlignment="1">
      <alignment horizontal="center" vertical="center"/>
    </xf>
    <xf numFmtId="0" fontId="10" fillId="4" borderId="1" xfId="0" applyFont="1" applyFill="1" applyBorder="1" applyAlignment="1">
      <alignment horizontal="right" vertical="center" indent="3"/>
    </xf>
    <xf numFmtId="1" fontId="10" fillId="4" borderId="21" xfId="1" applyNumberFormat="1" applyFont="1" applyFill="1" applyBorder="1" applyAlignment="1">
      <alignment horizontal="right" vertical="center" indent="3"/>
    </xf>
    <xf numFmtId="11" fontId="10" fillId="4" borderId="16" xfId="0" applyNumberFormat="1" applyFont="1" applyFill="1" applyBorder="1" applyAlignment="1">
      <alignment horizontal="right" vertical="center" indent="3"/>
    </xf>
    <xf numFmtId="11" fontId="10" fillId="0" borderId="0" xfId="0" applyNumberFormat="1" applyFont="1" applyAlignment="1">
      <alignment horizontal="right" vertical="center" indent="3"/>
    </xf>
    <xf numFmtId="1" fontId="23" fillId="0" borderId="0" xfId="0" applyNumberFormat="1" applyFont="1" applyAlignment="1">
      <alignment vertical="center"/>
    </xf>
    <xf numFmtId="0" fontId="16" fillId="2" borderId="23" xfId="1" applyFont="1" applyFill="1" applyBorder="1" applyAlignment="1">
      <alignment horizontal="left" vertical="center"/>
    </xf>
    <xf numFmtId="1" fontId="16" fillId="2" borderId="23" xfId="1" applyNumberFormat="1" applyFont="1" applyFill="1" applyBorder="1" applyAlignment="1">
      <alignment horizontal="left" vertical="center"/>
    </xf>
    <xf numFmtId="0" fontId="10" fillId="2" borderId="23" xfId="1" applyFont="1" applyFill="1" applyBorder="1" applyAlignment="1">
      <alignment horizontal="center" vertical="center"/>
    </xf>
    <xf numFmtId="0" fontId="15" fillId="2" borderId="17" xfId="1" applyFont="1" applyFill="1" applyBorder="1" applyAlignment="1">
      <alignment horizontal="center" vertical="center"/>
    </xf>
    <xf numFmtId="0" fontId="15" fillId="2" borderId="18" xfId="1" applyFont="1" applyFill="1" applyBorder="1" applyAlignment="1">
      <alignment horizontal="center" vertical="center"/>
    </xf>
    <xf numFmtId="0" fontId="15" fillId="2" borderId="14" xfId="1" applyFont="1" applyFill="1" applyBorder="1" applyAlignment="1">
      <alignment horizontal="center" vertical="center"/>
    </xf>
    <xf numFmtId="164" fontId="15" fillId="2" borderId="1" xfId="1" applyNumberFormat="1" applyFont="1" applyFill="1" applyBorder="1" applyAlignment="1">
      <alignment horizontal="center" vertical="center"/>
    </xf>
    <xf numFmtId="0" fontId="15" fillId="2" borderId="8" xfId="1" applyFont="1" applyFill="1" applyBorder="1" applyAlignment="1">
      <alignment horizontal="center" vertical="center"/>
    </xf>
    <xf numFmtId="0" fontId="15" fillId="2" borderId="11" xfId="1" applyFont="1" applyFill="1" applyBorder="1" applyAlignment="1">
      <alignment horizontal="center" vertical="center"/>
    </xf>
    <xf numFmtId="165" fontId="15" fillId="15" borderId="19" xfId="0" applyNumberFormat="1" applyFont="1" applyFill="1" applyBorder="1" applyAlignment="1">
      <alignment horizontal="right" vertical="center" indent="3"/>
    </xf>
    <xf numFmtId="165" fontId="15" fillId="15" borderId="15" xfId="0" applyNumberFormat="1" applyFont="1" applyFill="1" applyBorder="1" applyAlignment="1">
      <alignment horizontal="right" vertical="center" indent="3"/>
    </xf>
    <xf numFmtId="165" fontId="15" fillId="15" borderId="16" xfId="0" applyNumberFormat="1" applyFont="1" applyFill="1" applyBorder="1" applyAlignment="1">
      <alignment horizontal="right" vertical="center" indent="3"/>
    </xf>
    <xf numFmtId="1" fontId="10" fillId="2" borderId="19" xfId="0" applyNumberFormat="1" applyFont="1" applyFill="1" applyBorder="1" applyAlignment="1">
      <alignment horizontal="right" vertical="center" indent="3"/>
    </xf>
    <xf numFmtId="1" fontId="14" fillId="2" borderId="6" xfId="1" applyNumberFormat="1" applyFont="1" applyFill="1" applyBorder="1" applyAlignment="1">
      <alignment horizontal="right" vertical="center" indent="3"/>
    </xf>
    <xf numFmtId="165" fontId="10" fillId="2" borderId="14" xfId="0" applyNumberFormat="1" applyFont="1" applyFill="1" applyBorder="1" applyAlignment="1">
      <alignment horizontal="right" vertical="center" indent="3"/>
    </xf>
    <xf numFmtId="167" fontId="10" fillId="2" borderId="14" xfId="0" applyNumberFormat="1" applyFont="1" applyFill="1" applyBorder="1" applyAlignment="1">
      <alignment horizontal="right" vertical="center" indent="3"/>
    </xf>
    <xf numFmtId="165" fontId="10" fillId="2" borderId="20" xfId="0" applyNumberFormat="1" applyFont="1" applyFill="1" applyBorder="1" applyAlignment="1">
      <alignment horizontal="right" vertical="center" indent="3"/>
    </xf>
    <xf numFmtId="165" fontId="10" fillId="2" borderId="4" xfId="0" applyNumberFormat="1" applyFont="1" applyFill="1" applyBorder="1" applyAlignment="1">
      <alignment horizontal="right" vertical="center" indent="3"/>
    </xf>
    <xf numFmtId="167" fontId="10" fillId="2" borderId="4" xfId="0" applyNumberFormat="1" applyFont="1" applyFill="1" applyBorder="1" applyAlignment="1">
      <alignment horizontal="right" vertical="center" indent="3"/>
    </xf>
    <xf numFmtId="1" fontId="10" fillId="2" borderId="16" xfId="0" applyNumberFormat="1" applyFont="1" applyFill="1" applyBorder="1" applyAlignment="1">
      <alignment horizontal="right" vertical="center" indent="3"/>
    </xf>
    <xf numFmtId="165" fontId="10" fillId="2" borderId="11" xfId="0" applyNumberFormat="1" applyFont="1" applyFill="1" applyBorder="1" applyAlignment="1">
      <alignment horizontal="right" vertical="center" indent="3"/>
    </xf>
    <xf numFmtId="1" fontId="14" fillId="15" borderId="18" xfId="1" applyNumberFormat="1" applyFont="1" applyFill="1" applyBorder="1" applyAlignment="1">
      <alignment horizontal="right" vertical="center" indent="3"/>
    </xf>
    <xf numFmtId="164" fontId="14" fillId="15" borderId="19" xfId="1" applyNumberFormat="1" applyFont="1" applyFill="1" applyBorder="1" applyAlignment="1">
      <alignment horizontal="right" vertical="center" indent="3"/>
    </xf>
    <xf numFmtId="1" fontId="14" fillId="15" borderId="0" xfId="1" applyNumberFormat="1" applyFont="1" applyFill="1" applyBorder="1" applyAlignment="1">
      <alignment horizontal="right" vertical="center" indent="3"/>
    </xf>
    <xf numFmtId="164" fontId="14" fillId="15" borderId="15" xfId="1" applyNumberFormat="1" applyFont="1" applyFill="1" applyBorder="1" applyAlignment="1">
      <alignment horizontal="right" vertical="center" indent="3"/>
    </xf>
    <xf numFmtId="1" fontId="10" fillId="15" borderId="8" xfId="1" applyNumberFormat="1" applyFont="1" applyFill="1" applyBorder="1" applyAlignment="1">
      <alignment horizontal="right" vertical="center" indent="3"/>
    </xf>
    <xf numFmtId="1" fontId="14" fillId="15" borderId="8" xfId="1" applyNumberFormat="1" applyFont="1" applyFill="1" applyBorder="1" applyAlignment="1">
      <alignment horizontal="right" vertical="center" indent="3"/>
    </xf>
    <xf numFmtId="164" fontId="14" fillId="15" borderId="16" xfId="1" applyNumberFormat="1" applyFont="1" applyFill="1" applyBorder="1" applyAlignment="1">
      <alignment horizontal="right" vertical="center" indent="3"/>
    </xf>
    <xf numFmtId="1" fontId="23" fillId="0" borderId="0" xfId="0" applyNumberFormat="1" applyFont="1" applyAlignment="1">
      <alignment horizontal="center" vertical="center"/>
    </xf>
    <xf numFmtId="0" fontId="10" fillId="2" borderId="18" xfId="0" applyFont="1" applyFill="1" applyBorder="1" applyAlignment="1">
      <alignment vertical="center"/>
    </xf>
    <xf numFmtId="0" fontId="10" fillId="2" borderId="8" xfId="0" applyFont="1" applyFill="1" applyBorder="1" applyAlignment="1">
      <alignment vertical="center"/>
    </xf>
    <xf numFmtId="1" fontId="10" fillId="2" borderId="6" xfId="1" applyNumberFormat="1" applyFont="1" applyFill="1" applyBorder="1" applyAlignment="1">
      <alignment horizontal="right" vertical="center" indent="3"/>
    </xf>
    <xf numFmtId="1" fontId="10" fillId="2" borderId="0" xfId="1" applyNumberFormat="1" applyFont="1" applyFill="1" applyBorder="1" applyAlignment="1">
      <alignment horizontal="right" vertical="center" indent="3"/>
    </xf>
    <xf numFmtId="1" fontId="10" fillId="2" borderId="15" xfId="1" applyNumberFormat="1" applyFont="1" applyFill="1" applyBorder="1" applyAlignment="1">
      <alignment horizontal="right" vertical="center" indent="3"/>
    </xf>
    <xf numFmtId="11" fontId="10" fillId="2" borderId="0" xfId="0" applyNumberFormat="1" applyFont="1" applyFill="1" applyAlignment="1">
      <alignment horizontal="right" vertical="center" indent="3"/>
    </xf>
    <xf numFmtId="1" fontId="10" fillId="2" borderId="4" xfId="0" applyNumberFormat="1" applyFont="1" applyFill="1" applyBorder="1" applyAlignment="1">
      <alignment horizontal="right" vertical="center" indent="3"/>
    </xf>
    <xf numFmtId="1" fontId="10" fillId="2" borderId="1" xfId="1" applyNumberFormat="1" applyFont="1" applyFill="1" applyBorder="1" applyAlignment="1">
      <alignment horizontal="right" vertical="center" indent="3"/>
    </xf>
    <xf numFmtId="165" fontId="10" fillId="2" borderId="8" xfId="0" applyNumberFormat="1" applyFont="1" applyFill="1" applyBorder="1" applyAlignment="1">
      <alignment horizontal="right" vertical="center" indent="3"/>
    </xf>
    <xf numFmtId="1" fontId="10" fillId="2" borderId="23" xfId="1" applyNumberFormat="1" applyFont="1" applyFill="1" applyBorder="1" applyAlignment="1">
      <alignment horizontal="right" vertical="center" indent="3"/>
    </xf>
    <xf numFmtId="1" fontId="10" fillId="2" borderId="22" xfId="0" applyNumberFormat="1" applyFont="1" applyFill="1" applyBorder="1" applyAlignment="1">
      <alignment horizontal="right" vertical="center" indent="3"/>
    </xf>
    <xf numFmtId="0" fontId="10" fillId="2" borderId="0" xfId="0" applyFont="1" applyFill="1" applyAlignment="1">
      <alignment horizontal="right" vertical="center" indent="3"/>
    </xf>
    <xf numFmtId="0" fontId="10" fillId="2" borderId="17" xfId="0" applyFont="1" applyFill="1" applyBorder="1" applyAlignment="1">
      <alignment horizontal="center" vertical="center"/>
    </xf>
    <xf numFmtId="164" fontId="10" fillId="2" borderId="18" xfId="1" applyNumberFormat="1" applyFont="1" applyFill="1" applyBorder="1" applyAlignment="1">
      <alignment horizontal="center" vertical="center"/>
    </xf>
    <xf numFmtId="0" fontId="10" fillId="2" borderId="1" xfId="0" applyFont="1" applyFill="1" applyBorder="1" applyAlignment="1">
      <alignment horizontal="center" vertical="center"/>
    </xf>
    <xf numFmtId="0" fontId="36" fillId="2" borderId="11" xfId="0" quotePrefix="1" applyFont="1" applyFill="1" applyBorder="1" applyAlignment="1">
      <alignment horizontal="left" vertical="center"/>
    </xf>
    <xf numFmtId="164" fontId="10" fillId="2" borderId="8" xfId="1" applyNumberFormat="1" applyFont="1" applyFill="1" applyBorder="1" applyAlignment="1">
      <alignment horizontal="center" vertical="center"/>
    </xf>
    <xf numFmtId="0" fontId="10" fillId="2" borderId="11" xfId="0" applyFont="1" applyFill="1" applyBorder="1" applyAlignment="1">
      <alignment horizontal="center" vertical="center"/>
    </xf>
    <xf numFmtId="0" fontId="10" fillId="2" borderId="1" xfId="0" applyFont="1" applyFill="1" applyBorder="1" applyAlignment="1">
      <alignment horizontal="right" vertical="center" indent="3"/>
    </xf>
    <xf numFmtId="1" fontId="10" fillId="2" borderId="8" xfId="1" applyNumberFormat="1" applyFont="1" applyFill="1" applyBorder="1" applyAlignment="1">
      <alignment horizontal="right" vertical="center" indent="3"/>
    </xf>
    <xf numFmtId="1" fontId="10" fillId="2" borderId="16" xfId="1" applyNumberFormat="1" applyFont="1" applyFill="1" applyBorder="1" applyAlignment="1">
      <alignment horizontal="right" vertical="center" indent="3"/>
    </xf>
    <xf numFmtId="1" fontId="14" fillId="2" borderId="1" xfId="0" applyNumberFormat="1" applyFont="1" applyFill="1" applyBorder="1" applyAlignment="1">
      <alignment horizontal="right" vertical="center" indent="3"/>
    </xf>
    <xf numFmtId="1" fontId="14" fillId="2" borderId="8" xfId="0" applyNumberFormat="1" applyFont="1" applyFill="1" applyBorder="1" applyAlignment="1">
      <alignment horizontal="right" vertical="center" indent="3"/>
    </xf>
    <xf numFmtId="11" fontId="10" fillId="2" borderId="8" xfId="0" applyNumberFormat="1" applyFont="1" applyFill="1" applyBorder="1" applyAlignment="1">
      <alignment horizontal="right" vertical="center" indent="3"/>
    </xf>
    <xf numFmtId="1" fontId="10" fillId="2" borderId="23" xfId="0" applyNumberFormat="1" applyFont="1" applyFill="1" applyBorder="1" applyAlignment="1">
      <alignment horizontal="right" vertical="center" indent="3"/>
    </xf>
    <xf numFmtId="1" fontId="10" fillId="2" borderId="21" xfId="0" applyNumberFormat="1" applyFont="1" applyFill="1" applyBorder="1" applyAlignment="1">
      <alignment horizontal="right" vertical="center" indent="3"/>
    </xf>
    <xf numFmtId="1" fontId="10" fillId="2" borderId="21" xfId="1" applyNumberFormat="1" applyFont="1" applyFill="1" applyBorder="1" applyAlignment="1">
      <alignment horizontal="right" vertical="center" indent="3"/>
    </xf>
    <xf numFmtId="11" fontId="10" fillId="2" borderId="22" xfId="0" applyNumberFormat="1" applyFont="1" applyFill="1" applyBorder="1" applyAlignment="1">
      <alignment horizontal="right" vertical="center" indent="3"/>
    </xf>
    <xf numFmtId="1" fontId="10" fillId="0" borderId="4" xfId="0" applyNumberFormat="1" applyFont="1" applyBorder="1" applyAlignment="1">
      <alignment vertical="center"/>
    </xf>
    <xf numFmtId="1" fontId="10" fillId="0" borderId="17" xfId="0" applyNumberFormat="1" applyFont="1" applyBorder="1" applyAlignment="1">
      <alignment vertical="center"/>
    </xf>
    <xf numFmtId="1" fontId="10" fillId="0" borderId="6" xfId="0" applyNumberFormat="1" applyFont="1" applyBorder="1" applyAlignment="1">
      <alignment vertical="center"/>
    </xf>
    <xf numFmtId="1" fontId="10" fillId="0" borderId="1" xfId="0" applyNumberFormat="1" applyFont="1" applyBorder="1" applyAlignment="1">
      <alignment vertical="center"/>
    </xf>
    <xf numFmtId="0" fontId="82" fillId="0" borderId="21" xfId="0" applyFont="1" applyBorder="1" applyAlignment="1">
      <alignment vertical="center"/>
    </xf>
    <xf numFmtId="0" fontId="45" fillId="0" borderId="23" xfId="0" applyFont="1" applyBorder="1" applyAlignment="1">
      <alignment horizontal="center" vertical="top"/>
    </xf>
    <xf numFmtId="9" fontId="10" fillId="0" borderId="0" xfId="0" applyNumberFormat="1" applyFont="1" applyAlignment="1">
      <alignment horizontal="center" vertical="center"/>
    </xf>
    <xf numFmtId="0" fontId="104" fillId="0" borderId="0" xfId="0" applyFont="1" applyAlignment="1">
      <alignment vertical="center"/>
    </xf>
    <xf numFmtId="164" fontId="104" fillId="0" borderId="0" xfId="0" applyNumberFormat="1" applyFont="1" applyAlignment="1">
      <alignment vertical="center"/>
    </xf>
    <xf numFmtId="1" fontId="104" fillId="0" borderId="0" xfId="0" applyNumberFormat="1" applyFont="1" applyAlignment="1">
      <alignment vertical="center"/>
    </xf>
    <xf numFmtId="164" fontId="15" fillId="0" borderId="0" xfId="0" applyNumberFormat="1" applyFont="1" applyAlignment="1">
      <alignment vertical="center"/>
    </xf>
    <xf numFmtId="0" fontId="113" fillId="0" borderId="0" xfId="0" applyFont="1" applyAlignment="1">
      <alignment vertical="center"/>
    </xf>
    <xf numFmtId="1" fontId="113" fillId="0" borderId="0" xfId="0" applyNumberFormat="1" applyFont="1" applyAlignment="1">
      <alignment vertical="center"/>
    </xf>
    <xf numFmtId="0" fontId="45" fillId="0" borderId="0" xfId="0" applyFont="1" applyAlignment="1">
      <alignment horizontal="right" vertical="center"/>
    </xf>
    <xf numFmtId="1" fontId="116" fillId="0" borderId="0" xfId="0" applyNumberFormat="1" applyFont="1" applyAlignment="1">
      <alignment horizontal="center" vertical="center"/>
    </xf>
    <xf numFmtId="1" fontId="45" fillId="0" borderId="0" xfId="0" applyNumberFormat="1" applyFont="1" applyAlignment="1">
      <alignment horizontal="left" vertical="center"/>
    </xf>
    <xf numFmtId="0" fontId="52" fillId="0" borderId="20" xfId="0" applyFont="1" applyBorder="1" applyAlignment="1">
      <alignment vertical="top"/>
    </xf>
    <xf numFmtId="0" fontId="45" fillId="0" borderId="21" xfId="0" applyFont="1" applyBorder="1" applyAlignment="1">
      <alignment horizontal="center" vertical="top"/>
    </xf>
    <xf numFmtId="0" fontId="45" fillId="0" borderId="22" xfId="0" applyFont="1" applyBorder="1" applyAlignment="1">
      <alignment horizontal="right" vertical="center"/>
    </xf>
    <xf numFmtId="0" fontId="45" fillId="0" borderId="21" xfId="0" applyFont="1" applyBorder="1" applyAlignment="1">
      <alignment horizontal="right" vertical="center"/>
    </xf>
    <xf numFmtId="0" fontId="52" fillId="0" borderId="21" xfId="0" applyFont="1" applyBorder="1" applyAlignment="1">
      <alignment horizontal="center" vertical="center"/>
    </xf>
    <xf numFmtId="1" fontId="45" fillId="0" borderId="8" xfId="0" applyNumberFormat="1" applyFont="1" applyBorder="1" applyAlignment="1">
      <alignment horizontal="left" vertical="center"/>
    </xf>
    <xf numFmtId="1" fontId="45" fillId="0" borderId="4" xfId="0" applyNumberFormat="1" applyFont="1" applyBorder="1" applyAlignment="1">
      <alignment horizontal="center" vertical="center"/>
    </xf>
    <xf numFmtId="1" fontId="45" fillId="0" borderId="11" xfId="0" applyNumberFormat="1" applyFont="1" applyBorder="1" applyAlignment="1">
      <alignment horizontal="center" vertical="center"/>
    </xf>
    <xf numFmtId="1" fontId="45" fillId="0" borderId="14" xfId="0" applyNumberFormat="1" applyFont="1" applyBorder="1" applyAlignment="1">
      <alignment horizontal="center" vertical="center"/>
    </xf>
    <xf numFmtId="1" fontId="45" fillId="0" borderId="0" xfId="0" applyNumberFormat="1" applyFont="1" applyAlignment="1">
      <alignment horizontal="left" vertical="top"/>
    </xf>
    <xf numFmtId="0" fontId="45" fillId="0" borderId="19" xfId="0" applyFont="1" applyBorder="1" applyAlignment="1">
      <alignment horizontal="center" vertical="center"/>
    </xf>
    <xf numFmtId="0" fontId="45" fillId="0" borderId="15" xfId="0" applyFont="1" applyBorder="1" applyAlignment="1">
      <alignment horizontal="center" vertical="center"/>
    </xf>
    <xf numFmtId="0" fontId="31" fillId="0" borderId="18" xfId="0" applyFont="1" applyBorder="1"/>
    <xf numFmtId="0" fontId="0" fillId="24" borderId="0" xfId="0" applyFill="1" applyAlignment="1">
      <alignment horizontal="left"/>
    </xf>
    <xf numFmtId="0" fontId="45" fillId="0" borderId="17" xfId="0" applyFont="1" applyBorder="1" applyAlignment="1">
      <alignment horizontal="center" vertical="top"/>
    </xf>
    <xf numFmtId="2" fontId="2" fillId="4" borderId="0" xfId="0" applyNumberFormat="1" applyFont="1" applyFill="1" applyAlignment="1">
      <alignment horizontal="center"/>
    </xf>
    <xf numFmtId="2" fontId="45" fillId="0" borderId="11" xfId="0" applyNumberFormat="1" applyFont="1" applyBorder="1" applyAlignment="1">
      <alignment vertical="center"/>
    </xf>
    <xf numFmtId="1" fontId="45" fillId="0" borderId="0" xfId="4" applyNumberFormat="1" applyFont="1" applyAlignment="1">
      <alignment horizontal="center" vertical="center"/>
    </xf>
    <xf numFmtId="1" fontId="45" fillId="0" borderId="18" xfId="4" applyNumberFormat="1" applyFont="1" applyBorder="1" applyAlignment="1">
      <alignment horizontal="center" vertical="center"/>
    </xf>
    <xf numFmtId="0" fontId="118" fillId="0" borderId="0" xfId="0" applyFont="1"/>
    <xf numFmtId="0" fontId="42" fillId="0" borderId="0" xfId="0" applyFont="1" applyAlignment="1">
      <alignment horizontal="right" vertical="top"/>
    </xf>
    <xf numFmtId="165" fontId="43" fillId="0" borderId="0" xfId="0" applyNumberFormat="1" applyFont="1" applyAlignment="1">
      <alignment horizontal="center" vertical="top"/>
    </xf>
    <xf numFmtId="0" fontId="119" fillId="0" borderId="0" xfId="0" applyFont="1" applyAlignment="1">
      <alignment vertical="top" wrapText="1"/>
    </xf>
    <xf numFmtId="0" fontId="45" fillId="0" borderId="15" xfId="4" applyFont="1" applyBorder="1" applyAlignment="1">
      <alignment horizontal="right" vertical="center"/>
    </xf>
    <xf numFmtId="0" fontId="45" fillId="0" borderId="15" xfId="4" applyFont="1" applyBorder="1" applyAlignment="1">
      <alignment vertical="center"/>
    </xf>
    <xf numFmtId="0" fontId="45" fillId="0" borderId="17" xfId="4" applyFont="1" applyBorder="1" applyAlignment="1">
      <alignment horizontal="center" vertical="center"/>
    </xf>
    <xf numFmtId="0" fontId="45" fillId="0" borderId="6" xfId="4" applyFont="1" applyBorder="1" applyAlignment="1">
      <alignment horizontal="center" vertical="center"/>
    </xf>
    <xf numFmtId="164" fontId="45" fillId="0" borderId="0" xfId="4" applyNumberFormat="1" applyFont="1" applyAlignment="1">
      <alignment horizontal="center" vertical="center"/>
    </xf>
    <xf numFmtId="0" fontId="45" fillId="0" borderId="6" xfId="4" applyFont="1" applyBorder="1" applyAlignment="1">
      <alignment horizontal="right" vertical="center"/>
    </xf>
    <xf numFmtId="0" fontId="73" fillId="0" borderId="6" xfId="0" applyFont="1" applyBorder="1" applyAlignment="1">
      <alignment horizontal="right" vertical="top"/>
    </xf>
    <xf numFmtId="0" fontId="43" fillId="0" borderId="6" xfId="0" applyFont="1" applyBorder="1" applyAlignment="1">
      <alignment horizontal="left" vertical="top"/>
    </xf>
    <xf numFmtId="2" fontId="45" fillId="0" borderId="8" xfId="4" applyNumberFormat="1" applyFont="1" applyBorder="1" applyAlignment="1">
      <alignment horizontal="center" vertical="center"/>
    </xf>
    <xf numFmtId="0" fontId="45" fillId="0" borderId="8" xfId="4" applyFont="1" applyBorder="1" applyAlignment="1">
      <alignment vertical="center"/>
    </xf>
    <xf numFmtId="0" fontId="45" fillId="0" borderId="16" xfId="4" applyFont="1" applyBorder="1" applyAlignment="1">
      <alignment vertical="center"/>
    </xf>
    <xf numFmtId="2" fontId="10" fillId="0" borderId="0" xfId="0" applyNumberFormat="1" applyFont="1" applyAlignment="1">
      <alignment horizontal="left" vertical="center"/>
    </xf>
    <xf numFmtId="0" fontId="43" fillId="0" borderId="0" xfId="0" applyFont="1" applyAlignment="1">
      <alignment vertical="center" wrapText="1"/>
    </xf>
    <xf numFmtId="1" fontId="122" fillId="0" borderId="0" xfId="0" applyNumberFormat="1" applyFont="1" applyAlignment="1">
      <alignment vertical="center"/>
    </xf>
    <xf numFmtId="0" fontId="123" fillId="0" borderId="0" xfId="0" applyFont="1" applyAlignment="1">
      <alignment vertical="center"/>
    </xf>
    <xf numFmtId="164" fontId="123" fillId="0" borderId="0" xfId="0" applyNumberFormat="1" applyFont="1" applyAlignment="1">
      <alignment vertical="center"/>
    </xf>
    <xf numFmtId="1" fontId="123" fillId="0" borderId="0" xfId="0" applyNumberFormat="1" applyFont="1" applyAlignment="1">
      <alignment vertical="center"/>
    </xf>
    <xf numFmtId="0" fontId="52" fillId="0" borderId="1" xfId="0" applyFont="1" applyBorder="1" applyAlignment="1">
      <alignment horizontal="center" vertical="center"/>
    </xf>
    <xf numFmtId="0" fontId="52" fillId="0" borderId="16" xfId="0" applyFont="1" applyBorder="1" applyAlignment="1">
      <alignment horizontal="center" vertical="center"/>
    </xf>
    <xf numFmtId="0" fontId="52" fillId="0" borderId="8" xfId="0" applyFont="1" applyBorder="1" applyAlignment="1">
      <alignment horizontal="center" vertical="center"/>
    </xf>
    <xf numFmtId="0" fontId="123" fillId="0" borderId="18" xfId="0" applyFont="1" applyBorder="1" applyAlignment="1">
      <alignment vertical="center"/>
    </xf>
    <xf numFmtId="0" fontId="104" fillId="0" borderId="19" xfId="0" applyFont="1" applyBorder="1" applyAlignment="1">
      <alignment horizontal="right" vertical="center"/>
    </xf>
    <xf numFmtId="0" fontId="113" fillId="0" borderId="6" xfId="0" applyFont="1" applyBorder="1" applyAlignment="1">
      <alignment vertical="center"/>
    </xf>
    <xf numFmtId="1" fontId="122" fillId="0" borderId="21" xfId="0" applyNumberFormat="1" applyFont="1" applyBorder="1" applyAlignment="1">
      <alignment vertical="center"/>
    </xf>
    <xf numFmtId="0" fontId="123" fillId="0" borderId="19" xfId="0" applyFont="1" applyBorder="1" applyAlignment="1">
      <alignment horizontal="center" vertical="center"/>
    </xf>
    <xf numFmtId="1" fontId="123" fillId="0" borderId="15" xfId="0" applyNumberFormat="1" applyFont="1" applyBorder="1" applyAlignment="1">
      <alignment horizontal="center" vertical="center"/>
    </xf>
    <xf numFmtId="1" fontId="122" fillId="0" borderId="15" xfId="0" applyNumberFormat="1" applyFont="1" applyBorder="1" applyAlignment="1">
      <alignment horizontal="center" vertical="center"/>
    </xf>
    <xf numFmtId="1" fontId="122" fillId="0" borderId="22" xfId="0" applyNumberFormat="1" applyFont="1" applyBorder="1" applyAlignment="1">
      <alignment horizontal="center" vertical="center"/>
    </xf>
    <xf numFmtId="164" fontId="104" fillId="0" borderId="15" xfId="0" applyNumberFormat="1" applyFont="1" applyBorder="1" applyAlignment="1">
      <alignment horizontal="center" vertical="center"/>
    </xf>
    <xf numFmtId="0" fontId="104" fillId="0" borderId="15" xfId="0" applyFont="1" applyBorder="1" applyAlignment="1">
      <alignment horizontal="center" vertical="center"/>
    </xf>
    <xf numFmtId="1" fontId="104" fillId="0" borderId="15" xfId="0" applyNumberFormat="1" applyFont="1" applyBorder="1" applyAlignment="1">
      <alignment horizontal="center" vertical="center"/>
    </xf>
    <xf numFmtId="1" fontId="113" fillId="0" borderId="15" xfId="0" applyNumberFormat="1" applyFont="1" applyBorder="1" applyAlignment="1">
      <alignment horizontal="center" vertical="center"/>
    </xf>
    <xf numFmtId="0" fontId="10" fillId="0" borderId="21" xfId="0" applyFont="1" applyBorder="1" applyAlignment="1">
      <alignment horizontal="center" vertical="center"/>
    </xf>
    <xf numFmtId="0" fontId="45" fillId="0" borderId="18" xfId="0" applyFont="1" applyBorder="1" applyAlignment="1">
      <alignment horizontal="center" vertical="top"/>
    </xf>
    <xf numFmtId="0" fontId="69" fillId="0" borderId="0" xfId="0" applyFont="1" applyAlignment="1">
      <alignment horizontal="right" vertical="top"/>
    </xf>
    <xf numFmtId="2" fontId="42" fillId="0" borderId="0" xfId="0" applyNumberFormat="1" applyFont="1" applyAlignment="1">
      <alignment vertical="top"/>
    </xf>
    <xf numFmtId="1" fontId="10" fillId="2" borderId="23" xfId="0" applyNumberFormat="1" applyFont="1" applyFill="1" applyBorder="1" applyAlignment="1">
      <alignment horizontal="center" vertical="center"/>
    </xf>
    <xf numFmtId="0" fontId="45" fillId="0" borderId="6" xfId="0" applyFont="1" applyBorder="1" applyAlignment="1">
      <alignment horizontal="center" vertical="center"/>
    </xf>
    <xf numFmtId="0" fontId="125" fillId="0" borderId="0" xfId="0" applyFont="1" applyAlignment="1">
      <alignment horizontal="center" vertical="center"/>
    </xf>
    <xf numFmtId="0" fontId="125" fillId="0" borderId="0" xfId="0" applyFont="1" applyAlignment="1">
      <alignment vertical="center"/>
    </xf>
    <xf numFmtId="0" fontId="52" fillId="0" borderId="17" xfId="0" applyFont="1" applyBorder="1" applyAlignment="1">
      <alignment vertical="center"/>
    </xf>
    <xf numFmtId="0" fontId="52" fillId="0" borderId="6" xfId="4" applyFont="1" applyBorder="1" applyAlignment="1">
      <alignment horizontal="center" vertical="center"/>
    </xf>
    <xf numFmtId="0" fontId="52" fillId="0" borderId="1" xfId="4" applyFont="1" applyBorder="1" applyAlignment="1">
      <alignment horizontal="center" vertical="center"/>
    </xf>
    <xf numFmtId="0" fontId="45" fillId="0" borderId="8" xfId="0" applyFont="1" applyBorder="1" applyAlignment="1">
      <alignment horizontal="left" vertical="center"/>
    </xf>
    <xf numFmtId="0" fontId="52" fillId="0" borderId="18" xfId="0" applyFont="1" applyBorder="1" applyAlignment="1">
      <alignment horizontal="center" vertical="center"/>
    </xf>
    <xf numFmtId="0" fontId="45" fillId="0" borderId="17" xfId="0" applyFont="1" applyBorder="1" applyAlignment="1">
      <alignment horizontal="center" vertical="center"/>
    </xf>
    <xf numFmtId="0" fontId="52" fillId="0" borderId="17" xfId="4" applyFont="1" applyBorder="1" applyAlignment="1">
      <alignment horizontal="center" vertical="center"/>
    </xf>
    <xf numFmtId="1" fontId="45" fillId="0" borderId="59" xfId="0" applyNumberFormat="1" applyFont="1" applyBorder="1" applyAlignment="1">
      <alignment horizontal="center" vertical="center"/>
    </xf>
    <xf numFmtId="0" fontId="52" fillId="0" borderId="8" xfId="0" applyFont="1" applyBorder="1" applyAlignment="1">
      <alignment vertical="center"/>
    </xf>
    <xf numFmtId="0" fontId="52" fillId="0" borderId="6" xfId="0" applyFont="1" applyBorder="1" applyAlignment="1">
      <alignment horizontal="center" vertical="center"/>
    </xf>
    <xf numFmtId="0" fontId="118" fillId="0" borderId="17" xfId="0" applyFont="1" applyBorder="1"/>
    <xf numFmtId="0" fontId="52" fillId="0" borderId="19" xfId="0" applyFont="1" applyBorder="1" applyAlignment="1">
      <alignment horizontal="center" vertical="center"/>
    </xf>
    <xf numFmtId="0" fontId="52" fillId="0" borderId="15" xfId="0" applyFont="1" applyBorder="1" applyAlignment="1">
      <alignment horizontal="center" vertical="center"/>
    </xf>
    <xf numFmtId="1" fontId="52" fillId="0" borderId="6" xfId="0" applyNumberFormat="1" applyFont="1" applyBorder="1" applyAlignment="1">
      <alignment horizontal="right" vertical="center"/>
    </xf>
    <xf numFmtId="0" fontId="52" fillId="0" borderId="6" xfId="0" applyFont="1" applyBorder="1" applyAlignment="1">
      <alignment horizontal="right" vertical="center"/>
    </xf>
    <xf numFmtId="0" fontId="52" fillId="0" borderId="17" xfId="0" applyFont="1" applyBorder="1" applyAlignment="1">
      <alignment horizontal="center" vertical="center"/>
    </xf>
    <xf numFmtId="0" fontId="118" fillId="0" borderId="19" xfId="0" applyFont="1" applyBorder="1"/>
    <xf numFmtId="0" fontId="52" fillId="0" borderId="1" xfId="0" applyFont="1" applyBorder="1" applyAlignment="1">
      <alignment horizontal="right" vertical="center"/>
    </xf>
    <xf numFmtId="0" fontId="43" fillId="0" borderId="0" xfId="0" applyFont="1" applyAlignment="1">
      <alignment horizontal="center" vertical="top" wrapText="1"/>
    </xf>
    <xf numFmtId="164" fontId="45" fillId="30" borderId="34" xfId="0" applyNumberFormat="1" applyFont="1" applyFill="1" applyBorder="1" applyAlignment="1">
      <alignment horizontal="center" vertical="top"/>
    </xf>
    <xf numFmtId="1" fontId="45" fillId="30" borderId="34" xfId="0" applyNumberFormat="1" applyFont="1" applyFill="1" applyBorder="1" applyAlignment="1">
      <alignment horizontal="center" vertical="top"/>
    </xf>
    <xf numFmtId="2" fontId="45" fillId="30" borderId="34" xfId="0" applyNumberFormat="1" applyFont="1" applyFill="1" applyBorder="1" applyAlignment="1">
      <alignment horizontal="center" vertical="top"/>
    </xf>
    <xf numFmtId="0" fontId="45" fillId="30" borderId="34" xfId="0" applyFont="1" applyFill="1" applyBorder="1" applyAlignment="1">
      <alignment horizontal="center" vertical="top"/>
    </xf>
    <xf numFmtId="2" fontId="52" fillId="30" borderId="34" xfId="0" applyNumberFormat="1" applyFont="1" applyFill="1" applyBorder="1" applyAlignment="1">
      <alignment horizontal="center" vertical="top"/>
    </xf>
    <xf numFmtId="0" fontId="45" fillId="0" borderId="14" xfId="0" applyFont="1" applyBorder="1" applyAlignment="1">
      <alignment horizontal="center" vertical="center"/>
    </xf>
    <xf numFmtId="0" fontId="45" fillId="0" borderId="11" xfId="0" applyFont="1" applyBorder="1" applyAlignment="1">
      <alignment horizontal="center" vertical="center"/>
    </xf>
    <xf numFmtId="164" fontId="45" fillId="0" borderId="11" xfId="0" applyNumberFormat="1" applyFont="1" applyBorder="1" applyAlignment="1">
      <alignment horizontal="center" vertical="center"/>
    </xf>
    <xf numFmtId="0" fontId="45" fillId="0" borderId="20" xfId="0" applyFont="1" applyBorder="1" applyAlignment="1">
      <alignment horizontal="center" vertical="center"/>
    </xf>
    <xf numFmtId="164" fontId="52" fillId="0" borderId="21" xfId="0" applyNumberFormat="1" applyFont="1" applyBorder="1" applyAlignment="1">
      <alignment horizontal="center" vertical="center"/>
    </xf>
    <xf numFmtId="164" fontId="52" fillId="0" borderId="22" xfId="0" applyNumberFormat="1" applyFont="1" applyBorder="1" applyAlignment="1">
      <alignment horizontal="center" vertical="center"/>
    </xf>
    <xf numFmtId="164" fontId="45" fillId="0" borderId="14" xfId="0" applyNumberFormat="1" applyFont="1" applyBorder="1" applyAlignment="1">
      <alignment horizontal="center" vertical="center"/>
    </xf>
    <xf numFmtId="164" fontId="52" fillId="0" borderId="20" xfId="0" applyNumberFormat="1" applyFont="1" applyBorder="1" applyAlignment="1">
      <alignment horizontal="center" vertical="center"/>
    </xf>
    <xf numFmtId="1" fontId="52" fillId="0" borderId="21" xfId="0" applyNumberFormat="1" applyFont="1" applyBorder="1" applyAlignment="1">
      <alignment horizontal="center" vertical="center"/>
    </xf>
    <xf numFmtId="9" fontId="43" fillId="0" borderId="0" xfId="10" applyFont="1" applyAlignment="1">
      <alignment horizontal="center" vertical="top" wrapText="1"/>
    </xf>
    <xf numFmtId="2" fontId="43" fillId="0" borderId="0" xfId="0" applyNumberFormat="1" applyFont="1" applyAlignment="1">
      <alignment horizontal="center" vertical="top" wrapText="1"/>
    </xf>
    <xf numFmtId="165" fontId="45" fillId="0" borderId="0" xfId="4" applyNumberFormat="1" applyFont="1" applyAlignment="1">
      <alignment horizontal="center" vertical="center"/>
    </xf>
    <xf numFmtId="0" fontId="42" fillId="0" borderId="8" xfId="0" applyFont="1" applyBorder="1" applyAlignment="1">
      <alignment vertical="center"/>
    </xf>
    <xf numFmtId="0" fontId="118" fillId="0" borderId="8" xfId="0" applyFont="1" applyBorder="1"/>
    <xf numFmtId="0" fontId="81" fillId="0" borderId="6" xfId="4" applyFont="1" applyBorder="1" applyAlignment="1">
      <alignment vertical="center"/>
    </xf>
    <xf numFmtId="2" fontId="81" fillId="0" borderId="0" xfId="4" applyNumberFormat="1" applyFont="1" applyAlignment="1">
      <alignment horizontal="center" vertical="center"/>
    </xf>
    <xf numFmtId="0" fontId="81" fillId="0" borderId="0" xfId="4" applyFont="1" applyAlignment="1">
      <alignment vertical="center"/>
    </xf>
    <xf numFmtId="0" fontId="81" fillId="0" borderId="15" xfId="4" applyFont="1" applyBorder="1" applyAlignment="1">
      <alignment vertical="center"/>
    </xf>
    <xf numFmtId="0" fontId="81" fillId="0" borderId="6" xfId="4" applyFont="1" applyBorder="1" applyAlignment="1">
      <alignment horizontal="right" vertical="center"/>
    </xf>
    <xf numFmtId="164" fontId="10" fillId="0" borderId="22" xfId="0" applyNumberFormat="1" applyFont="1" applyBorder="1" applyAlignment="1">
      <alignment horizontal="center" vertical="center"/>
    </xf>
    <xf numFmtId="0" fontId="12" fillId="0" borderId="0" xfId="0" applyFont="1" applyAlignment="1">
      <alignment vertical="top"/>
    </xf>
    <xf numFmtId="0" fontId="12" fillId="0" borderId="0" xfId="0" applyFont="1" applyAlignment="1">
      <alignment horizontal="center" vertical="top"/>
    </xf>
    <xf numFmtId="164" fontId="43" fillId="0" borderId="0" xfId="0" applyNumberFormat="1" applyFont="1" applyAlignment="1">
      <alignment horizontal="left" vertical="top"/>
    </xf>
    <xf numFmtId="0" fontId="73" fillId="0" borderId="0" xfId="0" applyFont="1" applyAlignment="1">
      <alignment horizontal="center" vertical="top"/>
    </xf>
    <xf numFmtId="0" fontId="43" fillId="0" borderId="0" xfId="0" quotePrefix="1" applyFont="1" applyAlignment="1">
      <alignment vertical="top"/>
    </xf>
    <xf numFmtId="2" fontId="12" fillId="0" borderId="0" xfId="0" applyNumberFormat="1" applyFont="1" applyAlignment="1">
      <alignment vertical="top"/>
    </xf>
    <xf numFmtId="1" fontId="42" fillId="0" borderId="0" xfId="0" applyNumberFormat="1" applyFont="1" applyAlignment="1">
      <alignment horizontal="center" vertical="top"/>
    </xf>
    <xf numFmtId="0" fontId="109" fillId="0" borderId="0" xfId="0" applyFont="1" applyAlignment="1">
      <alignment vertical="top"/>
    </xf>
    <xf numFmtId="1" fontId="45" fillId="0" borderId="0" xfId="0" applyNumberFormat="1" applyFont="1" applyAlignment="1">
      <alignment horizontal="center" vertical="top"/>
    </xf>
    <xf numFmtId="1" fontId="52" fillId="0" borderId="0" xfId="0" applyNumberFormat="1" applyFont="1" applyAlignment="1">
      <alignment horizontal="center" vertical="top"/>
    </xf>
    <xf numFmtId="0" fontId="52" fillId="0" borderId="0" xfId="0" applyFont="1" applyAlignment="1">
      <alignment horizontal="center" vertical="top"/>
    </xf>
    <xf numFmtId="0" fontId="116" fillId="0" borderId="0" xfId="0" applyFont="1" applyAlignment="1">
      <alignment vertical="top"/>
    </xf>
    <xf numFmtId="0" fontId="81" fillId="0" borderId="0" xfId="0" applyFont="1" applyAlignment="1">
      <alignment horizontal="left" vertical="top"/>
    </xf>
    <xf numFmtId="165" fontId="43" fillId="0" borderId="0" xfId="0" applyNumberFormat="1" applyFont="1" applyAlignment="1">
      <alignment horizontal="left" vertical="top"/>
    </xf>
    <xf numFmtId="164" fontId="127" fillId="0" borderId="0" xfId="0" applyNumberFormat="1" applyFont="1" applyAlignment="1">
      <alignment horizontal="center" vertical="center"/>
    </xf>
    <xf numFmtId="0" fontId="127" fillId="0" borderId="17" xfId="0" applyFont="1" applyBorder="1" applyAlignment="1">
      <alignment horizontal="left" vertical="center"/>
    </xf>
    <xf numFmtId="0" fontId="127" fillId="0" borderId="18" xfId="0" applyFont="1" applyBorder="1" applyAlignment="1">
      <alignment horizontal="center" vertical="center"/>
    </xf>
    <xf numFmtId="0" fontId="127" fillId="0" borderId="18" xfId="0" applyFont="1" applyBorder="1" applyAlignment="1">
      <alignment horizontal="right" vertical="center"/>
    </xf>
    <xf numFmtId="0" fontId="127" fillId="0" borderId="19" xfId="0" applyFont="1" applyBorder="1" applyAlignment="1">
      <alignment horizontal="center" vertical="center"/>
    </xf>
    <xf numFmtId="0" fontId="127" fillId="0" borderId="15" xfId="0" applyFont="1" applyBorder="1" applyAlignment="1">
      <alignment horizontal="center" vertical="center"/>
    </xf>
    <xf numFmtId="0" fontId="127" fillId="0" borderId="0" xfId="0" applyFont="1" applyAlignment="1">
      <alignment vertical="center"/>
    </xf>
    <xf numFmtId="0" fontId="129" fillId="0" borderId="6" xfId="14" applyFont="1" applyFill="1" applyBorder="1" applyAlignment="1">
      <alignment horizontal="center" vertical="center"/>
    </xf>
    <xf numFmtId="0" fontId="129" fillId="0" borderId="15" xfId="14" applyFont="1" applyFill="1" applyBorder="1" applyAlignment="1">
      <alignment horizontal="left" vertical="center"/>
    </xf>
    <xf numFmtId="0" fontId="127" fillId="0" borderId="6" xfId="0" applyFont="1" applyBorder="1" applyAlignment="1">
      <alignment horizontal="center" vertical="center"/>
    </xf>
    <xf numFmtId="0" fontId="127" fillId="0" borderId="15" xfId="0" applyFont="1" applyBorder="1" applyAlignment="1">
      <alignment horizontal="left" vertical="center"/>
    </xf>
    <xf numFmtId="0" fontId="127" fillId="0" borderId="1" xfId="0" applyFont="1" applyBorder="1" applyAlignment="1">
      <alignment horizontal="center" vertical="center"/>
    </xf>
    <xf numFmtId="0" fontId="127" fillId="0" borderId="8" xfId="0" applyFont="1" applyBorder="1" applyAlignment="1">
      <alignment horizontal="center" vertical="center"/>
    </xf>
    <xf numFmtId="165" fontId="127" fillId="0" borderId="8" xfId="0" applyNumberFormat="1" applyFont="1" applyBorder="1" applyAlignment="1">
      <alignment horizontal="right" vertical="center"/>
    </xf>
    <xf numFmtId="0" fontId="127" fillId="0" borderId="16" xfId="0" applyFont="1" applyBorder="1" applyAlignment="1">
      <alignment vertical="center"/>
    </xf>
    <xf numFmtId="0" fontId="127" fillId="0" borderId="0" xfId="0" applyFont="1" applyAlignment="1">
      <alignment horizontal="left" vertical="center"/>
    </xf>
    <xf numFmtId="0" fontId="127" fillId="0" borderId="0" xfId="0" applyFont="1" applyAlignment="1">
      <alignment horizontal="center" vertical="center"/>
    </xf>
    <xf numFmtId="0" fontId="127" fillId="0" borderId="0" xfId="0" applyFont="1" applyAlignment="1">
      <alignment horizontal="right" vertical="center"/>
    </xf>
    <xf numFmtId="0" fontId="129" fillId="0" borderId="0" xfId="14" applyFont="1" applyFill="1" applyBorder="1" applyAlignment="1">
      <alignment horizontal="center" vertical="center"/>
    </xf>
    <xf numFmtId="0" fontId="129" fillId="0" borderId="0" xfId="14" applyFont="1" applyFill="1" applyBorder="1" applyAlignment="1">
      <alignment horizontal="right" vertical="center"/>
    </xf>
    <xf numFmtId="2" fontId="129" fillId="0" borderId="0" xfId="14" applyNumberFormat="1" applyFont="1" applyFill="1" applyBorder="1" applyAlignment="1">
      <alignment horizontal="right" vertical="center"/>
    </xf>
    <xf numFmtId="164" fontId="129" fillId="0" borderId="0" xfId="14" applyNumberFormat="1" applyFont="1" applyFill="1" applyBorder="1" applyAlignment="1">
      <alignment horizontal="right" vertical="center"/>
    </xf>
    <xf numFmtId="1" fontId="129" fillId="0" borderId="0" xfId="14" applyNumberFormat="1" applyFont="1" applyFill="1" applyBorder="1" applyAlignment="1">
      <alignment horizontal="right" vertical="center"/>
    </xf>
    <xf numFmtId="1" fontId="129" fillId="0" borderId="0" xfId="13" applyNumberFormat="1" applyFont="1" applyFill="1" applyBorder="1" applyAlignment="1">
      <alignment horizontal="right" vertical="center"/>
    </xf>
    <xf numFmtId="0" fontId="127" fillId="0" borderId="6" xfId="0" applyFont="1" applyBorder="1" applyAlignment="1">
      <alignment horizontal="left" vertical="center"/>
    </xf>
    <xf numFmtId="0" fontId="128" fillId="0" borderId="6" xfId="0" applyFont="1" applyBorder="1" applyAlignment="1">
      <alignment horizontal="left" vertical="center"/>
    </xf>
    <xf numFmtId="0" fontId="45" fillId="0" borderId="14" xfId="0" applyFont="1" applyBorder="1" applyAlignment="1">
      <alignment horizontal="center" vertical="top"/>
    </xf>
    <xf numFmtId="0" fontId="45" fillId="0" borderId="4" xfId="0" applyFont="1" applyBorder="1" applyAlignment="1">
      <alignment horizontal="center" vertical="top"/>
    </xf>
    <xf numFmtId="0" fontId="31" fillId="0" borderId="4" xfId="0" applyFont="1" applyBorder="1"/>
    <xf numFmtId="1" fontId="45" fillId="0" borderId="4" xfId="0" applyNumberFormat="1" applyFont="1" applyBorder="1" applyAlignment="1">
      <alignment horizontal="center" vertical="top"/>
    </xf>
    <xf numFmtId="1" fontId="45" fillId="0" borderId="11" xfId="0" applyNumberFormat="1" applyFont="1" applyBorder="1" applyAlignment="1">
      <alignment horizontal="center" vertical="top"/>
    </xf>
    <xf numFmtId="0" fontId="43" fillId="0" borderId="15" xfId="0" applyFont="1" applyBorder="1" applyAlignment="1">
      <alignment vertical="center"/>
    </xf>
    <xf numFmtId="0" fontId="43" fillId="0" borderId="15" xfId="0" applyFont="1" applyBorder="1" applyAlignment="1">
      <alignment horizontal="center" vertical="center"/>
    </xf>
    <xf numFmtId="0" fontId="45" fillId="0" borderId="15" xfId="0" applyFont="1" applyBorder="1" applyAlignment="1">
      <alignment vertical="center"/>
    </xf>
    <xf numFmtId="1" fontId="45" fillId="0" borderId="15" xfId="0" applyNumberFormat="1" applyFont="1" applyBorder="1" applyAlignment="1">
      <alignment horizontal="center" vertical="center"/>
    </xf>
    <xf numFmtId="0" fontId="31" fillId="0" borderId="1" xfId="0" applyFont="1" applyBorder="1"/>
    <xf numFmtId="0" fontId="45" fillId="0" borderId="14" xfId="0" applyFont="1" applyBorder="1" applyAlignment="1">
      <alignment horizontal="right" vertical="center"/>
    </xf>
    <xf numFmtId="0" fontId="45" fillId="0" borderId="11" xfId="0" applyFont="1" applyBorder="1" applyAlignment="1">
      <alignment horizontal="right" vertical="center"/>
    </xf>
    <xf numFmtId="0" fontId="52" fillId="0" borderId="20" xfId="0" applyFont="1" applyBorder="1" applyAlignment="1">
      <alignment horizontal="right" vertical="center"/>
    </xf>
    <xf numFmtId="0" fontId="45" fillId="0" borderId="1" xfId="4" applyFont="1" applyBorder="1" applyAlignment="1">
      <alignment horizontal="right" vertical="center"/>
    </xf>
    <xf numFmtId="0" fontId="45" fillId="0" borderId="8" xfId="4" applyFont="1" applyBorder="1" applyAlignment="1">
      <alignment horizontal="left" vertical="center"/>
    </xf>
    <xf numFmtId="0" fontId="45" fillId="25" borderId="0" xfId="4" applyFont="1" applyFill="1" applyAlignment="1" applyProtection="1">
      <alignment horizontal="center" vertical="center"/>
      <protection locked="0"/>
    </xf>
    <xf numFmtId="0" fontId="43" fillId="6" borderId="0" xfId="0" applyFont="1" applyFill="1" applyAlignment="1" applyProtection="1">
      <alignment horizontal="center" vertical="center"/>
      <protection locked="0"/>
    </xf>
    <xf numFmtId="0" fontId="45" fillId="25" borderId="0" xfId="4" applyFont="1" applyFill="1" applyAlignment="1" applyProtection="1">
      <alignment horizontal="left" vertical="center"/>
      <protection locked="0"/>
    </xf>
    <xf numFmtId="171" fontId="45" fillId="6" borderId="0" xfId="5" applyNumberFormat="1" applyFont="1" applyFill="1" applyBorder="1" applyAlignment="1" applyProtection="1">
      <alignment horizontal="center" vertical="center"/>
      <protection locked="0"/>
    </xf>
    <xf numFmtId="0" fontId="45" fillId="6" borderId="0" xfId="0" applyFont="1" applyFill="1" applyAlignment="1" applyProtection="1">
      <alignment vertical="center"/>
      <protection locked="0"/>
    </xf>
    <xf numFmtId="2" fontId="45" fillId="25" borderId="0" xfId="4" applyNumberFormat="1" applyFont="1" applyFill="1" applyAlignment="1" applyProtection="1">
      <alignment horizontal="center" vertical="center"/>
      <protection locked="0"/>
    </xf>
    <xf numFmtId="164" fontId="45" fillId="25" borderId="4" xfId="4" applyNumberFormat="1" applyFont="1" applyFill="1" applyBorder="1" applyAlignment="1" applyProtection="1">
      <alignment horizontal="center" vertical="center"/>
      <protection locked="0"/>
    </xf>
    <xf numFmtId="0" fontId="52" fillId="6" borderId="0" xfId="0" applyFont="1" applyFill="1" applyAlignment="1" applyProtection="1">
      <alignment horizontal="center" vertical="center"/>
      <protection locked="0"/>
    </xf>
    <xf numFmtId="0" fontId="52" fillId="6" borderId="8" xfId="0" applyFont="1" applyFill="1" applyBorder="1" applyAlignment="1" applyProtection="1">
      <alignment horizontal="center" vertical="center"/>
      <protection locked="0"/>
    </xf>
    <xf numFmtId="0" fontId="45" fillId="6" borderId="4" xfId="0" applyFont="1" applyFill="1" applyBorder="1" applyAlignment="1" applyProtection="1">
      <alignment horizontal="center"/>
      <protection locked="0"/>
    </xf>
    <xf numFmtId="0" fontId="45" fillId="6" borderId="0" xfId="0" applyFont="1" applyFill="1" applyAlignment="1" applyProtection="1">
      <alignment horizontal="right"/>
      <protection locked="0"/>
    </xf>
    <xf numFmtId="10" fontId="45" fillId="0" borderId="0" xfId="10" applyNumberFormat="1" applyFont="1" applyAlignment="1">
      <alignment horizontal="center" vertical="center"/>
    </xf>
    <xf numFmtId="10" fontId="45" fillId="0" borderId="8" xfId="10" applyNumberFormat="1" applyFont="1" applyBorder="1" applyAlignment="1">
      <alignment horizontal="center" vertical="center"/>
    </xf>
    <xf numFmtId="10" fontId="45" fillId="0" borderId="15" xfId="10" applyNumberFormat="1" applyFont="1" applyBorder="1" applyAlignment="1">
      <alignment horizontal="center" vertical="center"/>
    </xf>
    <xf numFmtId="10" fontId="45" fillId="0" borderId="16" xfId="10" applyNumberFormat="1" applyFont="1" applyBorder="1" applyAlignment="1">
      <alignment horizontal="center" vertical="center"/>
    </xf>
    <xf numFmtId="0" fontId="31" fillId="0" borderId="22" xfId="0" applyFont="1" applyBorder="1"/>
    <xf numFmtId="0" fontId="110" fillId="0" borderId="0" xfId="0" applyFont="1" applyAlignment="1">
      <alignment horizontal="left" vertical="center"/>
    </xf>
    <xf numFmtId="0" fontId="114" fillId="0" borderId="66" xfId="13" applyFill="1" applyAlignment="1">
      <alignment horizontal="right" vertical="center"/>
    </xf>
    <xf numFmtId="1" fontId="10" fillId="0" borderId="6" xfId="0" applyNumberFormat="1" applyFont="1" applyBorder="1" applyAlignment="1">
      <alignment horizontal="center" vertical="center"/>
    </xf>
    <xf numFmtId="1" fontId="114" fillId="0" borderId="66" xfId="13" applyNumberFormat="1" applyFill="1" applyAlignment="1">
      <alignment horizontal="right" vertical="center"/>
    </xf>
    <xf numFmtId="165" fontId="10" fillId="0" borderId="1" xfId="0" applyNumberFormat="1" applyFont="1" applyBorder="1" applyAlignment="1">
      <alignment horizontal="center" vertical="center"/>
    </xf>
    <xf numFmtId="0" fontId="81" fillId="0" borderId="0" xfId="0" applyFont="1" applyAlignment="1">
      <alignment horizontal="left" vertical="top" wrapText="1"/>
    </xf>
    <xf numFmtId="0" fontId="52" fillId="0" borderId="0" xfId="4" applyFont="1" applyAlignment="1">
      <alignment horizontal="center" vertical="center"/>
    </xf>
    <xf numFmtId="0" fontId="45" fillId="0" borderId="14" xfId="0" applyFont="1" applyBorder="1" applyAlignment="1">
      <alignment horizontal="left" vertical="center"/>
    </xf>
    <xf numFmtId="0" fontId="45" fillId="0" borderId="11" xfId="0" applyFont="1" applyBorder="1" applyAlignment="1">
      <alignment horizontal="left" vertical="center"/>
    </xf>
    <xf numFmtId="0" fontId="31" fillId="0" borderId="11" xfId="0" applyFont="1" applyBorder="1"/>
    <xf numFmtId="0" fontId="31" fillId="0" borderId="14" xfId="0" applyFont="1" applyBorder="1"/>
    <xf numFmtId="0" fontId="118" fillId="0" borderId="23" xfId="0" applyFont="1" applyBorder="1"/>
    <xf numFmtId="0" fontId="52" fillId="0" borderId="22" xfId="0" applyFont="1" applyBorder="1" applyAlignment="1">
      <alignment horizontal="center" vertical="center"/>
    </xf>
    <xf numFmtId="165" fontId="43" fillId="0" borderId="0" xfId="0" applyNumberFormat="1" applyFont="1" applyAlignment="1">
      <alignment horizontal="left" vertical="top" wrapText="1"/>
    </xf>
    <xf numFmtId="0" fontId="119" fillId="0" borderId="0" xfId="0" applyFont="1" applyAlignment="1">
      <alignment vertical="top"/>
    </xf>
    <xf numFmtId="164" fontId="43" fillId="0" borderId="0" xfId="0" quotePrefix="1" applyNumberFormat="1" applyFont="1" applyAlignment="1">
      <alignment horizontal="left" vertical="top"/>
    </xf>
    <xf numFmtId="17" fontId="0" fillId="0" borderId="0" xfId="0" applyNumberFormat="1" applyAlignment="1">
      <alignment vertical="top" wrapText="1"/>
    </xf>
    <xf numFmtId="0" fontId="52" fillId="0" borderId="0" xfId="0" applyFont="1" applyAlignment="1">
      <alignment horizontal="left" vertical="top" wrapText="1"/>
    </xf>
    <xf numFmtId="0" fontId="116" fillId="0" borderId="0" xfId="0" applyFont="1" applyAlignment="1">
      <alignment horizontal="center" vertical="top"/>
    </xf>
    <xf numFmtId="0" fontId="116" fillId="0" borderId="0" xfId="0" applyFont="1" applyAlignment="1">
      <alignment horizontal="left" vertical="top"/>
    </xf>
    <xf numFmtId="0" fontId="116" fillId="0" borderId="0" xfId="0" applyFont="1" applyAlignment="1">
      <alignment horizontal="left" vertical="top" wrapText="1"/>
    </xf>
    <xf numFmtId="0" fontId="62" fillId="0" borderId="0" xfId="0" applyFont="1" applyAlignment="1">
      <alignment horizontal="center" vertical="top"/>
    </xf>
    <xf numFmtId="1" fontId="45" fillId="6" borderId="6" xfId="0" applyNumberFormat="1" applyFont="1" applyFill="1" applyBorder="1" applyAlignment="1" applyProtection="1">
      <alignment horizontal="center"/>
      <protection locked="0"/>
    </xf>
    <xf numFmtId="1" fontId="45" fillId="6" borderId="4" xfId="0" applyNumberFormat="1" applyFont="1" applyFill="1" applyBorder="1" applyAlignment="1" applyProtection="1">
      <alignment horizontal="center"/>
      <protection locked="0"/>
    </xf>
    <xf numFmtId="0" fontId="131" fillId="0" borderId="0" xfId="0" applyFont="1" applyAlignment="1">
      <alignment vertical="center"/>
    </xf>
    <xf numFmtId="0" fontId="132" fillId="0" borderId="0" xfId="0" applyFont="1"/>
    <xf numFmtId="0" fontId="132" fillId="0" borderId="21" xfId="0" applyFont="1" applyBorder="1"/>
    <xf numFmtId="0" fontId="131" fillId="0" borderId="21" xfId="0" applyFont="1" applyBorder="1" applyAlignment="1">
      <alignment horizontal="center" vertical="center"/>
    </xf>
    <xf numFmtId="0" fontId="131" fillId="0" borderId="22" xfId="0" applyFont="1" applyBorder="1" applyAlignment="1">
      <alignment horizontal="center" vertical="center"/>
    </xf>
    <xf numFmtId="0" fontId="131" fillId="0" borderId="14" xfId="0" applyFont="1" applyBorder="1" applyAlignment="1">
      <alignment horizontal="center" vertical="center"/>
    </xf>
    <xf numFmtId="0" fontId="131" fillId="0" borderId="20" xfId="0" applyFont="1" applyBorder="1" applyAlignment="1">
      <alignment horizontal="center" vertical="center"/>
    </xf>
    <xf numFmtId="1" fontId="131" fillId="0" borderId="0" xfId="0" applyNumberFormat="1" applyFont="1" applyAlignment="1">
      <alignment horizontal="right" vertical="center"/>
    </xf>
    <xf numFmtId="0" fontId="131" fillId="0" borderId="0" xfId="0" applyFont="1" applyAlignment="1">
      <alignment horizontal="center" vertical="center"/>
    </xf>
    <xf numFmtId="0" fontId="131" fillId="0" borderId="14" xfId="0" applyFont="1" applyBorder="1" applyAlignment="1">
      <alignment horizontal="left" vertical="center"/>
    </xf>
    <xf numFmtId="0" fontId="131" fillId="0" borderId="0" xfId="0" applyFont="1" applyAlignment="1">
      <alignment horizontal="right" vertical="center"/>
    </xf>
    <xf numFmtId="0" fontId="131" fillId="0" borderId="4" xfId="0" applyFont="1" applyBorder="1" applyAlignment="1">
      <alignment horizontal="left" vertical="center"/>
    </xf>
    <xf numFmtId="0" fontId="131" fillId="0" borderId="11" xfId="0" applyFont="1" applyBorder="1" applyAlignment="1">
      <alignment horizontal="left" vertical="center"/>
    </xf>
    <xf numFmtId="0" fontId="131" fillId="0" borderId="8" xfId="0" applyFont="1" applyBorder="1" applyAlignment="1">
      <alignment horizontal="right" vertical="center"/>
    </xf>
    <xf numFmtId="0" fontId="131" fillId="0" borderId="8" xfId="0" applyFont="1" applyBorder="1" applyAlignment="1">
      <alignment horizontal="center" vertical="center"/>
    </xf>
    <xf numFmtId="0" fontId="131" fillId="0" borderId="17" xfId="0" applyFont="1" applyBorder="1" applyAlignment="1">
      <alignment horizontal="center" vertical="center"/>
    </xf>
    <xf numFmtId="0" fontId="131" fillId="0" borderId="18" xfId="0" applyFont="1" applyBorder="1" applyAlignment="1">
      <alignment horizontal="left" vertical="center"/>
    </xf>
    <xf numFmtId="0" fontId="131" fillId="0" borderId="19" xfId="0" applyFont="1" applyBorder="1" applyAlignment="1">
      <alignment horizontal="left" vertical="center"/>
    </xf>
    <xf numFmtId="0" fontId="132" fillId="0" borderId="4" xfId="0" applyFont="1" applyBorder="1"/>
    <xf numFmtId="0" fontId="131" fillId="0" borderId="18" xfId="0" applyFont="1" applyBorder="1" applyAlignment="1">
      <alignment horizontal="center" vertical="center"/>
    </xf>
    <xf numFmtId="0" fontId="132" fillId="0" borderId="14" xfId="0" applyFont="1" applyBorder="1"/>
    <xf numFmtId="0" fontId="132" fillId="0" borderId="18" xfId="0" applyFont="1" applyBorder="1"/>
    <xf numFmtId="0" fontId="132" fillId="0" borderId="19" xfId="0" applyFont="1" applyBorder="1"/>
    <xf numFmtId="0" fontId="131" fillId="0" borderId="1" xfId="0" applyFont="1" applyBorder="1" applyAlignment="1">
      <alignment horizontal="right" vertical="center"/>
    </xf>
    <xf numFmtId="0" fontId="131" fillId="0" borderId="16" xfId="0" applyFont="1" applyBorder="1" applyAlignment="1">
      <alignment horizontal="center" vertical="center"/>
    </xf>
    <xf numFmtId="0" fontId="132" fillId="0" borderId="8" xfId="0" applyFont="1" applyBorder="1"/>
    <xf numFmtId="0" fontId="131" fillId="0" borderId="8" xfId="0" applyFont="1" applyBorder="1" applyAlignment="1">
      <alignment horizontal="left" vertical="center"/>
    </xf>
    <xf numFmtId="0" fontId="132" fillId="0" borderId="11" xfId="0" applyFont="1" applyBorder="1"/>
    <xf numFmtId="0" fontId="131" fillId="0" borderId="16" xfId="0" applyFont="1" applyBorder="1" applyAlignment="1">
      <alignment horizontal="left" vertical="center"/>
    </xf>
    <xf numFmtId="0" fontId="45" fillId="0" borderId="6" xfId="0" applyFont="1" applyBorder="1" applyAlignment="1">
      <alignment horizontal="left" vertical="center"/>
    </xf>
    <xf numFmtId="0" fontId="47" fillId="0" borderId="0" xfId="0" applyFont="1" applyAlignment="1">
      <alignment horizontal="right" vertical="top"/>
    </xf>
    <xf numFmtId="0" fontId="99" fillId="0" borderId="0" xfId="0" applyFont="1"/>
    <xf numFmtId="164" fontId="45" fillId="25" borderId="0" xfId="4" applyNumberFormat="1" applyFont="1" applyFill="1" applyAlignment="1" applyProtection="1">
      <alignment horizontal="center" vertical="center"/>
      <protection locked="0"/>
    </xf>
    <xf numFmtId="9" fontId="45" fillId="0" borderId="0" xfId="10" applyFont="1" applyBorder="1" applyAlignment="1">
      <alignment horizontal="center" vertical="top"/>
    </xf>
    <xf numFmtId="9" fontId="43" fillId="0" borderId="0" xfId="10" applyFont="1" applyBorder="1" applyAlignment="1">
      <alignment horizontal="center" vertical="top"/>
    </xf>
    <xf numFmtId="0" fontId="50" fillId="0" borderId="0" xfId="0" applyFont="1" applyAlignment="1">
      <alignment horizontal="right" vertical="center"/>
    </xf>
    <xf numFmtId="0" fontId="82" fillId="0" borderId="0" xfId="0" applyFont="1"/>
    <xf numFmtId="0" fontId="45" fillId="0" borderId="0" xfId="4" quotePrefix="1" applyFont="1" applyAlignment="1">
      <alignment horizontal="right" vertical="center"/>
    </xf>
    <xf numFmtId="0" fontId="45" fillId="0" borderId="0" xfId="4" quotePrefix="1" applyFont="1" applyAlignment="1">
      <alignment horizontal="center" vertical="center"/>
    </xf>
    <xf numFmtId="0" fontId="45" fillId="0" borderId="0" xfId="4" quotePrefix="1" applyFont="1" applyAlignment="1">
      <alignment horizontal="left" vertical="center"/>
    </xf>
    <xf numFmtId="0" fontId="39" fillId="24" borderId="0" xfId="0" applyFont="1" applyFill="1"/>
    <xf numFmtId="0" fontId="0" fillId="24" borderId="0" xfId="0" applyFill="1" applyAlignment="1">
      <alignment horizontal="left" vertical="top" wrapText="1"/>
    </xf>
    <xf numFmtId="0" fontId="0" fillId="24" borderId="4" xfId="0" applyFill="1" applyBorder="1"/>
    <xf numFmtId="0" fontId="39" fillId="24" borderId="4" xfId="0" applyFont="1" applyFill="1" applyBorder="1"/>
    <xf numFmtId="0" fontId="45" fillId="0" borderId="8" xfId="4" applyFont="1" applyBorder="1" applyAlignment="1">
      <alignment horizontal="right" vertical="center"/>
    </xf>
    <xf numFmtId="0" fontId="52" fillId="6" borderId="8" xfId="0" applyFont="1" applyFill="1" applyBorder="1" applyAlignment="1" applyProtection="1">
      <alignment horizontal="left" vertical="center"/>
      <protection locked="0"/>
    </xf>
    <xf numFmtId="0" fontId="52" fillId="0" borderId="23" xfId="0" applyFont="1" applyBorder="1" applyAlignment="1">
      <alignment horizontal="center"/>
    </xf>
    <xf numFmtId="0" fontId="52" fillId="0" borderId="21" xfId="0" applyFont="1" applyBorder="1" applyAlignment="1">
      <alignment horizontal="center"/>
    </xf>
    <xf numFmtId="0" fontId="52" fillId="0" borderId="22" xfId="0" applyFont="1" applyBorder="1" applyAlignment="1">
      <alignment horizontal="center"/>
    </xf>
    <xf numFmtId="0" fontId="42" fillId="0" borderId="8" xfId="0" applyFont="1" applyBorder="1" applyAlignment="1">
      <alignment horizontal="center" vertical="top"/>
    </xf>
    <xf numFmtId="0" fontId="42" fillId="0" borderId="16" xfId="0" applyFont="1" applyBorder="1" applyAlignment="1">
      <alignment horizontal="center" vertical="top"/>
    </xf>
    <xf numFmtId="0" fontId="45" fillId="0" borderId="14" xfId="0" applyFont="1" applyBorder="1" applyAlignment="1">
      <alignment horizontal="left" vertical="center"/>
    </xf>
    <xf numFmtId="0" fontId="45" fillId="0" borderId="60" xfId="0" applyFont="1" applyBorder="1" applyAlignment="1">
      <alignment horizontal="left" vertical="center"/>
    </xf>
    <xf numFmtId="0" fontId="42" fillId="0" borderId="23" xfId="0" applyFont="1" applyBorder="1" applyAlignment="1">
      <alignment horizontal="center" vertical="top"/>
    </xf>
    <xf numFmtId="0" fontId="42" fillId="0" borderId="21" xfId="0" applyFont="1" applyBorder="1" applyAlignment="1">
      <alignment horizontal="center" vertical="top"/>
    </xf>
    <xf numFmtId="0" fontId="42" fillId="0" borderId="22" xfId="0" applyFont="1" applyBorder="1" applyAlignment="1">
      <alignment horizontal="center" vertical="top"/>
    </xf>
    <xf numFmtId="0" fontId="43" fillId="0" borderId="23" xfId="0" applyFont="1" applyBorder="1" applyAlignment="1">
      <alignment horizontal="center" vertical="center"/>
    </xf>
    <xf numFmtId="0" fontId="43" fillId="0" borderId="21" xfId="0" applyFont="1" applyBorder="1" applyAlignment="1">
      <alignment horizontal="center" vertical="center"/>
    </xf>
    <xf numFmtId="0" fontId="43" fillId="0" borderId="22" xfId="0" applyFont="1" applyBorder="1" applyAlignment="1">
      <alignment horizontal="center" vertical="center"/>
    </xf>
    <xf numFmtId="0" fontId="45" fillId="0" borderId="8" xfId="0" applyFont="1" applyBorder="1" applyAlignment="1">
      <alignment horizontal="center" vertical="center"/>
    </xf>
    <xf numFmtId="0" fontId="43" fillId="6" borderId="23" xfId="0" applyFont="1" applyFill="1" applyBorder="1" applyAlignment="1" applyProtection="1">
      <alignment horizontal="center" vertical="center"/>
      <protection locked="0"/>
    </xf>
    <xf numFmtId="0" fontId="43" fillId="6" borderId="21" xfId="0" applyFont="1" applyFill="1" applyBorder="1" applyAlignment="1" applyProtection="1">
      <alignment horizontal="center" vertical="center"/>
      <protection locked="0"/>
    </xf>
    <xf numFmtId="0" fontId="43" fillId="6" borderId="22" xfId="0" applyFont="1" applyFill="1" applyBorder="1" applyAlignment="1" applyProtection="1">
      <alignment horizontal="center" vertical="center"/>
      <protection locked="0"/>
    </xf>
    <xf numFmtId="0" fontId="52" fillId="0" borderId="31" xfId="0" applyFont="1" applyBorder="1" applyAlignment="1">
      <alignment horizontal="center" vertical="center"/>
    </xf>
    <xf numFmtId="0" fontId="52" fillId="0" borderId="32" xfId="0" applyFont="1" applyBorder="1" applyAlignment="1">
      <alignment horizontal="center" vertical="center"/>
    </xf>
    <xf numFmtId="0" fontId="52" fillId="0" borderId="33" xfId="0" applyFont="1" applyBorder="1" applyAlignment="1">
      <alignment horizontal="center" vertical="center"/>
    </xf>
    <xf numFmtId="0" fontId="45" fillId="0" borderId="32" xfId="0" applyFont="1" applyBorder="1" applyAlignment="1">
      <alignment horizontal="left" vertical="center"/>
    </xf>
    <xf numFmtId="0" fontId="45" fillId="0" borderId="33" xfId="0" applyFont="1" applyBorder="1" applyAlignment="1">
      <alignment horizontal="left" vertical="center"/>
    </xf>
    <xf numFmtId="0" fontId="45" fillId="0" borderId="31" xfId="0" applyFont="1" applyBorder="1" applyAlignment="1">
      <alignment horizontal="center" vertical="center"/>
    </xf>
    <xf numFmtId="0" fontId="45" fillId="0" borderId="33" xfId="0" applyFont="1" applyBorder="1" applyAlignment="1">
      <alignment horizontal="center" vertical="center"/>
    </xf>
    <xf numFmtId="0" fontId="45" fillId="0" borderId="20" xfId="0" applyFont="1" applyBorder="1" applyAlignment="1">
      <alignment horizontal="left" vertical="center"/>
    </xf>
    <xf numFmtId="0" fontId="45" fillId="0" borderId="49" xfId="0" applyFont="1" applyBorder="1" applyAlignment="1">
      <alignment horizontal="left" vertical="center"/>
    </xf>
    <xf numFmtId="0" fontId="45" fillId="0" borderId="39" xfId="0" applyFont="1" applyBorder="1" applyAlignment="1">
      <alignment horizontal="left" vertical="center"/>
    </xf>
    <xf numFmtId="0" fontId="45" fillId="0" borderId="38" xfId="0" applyFont="1" applyBorder="1" applyAlignment="1">
      <alignment horizontal="left" vertical="center"/>
    </xf>
    <xf numFmtId="0" fontId="45" fillId="0" borderId="29" xfId="0" applyFont="1" applyBorder="1" applyAlignment="1">
      <alignment horizontal="left" vertical="center"/>
    </xf>
    <xf numFmtId="0" fontId="45" fillId="0" borderId="30" xfId="0" applyFont="1" applyBorder="1" applyAlignment="1">
      <alignment horizontal="left" vertical="center"/>
    </xf>
    <xf numFmtId="2" fontId="45" fillId="0" borderId="18" xfId="0" applyNumberFormat="1" applyFont="1" applyBorder="1" applyAlignment="1">
      <alignment horizontal="center" vertical="center"/>
    </xf>
    <xf numFmtId="2" fontId="45" fillId="0" borderId="0" xfId="0" applyNumberFormat="1" applyFont="1" applyAlignment="1">
      <alignment horizontal="center" vertical="center"/>
    </xf>
    <xf numFmtId="2" fontId="45" fillId="0" borderId="8" xfId="0" applyNumberFormat="1" applyFont="1" applyBorder="1" applyAlignment="1">
      <alignment horizontal="center" vertical="center"/>
    </xf>
    <xf numFmtId="0" fontId="134" fillId="0" borderId="0" xfId="0" applyFont="1" applyAlignment="1">
      <alignment horizontal="center"/>
    </xf>
    <xf numFmtId="0" fontId="14" fillId="0" borderId="0" xfId="0" applyFont="1" applyAlignment="1">
      <alignment horizontal="right" vertical="center"/>
    </xf>
    <xf numFmtId="0" fontId="57" fillId="0" borderId="8" xfId="0" applyFont="1" applyBorder="1" applyAlignment="1">
      <alignment horizontal="center"/>
    </xf>
    <xf numFmtId="0" fontId="14" fillId="0" borderId="8" xfId="0" applyFont="1" applyBorder="1" applyAlignment="1">
      <alignment horizontal="right" vertical="center"/>
    </xf>
    <xf numFmtId="0" fontId="45" fillId="0" borderId="0" xfId="0" applyFont="1" applyAlignment="1">
      <alignment horizontal="center" vertical="center" wrapText="1"/>
    </xf>
    <xf numFmtId="14" fontId="45" fillId="6" borderId="0" xfId="0" applyNumberFormat="1" applyFont="1" applyFill="1" applyAlignment="1" applyProtection="1">
      <alignment horizontal="right"/>
      <protection locked="0"/>
    </xf>
    <xf numFmtId="0" fontId="52" fillId="0" borderId="28" xfId="0" applyFont="1" applyBorder="1" applyAlignment="1">
      <alignment horizontal="center" vertical="center"/>
    </xf>
    <xf numFmtId="0" fontId="52" fillId="0" borderId="29" xfId="0" applyFont="1" applyBorder="1" applyAlignment="1">
      <alignment horizontal="center" vertical="center"/>
    </xf>
    <xf numFmtId="0" fontId="52" fillId="0" borderId="30" xfId="0" applyFont="1" applyBorder="1" applyAlignment="1">
      <alignment horizontal="center" vertical="center"/>
    </xf>
    <xf numFmtId="0" fontId="45" fillId="0" borderId="11" xfId="0" applyFont="1" applyBorder="1" applyAlignment="1">
      <alignment horizontal="left" vertical="center"/>
    </xf>
    <xf numFmtId="0" fontId="45" fillId="0" borderId="12" xfId="0" applyFont="1" applyBorder="1" applyAlignment="1">
      <alignment horizontal="left" vertical="center"/>
    </xf>
    <xf numFmtId="0" fontId="52" fillId="0" borderId="23" xfId="4" applyFont="1" applyBorder="1" applyAlignment="1">
      <alignment horizontal="center" vertical="center"/>
    </xf>
    <xf numFmtId="0" fontId="52" fillId="0" borderId="22" xfId="4" applyFont="1" applyBorder="1" applyAlignment="1">
      <alignment horizontal="center" vertical="center"/>
    </xf>
    <xf numFmtId="0" fontId="43" fillId="0" borderId="0" xfId="0" applyFont="1" applyAlignment="1">
      <alignment horizontal="center" vertical="center"/>
    </xf>
    <xf numFmtId="0" fontId="45" fillId="25" borderId="0" xfId="4" applyFont="1" applyFill="1" applyAlignment="1" applyProtection="1">
      <alignment horizontal="center" vertical="center"/>
      <protection locked="0"/>
    </xf>
    <xf numFmtId="0" fontId="45" fillId="25" borderId="8" xfId="4" applyFont="1" applyFill="1" applyBorder="1" applyAlignment="1" applyProtection="1">
      <alignment horizontal="center" vertical="center"/>
      <protection locked="0"/>
    </xf>
    <xf numFmtId="0" fontId="43" fillId="0" borderId="0" xfId="0" applyFont="1" applyAlignment="1">
      <alignment horizontal="left" vertical="center" wrapText="1"/>
    </xf>
    <xf numFmtId="0" fontId="45" fillId="0" borderId="8" xfId="0" applyFont="1" applyBorder="1" applyAlignment="1">
      <alignment horizontal="left" vertical="center" indent="7"/>
    </xf>
    <xf numFmtId="0" fontId="52" fillId="0" borderId="23" xfId="0" applyFont="1" applyBorder="1" applyAlignment="1">
      <alignment horizontal="center" vertical="top"/>
    </xf>
    <xf numFmtId="0" fontId="52" fillId="0" borderId="21" xfId="0" applyFont="1" applyBorder="1" applyAlignment="1">
      <alignment horizontal="center" vertical="top"/>
    </xf>
    <xf numFmtId="0" fontId="52" fillId="0" borderId="22" xfId="0" applyFont="1" applyBorder="1" applyAlignment="1">
      <alignment horizontal="center" vertical="top"/>
    </xf>
    <xf numFmtId="0" fontId="45" fillId="0" borderId="1" xfId="4" applyFont="1" applyBorder="1" applyAlignment="1">
      <alignment horizontal="center" vertical="center"/>
    </xf>
    <xf numFmtId="0" fontId="45" fillId="0" borderId="8" xfId="4" applyFont="1" applyBorder="1" applyAlignment="1">
      <alignment horizontal="center" vertical="center"/>
    </xf>
    <xf numFmtId="0" fontId="45" fillId="0" borderId="16" xfId="4" applyFont="1" applyBorder="1" applyAlignment="1">
      <alignment horizontal="center" vertical="center"/>
    </xf>
    <xf numFmtId="0" fontId="45" fillId="0" borderId="18" xfId="0" applyFont="1" applyBorder="1" applyAlignment="1" applyProtection="1">
      <alignment horizontal="center"/>
      <protection locked="0"/>
    </xf>
    <xf numFmtId="0" fontId="42" fillId="0" borderId="14" xfId="0" applyFont="1" applyBorder="1" applyAlignment="1">
      <alignment horizontal="center" vertical="center"/>
    </xf>
    <xf numFmtId="0" fontId="42" fillId="0" borderId="11" xfId="0" applyFont="1" applyBorder="1" applyAlignment="1">
      <alignment horizontal="center" vertical="center"/>
    </xf>
    <xf numFmtId="0" fontId="52" fillId="0" borderId="21" xfId="4" applyFont="1" applyBorder="1" applyAlignment="1">
      <alignment horizontal="center" vertical="center"/>
    </xf>
    <xf numFmtId="0" fontId="52" fillId="0" borderId="1" xfId="0" applyFont="1" applyBorder="1" applyAlignment="1">
      <alignment horizontal="center" vertical="center"/>
    </xf>
    <xf numFmtId="0" fontId="52" fillId="0" borderId="16" xfId="0" applyFont="1" applyBorder="1" applyAlignment="1">
      <alignment horizontal="center" vertical="center"/>
    </xf>
    <xf numFmtId="0" fontId="52" fillId="0" borderId="8" xfId="0" applyFont="1" applyBorder="1" applyAlignment="1">
      <alignment horizontal="center" vertical="center"/>
    </xf>
    <xf numFmtId="0" fontId="52" fillId="0" borderId="14" xfId="0" applyFont="1" applyBorder="1" applyAlignment="1">
      <alignment horizontal="center" vertical="center"/>
    </xf>
    <xf numFmtId="0" fontId="52" fillId="0" borderId="11" xfId="0" applyFont="1" applyBorder="1" applyAlignment="1">
      <alignment horizontal="center" vertical="center"/>
    </xf>
    <xf numFmtId="0" fontId="45" fillId="0" borderId="23" xfId="0" applyFont="1" applyBorder="1" applyAlignment="1">
      <alignment horizontal="center" vertical="center"/>
    </xf>
    <xf numFmtId="0" fontId="45" fillId="0" borderId="21" xfId="0" applyFont="1" applyBorder="1" applyAlignment="1">
      <alignment horizontal="center" vertical="center"/>
    </xf>
    <xf numFmtId="0" fontId="45" fillId="0" borderId="22" xfId="0" applyFont="1" applyBorder="1" applyAlignment="1">
      <alignment horizontal="center" vertical="center"/>
    </xf>
    <xf numFmtId="0" fontId="45" fillId="0" borderId="17" xfId="4" applyFont="1" applyBorder="1" applyAlignment="1">
      <alignment horizontal="center" vertical="center"/>
    </xf>
    <xf numFmtId="0" fontId="45" fillId="0" borderId="19" xfId="4" applyFont="1" applyBorder="1" applyAlignment="1">
      <alignment horizontal="center" vertical="center"/>
    </xf>
    <xf numFmtId="0" fontId="45" fillId="0" borderId="6" xfId="4" applyFont="1" applyBorder="1" applyAlignment="1">
      <alignment horizontal="center" vertical="center"/>
    </xf>
    <xf numFmtId="0" fontId="45" fillId="0" borderId="15" xfId="4" applyFont="1" applyBorder="1" applyAlignment="1">
      <alignment horizontal="center" vertical="center"/>
    </xf>
    <xf numFmtId="0" fontId="43" fillId="0" borderId="0" xfId="0" applyFont="1" applyAlignment="1">
      <alignment horizontal="left" vertical="top" wrapText="1"/>
    </xf>
    <xf numFmtId="0" fontId="45" fillId="0" borderId="17" xfId="0" applyFont="1" applyBorder="1" applyAlignment="1">
      <alignment horizontal="center" vertical="top" wrapText="1"/>
    </xf>
    <xf numFmtId="0" fontId="45" fillId="0" borderId="19" xfId="0" applyFont="1" applyBorder="1" applyAlignment="1">
      <alignment horizontal="center" vertical="top" wrapText="1"/>
    </xf>
    <xf numFmtId="0" fontId="45" fillId="0" borderId="1" xfId="0" applyFont="1" applyBorder="1" applyAlignment="1">
      <alignment horizontal="center" vertical="top" wrapText="1"/>
    </xf>
    <xf numFmtId="0" fontId="45" fillId="0" borderId="16" xfId="0" applyFont="1" applyBorder="1" applyAlignment="1">
      <alignment horizontal="center" vertical="top" wrapText="1"/>
    </xf>
    <xf numFmtId="0" fontId="45" fillId="0" borderId="23" xfId="4" applyFont="1" applyBorder="1" applyAlignment="1">
      <alignment horizontal="center" vertical="center"/>
    </xf>
    <xf numFmtId="0" fontId="45" fillId="0" borderId="21" xfId="4" applyFont="1" applyBorder="1" applyAlignment="1">
      <alignment horizontal="center" vertical="center"/>
    </xf>
    <xf numFmtId="0" fontId="45" fillId="0" borderId="22" xfId="4" applyFont="1" applyBorder="1" applyAlignment="1">
      <alignment horizontal="center" vertical="center"/>
    </xf>
    <xf numFmtId="0" fontId="45" fillId="0" borderId="0" xfId="0" applyFont="1" applyAlignment="1">
      <alignment horizontal="left" vertical="top" wrapText="1"/>
    </xf>
    <xf numFmtId="0" fontId="81" fillId="0" borderId="0" xfId="0" applyFont="1" applyAlignment="1">
      <alignment horizontal="left" vertical="top" wrapText="1"/>
    </xf>
    <xf numFmtId="0" fontId="52" fillId="0" borderId="0" xfId="0" applyFont="1" applyAlignment="1">
      <alignment horizontal="left" vertical="center"/>
    </xf>
    <xf numFmtId="0" fontId="81" fillId="0" borderId="0" xfId="0" applyFont="1" applyAlignment="1">
      <alignment horizontal="center" vertical="top" wrapText="1"/>
    </xf>
    <xf numFmtId="0" fontId="43" fillId="0" borderId="21" xfId="0" applyFont="1" applyBorder="1" applyAlignment="1">
      <alignment horizontal="center" vertical="top"/>
    </xf>
    <xf numFmtId="164" fontId="45" fillId="25" borderId="4" xfId="4" applyNumberFormat="1" applyFont="1" applyFill="1" applyBorder="1" applyAlignment="1" applyProtection="1">
      <alignment horizontal="center" vertical="center"/>
      <protection locked="0"/>
    </xf>
    <xf numFmtId="0" fontId="43" fillId="0" borderId="4" xfId="0" applyFont="1" applyBorder="1" applyAlignment="1">
      <alignment horizontal="center" vertical="center" wrapText="1"/>
    </xf>
    <xf numFmtId="0" fontId="43" fillId="0" borderId="4" xfId="0" applyFont="1" applyBorder="1" applyAlignment="1">
      <alignment horizontal="center" vertical="center"/>
    </xf>
    <xf numFmtId="0" fontId="39" fillId="0" borderId="0" xfId="0" applyFont="1" applyAlignment="1">
      <alignment horizontal="center" vertical="center"/>
    </xf>
    <xf numFmtId="0" fontId="43" fillId="0" borderId="11" xfId="0" applyFont="1" applyBorder="1" applyAlignment="1">
      <alignment horizontal="center" vertical="center"/>
    </xf>
    <xf numFmtId="0" fontId="43" fillId="0" borderId="6" xfId="0" applyFont="1" applyBorder="1" applyAlignment="1">
      <alignment horizontal="center" vertical="center" wrapText="1"/>
    </xf>
    <xf numFmtId="0" fontId="43" fillId="0" borderId="0" xfId="0" applyFont="1" applyAlignment="1">
      <alignment horizontal="center" vertical="center" wrapText="1"/>
    </xf>
    <xf numFmtId="0" fontId="43" fillId="0" borderId="0" xfId="0" applyFont="1" applyAlignment="1">
      <alignment horizontal="center" vertical="top"/>
    </xf>
    <xf numFmtId="164" fontId="45" fillId="0" borderId="6" xfId="4" applyNumberFormat="1" applyFont="1" applyBorder="1" applyAlignment="1">
      <alignment horizontal="center" vertical="center"/>
    </xf>
    <xf numFmtId="164" fontId="45" fillId="0" borderId="15" xfId="4" applyNumberFormat="1" applyFont="1" applyBorder="1" applyAlignment="1">
      <alignment horizontal="center" vertical="center"/>
    </xf>
    <xf numFmtId="1" fontId="43" fillId="0" borderId="0" xfId="0" applyNumberFormat="1" applyFont="1" applyAlignment="1">
      <alignment horizontal="center" vertical="center"/>
    </xf>
    <xf numFmtId="2" fontId="45" fillId="0" borderId="0" xfId="4" applyNumberFormat="1" applyFont="1" applyAlignment="1">
      <alignment horizontal="center" vertical="center"/>
    </xf>
    <xf numFmtId="164" fontId="45" fillId="0" borderId="17" xfId="4" applyNumberFormat="1" applyFont="1" applyBorder="1" applyAlignment="1">
      <alignment horizontal="center" vertical="center"/>
    </xf>
    <xf numFmtId="164" fontId="45" fillId="0" borderId="19" xfId="4" applyNumberFormat="1" applyFont="1" applyBorder="1" applyAlignment="1">
      <alignment horizontal="center" vertical="center"/>
    </xf>
    <xf numFmtId="0" fontId="45" fillId="0" borderId="8" xfId="0" applyFont="1" applyBorder="1" applyAlignment="1">
      <alignment horizontal="center" vertical="top"/>
    </xf>
    <xf numFmtId="0" fontId="14" fillId="0" borderId="0" xfId="0" applyFont="1" applyAlignment="1">
      <alignment horizontal="center" vertical="top"/>
    </xf>
    <xf numFmtId="0" fontId="14" fillId="0" borderId="0" xfId="0" applyFont="1" applyAlignment="1">
      <alignment horizontal="right" vertical="top"/>
    </xf>
    <xf numFmtId="0" fontId="102" fillId="0" borderId="8" xfId="0" applyFont="1" applyBorder="1" applyAlignment="1">
      <alignment horizontal="center" vertical="top"/>
    </xf>
    <xf numFmtId="0" fontId="14" fillId="0" borderId="8" xfId="0" applyFont="1" applyBorder="1" applyAlignment="1">
      <alignment horizontal="right" vertical="top"/>
    </xf>
    <xf numFmtId="14" fontId="45" fillId="0" borderId="18" xfId="0" applyNumberFormat="1" applyFont="1" applyBorder="1" applyAlignment="1">
      <alignment horizontal="right" vertical="top"/>
    </xf>
    <xf numFmtId="0" fontId="43" fillId="0" borderId="35" xfId="0" applyFont="1" applyBorder="1" applyAlignment="1">
      <alignment horizontal="center" vertical="top"/>
    </xf>
    <xf numFmtId="0" fontId="43" fillId="0" borderId="36" xfId="0" applyFont="1" applyBorder="1" applyAlignment="1">
      <alignment horizontal="center" vertical="top"/>
    </xf>
    <xf numFmtId="0" fontId="45" fillId="20" borderId="35" xfId="0" applyFont="1" applyFill="1" applyBorder="1" applyAlignment="1">
      <alignment horizontal="center" vertical="top"/>
    </xf>
    <xf numFmtId="0" fontId="45" fillId="20" borderId="64" xfId="0" applyFont="1" applyFill="1" applyBorder="1" applyAlignment="1">
      <alignment horizontal="center" vertical="top"/>
    </xf>
    <xf numFmtId="0" fontId="19" fillId="0" borderId="0" xfId="0" applyFont="1" applyAlignment="1">
      <alignment horizontal="center" vertical="top"/>
    </xf>
    <xf numFmtId="0" fontId="45" fillId="0" borderId="0" xfId="0" applyFont="1" applyAlignment="1">
      <alignment horizontal="center" vertical="center"/>
    </xf>
    <xf numFmtId="0" fontId="43" fillId="0" borderId="64" xfId="0" applyFont="1" applyBorder="1" applyAlignment="1">
      <alignment horizontal="center" vertical="top"/>
    </xf>
    <xf numFmtId="0" fontId="89" fillId="30" borderId="0" xfId="0" applyFont="1" applyFill="1" applyAlignment="1">
      <alignment horizontal="center" vertical="center" wrapText="1"/>
    </xf>
    <xf numFmtId="0" fontId="45" fillId="0" borderId="18" xfId="0" applyFont="1" applyBorder="1" applyAlignment="1" applyProtection="1">
      <alignment horizontal="center" vertical="top"/>
      <protection locked="0"/>
    </xf>
    <xf numFmtId="0" fontId="45" fillId="0" borderId="0" xfId="4" applyFont="1" applyAlignment="1">
      <alignment horizontal="center" vertical="top"/>
    </xf>
    <xf numFmtId="0" fontId="43" fillId="0" borderId="0" xfId="0" applyFont="1" applyAlignment="1">
      <alignment vertical="top" wrapText="1"/>
    </xf>
    <xf numFmtId="0" fontId="87" fillId="0" borderId="0" xfId="0" applyFont="1" applyAlignment="1">
      <alignment horizontal="center" vertical="top"/>
    </xf>
    <xf numFmtId="0" fontId="42" fillId="0" borderId="0" xfId="0" applyFont="1" applyAlignment="1">
      <alignment horizontal="center" vertical="top" wrapText="1"/>
    </xf>
    <xf numFmtId="0" fontId="10" fillId="0" borderId="23" xfId="0" applyFont="1" applyBorder="1" applyAlignment="1">
      <alignment horizontal="center" vertical="center"/>
    </xf>
    <xf numFmtId="0" fontId="10" fillId="0" borderId="22" xfId="0" applyFont="1" applyBorder="1" applyAlignment="1">
      <alignment horizontal="center" vertical="center"/>
    </xf>
    <xf numFmtId="0" fontId="10" fillId="0" borderId="17" xfId="0" applyFont="1" applyBorder="1" applyAlignment="1">
      <alignment horizontal="center" vertical="center"/>
    </xf>
    <xf numFmtId="0" fontId="10" fillId="0" borderId="19" xfId="0" applyFont="1" applyBorder="1" applyAlignment="1">
      <alignment horizontal="center" vertical="center"/>
    </xf>
    <xf numFmtId="0" fontId="10" fillId="0" borderId="6" xfId="0" applyFont="1" applyBorder="1" applyAlignment="1">
      <alignment horizontal="center" vertical="center"/>
    </xf>
    <xf numFmtId="0" fontId="10" fillId="0" borderId="15" xfId="0" applyFont="1" applyBorder="1" applyAlignment="1">
      <alignment horizontal="center" vertical="center"/>
    </xf>
    <xf numFmtId="0" fontId="10" fillId="0" borderId="1" xfId="0" applyFont="1" applyBorder="1" applyAlignment="1">
      <alignment horizontal="center" vertical="center"/>
    </xf>
    <xf numFmtId="0" fontId="10" fillId="0" borderId="16" xfId="0" applyFont="1" applyBorder="1" applyAlignment="1">
      <alignment horizontal="center" vertical="center"/>
    </xf>
    <xf numFmtId="0" fontId="10" fillId="0" borderId="14" xfId="0" applyFont="1" applyBorder="1" applyAlignment="1">
      <alignment horizontal="center" vertical="center"/>
    </xf>
    <xf numFmtId="0" fontId="10" fillId="0" borderId="18" xfId="0" applyFont="1" applyBorder="1" applyAlignment="1">
      <alignment horizontal="center" vertical="center"/>
    </xf>
    <xf numFmtId="0" fontId="15" fillId="0" borderId="23"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1" fontId="104" fillId="0" borderId="23" xfId="0" applyNumberFormat="1" applyFont="1" applyBorder="1" applyAlignment="1">
      <alignment horizontal="center" vertical="center"/>
    </xf>
    <xf numFmtId="1" fontId="104" fillId="0" borderId="21" xfId="0" applyNumberFormat="1" applyFont="1" applyBorder="1" applyAlignment="1">
      <alignment horizontal="center" vertical="center"/>
    </xf>
    <xf numFmtId="1" fontId="104" fillId="0" borderId="22" xfId="0" applyNumberFormat="1" applyFont="1" applyBorder="1" applyAlignment="1">
      <alignment horizontal="center" vertical="center"/>
    </xf>
    <xf numFmtId="2" fontId="43" fillId="2" borderId="1" xfId="0" applyNumberFormat="1" applyFont="1" applyFill="1" applyBorder="1" applyAlignment="1">
      <alignment horizontal="center"/>
    </xf>
    <xf numFmtId="2" fontId="43" fillId="2" borderId="8" xfId="0" applyNumberFormat="1" applyFont="1" applyFill="1" applyBorder="1" applyAlignment="1">
      <alignment horizontal="center"/>
    </xf>
    <xf numFmtId="2" fontId="43" fillId="2" borderId="16" xfId="0" applyNumberFormat="1" applyFont="1" applyFill="1" applyBorder="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2" fillId="0" borderId="33" xfId="0" applyFont="1" applyBorder="1" applyAlignment="1">
      <alignment horizontal="center"/>
    </xf>
    <xf numFmtId="165" fontId="43" fillId="0" borderId="0" xfId="0" applyNumberFormat="1" applyFont="1" applyAlignment="1">
      <alignment horizontal="left" vertical="top" wrapText="1"/>
    </xf>
    <xf numFmtId="0" fontId="14" fillId="0" borderId="8" xfId="0" applyFont="1" applyBorder="1" applyAlignment="1">
      <alignment horizontal="center" vertical="top"/>
    </xf>
    <xf numFmtId="0" fontId="12" fillId="0" borderId="0" xfId="0" applyFont="1" applyAlignment="1">
      <alignment horizontal="center" vertical="top"/>
    </xf>
    <xf numFmtId="0" fontId="43" fillId="0" borderId="0" xfId="0" applyFont="1" applyAlignment="1">
      <alignment horizontal="left" vertical="top"/>
    </xf>
    <xf numFmtId="0" fontId="0" fillId="0" borderId="0" xfId="0" applyAlignment="1">
      <alignment horizontal="left" vertical="center" wrapText="1"/>
    </xf>
    <xf numFmtId="0" fontId="45" fillId="0" borderId="23" xfId="0" applyFont="1" applyBorder="1" applyAlignment="1" applyProtection="1">
      <alignment horizontal="left" vertical="top"/>
      <protection locked="0"/>
    </xf>
    <xf numFmtId="0" fontId="45" fillId="0" borderId="21" xfId="0" applyFont="1" applyBorder="1" applyAlignment="1" applyProtection="1">
      <alignment horizontal="left" vertical="top"/>
      <protection locked="0"/>
    </xf>
    <xf numFmtId="0" fontId="45" fillId="0" borderId="22" xfId="0" applyFont="1" applyBorder="1" applyAlignment="1" applyProtection="1">
      <alignment horizontal="left" vertical="top"/>
      <protection locked="0"/>
    </xf>
    <xf numFmtId="14" fontId="45" fillId="0" borderId="23" xfId="0" applyNumberFormat="1" applyFont="1" applyBorder="1" applyAlignment="1" applyProtection="1">
      <alignment horizontal="left" vertical="top"/>
      <protection locked="0"/>
    </xf>
    <xf numFmtId="14" fontId="45" fillId="0" borderId="21" xfId="0" applyNumberFormat="1" applyFont="1" applyBorder="1" applyAlignment="1" applyProtection="1">
      <alignment horizontal="left" vertical="top"/>
      <protection locked="0"/>
    </xf>
    <xf numFmtId="14" fontId="45" fillId="0" borderId="22" xfId="0" applyNumberFormat="1" applyFont="1" applyBorder="1" applyAlignment="1" applyProtection="1">
      <alignment horizontal="left" vertical="top"/>
      <protection locked="0"/>
    </xf>
    <xf numFmtId="14" fontId="43" fillId="6" borderId="23" xfId="0" applyNumberFormat="1" applyFont="1" applyFill="1" applyBorder="1" applyAlignment="1" applyProtection="1">
      <alignment horizontal="center" vertical="center"/>
      <protection locked="0"/>
    </xf>
    <xf numFmtId="0" fontId="0" fillId="27" borderId="0" xfId="0" applyFill="1" applyAlignment="1">
      <alignment horizontal="left" vertical="center" wrapText="1"/>
    </xf>
    <xf numFmtId="0" fontId="39" fillId="24" borderId="0" xfId="0" applyFont="1" applyFill="1" applyBorder="1"/>
    <xf numFmtId="0" fontId="43" fillId="0" borderId="18" xfId="0" applyFont="1" applyBorder="1" applyAlignment="1">
      <alignment horizontal="left" vertical="top" wrapText="1"/>
    </xf>
    <xf numFmtId="0" fontId="43" fillId="0" borderId="0" xfId="0" applyFont="1" applyBorder="1" applyAlignment="1">
      <alignment horizontal="left" vertical="top" wrapText="1"/>
    </xf>
    <xf numFmtId="0" fontId="43" fillId="0" borderId="8" xfId="0" applyFont="1" applyBorder="1" applyAlignment="1">
      <alignment horizontal="left" vertical="top" wrapText="1"/>
    </xf>
  </cellXfs>
  <cellStyles count="15">
    <cellStyle name="20 % - Akzent1" xfId="1" builtinId="30"/>
    <cellStyle name="20 % - Akzent1 2" xfId="8" xr:uid="{ED562944-C72A-4B95-81E7-8C9F0F1DD222}"/>
    <cellStyle name="Eingabe" xfId="13" builtinId="20"/>
    <cellStyle name="Komma" xfId="2" builtinId="3"/>
    <cellStyle name="Komma 2" xfId="5" xr:uid="{07551CC6-171B-4BB6-A035-863C0BEC2EEA}"/>
    <cellStyle name="Komma 2 2" xfId="12" xr:uid="{0C5FFCC3-1248-4D46-8A25-9E96342D6CDF}"/>
    <cellStyle name="Komma 3" xfId="11" xr:uid="{4AE14EA3-BCC9-4F18-92F3-8278067D92F3}"/>
    <cellStyle name="Link" xfId="9" builtinId="8"/>
    <cellStyle name="Notiz 2" xfId="7" xr:uid="{CF7030D7-FD9A-4DBD-9E38-DDAAFA5293B7}"/>
    <cellStyle name="Prozent" xfId="10" builtinId="5"/>
    <cellStyle name="Schlecht" xfId="14" builtinId="27"/>
    <cellStyle name="Standard" xfId="0" builtinId="0"/>
    <cellStyle name="Standard 2" xfId="6" xr:uid="{4731520D-3EA7-4538-9C0E-0B9284A030B7}"/>
    <cellStyle name="Standard 4" xfId="4" xr:uid="{267965CD-9F10-4618-9D2E-433C5351DB82}"/>
    <cellStyle name="Überschrift 4" xfId="3" builtinId="19"/>
  </cellStyles>
  <dxfs count="13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theme="9"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auto="1"/>
      </font>
      <fill>
        <patternFill>
          <bgColor theme="9" tint="0.79998168889431442"/>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theme="0"/>
      </font>
      <border>
        <left/>
        <right/>
        <top/>
        <bottom/>
        <vertical/>
        <horizontal/>
      </border>
    </dxf>
    <dxf>
      <font>
        <strike/>
        <color theme="0" tint="-0.24994659260841701"/>
      </font>
    </dxf>
    <dxf>
      <font>
        <strike/>
        <color theme="0" tint="-0.24994659260841701"/>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rgb="FFFF0000"/>
      </font>
      <border>
        <left style="thin">
          <color rgb="FFFF0000"/>
        </left>
        <right style="thin">
          <color rgb="FFFF0000"/>
        </right>
        <top style="thin">
          <color rgb="FFFF0000"/>
        </top>
        <bottom style="thin">
          <color rgb="FFFF0000"/>
        </bottom>
        <vertical/>
        <horizontal/>
      </border>
    </dxf>
    <dxf>
      <font>
        <color theme="0"/>
      </font>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theme="0"/>
      </font>
      <fill>
        <patternFill>
          <bgColor theme="0"/>
        </patternFill>
      </fill>
    </dxf>
    <dxf>
      <font>
        <color theme="0"/>
      </font>
      <fill>
        <patternFill>
          <bgColor theme="0"/>
        </patternFill>
      </fill>
    </dxf>
    <dxf>
      <font>
        <color theme="0"/>
      </font>
      <fill>
        <patternFill>
          <fgColor theme="0"/>
          <bgColor theme="0"/>
        </patternFill>
      </fill>
    </dxf>
    <dxf>
      <font>
        <color theme="0"/>
      </font>
      <fill>
        <patternFill>
          <bgColor theme="0"/>
        </patternFill>
      </fill>
    </dxf>
    <dxf>
      <font>
        <color rgb="FFFF0000"/>
      </font>
      <border>
        <left style="thin">
          <color rgb="FFFF0000"/>
        </left>
        <right style="thin">
          <color rgb="FFFF0000"/>
        </right>
        <top style="thin">
          <color rgb="FFFF0000"/>
        </top>
        <bottom style="thin">
          <color rgb="FFFF0000"/>
        </bottom>
        <vertical/>
        <horizontal/>
      </border>
    </dxf>
    <dxf>
      <font>
        <color theme="0"/>
      </font>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9C0006"/>
      </font>
      <fill>
        <patternFill>
          <bgColor rgb="FFFFC7CE"/>
        </patternFill>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9C0006"/>
      </font>
      <fill>
        <patternFill>
          <bgColor rgb="FFFFC7CE"/>
        </patternFill>
      </fill>
    </dxf>
    <dxf>
      <font>
        <color rgb="FF9C0006"/>
      </font>
      <fill>
        <patternFill>
          <bgColor rgb="FFFFC7CE"/>
        </patternFill>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s>
  <tableStyles count="0" defaultTableStyle="TableStyleMedium2" defaultPivotStyle="PivotStyleLight16"/>
  <colors>
    <mruColors>
      <color rgb="FF008000"/>
      <color rgb="FFFFFFCC"/>
      <color rgb="FFFFCCFF"/>
      <color rgb="FF0066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17/06/relationships/rdRichValue" Target="richData/rdrichvalue.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sheetMetadata" Target="metadata.xml"/><Relationship Id="rId20"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microsoft.com/office/2017/06/relationships/rdRichValueStructure" Target="richData/rdrichvaluestructur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1333500</xdr:colOff>
          <xdr:row>226</xdr:row>
          <xdr:rowOff>66675</xdr:rowOff>
        </xdr:from>
        <xdr:to>
          <xdr:col>4</xdr:col>
          <xdr:colOff>228600</xdr:colOff>
          <xdr:row>228</xdr:row>
          <xdr:rowOff>114300</xdr:rowOff>
        </xdr:to>
        <xdr:sp macro="" textlink="">
          <xdr:nvSpPr>
            <xdr:cNvPr id="1050" name="Butto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Berechnen</a:t>
              </a:r>
            </a:p>
          </xdr:txBody>
        </xdr:sp>
        <xdr:clientData fPrintsWithSheet="0"/>
      </xdr:twoCellAnchor>
    </mc:Choice>
    <mc:Fallback/>
  </mc:AlternateContent>
  <xdr:oneCellAnchor>
    <xdr:from>
      <xdr:col>0</xdr:col>
      <xdr:colOff>130865</xdr:colOff>
      <xdr:row>245</xdr:row>
      <xdr:rowOff>113473</xdr:rowOff>
    </xdr:from>
    <xdr:ext cx="2971800" cy="337465"/>
    <mc:AlternateContent xmlns:mc="http://schemas.openxmlformats.org/markup-compatibility/2006" xmlns:a14="http://schemas.microsoft.com/office/drawing/2010/main">
      <mc:Choice Requires="a14">
        <xdr:sp macro="" textlink="">
          <xdr:nvSpPr>
            <xdr:cNvPr id="2" name="Textfeld 1">
              <a:extLst>
                <a:ext uri="{FF2B5EF4-FFF2-40B4-BE49-F238E27FC236}">
                  <a16:creationId xmlns:a16="http://schemas.microsoft.com/office/drawing/2014/main" id="{00000000-0008-0000-0000-000002000000}"/>
                </a:ext>
              </a:extLst>
            </xdr:cNvPr>
            <xdr:cNvSpPr txBox="1"/>
          </xdr:nvSpPr>
          <xdr:spPr>
            <a:xfrm>
              <a:off x="130865" y="26050048"/>
              <a:ext cx="2971800" cy="3374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sSup>
                    <m:sSupPr>
                      <m:ctrlPr>
                        <a:rPr lang="de-DE" sz="110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𝑅𝑑</m:t>
                                  </m:r>
                                </m:sub>
                              </m:sSub>
                            </m:den>
                          </m:f>
                          <m:r>
                            <a:rPr lang="de-DE" sz="1100" b="0" i="1">
                              <a:solidFill>
                                <a:schemeClr val="tx1"/>
                              </a:solidFill>
                              <a:effectLst/>
                              <a:latin typeface="Cambria Math" panose="02040503050406030204" pitchFamily="18" charset="0"/>
                              <a:ea typeface="+mn-ea"/>
                              <a:cs typeface="+mn-cs"/>
                            </a:rPr>
                            <m:t>+</m:t>
                          </m:r>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mn-ea"/>
                      <a:cs typeface="+mn-cs"/>
                    </a:rPr>
                    <m:t>+</m:t>
                  </m:r>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3,</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3,</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mn-ea"/>
                      <a:cs typeface="+mn-cs"/>
                    </a:rPr>
                    <m:t> </m:t>
                  </m:r>
                </m:oMath>
              </a14:m>
              <a:r>
                <a:rPr lang="de-DE">
                  <a:effectLst/>
                </a:rPr>
                <a:t>+</a:t>
              </a:r>
              <a14:m>
                <m:oMath xmlns:m="http://schemas.openxmlformats.org/officeDocument/2006/math">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45,</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45,</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oMath>
              </a14:m>
              <a:r>
                <a:rPr lang="de-DE">
                  <a:effectLst/>
                </a:rPr>
                <a:t>+</a:t>
              </a:r>
              <a14:m>
                <m:oMath xmlns:m="http://schemas.openxmlformats.org/officeDocument/2006/math">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𝑡𝑜𝑟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𝑡𝑜𝑟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Cambria Math" panose="02040503050406030204" pitchFamily="18" charset="0"/>
                      <a:cs typeface="+mn-cs"/>
                    </a:rPr>
                    <m:t>=</m:t>
                  </m:r>
                </m:oMath>
              </a14:m>
              <a:endParaRPr lang="de-DE">
                <a:effectLst/>
              </a:endParaRPr>
            </a:p>
          </xdr:txBody>
        </xdr:sp>
      </mc:Choice>
      <mc:Fallback xmlns="">
        <xdr:sp macro="" textlink="">
          <xdr:nvSpPr>
            <xdr:cNvPr id="2" name="Textfeld 1">
              <a:extLst>
                <a:ext uri="{FF2B5EF4-FFF2-40B4-BE49-F238E27FC236}">
                  <a16:creationId xmlns:a16="http://schemas.microsoft.com/office/drawing/2014/main" id="{C3E96CF5-DE17-4E65-BEE8-C6B57AA0A858}"/>
                </a:ext>
              </a:extLst>
            </xdr:cNvPr>
            <xdr:cNvSpPr txBox="1"/>
          </xdr:nvSpPr>
          <xdr:spPr>
            <a:xfrm>
              <a:off x="130865" y="26050048"/>
              <a:ext cx="2971800" cy="3374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𝐹_(1,𝐸𝑑)/𝐹_(1,𝑅𝑑) +𝑀_(2,𝐸𝑑)/𝑀_(2,𝑅𝑑) )^2+</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𝐹_(3,𝐸𝑑)/𝐹_(3,𝑅𝑑) )^2  </a:t>
              </a:r>
              <a:r>
                <a:rPr lang="de-DE">
                  <a:effectLst/>
                </a:rPr>
                <a:t>+</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𝐹_(45,𝐸𝑑)/𝐹_(45,𝑅𝑑) )^2</a:t>
              </a:r>
              <a:r>
                <a:rPr lang="de-DE">
                  <a:effectLst/>
                </a:rPr>
                <a:t>+</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𝑀_(𝑡𝑜𝑟,𝐸𝑑)/𝑀_(𝑡𝑜𝑟,𝑅𝑑) )^2</a:t>
              </a:r>
              <a:r>
                <a:rPr lang="de-DE" sz="1100" b="0" i="0">
                  <a:solidFill>
                    <a:schemeClr val="tx1"/>
                  </a:solidFill>
                  <a:effectLst/>
                  <a:latin typeface="Cambria Math" panose="02040503050406030204" pitchFamily="18" charset="0"/>
                  <a:ea typeface="Cambria Math" panose="02040503050406030204" pitchFamily="18" charset="0"/>
                  <a:cs typeface="+mn-cs"/>
                </a:rPr>
                <a:t>=</a:t>
              </a:r>
              <a:endParaRPr lang="de-DE">
                <a:effectLst/>
              </a:endParaRPr>
            </a:p>
          </xdr:txBody>
        </xdr:sp>
      </mc:Fallback>
    </mc:AlternateContent>
    <xdr:clientData/>
  </xdr:oneCellAnchor>
  <xdr:oneCellAnchor>
    <xdr:from>
      <xdr:col>0</xdr:col>
      <xdr:colOff>142875</xdr:colOff>
      <xdr:row>241</xdr:row>
      <xdr:rowOff>104775</xdr:rowOff>
    </xdr:from>
    <xdr:ext cx="4073801" cy="615810"/>
    <mc:AlternateContent xmlns:mc="http://schemas.openxmlformats.org/markup-compatibility/2006" xmlns:a14="http://schemas.microsoft.com/office/drawing/2010/main">
      <mc:Choice Requires="a14">
        <xdr:sp macro="" textlink="">
          <xdr:nvSpPr>
            <xdr:cNvPr id="4" name="Textfeld 3">
              <a:extLst>
                <a:ext uri="{FF2B5EF4-FFF2-40B4-BE49-F238E27FC236}">
                  <a16:creationId xmlns:a16="http://schemas.microsoft.com/office/drawing/2014/main" id="{00000000-0008-0000-0000-000004000000}"/>
                </a:ext>
              </a:extLst>
            </xdr:cNvPr>
            <xdr:cNvSpPr txBox="1"/>
          </xdr:nvSpPr>
          <xdr:spPr>
            <a:xfrm>
              <a:off x="142875" y="35366325"/>
              <a:ext cx="4073801" cy="6158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sSup>
                    <m:sSupPr>
                      <m:ctrlPr>
                        <a:rPr lang="de-DE" sz="110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𝑅𝑑</m:t>
                                  </m:r>
                                </m:sub>
                              </m:sSub>
                            </m:den>
                          </m:f>
                          <m:r>
                            <a:rPr lang="de-DE" sz="1100" b="0" i="1">
                              <a:solidFill>
                                <a:schemeClr val="tx1"/>
                              </a:solidFill>
                              <a:effectLst/>
                              <a:latin typeface="Cambria Math" panose="02040503050406030204" pitchFamily="18" charset="0"/>
                              <a:ea typeface="+mn-ea"/>
                              <a:cs typeface="+mn-cs"/>
                            </a:rPr>
                            <m:t>+</m:t>
                          </m:r>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𝐸𝑑</m:t>
                                  </m:r>
                                  <m:r>
                                    <a:rPr lang="de-DE" sz="1100" b="0" i="1">
                                      <a:solidFill>
                                        <a:schemeClr val="tx1"/>
                                      </a:solidFill>
                                      <a:effectLst/>
                                      <a:latin typeface="Cambria Math" panose="02040503050406030204" pitchFamily="18" charset="0"/>
                                      <a:ea typeface="+mn-ea"/>
                                      <a:cs typeface="+mn-cs"/>
                                    </a:rPr>
                                    <m:t> </m:t>
                                  </m:r>
                                </m:sub>
                              </m:sSub>
                              <m:r>
                                <a:rPr lang="de-DE" sz="1100" b="0" i="1">
                                  <a:solidFill>
                                    <a:schemeClr val="tx1"/>
                                  </a:solidFill>
                                  <a:effectLst/>
                                  <a:latin typeface="Cambria Math" panose="02040503050406030204" pitchFamily="18" charset="0"/>
                                  <a:ea typeface="+mn-ea"/>
                                  <a:cs typeface="+mn-cs"/>
                                </a:rPr>
                                <m:t>− </m:t>
                              </m:r>
                              <m:d>
                                <m:dPr>
                                  <m:ctrlPr>
                                    <a:rPr lang="de-DE" sz="1100" b="0" i="1">
                                      <a:solidFill>
                                        <a:schemeClr val="tx1"/>
                                      </a:solidFill>
                                      <a:effectLst/>
                                      <a:latin typeface="Cambria Math" panose="02040503050406030204" pitchFamily="18" charset="0"/>
                                      <a:ea typeface="+mn-ea"/>
                                      <a:cs typeface="+mn-cs"/>
                                    </a:rPr>
                                  </m:ctrlPr>
                                </m:dPr>
                                <m:e>
                                  <m:sSub>
                                    <m:sSubPr>
                                      <m:ctrlPr>
                                        <a:rPr lang="de-DE" sz="1100" b="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𝐸𝑑</m:t>
                                      </m:r>
                                    </m:sub>
                                  </m:sSub>
                                  <m:r>
                                    <a:rPr lang="de-DE" sz="1100" b="0" i="1">
                                      <a:solidFill>
                                        <a:schemeClr val="tx1"/>
                                      </a:solidFill>
                                      <a:effectLst/>
                                      <a:latin typeface="Cambria Math" panose="02040503050406030204" pitchFamily="18" charset="0"/>
                                      <a:ea typeface="+mn-ea"/>
                                      <a:cs typeface="+mn-cs"/>
                                    </a:rPr>
                                    <m:t>−</m:t>
                                  </m:r>
                                  <m:sSub>
                                    <m:sSubPr>
                                      <m:ctrlPr>
                                        <a:rPr lang="de-DE" sz="1100" b="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𝐸𝑑</m:t>
                                      </m:r>
                                    </m:sub>
                                  </m:sSub>
                                </m:e>
                              </m:d>
                              <m:r>
                                <a:rPr lang="de-DE" sz="1100" b="0" i="1">
                                  <a:solidFill>
                                    <a:schemeClr val="tx1"/>
                                  </a:solidFill>
                                  <a:effectLst/>
                                  <a:latin typeface="Cambria Math" panose="02040503050406030204" pitchFamily="18" charset="0"/>
                                  <a:ea typeface="+mn-ea"/>
                                  <a:cs typeface="+mn-cs"/>
                                </a:rPr>
                                <m:t> · </m:t>
                              </m:r>
                              <m:sSub>
                                <m:sSubPr>
                                  <m:ctrlPr>
                                    <a:rPr lang="de-DE" sz="1100" b="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𝑒</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𝑙𝑖𝑚</m:t>
                                  </m:r>
                                </m:sub>
                              </m:sSub>
                              <m:r>
                                <a:rPr lang="de-DE" sz="1100" b="0" i="1">
                                  <a:solidFill>
                                    <a:schemeClr val="tx1"/>
                                  </a:solidFill>
                                  <a:effectLst/>
                                  <a:latin typeface="Cambria Math" panose="02040503050406030204" pitchFamily="18" charset="0"/>
                                  <a:ea typeface="+mn-ea"/>
                                  <a:cs typeface="+mn-cs"/>
                                </a:rPr>
                                <m:t>·</m:t>
                              </m:r>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mn-ea"/>
                      <a:cs typeface="+mn-cs"/>
                    </a:rPr>
                    <m:t>+</m:t>
                  </m:r>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mn-ea"/>
                      <a:cs typeface="+mn-cs"/>
                    </a:rPr>
                    <m:t> </m:t>
                  </m:r>
                </m:oMath>
              </a14:m>
              <a:r>
                <a:rPr lang="de-DE">
                  <a:effectLst/>
                </a:rPr>
                <a:t>+</a:t>
              </a:r>
              <a14:m>
                <m:oMath xmlns:m="http://schemas.openxmlformats.org/officeDocument/2006/math">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45,</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45,</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oMath>
              </a14:m>
              <a:r>
                <a:rPr lang="de-DE">
                  <a:effectLst/>
                </a:rPr>
                <a:t>+</a:t>
              </a:r>
              <a14:m>
                <m:oMath xmlns:m="http://schemas.openxmlformats.org/officeDocument/2006/math">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𝑡𝑜𝑟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𝑡𝑜𝑟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Cambria Math" panose="02040503050406030204" pitchFamily="18" charset="0"/>
                      <a:cs typeface="+mn-cs"/>
                    </a:rPr>
                    <m:t>=</m:t>
                  </m:r>
                </m:oMath>
              </a14:m>
              <a:endParaRPr lang="de-DE" sz="1100" b="0">
                <a:solidFill>
                  <a:schemeClr val="tx1"/>
                </a:solidFill>
                <a:effectLst/>
                <a:ea typeface="Cambria Math" panose="02040503050406030204" pitchFamily="18" charset="0"/>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8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de-DE" sz="800">
                  <a:effectLst/>
                </a:rPr>
                <a:t>  mit </a:t>
              </a:r>
              <a14:m>
                <m:oMath xmlns:m="http://schemas.openxmlformats.org/officeDocument/2006/math">
                  <m:sSub>
                    <m:sSubPr>
                      <m:ctrlPr>
                        <a:rPr lang="de-DE" sz="800" i="1">
                          <a:solidFill>
                            <a:schemeClr val="tx1"/>
                          </a:solidFill>
                          <a:effectLst/>
                          <a:latin typeface="Cambria Math" panose="02040503050406030204" pitchFamily="18" charset="0"/>
                          <a:ea typeface="+mn-ea"/>
                          <a:cs typeface="+mn-cs"/>
                        </a:rPr>
                      </m:ctrlPr>
                    </m:sSubPr>
                    <m:e>
                      <m:r>
                        <a:rPr lang="de-DE" sz="800" b="0" i="1">
                          <a:solidFill>
                            <a:schemeClr val="tx1"/>
                          </a:solidFill>
                          <a:effectLst/>
                          <a:latin typeface="Cambria Math" panose="02040503050406030204" pitchFamily="18" charset="0"/>
                          <a:ea typeface="+mn-ea"/>
                          <a:cs typeface="+mn-cs"/>
                        </a:rPr>
                        <m:t>𝑀</m:t>
                      </m:r>
                    </m:e>
                    <m:sub>
                      <m:r>
                        <a:rPr lang="de-DE" sz="800" b="0" i="1">
                          <a:solidFill>
                            <a:schemeClr val="tx1"/>
                          </a:solidFill>
                          <a:effectLst/>
                          <a:latin typeface="Cambria Math" panose="02040503050406030204" pitchFamily="18" charset="0"/>
                          <a:ea typeface="+mn-ea"/>
                          <a:cs typeface="+mn-cs"/>
                        </a:rPr>
                        <m:t>2,</m:t>
                      </m:r>
                      <m:r>
                        <a:rPr lang="de-DE" sz="800" b="0" i="1">
                          <a:solidFill>
                            <a:schemeClr val="tx1"/>
                          </a:solidFill>
                          <a:effectLst/>
                          <a:latin typeface="Cambria Math" panose="02040503050406030204" pitchFamily="18" charset="0"/>
                          <a:ea typeface="+mn-ea"/>
                          <a:cs typeface="+mn-cs"/>
                        </a:rPr>
                        <m:t>𝐸𝑑</m:t>
                      </m:r>
                    </m:sub>
                  </m:sSub>
                  <m:r>
                    <a:rPr lang="de-DE" sz="800" b="0" i="1">
                      <a:solidFill>
                        <a:schemeClr val="tx1"/>
                      </a:solidFill>
                      <a:effectLst/>
                      <a:latin typeface="Cambria Math" panose="02040503050406030204" pitchFamily="18" charset="0"/>
                      <a:ea typeface="+mn-ea"/>
                      <a:cs typeface="+mn-cs"/>
                    </a:rPr>
                    <m:t>− </m:t>
                  </m:r>
                  <m:d>
                    <m:dPr>
                      <m:ctrlPr>
                        <a:rPr lang="de-DE" sz="800" b="0" i="1">
                          <a:solidFill>
                            <a:schemeClr val="tx1"/>
                          </a:solidFill>
                          <a:effectLst/>
                          <a:latin typeface="Cambria Math" panose="02040503050406030204" pitchFamily="18" charset="0"/>
                          <a:ea typeface="+mn-ea"/>
                          <a:cs typeface="+mn-cs"/>
                        </a:rPr>
                      </m:ctrlPr>
                    </m:dPr>
                    <m:e>
                      <m:sSub>
                        <m:sSubPr>
                          <m:ctrlPr>
                            <a:rPr lang="de-DE" sz="800" b="0" i="1">
                              <a:solidFill>
                                <a:schemeClr val="tx1"/>
                              </a:solidFill>
                              <a:effectLst/>
                              <a:latin typeface="Cambria Math" panose="02040503050406030204" pitchFamily="18" charset="0"/>
                              <a:ea typeface="+mn-ea"/>
                              <a:cs typeface="+mn-cs"/>
                            </a:rPr>
                          </m:ctrlPr>
                        </m:sSubPr>
                        <m:e>
                          <m:r>
                            <a:rPr lang="de-DE" sz="800" b="0" i="1">
                              <a:solidFill>
                                <a:schemeClr val="tx1"/>
                              </a:solidFill>
                              <a:effectLst/>
                              <a:latin typeface="Cambria Math" panose="02040503050406030204" pitchFamily="18" charset="0"/>
                              <a:ea typeface="+mn-ea"/>
                              <a:cs typeface="+mn-cs"/>
                            </a:rPr>
                            <m:t>𝐹</m:t>
                          </m:r>
                        </m:e>
                        <m:sub>
                          <m:r>
                            <a:rPr lang="de-DE" sz="800" b="0" i="1">
                              <a:solidFill>
                                <a:schemeClr val="tx1"/>
                              </a:solidFill>
                              <a:effectLst/>
                              <a:latin typeface="Cambria Math" panose="02040503050406030204" pitchFamily="18" charset="0"/>
                              <a:ea typeface="+mn-ea"/>
                              <a:cs typeface="+mn-cs"/>
                            </a:rPr>
                            <m:t>2,</m:t>
                          </m:r>
                          <m:r>
                            <a:rPr lang="de-DE" sz="800" b="0" i="1">
                              <a:solidFill>
                                <a:schemeClr val="tx1"/>
                              </a:solidFill>
                              <a:effectLst/>
                              <a:latin typeface="Cambria Math" panose="02040503050406030204" pitchFamily="18" charset="0"/>
                              <a:ea typeface="+mn-ea"/>
                              <a:cs typeface="+mn-cs"/>
                            </a:rPr>
                            <m:t>𝐸𝑑</m:t>
                          </m:r>
                        </m:sub>
                      </m:sSub>
                      <m:r>
                        <a:rPr lang="de-DE" sz="800" b="0" i="1">
                          <a:solidFill>
                            <a:schemeClr val="tx1"/>
                          </a:solidFill>
                          <a:effectLst/>
                          <a:latin typeface="Cambria Math" panose="02040503050406030204" pitchFamily="18" charset="0"/>
                          <a:ea typeface="+mn-ea"/>
                          <a:cs typeface="+mn-cs"/>
                        </a:rPr>
                        <m:t>−</m:t>
                      </m:r>
                      <m:sSub>
                        <m:sSubPr>
                          <m:ctrlPr>
                            <a:rPr lang="de-DE" sz="800" b="0" i="1">
                              <a:solidFill>
                                <a:schemeClr val="tx1"/>
                              </a:solidFill>
                              <a:effectLst/>
                              <a:latin typeface="Cambria Math" panose="02040503050406030204" pitchFamily="18" charset="0"/>
                              <a:ea typeface="+mn-ea"/>
                              <a:cs typeface="+mn-cs"/>
                            </a:rPr>
                          </m:ctrlPr>
                        </m:sSubPr>
                        <m:e>
                          <m:r>
                            <a:rPr lang="de-DE" sz="800" b="0" i="1">
                              <a:solidFill>
                                <a:schemeClr val="tx1"/>
                              </a:solidFill>
                              <a:effectLst/>
                              <a:latin typeface="Cambria Math" panose="02040503050406030204" pitchFamily="18" charset="0"/>
                              <a:ea typeface="+mn-ea"/>
                              <a:cs typeface="+mn-cs"/>
                            </a:rPr>
                            <m:t>𝐹</m:t>
                          </m:r>
                        </m:e>
                        <m:sub>
                          <m:r>
                            <a:rPr lang="de-DE" sz="800" b="0" i="1">
                              <a:solidFill>
                                <a:schemeClr val="tx1"/>
                              </a:solidFill>
                              <a:effectLst/>
                              <a:latin typeface="Cambria Math" panose="02040503050406030204" pitchFamily="18" charset="0"/>
                              <a:ea typeface="+mn-ea"/>
                              <a:cs typeface="+mn-cs"/>
                            </a:rPr>
                            <m:t>1,</m:t>
                          </m:r>
                          <m:r>
                            <a:rPr lang="de-DE" sz="800" b="0" i="1">
                              <a:solidFill>
                                <a:schemeClr val="tx1"/>
                              </a:solidFill>
                              <a:effectLst/>
                              <a:latin typeface="Cambria Math" panose="02040503050406030204" pitchFamily="18" charset="0"/>
                              <a:ea typeface="+mn-ea"/>
                              <a:cs typeface="+mn-cs"/>
                            </a:rPr>
                            <m:t>𝐸𝐷</m:t>
                          </m:r>
                        </m:sub>
                      </m:sSub>
                    </m:e>
                  </m:d>
                  <m:r>
                    <a:rPr lang="de-DE" sz="800" b="0" i="1">
                      <a:solidFill>
                        <a:schemeClr val="tx1"/>
                      </a:solidFill>
                      <a:effectLst/>
                      <a:latin typeface="Cambria Math" panose="02040503050406030204" pitchFamily="18" charset="0"/>
                      <a:ea typeface="+mn-ea"/>
                      <a:cs typeface="+mn-cs"/>
                    </a:rPr>
                    <m:t>·</m:t>
                  </m:r>
                  <m:sSub>
                    <m:sSubPr>
                      <m:ctrlPr>
                        <a:rPr lang="de-DE" sz="800" b="0" i="1">
                          <a:solidFill>
                            <a:schemeClr val="tx1"/>
                          </a:solidFill>
                          <a:effectLst/>
                          <a:latin typeface="Cambria Math" panose="02040503050406030204" pitchFamily="18" charset="0"/>
                          <a:ea typeface="+mn-ea"/>
                          <a:cs typeface="+mn-cs"/>
                        </a:rPr>
                      </m:ctrlPr>
                    </m:sSubPr>
                    <m:e>
                      <m:r>
                        <a:rPr lang="de-DE" sz="800" b="0" i="1">
                          <a:solidFill>
                            <a:schemeClr val="tx1"/>
                          </a:solidFill>
                          <a:effectLst/>
                          <a:latin typeface="Cambria Math" panose="02040503050406030204" pitchFamily="18" charset="0"/>
                          <a:ea typeface="+mn-ea"/>
                          <a:cs typeface="+mn-cs"/>
                        </a:rPr>
                        <m:t>𝑒</m:t>
                      </m:r>
                    </m:e>
                    <m:sub>
                      <m:r>
                        <a:rPr lang="de-DE" sz="800" b="0" i="1">
                          <a:solidFill>
                            <a:schemeClr val="tx1"/>
                          </a:solidFill>
                          <a:effectLst/>
                          <a:latin typeface="Cambria Math" panose="02040503050406030204" pitchFamily="18" charset="0"/>
                          <a:ea typeface="+mn-ea"/>
                          <a:cs typeface="+mn-cs"/>
                        </a:rPr>
                        <m:t>2,</m:t>
                      </m:r>
                      <m:r>
                        <a:rPr lang="de-DE" sz="800" b="0" i="1">
                          <a:solidFill>
                            <a:schemeClr val="tx1"/>
                          </a:solidFill>
                          <a:effectLst/>
                          <a:latin typeface="Cambria Math" panose="02040503050406030204" pitchFamily="18" charset="0"/>
                          <a:ea typeface="+mn-ea"/>
                          <a:cs typeface="+mn-cs"/>
                        </a:rPr>
                        <m:t>𝑙𝑖𝑚</m:t>
                      </m:r>
                    </m:sub>
                  </m:sSub>
                  <m:r>
                    <a:rPr lang="de-DE" sz="800" b="0" i="1">
                      <a:solidFill>
                        <a:schemeClr val="tx1"/>
                      </a:solidFill>
                      <a:effectLst/>
                      <a:latin typeface="Cambria Math" panose="02040503050406030204" pitchFamily="18" charset="0"/>
                      <a:ea typeface="Cambria Math" panose="02040503050406030204" pitchFamily="18" charset="0"/>
                      <a:cs typeface="+mn-cs"/>
                    </a:rPr>
                    <m:t>≥0</m:t>
                  </m:r>
                </m:oMath>
              </a14:m>
              <a:r>
                <a:rPr lang="de-DE" sz="800">
                  <a:effectLst/>
                </a:rPr>
                <a:t> </a:t>
              </a:r>
            </a:p>
          </xdr:txBody>
        </xdr:sp>
      </mc:Choice>
      <mc:Fallback xmlns="">
        <xdr:sp macro="" textlink="">
          <xdr:nvSpPr>
            <xdr:cNvPr id="4" name="Textfeld 3">
              <a:extLst>
                <a:ext uri="{FF2B5EF4-FFF2-40B4-BE49-F238E27FC236}">
                  <a16:creationId xmlns:a16="http://schemas.microsoft.com/office/drawing/2014/main" id="{00000000-0008-0000-0000-000004000000}"/>
                </a:ext>
              </a:extLst>
            </xdr:cNvPr>
            <xdr:cNvSpPr txBox="1"/>
          </xdr:nvSpPr>
          <xdr:spPr>
            <a:xfrm>
              <a:off x="142875" y="35366325"/>
              <a:ext cx="4073801" cy="6158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𝐹_(1,𝐸𝑑)/𝐹_(1,𝑅𝑑) +(𝑀_(2,𝐸𝑑 )− (𝐹_(2,𝐸𝑑)−𝐹_(1,𝐸𝑑) )  </a:t>
              </a:r>
              <a:r>
                <a:rPr lang="de-DE" sz="1100" b="0" i="0">
                  <a:solidFill>
                    <a:schemeClr val="tx1"/>
                  </a:solidFill>
                  <a:effectLst/>
                  <a:latin typeface="+mn-lt"/>
                  <a:ea typeface="+mn-ea"/>
                  <a:cs typeface="+mn-cs"/>
                </a:rPr>
                <a:t>·</a:t>
              </a:r>
              <a:r>
                <a:rPr lang="de-DE" sz="1100" b="0" i="0">
                  <a:solidFill>
                    <a:schemeClr val="tx1"/>
                  </a:solidFill>
                  <a:effectLst/>
                  <a:latin typeface="Cambria Math" panose="02040503050406030204" pitchFamily="18" charset="0"/>
                  <a:ea typeface="+mn-ea"/>
                  <a:cs typeface="+mn-cs"/>
                </a:rPr>
                <a:t> </a:t>
              </a:r>
              <a:r>
                <a:rPr lang="de-DE" sz="1100" b="0" i="0">
                  <a:solidFill>
                    <a:schemeClr val="tx1"/>
                  </a:solidFill>
                  <a:effectLst/>
                  <a:latin typeface="+mn-lt"/>
                  <a:ea typeface="+mn-ea"/>
                  <a:cs typeface="+mn-cs"/>
                </a:rPr>
                <a:t>𝑒_(</a:t>
              </a:r>
              <a:r>
                <a:rPr lang="de-DE" sz="1100" b="0" i="0">
                  <a:solidFill>
                    <a:schemeClr val="tx1"/>
                  </a:solidFill>
                  <a:effectLst/>
                  <a:latin typeface="Cambria Math" panose="02040503050406030204" pitchFamily="18" charset="0"/>
                  <a:ea typeface="+mn-ea"/>
                  <a:cs typeface="+mn-cs"/>
                </a:rPr>
                <a:t>2,</a:t>
              </a:r>
              <a:r>
                <a:rPr lang="de-DE" sz="1100" b="0" i="0">
                  <a:solidFill>
                    <a:schemeClr val="tx1"/>
                  </a:solidFill>
                  <a:effectLst/>
                  <a:latin typeface="+mn-lt"/>
                  <a:ea typeface="+mn-ea"/>
                  <a:cs typeface="+mn-cs"/>
                </a:rPr>
                <a:t>𝑙𝑖𝑚)·</a:t>
              </a:r>
              <a:r>
                <a:rPr lang="de-DE" sz="1100" b="0" i="0">
                  <a:solidFill>
                    <a:schemeClr val="tx1"/>
                  </a:solidFill>
                  <a:effectLst/>
                  <a:latin typeface="Cambria Math" panose="02040503050406030204" pitchFamily="18" charset="0"/>
                  <a:ea typeface="+mn-ea"/>
                  <a:cs typeface="+mn-cs"/>
                </a:rPr>
                <a:t>)/𝑀_(2,𝑅𝑑) )^2+</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𝐹_(2,𝐸𝑑)/𝐹_(2,𝑅𝑑) )^2  </a:t>
              </a:r>
              <a:r>
                <a:rPr lang="de-DE">
                  <a:effectLst/>
                </a:rPr>
                <a:t>+</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𝐹_(45,𝐸𝑑)/𝐹_(45,𝑅𝑑) )^2</a:t>
              </a:r>
              <a:r>
                <a:rPr lang="de-DE">
                  <a:effectLst/>
                </a:rPr>
                <a:t>+</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𝑀_(𝑡𝑜𝑟,𝐸𝑑)/𝑀_(𝑡𝑜𝑟,𝑅𝑑) )^2</a:t>
              </a:r>
              <a:r>
                <a:rPr lang="de-DE" sz="1100" b="0" i="0">
                  <a:solidFill>
                    <a:schemeClr val="tx1"/>
                  </a:solidFill>
                  <a:effectLst/>
                  <a:latin typeface="Cambria Math" panose="02040503050406030204" pitchFamily="18" charset="0"/>
                  <a:ea typeface="Cambria Math" panose="02040503050406030204" pitchFamily="18" charset="0"/>
                  <a:cs typeface="+mn-cs"/>
                </a:rPr>
                <a:t>=</a:t>
              </a:r>
              <a:endParaRPr lang="de-DE" sz="1100" b="0">
                <a:solidFill>
                  <a:schemeClr val="tx1"/>
                </a:solidFill>
                <a:effectLst/>
                <a:ea typeface="Cambria Math" panose="02040503050406030204" pitchFamily="18" charset="0"/>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8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de-DE" sz="800">
                  <a:effectLst/>
                </a:rPr>
                <a:t>  mit </a:t>
              </a:r>
              <a:r>
                <a:rPr lang="de-DE" sz="800" b="0" i="0">
                  <a:solidFill>
                    <a:schemeClr val="tx1"/>
                  </a:solidFill>
                  <a:effectLst/>
                  <a:latin typeface="Cambria Math" panose="02040503050406030204" pitchFamily="18" charset="0"/>
                  <a:ea typeface="+mn-ea"/>
                  <a:cs typeface="+mn-cs"/>
                </a:rPr>
                <a:t>𝑀_(2,𝐸𝑑)− (𝐹_(2,𝐸𝑑)−𝐹_(1,𝐸𝐷) )</a:t>
              </a:r>
              <a:r>
                <a:rPr lang="de-DE" sz="800" b="0" i="0">
                  <a:solidFill>
                    <a:schemeClr val="tx1"/>
                  </a:solidFill>
                  <a:effectLst/>
                  <a:latin typeface="+mn-lt"/>
                  <a:ea typeface="+mn-ea"/>
                  <a:cs typeface="+mn-cs"/>
                </a:rPr>
                <a:t>·𝑒_(2,𝑙𝑖𝑚)</a:t>
              </a:r>
              <a:r>
                <a:rPr lang="de-DE" sz="800" b="0" i="0">
                  <a:solidFill>
                    <a:schemeClr val="tx1"/>
                  </a:solidFill>
                  <a:effectLst/>
                  <a:latin typeface="Cambria Math" panose="02040503050406030204" pitchFamily="18" charset="0"/>
                  <a:ea typeface="Cambria Math" panose="02040503050406030204" pitchFamily="18" charset="0"/>
                  <a:cs typeface="+mn-cs"/>
                </a:rPr>
                <a:t>≥0</a:t>
              </a:r>
              <a:r>
                <a:rPr lang="de-DE" sz="800">
                  <a:effectLst/>
                </a:rPr>
                <a:t> </a:t>
              </a:r>
            </a:p>
          </xdr:txBody>
        </xdr:sp>
      </mc:Fallback>
    </mc:AlternateContent>
    <xdr:clientData/>
  </xdr:oneCellAnchor>
  <mc:AlternateContent xmlns:mc="http://schemas.openxmlformats.org/markup-compatibility/2006">
    <mc:Choice xmlns:a14="http://schemas.microsoft.com/office/drawing/2010/main" Requires="a14">
      <xdr:twoCellAnchor>
        <xdr:from>
          <xdr:col>0</xdr:col>
          <xdr:colOff>1438275</xdr:colOff>
          <xdr:row>260</xdr:row>
          <xdr:rowOff>85725</xdr:rowOff>
        </xdr:from>
        <xdr:to>
          <xdr:col>4</xdr:col>
          <xdr:colOff>333375</xdr:colOff>
          <xdr:row>262</xdr:row>
          <xdr:rowOff>133350</xdr:rowOff>
        </xdr:to>
        <xdr:sp macro="" textlink="">
          <xdr:nvSpPr>
            <xdr:cNvPr id="1165" name="Button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Ausgabe erstellen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13</xdr:col>
      <xdr:colOff>360964</xdr:colOff>
      <xdr:row>612</xdr:row>
      <xdr:rowOff>0</xdr:rowOff>
    </xdr:from>
    <xdr:ext cx="2384863" cy="381345"/>
    <xdr:sp macro="" textlink="">
      <xdr:nvSpPr>
        <xdr:cNvPr id="5" name="Textfeld 4">
          <a:extLst>
            <a:ext uri="{FF2B5EF4-FFF2-40B4-BE49-F238E27FC236}">
              <a16:creationId xmlns:a16="http://schemas.microsoft.com/office/drawing/2014/main" id="{00000000-0008-0000-0100-000005000000}"/>
            </a:ext>
          </a:extLst>
        </xdr:cNvPr>
        <xdr:cNvSpPr txBox="1"/>
      </xdr:nvSpPr>
      <xdr:spPr>
        <a:xfrm>
          <a:off x="15272516" y="81509693"/>
          <a:ext cx="2384863" cy="3813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endParaRPr lang="de-DE" sz="800" i="0">
            <a:latin typeface="Century Gothic" panose="020B0502020202020204" pitchFamily="34" charset="0"/>
          </a:endParaRPr>
        </a:p>
      </xdr:txBody>
    </xdr:sp>
    <xdr:clientData/>
  </xdr:oneCellAnchor>
  <xdr:oneCellAnchor>
    <xdr:from>
      <xdr:col>0</xdr:col>
      <xdr:colOff>378515</xdr:colOff>
      <xdr:row>626</xdr:row>
      <xdr:rowOff>132523</xdr:rowOff>
    </xdr:from>
    <xdr:ext cx="2971800" cy="337465"/>
    <mc:AlternateContent xmlns:mc="http://schemas.openxmlformats.org/markup-compatibility/2006" xmlns:a14="http://schemas.microsoft.com/office/drawing/2010/main">
      <mc:Choice Requires="a14">
        <xdr:sp macro="" textlink="">
          <xdr:nvSpPr>
            <xdr:cNvPr id="6" name="Textfeld 5">
              <a:extLst>
                <a:ext uri="{FF2B5EF4-FFF2-40B4-BE49-F238E27FC236}">
                  <a16:creationId xmlns:a16="http://schemas.microsoft.com/office/drawing/2014/main" id="{00000000-0008-0000-0100-000006000000}"/>
                </a:ext>
              </a:extLst>
            </xdr:cNvPr>
            <xdr:cNvSpPr txBox="1"/>
          </xdr:nvSpPr>
          <xdr:spPr>
            <a:xfrm>
              <a:off x="378515" y="128062798"/>
              <a:ext cx="2971800" cy="3374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sSup>
                    <m:sSupPr>
                      <m:ctrlPr>
                        <a:rPr lang="de-DE" sz="110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𝑅𝑑</m:t>
                                  </m:r>
                                </m:sub>
                              </m:sSub>
                            </m:den>
                          </m:f>
                          <m:r>
                            <a:rPr lang="de-DE" sz="1100" b="0" i="1">
                              <a:solidFill>
                                <a:schemeClr val="tx1"/>
                              </a:solidFill>
                              <a:effectLst/>
                              <a:latin typeface="Cambria Math" panose="02040503050406030204" pitchFamily="18" charset="0"/>
                              <a:ea typeface="+mn-ea"/>
                              <a:cs typeface="+mn-cs"/>
                            </a:rPr>
                            <m:t>+</m:t>
                          </m:r>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mn-ea"/>
                      <a:cs typeface="+mn-cs"/>
                    </a:rPr>
                    <m:t>+</m:t>
                  </m:r>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3,</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3,</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mn-ea"/>
                      <a:cs typeface="+mn-cs"/>
                    </a:rPr>
                    <m:t> </m:t>
                  </m:r>
                </m:oMath>
              </a14:m>
              <a:r>
                <a:rPr lang="de-DE">
                  <a:effectLst/>
                </a:rPr>
                <a:t>+</a:t>
              </a:r>
              <a14:m>
                <m:oMath xmlns:m="http://schemas.openxmlformats.org/officeDocument/2006/math">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45,</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45,</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oMath>
              </a14:m>
              <a:r>
                <a:rPr lang="de-DE">
                  <a:effectLst/>
                </a:rPr>
                <a:t>+</a:t>
              </a:r>
              <a14:m>
                <m:oMath xmlns:m="http://schemas.openxmlformats.org/officeDocument/2006/math">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𝑡𝑜𝑟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𝑡𝑜𝑟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Cambria Math" panose="02040503050406030204" pitchFamily="18" charset="0"/>
                      <a:cs typeface="+mn-cs"/>
                    </a:rPr>
                    <m:t>=</m:t>
                  </m:r>
                </m:oMath>
              </a14:m>
              <a:endParaRPr lang="de-DE">
                <a:effectLst/>
              </a:endParaRPr>
            </a:p>
          </xdr:txBody>
        </xdr:sp>
      </mc:Choice>
      <mc:Fallback xmlns="">
        <xdr:sp macro="" textlink="">
          <xdr:nvSpPr>
            <xdr:cNvPr id="6" name="Textfeld 5">
              <a:extLst>
                <a:ext uri="{FF2B5EF4-FFF2-40B4-BE49-F238E27FC236}">
                  <a16:creationId xmlns:a16="http://schemas.microsoft.com/office/drawing/2014/main" id="{00000000-0008-0000-0100-000006000000}"/>
                </a:ext>
              </a:extLst>
            </xdr:cNvPr>
            <xdr:cNvSpPr txBox="1"/>
          </xdr:nvSpPr>
          <xdr:spPr>
            <a:xfrm>
              <a:off x="378515" y="128062798"/>
              <a:ext cx="2971800" cy="3374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𝐹_(1,𝐸𝑑)/𝐹_(1,𝑅𝑑) +𝑀_(2,𝐸𝑑)/𝑀_(2,𝑅𝑑) )^2+</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𝐹_(3,𝐸𝑑)/𝐹_(3,𝑅𝑑) )^2  </a:t>
              </a:r>
              <a:r>
                <a:rPr lang="de-DE">
                  <a:effectLst/>
                </a:rPr>
                <a:t>+</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𝐹_(45,𝐸𝑑)/𝐹_(45,𝑅𝑑) )^2</a:t>
              </a:r>
              <a:r>
                <a:rPr lang="de-DE">
                  <a:effectLst/>
                </a:rPr>
                <a:t>+</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𝑀_(𝑡𝑜𝑟,𝐸𝑑)/𝑀_(𝑡𝑜𝑟,𝑅𝑑) )^2</a:t>
              </a:r>
              <a:r>
                <a:rPr lang="de-DE" sz="1100" b="0" i="0">
                  <a:solidFill>
                    <a:schemeClr val="tx1"/>
                  </a:solidFill>
                  <a:effectLst/>
                  <a:latin typeface="Cambria Math" panose="02040503050406030204" pitchFamily="18" charset="0"/>
                  <a:ea typeface="Cambria Math" panose="02040503050406030204" pitchFamily="18" charset="0"/>
                  <a:cs typeface="+mn-cs"/>
                </a:rPr>
                <a:t>=</a:t>
              </a:r>
              <a:endParaRPr lang="de-DE">
                <a:effectLst/>
              </a:endParaRPr>
            </a:p>
          </xdr:txBody>
        </xdr:sp>
      </mc:Fallback>
    </mc:AlternateContent>
    <xdr:clientData/>
  </xdr:oneCellAnchor>
  <xdr:oneCellAnchor>
    <xdr:from>
      <xdr:col>0</xdr:col>
      <xdr:colOff>438150</xdr:colOff>
      <xdr:row>622</xdr:row>
      <xdr:rowOff>133350</xdr:rowOff>
    </xdr:from>
    <xdr:ext cx="4073801" cy="615810"/>
    <mc:AlternateContent xmlns:mc="http://schemas.openxmlformats.org/markup-compatibility/2006" xmlns:a14="http://schemas.microsoft.com/office/drawing/2010/main">
      <mc:Choice Requires="a14">
        <xdr:sp macro="" textlink="">
          <xdr:nvSpPr>
            <xdr:cNvPr id="2" name="Textfeld 1">
              <a:extLst>
                <a:ext uri="{FF2B5EF4-FFF2-40B4-BE49-F238E27FC236}">
                  <a16:creationId xmlns:a16="http://schemas.microsoft.com/office/drawing/2014/main" id="{078CF638-BCEB-42FB-A956-EB055F6049D4}"/>
                </a:ext>
              </a:extLst>
            </xdr:cNvPr>
            <xdr:cNvSpPr txBox="1"/>
          </xdr:nvSpPr>
          <xdr:spPr>
            <a:xfrm>
              <a:off x="438150" y="123224925"/>
              <a:ext cx="4073801" cy="6158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sSup>
                    <m:sSupPr>
                      <m:ctrlPr>
                        <a:rPr lang="de-DE" sz="110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𝑅𝑑</m:t>
                                  </m:r>
                                </m:sub>
                              </m:sSub>
                            </m:den>
                          </m:f>
                          <m:r>
                            <a:rPr lang="de-DE" sz="1100" b="0" i="1">
                              <a:solidFill>
                                <a:schemeClr val="tx1"/>
                              </a:solidFill>
                              <a:effectLst/>
                              <a:latin typeface="Cambria Math" panose="02040503050406030204" pitchFamily="18" charset="0"/>
                              <a:ea typeface="+mn-ea"/>
                              <a:cs typeface="+mn-cs"/>
                            </a:rPr>
                            <m:t>+</m:t>
                          </m:r>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𝐸𝑑</m:t>
                                  </m:r>
                                  <m:r>
                                    <a:rPr lang="de-DE" sz="1100" b="0" i="1">
                                      <a:solidFill>
                                        <a:schemeClr val="tx1"/>
                                      </a:solidFill>
                                      <a:effectLst/>
                                      <a:latin typeface="Cambria Math" panose="02040503050406030204" pitchFamily="18" charset="0"/>
                                      <a:ea typeface="+mn-ea"/>
                                      <a:cs typeface="+mn-cs"/>
                                    </a:rPr>
                                    <m:t> </m:t>
                                  </m:r>
                                </m:sub>
                              </m:sSub>
                              <m:r>
                                <a:rPr lang="de-DE" sz="1100" b="0" i="1">
                                  <a:solidFill>
                                    <a:schemeClr val="tx1"/>
                                  </a:solidFill>
                                  <a:effectLst/>
                                  <a:latin typeface="Cambria Math" panose="02040503050406030204" pitchFamily="18" charset="0"/>
                                  <a:ea typeface="+mn-ea"/>
                                  <a:cs typeface="+mn-cs"/>
                                </a:rPr>
                                <m:t>− </m:t>
                              </m:r>
                              <m:d>
                                <m:dPr>
                                  <m:ctrlPr>
                                    <a:rPr lang="de-DE" sz="1100" b="0" i="1">
                                      <a:solidFill>
                                        <a:schemeClr val="tx1"/>
                                      </a:solidFill>
                                      <a:effectLst/>
                                      <a:latin typeface="Cambria Math" panose="02040503050406030204" pitchFamily="18" charset="0"/>
                                      <a:ea typeface="+mn-ea"/>
                                      <a:cs typeface="+mn-cs"/>
                                    </a:rPr>
                                  </m:ctrlPr>
                                </m:dPr>
                                <m:e>
                                  <m:sSub>
                                    <m:sSubPr>
                                      <m:ctrlPr>
                                        <a:rPr lang="de-DE" sz="1100" b="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𝐸𝑑</m:t>
                                      </m:r>
                                    </m:sub>
                                  </m:sSub>
                                  <m:r>
                                    <a:rPr lang="de-DE" sz="1100" b="0" i="1">
                                      <a:solidFill>
                                        <a:schemeClr val="tx1"/>
                                      </a:solidFill>
                                      <a:effectLst/>
                                      <a:latin typeface="Cambria Math" panose="02040503050406030204" pitchFamily="18" charset="0"/>
                                      <a:ea typeface="+mn-ea"/>
                                      <a:cs typeface="+mn-cs"/>
                                    </a:rPr>
                                    <m:t>−</m:t>
                                  </m:r>
                                  <m:sSub>
                                    <m:sSubPr>
                                      <m:ctrlPr>
                                        <a:rPr lang="de-DE" sz="1100" b="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1,</m:t>
                                      </m:r>
                                      <m:r>
                                        <a:rPr lang="de-DE" sz="1100" b="0" i="1">
                                          <a:solidFill>
                                            <a:schemeClr val="tx1"/>
                                          </a:solidFill>
                                          <a:effectLst/>
                                          <a:latin typeface="Cambria Math" panose="02040503050406030204" pitchFamily="18" charset="0"/>
                                          <a:ea typeface="+mn-ea"/>
                                          <a:cs typeface="+mn-cs"/>
                                        </a:rPr>
                                        <m:t>𝐸𝑑</m:t>
                                      </m:r>
                                    </m:sub>
                                  </m:sSub>
                                </m:e>
                              </m:d>
                              <m:r>
                                <a:rPr lang="de-DE" sz="1100" b="0" i="1">
                                  <a:solidFill>
                                    <a:schemeClr val="tx1"/>
                                  </a:solidFill>
                                  <a:effectLst/>
                                  <a:latin typeface="Cambria Math" panose="02040503050406030204" pitchFamily="18" charset="0"/>
                                  <a:ea typeface="+mn-ea"/>
                                  <a:cs typeface="+mn-cs"/>
                                </a:rPr>
                                <m:t> · </m:t>
                              </m:r>
                              <m:sSub>
                                <m:sSubPr>
                                  <m:ctrlPr>
                                    <a:rPr lang="de-DE" sz="1100" b="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𝑒</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𝑙𝑖𝑚</m:t>
                                  </m:r>
                                </m:sub>
                              </m:sSub>
                              <m:r>
                                <a:rPr lang="de-DE" sz="1100" b="0" i="1">
                                  <a:solidFill>
                                    <a:schemeClr val="tx1"/>
                                  </a:solidFill>
                                  <a:effectLst/>
                                  <a:latin typeface="Cambria Math" panose="02040503050406030204" pitchFamily="18" charset="0"/>
                                  <a:ea typeface="+mn-ea"/>
                                  <a:cs typeface="+mn-cs"/>
                                </a:rPr>
                                <m:t>·</m:t>
                              </m:r>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mn-ea"/>
                      <a:cs typeface="+mn-cs"/>
                    </a:rPr>
                    <m:t>+</m:t>
                  </m:r>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2,</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mn-ea"/>
                      <a:cs typeface="+mn-cs"/>
                    </a:rPr>
                    <m:t> </m:t>
                  </m:r>
                </m:oMath>
              </a14:m>
              <a:r>
                <a:rPr lang="de-DE">
                  <a:effectLst/>
                </a:rPr>
                <a:t>+</a:t>
              </a:r>
              <a14:m>
                <m:oMath xmlns:m="http://schemas.openxmlformats.org/officeDocument/2006/math">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45,</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𝐹</m:t>
                                  </m:r>
                                </m:e>
                                <m:sub>
                                  <m:r>
                                    <a:rPr lang="de-DE" sz="1100" b="0" i="1">
                                      <a:solidFill>
                                        <a:schemeClr val="tx1"/>
                                      </a:solidFill>
                                      <a:effectLst/>
                                      <a:latin typeface="Cambria Math" panose="02040503050406030204" pitchFamily="18" charset="0"/>
                                      <a:ea typeface="+mn-ea"/>
                                      <a:cs typeface="+mn-cs"/>
                                    </a:rPr>
                                    <m:t>45,</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oMath>
              </a14:m>
              <a:r>
                <a:rPr lang="de-DE">
                  <a:effectLst/>
                </a:rPr>
                <a:t>+</a:t>
              </a:r>
              <a14:m>
                <m:oMath xmlns:m="http://schemas.openxmlformats.org/officeDocument/2006/math">
                  <m:sSup>
                    <m:sSupPr>
                      <m:ctrlPr>
                        <a:rPr lang="de-DE" sz="1100" b="0" i="1">
                          <a:solidFill>
                            <a:schemeClr val="tx1"/>
                          </a:solidFill>
                          <a:effectLst/>
                          <a:latin typeface="Cambria Math" panose="02040503050406030204" pitchFamily="18" charset="0"/>
                          <a:ea typeface="+mn-ea"/>
                          <a:cs typeface="+mn-cs"/>
                        </a:rPr>
                      </m:ctrlPr>
                    </m:sSupPr>
                    <m:e>
                      <m:d>
                        <m:dPr>
                          <m:ctrlPr>
                            <a:rPr lang="de-DE" sz="1100" i="1">
                              <a:solidFill>
                                <a:schemeClr val="tx1"/>
                              </a:solidFill>
                              <a:effectLst/>
                              <a:latin typeface="Cambria Math" panose="02040503050406030204" pitchFamily="18" charset="0"/>
                              <a:ea typeface="+mn-ea"/>
                              <a:cs typeface="+mn-cs"/>
                            </a:rPr>
                          </m:ctrlPr>
                        </m:dPr>
                        <m:e>
                          <m:f>
                            <m:fPr>
                              <m:ctrlPr>
                                <a:rPr lang="de-DE" sz="1100" i="1">
                                  <a:solidFill>
                                    <a:schemeClr val="tx1"/>
                                  </a:solidFill>
                                  <a:effectLst/>
                                  <a:latin typeface="Cambria Math" panose="02040503050406030204" pitchFamily="18" charset="0"/>
                                  <a:ea typeface="+mn-ea"/>
                                  <a:cs typeface="+mn-cs"/>
                                </a:rPr>
                              </m:ctrlPr>
                            </m:fPr>
                            <m:num>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𝑡𝑜𝑟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𝐸𝑑</m:t>
                                  </m:r>
                                </m:sub>
                              </m:sSub>
                            </m:num>
                            <m:den>
                              <m:sSub>
                                <m:sSubPr>
                                  <m:ctrlPr>
                                    <a:rPr lang="de-DE" sz="1100" i="1">
                                      <a:solidFill>
                                        <a:schemeClr val="tx1"/>
                                      </a:solidFill>
                                      <a:effectLst/>
                                      <a:latin typeface="Cambria Math" panose="02040503050406030204" pitchFamily="18" charset="0"/>
                                      <a:ea typeface="+mn-ea"/>
                                      <a:cs typeface="+mn-cs"/>
                                    </a:rPr>
                                  </m:ctrlPr>
                                </m:sSubPr>
                                <m:e>
                                  <m:r>
                                    <a:rPr lang="de-DE" sz="1100" b="0" i="1">
                                      <a:solidFill>
                                        <a:schemeClr val="tx1"/>
                                      </a:solidFill>
                                      <a:effectLst/>
                                      <a:latin typeface="Cambria Math" panose="02040503050406030204" pitchFamily="18" charset="0"/>
                                      <a:ea typeface="+mn-ea"/>
                                      <a:cs typeface="+mn-cs"/>
                                    </a:rPr>
                                    <m:t>𝑀</m:t>
                                  </m:r>
                                </m:e>
                                <m:sub>
                                  <m:r>
                                    <a:rPr lang="de-DE" sz="1100" b="0" i="1">
                                      <a:solidFill>
                                        <a:schemeClr val="tx1"/>
                                      </a:solidFill>
                                      <a:effectLst/>
                                      <a:latin typeface="Cambria Math" panose="02040503050406030204" pitchFamily="18" charset="0"/>
                                      <a:ea typeface="+mn-ea"/>
                                      <a:cs typeface="+mn-cs"/>
                                    </a:rPr>
                                    <m:t>𝑡𝑜𝑟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𝑅𝑑</m:t>
                                  </m:r>
                                </m:sub>
                              </m:sSub>
                            </m:den>
                          </m:f>
                        </m:e>
                      </m:d>
                    </m:e>
                    <m:sup>
                      <m:r>
                        <a:rPr lang="de-DE" sz="1100" b="0" i="1">
                          <a:solidFill>
                            <a:schemeClr val="tx1"/>
                          </a:solidFill>
                          <a:effectLst/>
                          <a:latin typeface="Cambria Math" panose="02040503050406030204" pitchFamily="18" charset="0"/>
                          <a:ea typeface="+mn-ea"/>
                          <a:cs typeface="+mn-cs"/>
                        </a:rPr>
                        <m:t>2</m:t>
                      </m:r>
                    </m:sup>
                  </m:sSup>
                  <m:r>
                    <a:rPr lang="de-DE" sz="1100" b="0" i="1">
                      <a:solidFill>
                        <a:schemeClr val="tx1"/>
                      </a:solidFill>
                      <a:effectLst/>
                      <a:latin typeface="Cambria Math" panose="02040503050406030204" pitchFamily="18" charset="0"/>
                      <a:ea typeface="Cambria Math" panose="02040503050406030204" pitchFamily="18" charset="0"/>
                      <a:cs typeface="+mn-cs"/>
                    </a:rPr>
                    <m:t>=</m:t>
                  </m:r>
                </m:oMath>
              </a14:m>
              <a:endParaRPr lang="de-DE" sz="1100" b="0">
                <a:solidFill>
                  <a:schemeClr val="tx1"/>
                </a:solidFill>
                <a:effectLst/>
                <a:ea typeface="Cambria Math" panose="02040503050406030204" pitchFamily="18" charset="0"/>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8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de-DE" sz="800">
                  <a:effectLst/>
                </a:rPr>
                <a:t>  mit </a:t>
              </a:r>
              <a14:m>
                <m:oMath xmlns:m="http://schemas.openxmlformats.org/officeDocument/2006/math">
                  <m:sSub>
                    <m:sSubPr>
                      <m:ctrlPr>
                        <a:rPr lang="de-DE" sz="800" i="1">
                          <a:solidFill>
                            <a:schemeClr val="tx1"/>
                          </a:solidFill>
                          <a:effectLst/>
                          <a:latin typeface="Cambria Math" panose="02040503050406030204" pitchFamily="18" charset="0"/>
                          <a:ea typeface="+mn-ea"/>
                          <a:cs typeface="+mn-cs"/>
                        </a:rPr>
                      </m:ctrlPr>
                    </m:sSubPr>
                    <m:e>
                      <m:r>
                        <a:rPr lang="de-DE" sz="800" b="0" i="1">
                          <a:solidFill>
                            <a:schemeClr val="tx1"/>
                          </a:solidFill>
                          <a:effectLst/>
                          <a:latin typeface="Cambria Math" panose="02040503050406030204" pitchFamily="18" charset="0"/>
                          <a:ea typeface="+mn-ea"/>
                          <a:cs typeface="+mn-cs"/>
                        </a:rPr>
                        <m:t>𝑀</m:t>
                      </m:r>
                    </m:e>
                    <m:sub>
                      <m:r>
                        <a:rPr lang="de-DE" sz="800" b="0" i="1">
                          <a:solidFill>
                            <a:schemeClr val="tx1"/>
                          </a:solidFill>
                          <a:effectLst/>
                          <a:latin typeface="Cambria Math" panose="02040503050406030204" pitchFamily="18" charset="0"/>
                          <a:ea typeface="+mn-ea"/>
                          <a:cs typeface="+mn-cs"/>
                        </a:rPr>
                        <m:t>2,</m:t>
                      </m:r>
                      <m:r>
                        <a:rPr lang="de-DE" sz="800" b="0" i="1">
                          <a:solidFill>
                            <a:schemeClr val="tx1"/>
                          </a:solidFill>
                          <a:effectLst/>
                          <a:latin typeface="Cambria Math" panose="02040503050406030204" pitchFamily="18" charset="0"/>
                          <a:ea typeface="+mn-ea"/>
                          <a:cs typeface="+mn-cs"/>
                        </a:rPr>
                        <m:t>𝐸𝑑</m:t>
                      </m:r>
                    </m:sub>
                  </m:sSub>
                  <m:r>
                    <a:rPr lang="de-DE" sz="800" b="0" i="1">
                      <a:solidFill>
                        <a:schemeClr val="tx1"/>
                      </a:solidFill>
                      <a:effectLst/>
                      <a:latin typeface="Cambria Math" panose="02040503050406030204" pitchFamily="18" charset="0"/>
                      <a:ea typeface="+mn-ea"/>
                      <a:cs typeface="+mn-cs"/>
                    </a:rPr>
                    <m:t>− </m:t>
                  </m:r>
                  <m:d>
                    <m:dPr>
                      <m:ctrlPr>
                        <a:rPr lang="de-DE" sz="800" b="0" i="1">
                          <a:solidFill>
                            <a:schemeClr val="tx1"/>
                          </a:solidFill>
                          <a:effectLst/>
                          <a:latin typeface="Cambria Math" panose="02040503050406030204" pitchFamily="18" charset="0"/>
                          <a:ea typeface="+mn-ea"/>
                          <a:cs typeface="+mn-cs"/>
                        </a:rPr>
                      </m:ctrlPr>
                    </m:dPr>
                    <m:e>
                      <m:sSub>
                        <m:sSubPr>
                          <m:ctrlPr>
                            <a:rPr lang="de-DE" sz="800" b="0" i="1">
                              <a:solidFill>
                                <a:schemeClr val="tx1"/>
                              </a:solidFill>
                              <a:effectLst/>
                              <a:latin typeface="Cambria Math" panose="02040503050406030204" pitchFamily="18" charset="0"/>
                              <a:ea typeface="+mn-ea"/>
                              <a:cs typeface="+mn-cs"/>
                            </a:rPr>
                          </m:ctrlPr>
                        </m:sSubPr>
                        <m:e>
                          <m:r>
                            <a:rPr lang="de-DE" sz="800" b="0" i="1">
                              <a:solidFill>
                                <a:schemeClr val="tx1"/>
                              </a:solidFill>
                              <a:effectLst/>
                              <a:latin typeface="Cambria Math" panose="02040503050406030204" pitchFamily="18" charset="0"/>
                              <a:ea typeface="+mn-ea"/>
                              <a:cs typeface="+mn-cs"/>
                            </a:rPr>
                            <m:t>𝐹</m:t>
                          </m:r>
                        </m:e>
                        <m:sub>
                          <m:r>
                            <a:rPr lang="de-DE" sz="800" b="0" i="1">
                              <a:solidFill>
                                <a:schemeClr val="tx1"/>
                              </a:solidFill>
                              <a:effectLst/>
                              <a:latin typeface="Cambria Math" panose="02040503050406030204" pitchFamily="18" charset="0"/>
                              <a:ea typeface="+mn-ea"/>
                              <a:cs typeface="+mn-cs"/>
                            </a:rPr>
                            <m:t>2,</m:t>
                          </m:r>
                          <m:r>
                            <a:rPr lang="de-DE" sz="800" b="0" i="1">
                              <a:solidFill>
                                <a:schemeClr val="tx1"/>
                              </a:solidFill>
                              <a:effectLst/>
                              <a:latin typeface="Cambria Math" panose="02040503050406030204" pitchFamily="18" charset="0"/>
                              <a:ea typeface="+mn-ea"/>
                              <a:cs typeface="+mn-cs"/>
                            </a:rPr>
                            <m:t>𝐸𝑑</m:t>
                          </m:r>
                        </m:sub>
                      </m:sSub>
                      <m:r>
                        <a:rPr lang="de-DE" sz="800" b="0" i="1">
                          <a:solidFill>
                            <a:schemeClr val="tx1"/>
                          </a:solidFill>
                          <a:effectLst/>
                          <a:latin typeface="Cambria Math" panose="02040503050406030204" pitchFamily="18" charset="0"/>
                          <a:ea typeface="+mn-ea"/>
                          <a:cs typeface="+mn-cs"/>
                        </a:rPr>
                        <m:t>−</m:t>
                      </m:r>
                      <m:sSub>
                        <m:sSubPr>
                          <m:ctrlPr>
                            <a:rPr lang="de-DE" sz="800" b="0" i="1">
                              <a:solidFill>
                                <a:schemeClr val="tx1"/>
                              </a:solidFill>
                              <a:effectLst/>
                              <a:latin typeface="Cambria Math" panose="02040503050406030204" pitchFamily="18" charset="0"/>
                              <a:ea typeface="+mn-ea"/>
                              <a:cs typeface="+mn-cs"/>
                            </a:rPr>
                          </m:ctrlPr>
                        </m:sSubPr>
                        <m:e>
                          <m:r>
                            <a:rPr lang="de-DE" sz="800" b="0" i="1">
                              <a:solidFill>
                                <a:schemeClr val="tx1"/>
                              </a:solidFill>
                              <a:effectLst/>
                              <a:latin typeface="Cambria Math" panose="02040503050406030204" pitchFamily="18" charset="0"/>
                              <a:ea typeface="+mn-ea"/>
                              <a:cs typeface="+mn-cs"/>
                            </a:rPr>
                            <m:t>𝐹</m:t>
                          </m:r>
                        </m:e>
                        <m:sub>
                          <m:r>
                            <a:rPr lang="de-DE" sz="800" b="0" i="1">
                              <a:solidFill>
                                <a:schemeClr val="tx1"/>
                              </a:solidFill>
                              <a:effectLst/>
                              <a:latin typeface="Cambria Math" panose="02040503050406030204" pitchFamily="18" charset="0"/>
                              <a:ea typeface="+mn-ea"/>
                              <a:cs typeface="+mn-cs"/>
                            </a:rPr>
                            <m:t>1,</m:t>
                          </m:r>
                          <m:r>
                            <a:rPr lang="de-DE" sz="800" b="0" i="1">
                              <a:solidFill>
                                <a:schemeClr val="tx1"/>
                              </a:solidFill>
                              <a:effectLst/>
                              <a:latin typeface="Cambria Math" panose="02040503050406030204" pitchFamily="18" charset="0"/>
                              <a:ea typeface="+mn-ea"/>
                              <a:cs typeface="+mn-cs"/>
                            </a:rPr>
                            <m:t>𝐸𝐷</m:t>
                          </m:r>
                        </m:sub>
                      </m:sSub>
                    </m:e>
                  </m:d>
                  <m:r>
                    <a:rPr lang="de-DE" sz="800" b="0" i="1">
                      <a:solidFill>
                        <a:schemeClr val="tx1"/>
                      </a:solidFill>
                      <a:effectLst/>
                      <a:latin typeface="Cambria Math" panose="02040503050406030204" pitchFamily="18" charset="0"/>
                      <a:ea typeface="+mn-ea"/>
                      <a:cs typeface="+mn-cs"/>
                    </a:rPr>
                    <m:t>·</m:t>
                  </m:r>
                  <m:sSub>
                    <m:sSubPr>
                      <m:ctrlPr>
                        <a:rPr lang="de-DE" sz="800" b="0" i="1">
                          <a:solidFill>
                            <a:schemeClr val="tx1"/>
                          </a:solidFill>
                          <a:effectLst/>
                          <a:latin typeface="Cambria Math" panose="02040503050406030204" pitchFamily="18" charset="0"/>
                          <a:ea typeface="+mn-ea"/>
                          <a:cs typeface="+mn-cs"/>
                        </a:rPr>
                      </m:ctrlPr>
                    </m:sSubPr>
                    <m:e>
                      <m:r>
                        <a:rPr lang="de-DE" sz="800" b="0" i="1">
                          <a:solidFill>
                            <a:schemeClr val="tx1"/>
                          </a:solidFill>
                          <a:effectLst/>
                          <a:latin typeface="Cambria Math" panose="02040503050406030204" pitchFamily="18" charset="0"/>
                          <a:ea typeface="+mn-ea"/>
                          <a:cs typeface="+mn-cs"/>
                        </a:rPr>
                        <m:t>𝑒</m:t>
                      </m:r>
                    </m:e>
                    <m:sub>
                      <m:r>
                        <a:rPr lang="de-DE" sz="800" b="0" i="1">
                          <a:solidFill>
                            <a:schemeClr val="tx1"/>
                          </a:solidFill>
                          <a:effectLst/>
                          <a:latin typeface="Cambria Math" panose="02040503050406030204" pitchFamily="18" charset="0"/>
                          <a:ea typeface="+mn-ea"/>
                          <a:cs typeface="+mn-cs"/>
                        </a:rPr>
                        <m:t>2,</m:t>
                      </m:r>
                      <m:r>
                        <a:rPr lang="de-DE" sz="800" b="0" i="1">
                          <a:solidFill>
                            <a:schemeClr val="tx1"/>
                          </a:solidFill>
                          <a:effectLst/>
                          <a:latin typeface="Cambria Math" panose="02040503050406030204" pitchFamily="18" charset="0"/>
                          <a:ea typeface="+mn-ea"/>
                          <a:cs typeface="+mn-cs"/>
                        </a:rPr>
                        <m:t>𝑙𝑖𝑚</m:t>
                      </m:r>
                    </m:sub>
                  </m:sSub>
                  <m:r>
                    <a:rPr lang="de-DE" sz="800" b="0" i="1">
                      <a:solidFill>
                        <a:schemeClr val="tx1"/>
                      </a:solidFill>
                      <a:effectLst/>
                      <a:latin typeface="Cambria Math" panose="02040503050406030204" pitchFamily="18" charset="0"/>
                      <a:ea typeface="Cambria Math" panose="02040503050406030204" pitchFamily="18" charset="0"/>
                      <a:cs typeface="+mn-cs"/>
                    </a:rPr>
                    <m:t>≥0</m:t>
                  </m:r>
                </m:oMath>
              </a14:m>
              <a:r>
                <a:rPr lang="de-DE" sz="800">
                  <a:effectLst/>
                </a:rPr>
                <a:t> </a:t>
              </a:r>
            </a:p>
          </xdr:txBody>
        </xdr:sp>
      </mc:Choice>
      <mc:Fallback xmlns="">
        <xdr:sp macro="" textlink="">
          <xdr:nvSpPr>
            <xdr:cNvPr id="2" name="Textfeld 1">
              <a:extLst>
                <a:ext uri="{FF2B5EF4-FFF2-40B4-BE49-F238E27FC236}">
                  <a16:creationId xmlns:a16="http://schemas.microsoft.com/office/drawing/2014/main" id="{078CF638-BCEB-42FB-A956-EB055F6049D4}"/>
                </a:ext>
              </a:extLst>
            </xdr:cNvPr>
            <xdr:cNvSpPr txBox="1"/>
          </xdr:nvSpPr>
          <xdr:spPr>
            <a:xfrm>
              <a:off x="438150" y="123224925"/>
              <a:ext cx="4073801" cy="6158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𝐹_(1,𝐸𝑑)/𝐹_(1,𝑅𝑑) +(𝑀_(2,𝐸𝑑 )− (𝐹_(2,𝐸𝑑)−𝐹_(1,𝐸𝑑) )  </a:t>
              </a:r>
              <a:r>
                <a:rPr lang="de-DE" sz="1100" b="0" i="0">
                  <a:solidFill>
                    <a:schemeClr val="tx1"/>
                  </a:solidFill>
                  <a:effectLst/>
                  <a:latin typeface="+mn-lt"/>
                  <a:ea typeface="+mn-ea"/>
                  <a:cs typeface="+mn-cs"/>
                </a:rPr>
                <a:t>·</a:t>
              </a:r>
              <a:r>
                <a:rPr lang="de-DE" sz="1100" b="0" i="0">
                  <a:solidFill>
                    <a:schemeClr val="tx1"/>
                  </a:solidFill>
                  <a:effectLst/>
                  <a:latin typeface="Cambria Math" panose="02040503050406030204" pitchFamily="18" charset="0"/>
                  <a:ea typeface="+mn-ea"/>
                  <a:cs typeface="+mn-cs"/>
                </a:rPr>
                <a:t> </a:t>
              </a:r>
              <a:r>
                <a:rPr lang="de-DE" sz="1100" b="0" i="0">
                  <a:solidFill>
                    <a:schemeClr val="tx1"/>
                  </a:solidFill>
                  <a:effectLst/>
                  <a:latin typeface="+mn-lt"/>
                  <a:ea typeface="+mn-ea"/>
                  <a:cs typeface="+mn-cs"/>
                </a:rPr>
                <a:t>𝑒_(</a:t>
              </a:r>
              <a:r>
                <a:rPr lang="de-DE" sz="1100" b="0" i="0">
                  <a:solidFill>
                    <a:schemeClr val="tx1"/>
                  </a:solidFill>
                  <a:effectLst/>
                  <a:latin typeface="Cambria Math" panose="02040503050406030204" pitchFamily="18" charset="0"/>
                  <a:ea typeface="+mn-ea"/>
                  <a:cs typeface="+mn-cs"/>
                </a:rPr>
                <a:t>2,</a:t>
              </a:r>
              <a:r>
                <a:rPr lang="de-DE" sz="1100" b="0" i="0">
                  <a:solidFill>
                    <a:schemeClr val="tx1"/>
                  </a:solidFill>
                  <a:effectLst/>
                  <a:latin typeface="+mn-lt"/>
                  <a:ea typeface="+mn-ea"/>
                  <a:cs typeface="+mn-cs"/>
                </a:rPr>
                <a:t>𝑙𝑖𝑚)·</a:t>
              </a:r>
              <a:r>
                <a:rPr lang="de-DE" sz="1100" b="0" i="0">
                  <a:solidFill>
                    <a:schemeClr val="tx1"/>
                  </a:solidFill>
                  <a:effectLst/>
                  <a:latin typeface="Cambria Math" panose="02040503050406030204" pitchFamily="18" charset="0"/>
                  <a:ea typeface="+mn-ea"/>
                  <a:cs typeface="+mn-cs"/>
                </a:rPr>
                <a:t>)/𝑀_(2,𝑅𝑑) )^2+</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𝐹_(2,𝐸𝑑)/𝐹_(2,𝑅𝑑) )^2  </a:t>
              </a:r>
              <a:r>
                <a:rPr lang="de-DE">
                  <a:effectLst/>
                </a:rPr>
                <a:t>+</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𝐹_(45,𝐸𝑑)/𝐹_(45,𝑅𝑑) )^2</a:t>
              </a:r>
              <a:r>
                <a:rPr lang="de-DE">
                  <a:effectLst/>
                </a:rPr>
                <a:t>+</a:t>
              </a:r>
              <a:r>
                <a:rPr lang="de-DE" sz="1100" i="0">
                  <a:solidFill>
                    <a:schemeClr val="tx1"/>
                  </a:solidFill>
                  <a:effectLst/>
                  <a:latin typeface="Cambria Math" panose="02040503050406030204" pitchFamily="18" charset="0"/>
                  <a:ea typeface="+mn-ea"/>
                  <a:cs typeface="+mn-cs"/>
                </a:rPr>
                <a:t>(</a:t>
              </a:r>
              <a:r>
                <a:rPr lang="de-DE" sz="1100" b="0" i="0">
                  <a:solidFill>
                    <a:schemeClr val="tx1"/>
                  </a:solidFill>
                  <a:effectLst/>
                  <a:latin typeface="Cambria Math" panose="02040503050406030204" pitchFamily="18" charset="0"/>
                  <a:ea typeface="+mn-ea"/>
                  <a:cs typeface="+mn-cs"/>
                </a:rPr>
                <a:t>𝑀_(𝑡𝑜𝑟,𝐸𝑑)/𝑀_(𝑡𝑜𝑟,𝑅𝑑) )^2</a:t>
              </a:r>
              <a:r>
                <a:rPr lang="de-DE" sz="1100" b="0" i="0">
                  <a:solidFill>
                    <a:schemeClr val="tx1"/>
                  </a:solidFill>
                  <a:effectLst/>
                  <a:latin typeface="Cambria Math" panose="02040503050406030204" pitchFamily="18" charset="0"/>
                  <a:ea typeface="Cambria Math" panose="02040503050406030204" pitchFamily="18" charset="0"/>
                  <a:cs typeface="+mn-cs"/>
                </a:rPr>
                <a:t>=</a:t>
              </a:r>
              <a:endParaRPr lang="de-DE" sz="1100" b="0">
                <a:solidFill>
                  <a:schemeClr val="tx1"/>
                </a:solidFill>
                <a:effectLst/>
                <a:ea typeface="Cambria Math" panose="02040503050406030204" pitchFamily="18" charset="0"/>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8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de-DE" sz="800">
                  <a:effectLst/>
                </a:rPr>
                <a:t>  mit </a:t>
              </a:r>
              <a:r>
                <a:rPr lang="de-DE" sz="800" b="0" i="0">
                  <a:solidFill>
                    <a:schemeClr val="tx1"/>
                  </a:solidFill>
                  <a:effectLst/>
                  <a:latin typeface="Cambria Math" panose="02040503050406030204" pitchFamily="18" charset="0"/>
                  <a:ea typeface="+mn-ea"/>
                  <a:cs typeface="+mn-cs"/>
                </a:rPr>
                <a:t>𝑀_(2,𝐸𝑑)− (𝐹_(2,𝐸𝑑)−𝐹_(1,𝐸𝐷) )</a:t>
              </a:r>
              <a:r>
                <a:rPr lang="de-DE" sz="800" b="0" i="0">
                  <a:solidFill>
                    <a:schemeClr val="tx1"/>
                  </a:solidFill>
                  <a:effectLst/>
                  <a:latin typeface="+mn-lt"/>
                  <a:ea typeface="+mn-ea"/>
                  <a:cs typeface="+mn-cs"/>
                </a:rPr>
                <a:t>·𝑒_(2,𝑙𝑖𝑚)</a:t>
              </a:r>
              <a:r>
                <a:rPr lang="de-DE" sz="800" b="0" i="0">
                  <a:solidFill>
                    <a:schemeClr val="tx1"/>
                  </a:solidFill>
                  <a:effectLst/>
                  <a:latin typeface="Cambria Math" panose="02040503050406030204" pitchFamily="18" charset="0"/>
                  <a:ea typeface="Cambria Math" panose="02040503050406030204" pitchFamily="18" charset="0"/>
                  <a:cs typeface="+mn-cs"/>
                </a:rPr>
                <a:t>≥0</a:t>
              </a:r>
              <a:r>
                <a:rPr lang="de-DE" sz="800">
                  <a:effectLst/>
                </a:rPr>
                <a:t> </a:t>
              </a:r>
            </a:p>
          </xdr:txBody>
        </xdr:sp>
      </mc:Fallback>
    </mc:AlternateContent>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66675</xdr:colOff>
          <xdr:row>10</xdr:row>
          <xdr:rowOff>19050</xdr:rowOff>
        </xdr:from>
        <xdr:to>
          <xdr:col>12</xdr:col>
          <xdr:colOff>371475</xdr:colOff>
          <xdr:row>11</xdr:row>
          <xdr:rowOff>200025</xdr:rowOff>
        </xdr:to>
        <xdr:sp macro="" textlink="">
          <xdr:nvSpPr>
            <xdr:cNvPr id="11611" name="Button 1371" hidden="1">
              <a:extLst>
                <a:ext uri="{63B3BB69-23CF-44E3-9099-C40C66FF867C}">
                  <a14:compatExt spid="_x0000_s11611"/>
                </a:ext>
                <a:ext uri="{FF2B5EF4-FFF2-40B4-BE49-F238E27FC236}">
                  <a16:creationId xmlns:a16="http://schemas.microsoft.com/office/drawing/2014/main" id="{00000000-0008-0000-0400-00005B2D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Druckzonenhöhe x berechnen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123825</xdr:colOff>
          <xdr:row>10</xdr:row>
          <xdr:rowOff>19050</xdr:rowOff>
        </xdr:from>
        <xdr:to>
          <xdr:col>29</xdr:col>
          <xdr:colOff>419100</xdr:colOff>
          <xdr:row>11</xdr:row>
          <xdr:rowOff>209550</xdr:rowOff>
        </xdr:to>
        <xdr:sp macro="" textlink="">
          <xdr:nvSpPr>
            <xdr:cNvPr id="11612" name="Button 1372" hidden="1">
              <a:extLst>
                <a:ext uri="{63B3BB69-23CF-44E3-9099-C40C66FF867C}">
                  <a14:compatExt spid="_x0000_s11612"/>
                </a:ext>
                <a:ext uri="{FF2B5EF4-FFF2-40B4-BE49-F238E27FC236}">
                  <a16:creationId xmlns:a16="http://schemas.microsoft.com/office/drawing/2014/main" id="{00000000-0008-0000-0400-00005C2D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Druckzonenhöhe x berechnen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66675</xdr:colOff>
          <xdr:row>10</xdr:row>
          <xdr:rowOff>19050</xdr:rowOff>
        </xdr:from>
        <xdr:to>
          <xdr:col>12</xdr:col>
          <xdr:colOff>371475</xdr:colOff>
          <xdr:row>11</xdr:row>
          <xdr:rowOff>200025</xdr:rowOff>
        </xdr:to>
        <xdr:sp macro="" textlink="">
          <xdr:nvSpPr>
            <xdr:cNvPr id="17412" name="Button 4" hidden="1">
              <a:extLst>
                <a:ext uri="{63B3BB69-23CF-44E3-9099-C40C66FF867C}">
                  <a14:compatExt spid="_x0000_s17412"/>
                </a:ext>
                <a:ext uri="{FF2B5EF4-FFF2-40B4-BE49-F238E27FC236}">
                  <a16:creationId xmlns:a16="http://schemas.microsoft.com/office/drawing/2014/main" id="{00000000-0008-0000-0500-000004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Druckzonenhöhe x berechnen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123825</xdr:colOff>
          <xdr:row>10</xdr:row>
          <xdr:rowOff>19050</xdr:rowOff>
        </xdr:from>
        <xdr:to>
          <xdr:col>29</xdr:col>
          <xdr:colOff>419100</xdr:colOff>
          <xdr:row>11</xdr:row>
          <xdr:rowOff>209550</xdr:rowOff>
        </xdr:to>
        <xdr:sp macro="" textlink="">
          <xdr:nvSpPr>
            <xdr:cNvPr id="17413" name="Button 5" hidden="1">
              <a:extLst>
                <a:ext uri="{63B3BB69-23CF-44E3-9099-C40C66FF867C}">
                  <a14:compatExt spid="_x0000_s17413"/>
                </a:ext>
                <a:ext uri="{FF2B5EF4-FFF2-40B4-BE49-F238E27FC236}">
                  <a16:creationId xmlns:a16="http://schemas.microsoft.com/office/drawing/2014/main" id="{00000000-0008-0000-0500-000005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Druckzonenhöhe x berechnen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66675</xdr:colOff>
          <xdr:row>10</xdr:row>
          <xdr:rowOff>19050</xdr:rowOff>
        </xdr:from>
        <xdr:to>
          <xdr:col>12</xdr:col>
          <xdr:colOff>371475</xdr:colOff>
          <xdr:row>11</xdr:row>
          <xdr:rowOff>200025</xdr:rowOff>
        </xdr:to>
        <xdr:sp macro="" textlink="">
          <xdr:nvSpPr>
            <xdr:cNvPr id="17414" name="Button 6" hidden="1">
              <a:extLst>
                <a:ext uri="{63B3BB69-23CF-44E3-9099-C40C66FF867C}">
                  <a14:compatExt spid="_x0000_s17414"/>
                </a:ext>
                <a:ext uri="{FF2B5EF4-FFF2-40B4-BE49-F238E27FC236}">
                  <a16:creationId xmlns:a16="http://schemas.microsoft.com/office/drawing/2014/main" id="{00000000-0008-0000-0500-000006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Druckzonenhöhe x berechnen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123825</xdr:colOff>
          <xdr:row>10</xdr:row>
          <xdr:rowOff>19050</xdr:rowOff>
        </xdr:from>
        <xdr:to>
          <xdr:col>29</xdr:col>
          <xdr:colOff>419100</xdr:colOff>
          <xdr:row>11</xdr:row>
          <xdr:rowOff>209550</xdr:rowOff>
        </xdr:to>
        <xdr:sp macro="" textlink="">
          <xdr:nvSpPr>
            <xdr:cNvPr id="17415" name="Button 7" hidden="1">
              <a:extLst>
                <a:ext uri="{63B3BB69-23CF-44E3-9099-C40C66FF867C}">
                  <a14:compatExt spid="_x0000_s17415"/>
                </a:ext>
                <a:ext uri="{FF2B5EF4-FFF2-40B4-BE49-F238E27FC236}">
                  <a16:creationId xmlns:a16="http://schemas.microsoft.com/office/drawing/2014/main" id="{00000000-0008-0000-0500-000007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Druckzonenhöhe x berechnen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66675</xdr:colOff>
          <xdr:row>10</xdr:row>
          <xdr:rowOff>19050</xdr:rowOff>
        </xdr:from>
        <xdr:to>
          <xdr:col>12</xdr:col>
          <xdr:colOff>371475</xdr:colOff>
          <xdr:row>11</xdr:row>
          <xdr:rowOff>200025</xdr:rowOff>
        </xdr:to>
        <xdr:sp macro="" textlink="">
          <xdr:nvSpPr>
            <xdr:cNvPr id="17416" name="Button 8" hidden="1">
              <a:extLst>
                <a:ext uri="{63B3BB69-23CF-44E3-9099-C40C66FF867C}">
                  <a14:compatExt spid="_x0000_s17416"/>
                </a:ext>
                <a:ext uri="{FF2B5EF4-FFF2-40B4-BE49-F238E27FC236}">
                  <a16:creationId xmlns:a16="http://schemas.microsoft.com/office/drawing/2014/main" id="{00000000-0008-0000-0500-000008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Druckzonenhöhe x berechnen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123825</xdr:colOff>
          <xdr:row>10</xdr:row>
          <xdr:rowOff>19050</xdr:rowOff>
        </xdr:from>
        <xdr:to>
          <xdr:col>29</xdr:col>
          <xdr:colOff>419100</xdr:colOff>
          <xdr:row>11</xdr:row>
          <xdr:rowOff>209550</xdr:rowOff>
        </xdr:to>
        <xdr:sp macro="" textlink="">
          <xdr:nvSpPr>
            <xdr:cNvPr id="17417" name="Button 9" hidden="1">
              <a:extLst>
                <a:ext uri="{63B3BB69-23CF-44E3-9099-C40C66FF867C}">
                  <a14:compatExt spid="_x0000_s17417"/>
                </a:ext>
                <a:ext uri="{FF2B5EF4-FFF2-40B4-BE49-F238E27FC236}">
                  <a16:creationId xmlns:a16="http://schemas.microsoft.com/office/drawing/2014/main" id="{00000000-0008-0000-0500-000009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Druckzonenhöhe x berechnen</a:t>
              </a:r>
            </a:p>
          </xdr:txBody>
        </xdr:sp>
        <xdr:clientData fPrintsWithSheet="0"/>
      </xdr:twoCellAnchor>
    </mc:Choice>
    <mc:Fallback/>
  </mc:AlternateContent>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5">
  <rv s="0">
    <v>0</v>
    <v>5</v>
  </rv>
  <rv s="0">
    <v>1</v>
    <v>5</v>
  </rv>
  <rv s="0">
    <v>2</v>
    <v>5</v>
  </rv>
  <rv s="0">
    <v>3</v>
    <v>5</v>
  </rv>
  <rv s="0">
    <v>4</v>
    <v>5</v>
  </rv>
  <rv s="0">
    <v>5</v>
    <v>5</v>
  </rv>
  <rv s="0">
    <v>1</v>
    <v>4</v>
  </rv>
  <rv s="0">
    <v>6</v>
    <v>4</v>
  </rv>
  <rv s="0">
    <v>6</v>
    <v>5</v>
  </rv>
  <rv s="0">
    <v>7</v>
    <v>5</v>
  </rv>
  <rv s="0">
    <v>8</v>
    <v>5</v>
  </rv>
  <rv s="0">
    <v>9</v>
    <v>5</v>
  </rv>
  <rv s="0">
    <v>10</v>
    <v>5</v>
  </rv>
  <rv s="0">
    <v>11</v>
    <v>5</v>
  </rv>
  <rv s="0">
    <v>12</v>
    <v>5</v>
  </rv>
  <rv s="0">
    <v>13</v>
    <v>5</v>
  </rv>
  <rv s="0">
    <v>14</v>
    <v>5</v>
  </rv>
  <rv s="0">
    <v>9</v>
    <v>4</v>
  </rv>
  <rv s="0">
    <v>15</v>
    <v>5</v>
  </rv>
  <rv s="0">
    <v>15</v>
    <v>4</v>
  </rv>
  <rv s="0">
    <v>16</v>
    <v>5</v>
  </rv>
  <rv s="0">
    <v>17</v>
    <v>5</v>
  </rv>
  <rv s="0">
    <v>18</v>
    <v>5</v>
  </rv>
  <rv s="0">
    <v>19</v>
    <v>5</v>
  </rv>
  <rv s="0">
    <v>20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mailto:info@be-ingenieure.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632B0-0F05-404F-BD7E-7DA57463552D}">
  <sheetPr codeName="Tabelle6"/>
  <dimension ref="A1:FK265"/>
  <sheetViews>
    <sheetView tabSelected="1" zoomScaleNormal="100" zoomScaleSheetLayoutView="100" workbookViewId="0">
      <selection activeCell="H82" sqref="H82"/>
    </sheetView>
  </sheetViews>
  <sheetFormatPr baseColWidth="10" defaultColWidth="11.42578125" defaultRowHeight="15"/>
  <cols>
    <col min="1" max="1" width="22.85546875" style="498" customWidth="1"/>
    <col min="2" max="4" width="13.42578125" style="498" customWidth="1"/>
    <col min="5" max="7" width="7.85546875" style="498" customWidth="1"/>
    <col min="8" max="8" width="13.7109375" style="498" customWidth="1"/>
    <col min="9" max="10" width="11.42578125" style="498"/>
    <col min="11" max="11" width="11.42578125" style="499" customWidth="1"/>
    <col min="12" max="13" width="11.42578125" style="498"/>
    <col min="14" max="16" width="11.42578125" style="498" customWidth="1"/>
    <col min="17" max="17" width="11" style="498" customWidth="1"/>
    <col min="18" max="27" width="11.42578125" style="498"/>
    <col min="28" max="31" width="14.7109375" style="498" customWidth="1"/>
    <col min="32" max="32" width="11.42578125" style="498"/>
    <col min="33" max="33" width="2.5703125" style="500" customWidth="1"/>
    <col min="34" max="34" width="27.42578125" style="500" bestFit="1" customWidth="1"/>
    <col min="35" max="35" width="2.5703125" style="500" customWidth="1"/>
    <col min="36" max="36" width="8.7109375" style="500" bestFit="1" customWidth="1"/>
    <col min="37" max="37" width="9" style="500" bestFit="1" customWidth="1"/>
    <col min="38" max="38" width="2.5703125" style="500" customWidth="1"/>
    <col min="39" max="39" width="5.85546875" style="500" bestFit="1" customWidth="1"/>
    <col min="40" max="40" width="7" style="500" bestFit="1" customWidth="1"/>
    <col min="41" max="41" width="7.5703125" style="500" bestFit="1" customWidth="1"/>
    <col min="42" max="42" width="8.7109375" style="500" bestFit="1" customWidth="1"/>
    <col min="43" max="43" width="9" style="500" bestFit="1" customWidth="1"/>
    <col min="44" max="45" width="2.5703125" style="500" customWidth="1"/>
    <col min="46" max="46" width="13.85546875" style="501" bestFit="1" customWidth="1"/>
    <col min="47" max="48" width="12.42578125" style="501" bestFit="1" customWidth="1"/>
    <col min="49" max="49" width="2.5703125" style="500" customWidth="1"/>
    <col min="50" max="63" width="11.42578125" style="498"/>
    <col min="64" max="64" width="34.140625" style="498" bestFit="1" customWidth="1"/>
    <col min="65" max="66" width="11.42578125" style="498"/>
    <col min="67" max="67" width="4.42578125" style="498" customWidth="1"/>
    <col min="68" max="68" width="29.140625" style="498" customWidth="1"/>
    <col min="69" max="71" width="11.42578125" style="498"/>
    <col min="72" max="72" width="46" style="498" bestFit="1" customWidth="1"/>
    <col min="73" max="73" width="22.5703125" style="603" customWidth="1"/>
    <col min="74" max="82" width="11.42578125" style="498"/>
    <col min="83" max="83" width="11.42578125" style="498" customWidth="1"/>
    <col min="84" max="84" width="15.85546875" style="498" bestFit="1" customWidth="1"/>
    <col min="85" max="90" width="11.42578125" style="498"/>
    <col min="91" max="91" width="15.85546875" style="498" bestFit="1" customWidth="1"/>
    <col min="92" max="100" width="11.42578125" style="498"/>
    <col min="101" max="144" width="7.140625" style="498" customWidth="1"/>
    <col min="145" max="145" width="17.28515625" style="498" bestFit="1" customWidth="1"/>
    <col min="146" max="146" width="8.42578125" style="498" bestFit="1" customWidth="1"/>
    <col min="147" max="147" width="7.140625" style="498" customWidth="1"/>
    <col min="148" max="148" width="25.85546875" style="498" bestFit="1" customWidth="1"/>
    <col min="149" max="150" width="11.42578125" style="498"/>
    <col min="151" max="151" width="37" style="498" bestFit="1" customWidth="1"/>
    <col min="152" max="152" width="6.7109375" style="498" customWidth="1"/>
    <col min="153" max="153" width="37" style="498" bestFit="1" customWidth="1"/>
    <col min="154" max="154" width="6.7109375" style="498" customWidth="1"/>
    <col min="155" max="155" width="11.42578125" style="498"/>
    <col min="156" max="156" width="26.42578125" style="498" bestFit="1" customWidth="1"/>
    <col min="157" max="157" width="11.42578125" style="498"/>
    <col min="158" max="158" width="24" style="498" bestFit="1" customWidth="1"/>
    <col min="159" max="159" width="4.85546875" style="498" bestFit="1" customWidth="1"/>
    <col min="160" max="16384" width="11.42578125" style="498"/>
  </cols>
  <sheetData>
    <row r="1" spans="1:167" ht="19.5" thickBot="1">
      <c r="A1" s="1480" t="str">
        <f>Sprachtexte!A2</f>
        <v>MEGANT® Bemessungstool für Haupt-Nebenträger-Anschlüsse</v>
      </c>
      <c r="B1" s="1480"/>
      <c r="C1" s="1480"/>
      <c r="D1" s="1480"/>
      <c r="E1" s="1480"/>
      <c r="F1" s="1481" t="s">
        <v>401</v>
      </c>
      <c r="G1" s="1481"/>
      <c r="H1" s="1436"/>
      <c r="BX1" s="506" t="s">
        <v>984</v>
      </c>
      <c r="BY1" s="817">
        <f>D104</f>
        <v>1</v>
      </c>
      <c r="BZ1" s="506" t="s">
        <v>495</v>
      </c>
      <c r="CA1" s="813">
        <f>C87-BY1</f>
        <v>-1</v>
      </c>
      <c r="CB1" s="506"/>
      <c r="CC1" s="506"/>
      <c r="CD1" s="506"/>
      <c r="CE1" s="819"/>
      <c r="CF1" s="819"/>
      <c r="CG1" s="818"/>
      <c r="CH1" s="818"/>
    </row>
    <row r="2" spans="1:167" ht="15.75" thickBot="1">
      <c r="A2" s="1482" t="str">
        <f>Sprachtexte!A3</f>
        <v>Bemessung nach ETA 15/0667 Ausgabe vom 22.04.2025</v>
      </c>
      <c r="B2" s="1482"/>
      <c r="C2" s="1482"/>
      <c r="D2" s="1482"/>
      <c r="E2" s="1482"/>
      <c r="F2" s="1483" t="s">
        <v>402</v>
      </c>
      <c r="G2" s="1483"/>
      <c r="H2" s="508"/>
      <c r="O2" s="1464" t="s">
        <v>670</v>
      </c>
      <c r="P2" s="1465"/>
      <c r="Q2" s="1465"/>
      <c r="R2" s="1465"/>
      <c r="S2" s="1466"/>
      <c r="U2" s="1464" t="s">
        <v>403</v>
      </c>
      <c r="V2" s="1465"/>
      <c r="W2" s="1465"/>
      <c r="X2" s="1465"/>
      <c r="Y2" s="1465"/>
      <c r="Z2" s="1466"/>
      <c r="AB2" s="1464" t="s">
        <v>404</v>
      </c>
      <c r="AC2" s="1465"/>
      <c r="AD2" s="1465"/>
      <c r="AE2" s="1466"/>
      <c r="AG2" s="1464" t="s">
        <v>405</v>
      </c>
      <c r="AH2" s="1465"/>
      <c r="AI2" s="1465"/>
      <c r="AJ2" s="1465"/>
      <c r="AK2" s="1465"/>
      <c r="AL2" s="1465"/>
      <c r="AM2" s="1465"/>
      <c r="AN2" s="1465"/>
      <c r="AO2" s="1465"/>
      <c r="AP2" s="1465"/>
      <c r="AQ2" s="1465"/>
      <c r="AR2" s="1465"/>
      <c r="AS2" s="1465"/>
      <c r="AT2" s="1465"/>
      <c r="AU2" s="1465"/>
      <c r="AV2" s="1465"/>
      <c r="AW2" s="1466"/>
      <c r="BD2" s="502" t="str">
        <f>BL39</f>
        <v>Anschlusswinkel vertikal</v>
      </c>
      <c r="BE2" s="503"/>
      <c r="BF2" s="503"/>
      <c r="BG2" s="504">
        <f>C29</f>
        <v>0</v>
      </c>
      <c r="BH2" s="503"/>
      <c r="BI2" s="503"/>
      <c r="BJ2" s="503"/>
      <c r="BK2" s="505"/>
      <c r="BR2" s="609" t="s">
        <v>1958</v>
      </c>
      <c r="BX2" s="506" t="s">
        <v>9</v>
      </c>
      <c r="BY2" s="813" t="e">
        <f>D104/C87</f>
        <v>#DIV/0!</v>
      </c>
      <c r="BZ2" s="506" t="s">
        <v>443</v>
      </c>
      <c r="CA2" s="813" t="e">
        <f>(C87-D104)/C87</f>
        <v>#DIV/0!</v>
      </c>
      <c r="CB2" s="506" t="s">
        <v>293</v>
      </c>
      <c r="CC2" s="506">
        <f>D76</f>
        <v>0.6</v>
      </c>
      <c r="CD2" s="506"/>
      <c r="CE2" s="819" t="s">
        <v>983</v>
      </c>
      <c r="CF2" s="818">
        <f>Ausgabe!F78*Ausgabe!F79/1000000000</f>
        <v>0</v>
      </c>
      <c r="CH2" s="818"/>
    </row>
    <row r="3" spans="1:167" ht="16.5" thickBot="1">
      <c r="A3" s="1504" t="str">
        <f>Sprachtexte!A4</f>
        <v>Unverbindliche Musterbemessung</v>
      </c>
      <c r="B3" s="1504"/>
      <c r="C3" s="1504"/>
      <c r="D3" s="1504"/>
      <c r="E3" s="977" t="s">
        <v>744</v>
      </c>
      <c r="F3" s="1485">
        <v>45833</v>
      </c>
      <c r="G3" s="1485"/>
      <c r="H3" s="508"/>
      <c r="O3" s="680">
        <f>IF(AND(F18&lt;=C18,F19&lt;=C19,F25&lt;=C25,F26&lt;=C26),"ok",0)</f>
        <v>0</v>
      </c>
      <c r="P3" s="1489" t="s">
        <v>671</v>
      </c>
      <c r="Q3" s="1489"/>
      <c r="R3" s="1489"/>
      <c r="S3" s="1490"/>
      <c r="U3" s="1486" t="s">
        <v>407</v>
      </c>
      <c r="V3" s="1487"/>
      <c r="W3" s="1487"/>
      <c r="X3" s="1487"/>
      <c r="Y3" s="1487"/>
      <c r="Z3" s="1488"/>
      <c r="AB3" s="1464" t="str">
        <f>MKW!E115</f>
        <v>Knapp</v>
      </c>
      <c r="AC3" s="1466"/>
      <c r="AD3" s="1464" t="str">
        <f>MKW!V115</f>
        <v>Würth</v>
      </c>
      <c r="AE3" s="1466"/>
      <c r="AG3" s="1486" t="str">
        <f>MKW!$A$3</f>
        <v>Festigkeitsklasse</v>
      </c>
      <c r="AH3" s="1487"/>
      <c r="AI3" s="1487"/>
      <c r="AJ3" s="1487"/>
      <c r="AK3" s="1487"/>
      <c r="AL3" s="1487"/>
      <c r="AM3" s="1487"/>
      <c r="AN3" s="1487"/>
      <c r="AO3" s="1487"/>
      <c r="AP3" s="1487"/>
      <c r="AQ3" s="1487"/>
      <c r="AR3" s="1487"/>
      <c r="AS3" s="1487"/>
      <c r="AT3" s="1487"/>
      <c r="AU3" s="1487"/>
      <c r="AV3" s="1487"/>
      <c r="AW3" s="1488"/>
      <c r="BA3" s="509">
        <v>1</v>
      </c>
      <c r="BD3" s="1469">
        <v>1</v>
      </c>
      <c r="BE3" s="1470"/>
      <c r="BF3" s="510" t="s">
        <v>408</v>
      </c>
      <c r="BG3" s="511" t="s">
        <v>409</v>
      </c>
      <c r="BH3" s="510" t="s">
        <v>410</v>
      </c>
      <c r="BI3" s="511" t="s">
        <v>411</v>
      </c>
      <c r="BJ3" s="510" t="s">
        <v>412</v>
      </c>
      <c r="BK3" s="511" t="s">
        <v>413</v>
      </c>
      <c r="BR3" s="1505" t="s">
        <v>988</v>
      </c>
      <c r="BS3" s="1505" t="s">
        <v>1016</v>
      </c>
      <c r="BT3" s="512" t="s">
        <v>414</v>
      </c>
      <c r="BU3" s="948"/>
      <c r="BV3" s="513"/>
      <c r="BW3" s="513"/>
      <c r="BX3" s="513"/>
      <c r="BY3" s="513"/>
      <c r="BZ3" s="513"/>
      <c r="CA3" s="513"/>
      <c r="CB3" s="1457" t="s">
        <v>1002</v>
      </c>
      <c r="CC3" s="1458"/>
      <c r="CD3" s="1458"/>
      <c r="CE3" s="1458"/>
      <c r="CF3" s="1458"/>
      <c r="CG3" s="1458"/>
      <c r="CH3" s="1459"/>
      <c r="CI3" s="1457" t="s">
        <v>1003</v>
      </c>
      <c r="CJ3" s="1458"/>
      <c r="CK3" s="1458"/>
      <c r="CL3" s="1458"/>
      <c r="CM3" s="1458"/>
      <c r="CN3" s="1458"/>
      <c r="CO3" s="1459"/>
      <c r="CP3" s="1457" t="s">
        <v>1006</v>
      </c>
      <c r="CQ3" s="1458"/>
      <c r="CR3" s="1458"/>
      <c r="CS3" s="1458"/>
      <c r="CT3" s="1458"/>
      <c r="CU3" s="1458"/>
      <c r="CV3" s="1459"/>
      <c r="CW3" s="1454" t="s">
        <v>1070</v>
      </c>
      <c r="CX3" s="1455"/>
      <c r="CY3" s="1455"/>
      <c r="CZ3" s="1455"/>
      <c r="DA3" s="1455"/>
      <c r="DB3" s="1455"/>
      <c r="DC3" s="1455"/>
      <c r="DD3" s="1455"/>
      <c r="DE3" s="1456"/>
      <c r="DF3" s="1454" t="s">
        <v>1074</v>
      </c>
      <c r="DG3" s="1455"/>
      <c r="DH3" s="1455"/>
      <c r="DI3" s="1455"/>
      <c r="DJ3" s="1455"/>
      <c r="DK3" s="1455"/>
      <c r="DL3" s="1455"/>
      <c r="DM3" s="1455"/>
      <c r="DN3" s="1455"/>
      <c r="DO3" s="1455"/>
      <c r="DP3" s="1456"/>
      <c r="DQ3" s="1454" t="s">
        <v>1081</v>
      </c>
      <c r="DR3" s="1455"/>
      <c r="DS3" s="1455"/>
      <c r="DT3" s="1455"/>
      <c r="DU3" s="1456"/>
      <c r="DV3" s="1454" t="s">
        <v>1083</v>
      </c>
      <c r="DW3" s="1455"/>
      <c r="DX3" s="1455"/>
      <c r="DY3" s="1455"/>
      <c r="DZ3" s="1455"/>
      <c r="EA3" s="1455"/>
      <c r="EB3" s="1456"/>
      <c r="EC3" s="1454" t="s">
        <v>1087</v>
      </c>
      <c r="ED3" s="1455"/>
      <c r="EE3" s="1455"/>
      <c r="EF3" s="1455"/>
      <c r="EG3" s="1456"/>
      <c r="EH3" s="1454" t="s">
        <v>1096</v>
      </c>
      <c r="EI3" s="1455"/>
      <c r="EJ3" s="1455"/>
      <c r="EK3" s="1455"/>
      <c r="EL3" s="1456"/>
      <c r="EM3" s="1454" t="s">
        <v>1101</v>
      </c>
      <c r="EN3" s="1455"/>
      <c r="EO3" s="1455"/>
      <c r="EP3" s="1455"/>
      <c r="EQ3" s="1456"/>
      <c r="ER3" s="887" t="s">
        <v>1109</v>
      </c>
      <c r="ES3" s="591"/>
      <c r="EU3" s="1447" t="s">
        <v>2248</v>
      </c>
      <c r="EV3" s="1448"/>
      <c r="EW3" s="1448"/>
      <c r="EX3" s="1449"/>
      <c r="EZ3" s="1447" t="s">
        <v>1138</v>
      </c>
      <c r="FA3" s="1448"/>
      <c r="FB3" s="1448"/>
      <c r="FC3" s="1449"/>
      <c r="FE3" s="1447" t="s">
        <v>2247</v>
      </c>
      <c r="FF3" s="1448"/>
      <c r="FG3" s="1448"/>
      <c r="FH3" s="1449"/>
    </row>
    <row r="4" spans="1:167" ht="15.75" thickBot="1">
      <c r="A4" s="1484"/>
      <c r="B4" s="1484"/>
      <c r="C4" s="1484"/>
      <c r="D4" s="1484"/>
      <c r="E4" s="1484"/>
      <c r="F4" s="1484"/>
      <c r="G4" s="1484"/>
      <c r="H4" s="508"/>
      <c r="O4" s="575" t="str">
        <f>IF(COUNTIF(AJ6:AJ44,C17)&gt;0,"ok",0)</f>
        <v>ok</v>
      </c>
      <c r="P4" s="1471" t="s">
        <v>965</v>
      </c>
      <c r="Q4" s="1471"/>
      <c r="R4" s="1471"/>
      <c r="S4" s="1472"/>
      <c r="U4" s="516" t="s">
        <v>94</v>
      </c>
      <c r="V4" s="517">
        <f>IF(C17="GL75",2,IF(OR(LEFT(C17,1)="C",AND(LEFT(C17,1)="G",LEN(C17)=5)),0,IF(LEFT(C17,1)="D",1,IF(C16="Funierschichtholz",3,NA()))))</f>
        <v>0</v>
      </c>
      <c r="W4" s="882" t="str">
        <f>CONCATENATE(HLOOKUP(C17,MKW!E3:BS5,2,0)," nach ",HLOOKUP(C17,MKW!E3:BS5,3,0))</f>
        <v>Brettschichtholz nach DIN EN 14080:2013-09, Tab. 5</v>
      </c>
      <c r="X4" s="520"/>
      <c r="Y4" s="520"/>
      <c r="Z4" s="519"/>
      <c r="AB4" s="521" t="s">
        <v>415</v>
      </c>
      <c r="AC4" s="522" t="s">
        <v>416</v>
      </c>
      <c r="AD4" s="704" t="s">
        <v>415</v>
      </c>
      <c r="AE4" s="705" t="s">
        <v>416</v>
      </c>
      <c r="AG4" s="523"/>
      <c r="AH4" s="524" t="str">
        <f>MKW!$A$4</f>
        <v>Materialkategorie</v>
      </c>
      <c r="AJ4" s="1508" t="str">
        <f>MKW!$A$3</f>
        <v>Festigkeitsklasse</v>
      </c>
      <c r="AK4" s="1509"/>
      <c r="AM4" s="524"/>
      <c r="AT4" s="1508" t="str">
        <f>MKW!$A$26</f>
        <v>Modifikations- und Deformationsbeiwerte</v>
      </c>
      <c r="AU4" s="1510"/>
      <c r="AV4" s="1509"/>
      <c r="AW4" s="525"/>
      <c r="BA4" s="509">
        <v>2</v>
      </c>
      <c r="BB4" s="526" t="s">
        <v>417</v>
      </c>
      <c r="BC4" s="527">
        <f>IF(V10=20,1,0)</f>
        <v>0</v>
      </c>
      <c r="BD4" s="1469" t="s">
        <v>95</v>
      </c>
      <c r="BE4" s="1470"/>
      <c r="BF4" s="528" t="str">
        <f>IF(OR(V4=2,V4=3),BL34,IF(OR(V4=0,V4=1),BL32))</f>
        <v>Nebenträger an Hauptträger</v>
      </c>
      <c r="BG4" s="529"/>
      <c r="BH4" s="528" t="str">
        <f>IF(OR(V4=2,V4=3),BL35,IF(OR(V4=0,V4=1),BL33))</f>
        <v>Nebenträger an Stütze</v>
      </c>
      <c r="BI4" s="529"/>
      <c r="BJ4" s="528" t="str">
        <f>IF(OR(V4=2,V4=3),BL36,IF(OR(V4=0,V4=1),""))</f>
        <v/>
      </c>
      <c r="BK4" s="529"/>
      <c r="BR4" s="1506"/>
      <c r="BS4" s="1506"/>
      <c r="BT4" s="820" t="s">
        <v>985</v>
      </c>
      <c r="BU4" s="838" t="s">
        <v>1127</v>
      </c>
      <c r="BV4" s="530" t="s">
        <v>986</v>
      </c>
      <c r="BW4" s="530" t="s">
        <v>1000</v>
      </c>
      <c r="BX4" s="530" t="s">
        <v>1001</v>
      </c>
      <c r="BY4" s="530" t="s">
        <v>987</v>
      </c>
      <c r="BZ4" s="530" t="s">
        <v>1010</v>
      </c>
      <c r="CA4" s="814" t="s">
        <v>466</v>
      </c>
      <c r="CB4" s="816" t="s">
        <v>418</v>
      </c>
      <c r="CC4" s="530" t="s">
        <v>118</v>
      </c>
      <c r="CD4" s="530" t="s">
        <v>1088</v>
      </c>
      <c r="CE4" s="530" t="s">
        <v>1089</v>
      </c>
      <c r="CF4" s="530" t="s">
        <v>1004</v>
      </c>
      <c r="CG4" s="530" t="s">
        <v>420</v>
      </c>
      <c r="CH4" s="827" t="s">
        <v>569</v>
      </c>
      <c r="CI4" s="530" t="s">
        <v>419</v>
      </c>
      <c r="CJ4" s="530" t="s">
        <v>118</v>
      </c>
      <c r="CK4" s="530" t="s">
        <v>1088</v>
      </c>
      <c r="CL4" s="530" t="s">
        <v>1005</v>
      </c>
      <c r="CM4" s="530" t="s">
        <v>1004</v>
      </c>
      <c r="CN4" s="530" t="s">
        <v>421</v>
      </c>
      <c r="CO4" s="826" t="s">
        <v>569</v>
      </c>
      <c r="CP4" s="816" t="s">
        <v>986</v>
      </c>
      <c r="CQ4" s="530" t="s">
        <v>1008</v>
      </c>
      <c r="CR4" s="530" t="s">
        <v>1009</v>
      </c>
      <c r="CS4" s="530" t="s">
        <v>987</v>
      </c>
      <c r="CT4" s="530" t="s">
        <v>1007</v>
      </c>
      <c r="CU4" s="530" t="s">
        <v>1099</v>
      </c>
      <c r="CV4" s="531" t="s">
        <v>422</v>
      </c>
      <c r="CW4" s="865" t="s">
        <v>648</v>
      </c>
      <c r="CX4" s="852" t="s">
        <v>519</v>
      </c>
      <c r="CY4" s="852" t="s">
        <v>527</v>
      </c>
      <c r="CZ4" s="852" t="s">
        <v>528</v>
      </c>
      <c r="DA4" s="852" t="s">
        <v>567</v>
      </c>
      <c r="DB4" s="852" t="s">
        <v>528</v>
      </c>
      <c r="DC4" s="530" t="s">
        <v>1071</v>
      </c>
      <c r="DD4" s="530" t="s">
        <v>1102</v>
      </c>
      <c r="DE4" s="868" t="s">
        <v>1072</v>
      </c>
      <c r="DF4" s="863" t="s">
        <v>1078</v>
      </c>
      <c r="DG4" s="864" t="s">
        <v>519</v>
      </c>
      <c r="DH4" s="864" t="s">
        <v>568</v>
      </c>
      <c r="DI4" s="864" t="s">
        <v>528</v>
      </c>
      <c r="DJ4" s="864" t="s">
        <v>527</v>
      </c>
      <c r="DK4" s="864" t="s">
        <v>528</v>
      </c>
      <c r="DL4" s="864" t="s">
        <v>1076</v>
      </c>
      <c r="DM4" s="864" t="s">
        <v>1077</v>
      </c>
      <c r="DN4" s="869" t="s">
        <v>1075</v>
      </c>
      <c r="DO4" s="869" t="s">
        <v>1107</v>
      </c>
      <c r="DP4" s="870" t="s">
        <v>1072</v>
      </c>
      <c r="DQ4" s="865" t="s">
        <v>1080</v>
      </c>
      <c r="DR4" s="852" t="s">
        <v>519</v>
      </c>
      <c r="DS4" s="530" t="s">
        <v>1082</v>
      </c>
      <c r="DT4" s="530" t="s">
        <v>1106</v>
      </c>
      <c r="DU4" s="868" t="s">
        <v>1072</v>
      </c>
      <c r="DV4" s="865" t="s">
        <v>1084</v>
      </c>
      <c r="DW4" s="852" t="s">
        <v>519</v>
      </c>
      <c r="DX4" s="852" t="s">
        <v>931</v>
      </c>
      <c r="DY4" s="852" t="s">
        <v>528</v>
      </c>
      <c r="DZ4" s="530" t="s">
        <v>1085</v>
      </c>
      <c r="EA4" s="530" t="s">
        <v>1105</v>
      </c>
      <c r="EB4" s="868" t="s">
        <v>1072</v>
      </c>
      <c r="EC4" s="865" t="s">
        <v>909</v>
      </c>
      <c r="ED4" s="852" t="s">
        <v>519</v>
      </c>
      <c r="EE4" s="530" t="s">
        <v>1090</v>
      </c>
      <c r="EF4" s="530" t="s">
        <v>1104</v>
      </c>
      <c r="EG4" s="868" t="s">
        <v>1072</v>
      </c>
      <c r="EH4" s="865" t="s">
        <v>1097</v>
      </c>
      <c r="EI4" s="852" t="s">
        <v>519</v>
      </c>
      <c r="EJ4" s="530" t="s">
        <v>1098</v>
      </c>
      <c r="EK4" s="530" t="s">
        <v>1103</v>
      </c>
      <c r="EL4" s="868" t="s">
        <v>1072</v>
      </c>
      <c r="EM4" s="816" t="s">
        <v>680</v>
      </c>
      <c r="EN4" s="530" t="s">
        <v>1104</v>
      </c>
      <c r="EO4" s="530" t="s">
        <v>1108</v>
      </c>
      <c r="EP4" s="530" t="s">
        <v>1110</v>
      </c>
      <c r="EQ4" s="868" t="s">
        <v>1072</v>
      </c>
      <c r="ER4" s="888" t="s">
        <v>1072</v>
      </c>
      <c r="ES4" s="649"/>
      <c r="EU4" s="1491" t="s">
        <v>1136</v>
      </c>
      <c r="EV4" s="1492"/>
      <c r="EW4" s="1491" t="s">
        <v>1137</v>
      </c>
      <c r="EX4" s="1492"/>
      <c r="EZ4" s="1491" t="s">
        <v>1139</v>
      </c>
      <c r="FA4" s="1507"/>
      <c r="FB4" s="1491" t="s">
        <v>1137</v>
      </c>
      <c r="FC4" s="1492"/>
      <c r="FE4" s="1447" t="s">
        <v>2061</v>
      </c>
      <c r="FF4" s="1448"/>
      <c r="FG4" s="1448"/>
      <c r="FH4" s="1449"/>
    </row>
    <row r="5" spans="1:167" ht="16.7" customHeight="1" thickBot="1">
      <c r="A5" s="1484"/>
      <c r="B5" s="1484"/>
      <c r="C5" s="1484"/>
      <c r="D5" s="1484"/>
      <c r="E5" s="1484"/>
      <c r="F5" s="1484"/>
      <c r="G5" s="1484"/>
      <c r="H5" s="508"/>
      <c r="O5" s="575" t="str">
        <f>IF(COUNTIF(AK6:AK44,C24)&gt;0,"ok",0)</f>
        <v>ok</v>
      </c>
      <c r="P5" s="1471" t="s">
        <v>966</v>
      </c>
      <c r="Q5" s="1471"/>
      <c r="R5" s="1471"/>
      <c r="S5" s="1472"/>
      <c r="U5" s="532" t="s">
        <v>95</v>
      </c>
      <c r="V5" s="533">
        <f>IF(C24="GL75",2,IF(OR(LEFT(C24,1)="C",AND(LEFT(C24,1)="G",LEN(C24)=5)),0,IF(LEFT(C24,1)="D",1,IF(C23="Funierschichtholz",3,NA()))))</f>
        <v>0</v>
      </c>
      <c r="W5" s="883" t="str">
        <f>CONCATENATE(HLOOKUP(C24,MKW!E3:BS5,2,0)," nach ",HLOOKUP(C24,MKW!E3:BS5,3,0))</f>
        <v>Brettschichtholz nach DIN EN 14080:2013-09, Tab. 5</v>
      </c>
      <c r="X5" s="884"/>
      <c r="Y5" s="884"/>
      <c r="Z5" s="885"/>
      <c r="AB5" s="521">
        <v>0</v>
      </c>
      <c r="AC5" s="522">
        <v>0</v>
      </c>
      <c r="AD5" s="521">
        <v>1</v>
      </c>
      <c r="AE5" s="522">
        <v>1</v>
      </c>
      <c r="AG5" s="523"/>
      <c r="AJ5" s="537" t="s">
        <v>6</v>
      </c>
      <c r="AK5" s="537" t="s">
        <v>7</v>
      </c>
      <c r="AM5" s="538" t="s">
        <v>423</v>
      </c>
      <c r="AN5" s="539"/>
      <c r="AO5" s="540"/>
      <c r="AP5" s="537" t="s">
        <v>6</v>
      </c>
      <c r="AQ5" s="537" t="s">
        <v>7</v>
      </c>
      <c r="AT5" s="541"/>
      <c r="AU5" s="542" t="s">
        <v>6</v>
      </c>
      <c r="AV5" s="542" t="s">
        <v>7</v>
      </c>
      <c r="AW5" s="543"/>
      <c r="BA5" s="509">
        <v>3</v>
      </c>
      <c r="BB5" s="544" t="s">
        <v>264</v>
      </c>
      <c r="BC5" s="545" t="s">
        <v>424</v>
      </c>
      <c r="BD5" s="546" t="s">
        <v>425</v>
      </c>
      <c r="BE5" s="517" t="s">
        <v>426</v>
      </c>
      <c r="BF5" s="547" t="s">
        <v>427</v>
      </c>
      <c r="BG5" s="517" t="s">
        <v>426</v>
      </c>
      <c r="BH5" s="547" t="s">
        <v>427</v>
      </c>
      <c r="BI5" s="548" t="s">
        <v>426</v>
      </c>
      <c r="BJ5" s="547" t="s">
        <v>427</v>
      </c>
      <c r="BK5" s="548" t="s">
        <v>426</v>
      </c>
      <c r="BQ5" s="815"/>
      <c r="BR5" s="570" t="e">
        <f ca="1">CB5+CI5</f>
        <v>#DIV/0!</v>
      </c>
      <c r="BS5" s="570" t="s">
        <v>1017</v>
      </c>
      <c r="BT5" s="550" t="s">
        <v>733</v>
      </c>
      <c r="BU5" s="949">
        <f>IF(OR(B99&lt;&gt;0,C99&lt;&gt;0,D99&lt;&gt;0,E99&lt;&gt;0,G99&lt;&gt;0),1,0)</f>
        <v>0</v>
      </c>
      <c r="BV5" s="829">
        <f>$BU$5*1.35*B$99</f>
        <v>0</v>
      </c>
      <c r="BW5" s="829">
        <f>$BU$5*1.35*C$99</f>
        <v>0</v>
      </c>
      <c r="BX5" s="829">
        <f>$BU$5*1.35*D$99</f>
        <v>0</v>
      </c>
      <c r="BY5" s="829">
        <f>$BU$5*1.35*E$99</f>
        <v>0</v>
      </c>
      <c r="BZ5" s="829">
        <f>$BU$5*1.35*G$99</f>
        <v>0</v>
      </c>
      <c r="CA5" s="830">
        <v>1</v>
      </c>
      <c r="CB5" s="822" t="e">
        <f ca="1">IF(CG5=0,0,(-CG5+BX5*$CA$1+BW5/2*$C$87^2+CN5)/$C$87)</f>
        <v>#DIV/0!</v>
      </c>
      <c r="CC5" s="829" t="str">
        <f t="shared" ref="CC5:CC18" si="0">_oben</f>
        <v>oben</v>
      </c>
      <c r="CD5" s="831" t="e">
        <f ca="1">IF(CC5=_oben,Berechnung_BZoben!$S$7,Berechnung_BZunten!$S$7)</f>
        <v>#DIV/0!</v>
      </c>
      <c r="CE5" s="831" t="e">
        <f ca="1">CD5*2/(3*(1+2*Eingabe!CA5*Eingabe!$D$76))</f>
        <v>#DIV/0!</v>
      </c>
      <c r="CF5" s="828" t="e">
        <f ca="1">IF($C$86=Sprachtexte!$A$87,
-CE5*$C$87^3*BW5/(12*CE5*$C$87+24*$CF$2)+BX5*$BY$1*$CA$1/(6*$CF$2)*(($BY$1-$C$87-2*$CA$1)/(6*$CF$2)-1/CE5-$CA$1/(CE5*$C$87))/(($C$87/(3*$CF$2)+1/CE5)^2-($C$87/(6*$CF$2))^2),
-CE5*$C$87^3*BW5/(8*CE5*$C$87+24*$CF$2)-CE5*$CA$1/$C$87*($C$87^2-$CA$1^2)*BX5/(2*CE5*$C$87+6*$CF$2))</f>
        <v>#DIV/0!</v>
      </c>
      <c r="CG5" s="828" t="e">
        <f ca="1">IF(OR(AND($CC5=_oben,CF5&lt;0),AND($CC5=_unten,CF5&gt;0)),CF5,0)</f>
        <v>#DIV/0!</v>
      </c>
      <c r="CH5" s="832">
        <f t="shared" ref="CH5:CH32" ca="1" si="1">IFERROR(CG5/(-1/12*BW5*$C$87^2-$BY$2*$CA$2^2*BX5*$C$87),0)</f>
        <v>0</v>
      </c>
      <c r="CI5" s="822" t="e">
        <f t="shared" ref="CI5:CI32" ca="1" si="2">IF(CG5=0,0,(-CG5+BX5*$BY$1+BW5/2*$C$87^2+CN5)/$C$87)</f>
        <v>#DIV/0!</v>
      </c>
      <c r="CJ5" s="829" t="str">
        <f t="shared" ref="CJ5:CJ18" si="3">_oben</f>
        <v>oben</v>
      </c>
      <c r="CK5" s="831" t="e">
        <f ca="1">IF(CJ5=_oben,Berechnung_BZoben!$S$7,Berechnung_BZunten!$S$7)</f>
        <v>#DIV/0!</v>
      </c>
      <c r="CL5" s="831" t="e">
        <f ca="1">CK5*2/(3*(1+2*Eingabe!CA5*Eingabe!$D$76))</f>
        <v>#DIV/0!</v>
      </c>
      <c r="CM5" s="828" t="e">
        <f ca="1">IF($C$86=Sprachtexte!$A$87,
-CL5*$C$87^3*BW5/(12*CE5*$C$87+24*$CF$2)+BX5*$CA$1*$BY$1/(6*$CF$2)*(($CA$1-$C$87-2*$BY$1)/(6*$CF$2)-1/CE5-$BY$1/(CE5*$C$87))/(($C$87/(3*$CF$2)+1/CE5)^2-($C$87/(6*$CF$2))^2),0)</f>
        <v>#DIV/0!</v>
      </c>
      <c r="CN5" s="828" t="e">
        <f t="shared" ref="CN5:CN32" ca="1" si="4">IF(OR(AND(CJ5=_oben,CM5&lt;0),AND(CJ5=_unten,CM5&gt;0)),CM5,0)</f>
        <v>#DIV/0!</v>
      </c>
      <c r="CO5" s="832">
        <f t="shared" ref="CO5:CO32" ca="1" si="5">IFERROR(CN5/(-1/12*BW5*$C$87^2-$BY$2^2*$CA$2*BX5*$C$87),0)</f>
        <v>0</v>
      </c>
      <c r="CP5" s="848">
        <f>$BV5</f>
        <v>0</v>
      </c>
      <c r="CQ5" s="828" t="e">
        <f t="shared" ref="CQ5:CQ32" ca="1" si="6">MAX($CB5,$CI5,0)</f>
        <v>#DIV/0!</v>
      </c>
      <c r="CR5" s="828" t="e">
        <f t="shared" ref="CR5:CR32" ca="1" si="7">MIN($CB5,$CI5,0)</f>
        <v>#DIV/0!</v>
      </c>
      <c r="CS5" s="828">
        <f>$BY5</f>
        <v>0</v>
      </c>
      <c r="CT5" s="828" t="e">
        <f t="shared" ref="CT5:CT18" ca="1" si="8">MIN($CG5,$CN5)</f>
        <v>#DIV/0!</v>
      </c>
      <c r="CU5" s="828">
        <f>$BZ5</f>
        <v>0</v>
      </c>
      <c r="CV5" s="830">
        <f>$C$79</f>
        <v>0.6</v>
      </c>
      <c r="CW5" s="821" t="e">
        <f ca="1">MIN(Ausgabe!$C$173,Ausgabe!$C$186)</f>
        <v>#DIV/0!</v>
      </c>
      <c r="CX5" s="710">
        <f>Ausgabe!$C$187</f>
        <v>1.3</v>
      </c>
      <c r="CY5" s="619">
        <f>Ausgabe!$C$191</f>
        <v>100</v>
      </c>
      <c r="CZ5" s="710">
        <f>Ausgabe!$C$192</f>
        <v>1.25</v>
      </c>
      <c r="DA5" s="619">
        <f>Ausgabe!$C$194</f>
        <v>36.6</v>
      </c>
      <c r="DB5" s="710">
        <f>Ausgabe!$C$195</f>
        <v>1.25</v>
      </c>
      <c r="DC5" s="619" t="e">
        <f t="shared" ref="DC5:DC32" ca="1" si="9">MIN(CW5*$CV5/CX5,CY5/CZ5,DA5/DB5)</f>
        <v>#DIV/0!</v>
      </c>
      <c r="DD5" s="619">
        <f>$CP5</f>
        <v>0</v>
      </c>
      <c r="DE5" s="710" t="e">
        <f t="shared" ref="DE5:DE32" ca="1" si="10">DD5/DC5</f>
        <v>#DIV/0!</v>
      </c>
      <c r="DF5" s="822">
        <f ca="1">MIN(Ausgabe!$C$221,Ausgabe!$C$239)</f>
        <v>92.436470366395326</v>
      </c>
      <c r="DG5" s="828">
        <f>Ausgabe!$C$240</f>
        <v>1.3</v>
      </c>
      <c r="DH5" s="829">
        <f>Ausgabe!$C$246</f>
        <v>150.4</v>
      </c>
      <c r="DI5" s="828">
        <f>Ausgabe!$C$247</f>
        <v>1.1000000000000001</v>
      </c>
      <c r="DJ5" s="829">
        <f>Ausgabe!$C$254</f>
        <v>176.4</v>
      </c>
      <c r="DK5" s="828">
        <f>Ausgabe!$C$255</f>
        <v>1.25</v>
      </c>
      <c r="DL5" s="829">
        <f>Ausgabe!$C$263</f>
        <v>180.95573684677208</v>
      </c>
      <c r="DM5" s="828">
        <f>Ausgabe!$C$264</f>
        <v>1.1000000000000001</v>
      </c>
      <c r="DN5" s="829">
        <f t="shared" ref="DN5:DN32" ca="1" si="11">MIN(DF5*$CV5/DG5,DH5/DI5,DJ5/DK5,DL5/DM5)</f>
        <v>42.662986322951689</v>
      </c>
      <c r="DO5" s="829" t="e">
        <f t="shared" ref="DO5:DO32" ca="1" si="12">$CQ5</f>
        <v>#DIV/0!</v>
      </c>
      <c r="DP5" s="830" t="e">
        <f t="shared" ref="DP5:DP32" ca="1" si="13">DO5/DN5</f>
        <v>#DIV/0!</v>
      </c>
      <c r="DQ5" s="821" t="e">
        <f ca="1">Ausgabe!$C$369</f>
        <v>#DIV/0!</v>
      </c>
      <c r="DR5" s="710">
        <f>Ausgabe!$C$370</f>
        <v>1.3</v>
      </c>
      <c r="DS5" s="619" t="e">
        <f t="shared" ref="DS5:DS32" ca="1" si="14">MIN(DQ5*$CV5/DR5)</f>
        <v>#DIV/0!</v>
      </c>
      <c r="DT5" s="619" t="e">
        <f t="shared" ref="DT5:DT32" ca="1" si="15">$CR5</f>
        <v>#DIV/0!</v>
      </c>
      <c r="DU5" s="833" t="e">
        <f t="shared" ref="DU5:DU32" ca="1" si="16">ABS(DT5)/DS5</f>
        <v>#DIV/0!</v>
      </c>
      <c r="DV5" s="821">
        <f ca="1">Ausgabe!$C$420</f>
        <v>33.607770254588836</v>
      </c>
      <c r="DW5" s="710">
        <f>Ausgabe!$C$421</f>
        <v>1.3</v>
      </c>
      <c r="DX5" s="619">
        <f>Ausgabe!$C$423</f>
        <v>36.9</v>
      </c>
      <c r="DY5" s="710">
        <f>Ausgabe!$C$424</f>
        <v>1.1000000000000001</v>
      </c>
      <c r="DZ5" s="619">
        <f t="shared" ref="DZ5:DZ32" ca="1" si="17">MIN(DV5*$CV5/DW5,DX5/DY5)</f>
        <v>15.511278579041001</v>
      </c>
      <c r="EA5" s="619">
        <f>$CS5</f>
        <v>0</v>
      </c>
      <c r="EB5" s="833">
        <f t="shared" ref="EB5:EB32" ca="1" si="18">EA5/DZ5</f>
        <v>0</v>
      </c>
      <c r="EC5" s="710">
        <f ca="1">IF(CJ5=_oben,Berechnung_BZoben!$P$5,Berechnung_BZunten!$P$5)</f>
        <v>4.847242517186606</v>
      </c>
      <c r="ED5" s="710">
        <f>Ausgabe!$C$520</f>
        <v>1.3</v>
      </c>
      <c r="EE5" s="710">
        <f t="shared" ref="EE5:EE32" ca="1" si="19">MIN(EC5*$CV5/ED5)</f>
        <v>2.2371888540861256</v>
      </c>
      <c r="EF5" s="710" t="e">
        <f t="shared" ref="EF5:EF32" ca="1" si="20">$CT5</f>
        <v>#DIV/0!</v>
      </c>
      <c r="EG5" s="833" t="e">
        <f t="shared" ref="EG5:EG32" ca="1" si="21">ABS(EF5)/EE5</f>
        <v>#DIV/0!</v>
      </c>
      <c r="EH5" s="710">
        <f>Ausgabe!$C$592</f>
        <v>2.7</v>
      </c>
      <c r="EI5" s="710">
        <f>Ausgabe!$C$593</f>
        <v>1.3</v>
      </c>
      <c r="EJ5" s="710">
        <f>MIN(EH5*$CV5/EI5)</f>
        <v>1.2461538461538462</v>
      </c>
      <c r="EK5" s="710">
        <f>$CU5</f>
        <v>0</v>
      </c>
      <c r="EL5" s="833">
        <f>IF(EH5=0,0,EK5/EJ5)</f>
        <v>0</v>
      </c>
      <c r="EM5" s="821">
        <f ca="1">Ausgabe!$C$581</f>
        <v>0</v>
      </c>
      <c r="EN5" s="710" t="e">
        <f t="shared" ref="EN5:EN32" ca="1" si="22">EF5</f>
        <v>#DIV/0!</v>
      </c>
      <c r="EO5" s="710" t="e">
        <f ca="1">-IF(CJ5=_oben,MAX(ABS(EF5)-EM5/1000*MAX(DO5-DD5,0),0),0)</f>
        <v>#DIV/0!</v>
      </c>
      <c r="EP5" s="710" t="e">
        <f t="shared" ref="EP5:EP18" ca="1" si="23">EO5</f>
        <v>#DIV/0!</v>
      </c>
      <c r="EQ5" s="833" t="e">
        <f t="shared" ref="EQ5:EQ32" ca="1" si="24">IF(EN5=0,0,(DE5+ABS(EP5)/EE5)^2+DP5^2+EB5^2+EL5^2)</f>
        <v>#DIV/0!</v>
      </c>
      <c r="ER5" s="889" t="e">
        <f t="shared" ref="ER5:ER32" ca="1" si="25">IF(EN5=0,0,(DE5+EG5)^2+DU5^2+EB5^2+EL5^2)</f>
        <v>#DIV/0!</v>
      </c>
      <c r="ES5" s="619"/>
      <c r="EU5" s="499" t="s">
        <v>1140</v>
      </c>
      <c r="EV5" s="723">
        <f>$C$25</f>
        <v>0</v>
      </c>
      <c r="EW5" s="499" t="s">
        <v>1140</v>
      </c>
      <c r="EX5" s="723">
        <f>$C$25</f>
        <v>0</v>
      </c>
      <c r="EZ5" s="499" t="s">
        <v>1140</v>
      </c>
      <c r="FA5" s="950">
        <f>$C$25</f>
        <v>0</v>
      </c>
      <c r="FB5" s="711" t="s">
        <v>1140</v>
      </c>
      <c r="FC5" s="952">
        <f>$C$25</f>
        <v>0</v>
      </c>
      <c r="FE5" s="1224" t="s">
        <v>1107</v>
      </c>
      <c r="FF5" s="1217" t="e">
        <f ca="1">Ausgabe!C268*1000</f>
        <v>#DIV/0!</v>
      </c>
      <c r="FG5" s="718" t="s">
        <v>5</v>
      </c>
      <c r="FH5" s="714"/>
      <c r="FJ5" s="569"/>
      <c r="FK5" s="859"/>
    </row>
    <row r="6" spans="1:167" ht="16.5" thickBot="1">
      <c r="A6" s="978" t="str">
        <f>Sprachtexte!A6</f>
        <v>Firma</v>
      </c>
      <c r="B6" s="1461"/>
      <c r="C6" s="1462"/>
      <c r="D6" s="1462"/>
      <c r="E6" s="1462"/>
      <c r="F6" s="1463"/>
      <c r="G6" s="1432"/>
      <c r="H6" s="508"/>
      <c r="O6" s="575" t="str">
        <f>IF(AND(V7=10,V8=10),IF(AND(COUNTIF(AE6:AE44,D57)&gt;0,COUNTIF(AD6:AD44,D58)&gt;0,COUNTIF(AE6:AE44,D59)&gt;0,COUNTIF(AD6:AD44,D60)&gt;0),"ok",0),
 IF(AND(V7=11,V8=11),IF(AND(COUNTIF(AC6:AC44,D57)&gt;0,COUNTIF(AB6:AB44,D58)&gt;0,COUNTIF(AC6:AC44,D59)&gt;0,COUNTIF(AB6:AB44,D60)&gt;0),"ok",0)))</f>
        <v>ok</v>
      </c>
      <c r="P6" s="1471" t="s">
        <v>672</v>
      </c>
      <c r="Q6" s="1471"/>
      <c r="R6" s="1471"/>
      <c r="S6" s="1472"/>
      <c r="U6" s="1464" t="s">
        <v>428</v>
      </c>
      <c r="V6" s="1465"/>
      <c r="W6" s="1465"/>
      <c r="X6" s="1465"/>
      <c r="Y6" s="1465"/>
      <c r="Z6" s="1466"/>
      <c r="AA6" s="553"/>
      <c r="AB6" s="554" t="str" cm="1">
        <f t="array" ref="AB6:AB17">TRANSPOSE(_xlfn.UNIQUE(_xlfn._xlws.FILTER(MKW!E116:U116, MKW!E116:U116&lt;&gt;""), TRUE, FALSE))</f>
        <v>SK 8x120</v>
      </c>
      <c r="AC6" s="543" t="str" cm="1">
        <f t="array" ref="AC6:AC17">TRANSPOSE(_xlfn.UNIQUE(_xlfn._xlws.FILTER(MKW!E116:U116, MKW!E116:U116&lt;&gt;""), TRUE, FALSE))</f>
        <v>SK 8x120</v>
      </c>
      <c r="AD6" s="554" t="str" cm="1">
        <f t="array" ref="AD6:AD17">TRANSPOSE(_xlfn.UNIQUE(_xlfn._xlws.FILTER(MKW!V116:AK116, MKW!V116:AK116&lt;&gt;""), TRUE, FALSE))</f>
        <v>Assy Plus VG 8x120</v>
      </c>
      <c r="AE6" s="706" t="str" cm="1">
        <f t="array" ref="AE6:AE17">TRANSPOSE(_xlfn.UNIQUE(_xlfn._xlws.FILTER(MKW!V116:AK116, MKW!V116:AK116&lt;&gt;""), TRUE, FALSE))</f>
        <v>Assy Plus VG 8x120</v>
      </c>
      <c r="AF6" s="553"/>
      <c r="AG6" s="523"/>
      <c r="AH6" s="555" cm="1">
        <f t="array" ref="AH6:AH11">TRANSPOSE(_xlfn.UNIQUE(MKW!F4:FS4,TRUE,FALSE))</f>
        <v>0</v>
      </c>
      <c r="AJ6" s="556" t="str" cm="1">
        <f t="array" ref="AJ6:AJ15">TRANSPOSE(_xlfn._xlws.FILTER(MKW!F3:FS3,MKW!F4:FS4=C16))</f>
        <v>GL24c</v>
      </c>
      <c r="AK6" s="556" t="str" cm="1">
        <f t="array" ref="AK6:AK15">TRANSPOSE(_xlfn._xlws.FILTER(MKW!F3:FS3,MKW!F4:FS4=C23))</f>
        <v>GL24c</v>
      </c>
      <c r="AM6" s="557">
        <v>4</v>
      </c>
      <c r="AN6" s="558" t="s">
        <v>429</v>
      </c>
      <c r="AO6" s="559" t="s">
        <v>60</v>
      </c>
      <c r="AP6" s="737">
        <f>HLOOKUP($C$17,MKW!$A$3:$BD$25,$AM6,FALSE)</f>
        <v>24</v>
      </c>
      <c r="AQ6" s="737">
        <f>HLOOKUP($C$24,MKW!$A$3:$BD$25,$AM6,FALSE)</f>
        <v>24</v>
      </c>
      <c r="AT6" s="556"/>
      <c r="AU6" s="560" t="str" cm="1">
        <f t="array" ref="AU6:AU14">TRANSPOSE(_xlfn._xlws.FILTER(_xlfn._xlws.FILTER(MKW!A29:I46,MKW!A29:A46=C16),INDEX(_xlfn._xlws.FILTER(MKW!A29:I46,MKW!A29:A46=C16),,2)=B76,))</f>
        <v>Brettschichtholz</v>
      </c>
      <c r="AV6" s="560" t="str" cm="1">
        <f t="array" ref="AV6:AV14">TRANSPOSE(_xlfn._xlws.FILTER(_xlfn._xlws.FILTER(MKW!A29:I46,MKW!A29:A46=C23),INDEX(_xlfn._xlws.FILTER(MKW!A29:I46,MKW!A29:A46=C23),,2)=B76,))</f>
        <v>Brettschichtholz</v>
      </c>
      <c r="AW6" s="543"/>
      <c r="BA6" s="509">
        <v>4</v>
      </c>
      <c r="BB6" s="564">
        <v>0</v>
      </c>
      <c r="BC6" s="565" t="s">
        <v>9</v>
      </c>
      <c r="BD6" s="566">
        <f>ABS($BG$2)</f>
        <v>0</v>
      </c>
      <c r="BE6" s="567">
        <f>IF(BG2&gt;=0,ABS(45-$BG$2),IF(BG2&lt;0,IF(ABS(45-$BG$2)&gt;90,180-ABS(45-$BG$2),ABS(45-$BG$2))))</f>
        <v>45</v>
      </c>
      <c r="BF6" s="568">
        <v>90</v>
      </c>
      <c r="BG6" s="567">
        <v>90</v>
      </c>
      <c r="BH6" s="568">
        <v>90</v>
      </c>
      <c r="BI6" s="567">
        <v>45</v>
      </c>
      <c r="BJ6" s="566">
        <v>90</v>
      </c>
      <c r="BK6" s="567">
        <v>45</v>
      </c>
      <c r="BL6" s="569" t="s">
        <v>430</v>
      </c>
      <c r="BQ6" s="815"/>
      <c r="BR6" s="570" t="e">
        <f t="shared" ref="BR6:BR32" ca="1" si="26">CB6+CI6</f>
        <v>#DIV/0!</v>
      </c>
      <c r="BS6" s="570" t="s">
        <v>1018</v>
      </c>
      <c r="BT6" s="571" t="s">
        <v>970</v>
      </c>
      <c r="BU6" s="610">
        <f>IF(OR(B100&lt;&gt;0,C100&lt;&gt;0,D100&lt;&gt;0,E100&lt;&gt;0,G100&lt;&gt;0),1,0)</f>
        <v>0</v>
      </c>
      <c r="BV6" s="619">
        <f>$BU$6*(1.35*B$99+1.5*B$100)</f>
        <v>0</v>
      </c>
      <c r="BW6" s="619">
        <f>$BU$6*(1.35*C$99+1.5*C$100)</f>
        <v>0</v>
      </c>
      <c r="BX6" s="619">
        <f>$BU$6*(1.35*D$99+1.5*D$100)</f>
        <v>0</v>
      </c>
      <c r="BY6" s="619">
        <f>$BU$6*(1.35*E$99+1.5*E$100)</f>
        <v>0</v>
      </c>
      <c r="BZ6" s="619">
        <f>$BU$6*(1.35*G$99+1.5*G$100)</f>
        <v>0</v>
      </c>
      <c r="CA6" s="833">
        <f>VLOOKUP($A$80,MKW!$A$50:$E$60,4,FALSE)</f>
        <v>0.3</v>
      </c>
      <c r="CB6" s="821" t="e">
        <f t="shared" ref="CB6:CB32" ca="1" si="27">IF(CG6=0,0,(-CG6+BX6*$CA$1+BW6/2*$C$87^2+CN6)/$C$87)</f>
        <v>#DIV/0!</v>
      </c>
      <c r="CC6" s="619" t="str">
        <f t="shared" si="0"/>
        <v>oben</v>
      </c>
      <c r="CD6" s="834" t="e">
        <f ca="1">IF(CC6=_oben,Berechnung_BZoben!$S$7,Berechnung_BZunten!$S$7)</f>
        <v>#DIV/0!</v>
      </c>
      <c r="CE6" s="834" t="e">
        <f ca="1">CD6*2/(3*(1+2*Eingabe!CA6*Eingabe!$D$76))</f>
        <v>#DIV/0!</v>
      </c>
      <c r="CF6" s="710" t="e">
        <f ca="1">IF($C$86=Sprachtexte!$A$87,
-CE6*$C$87^3*BW6/(12*CE6*$C$87+24*$CF$2)+BX6*$BY$1*$CA$1/(6*$CF$2)*(($BY$1-$C$87-2*$CA$1)/(6*$CF$2)-1/CE6-$CA$1/(CE6*$C$87))/(($C$87/(3*$CF$2)+1/CE6)^2-($C$87/(6*$CF$2))^2),
-CE6*$C$87^3*BW6/(8*CE6*$C$87+24*$CF$2)-CE6*$CA$1/$C$87*($C$87^2-$CA$1^2)*BX6/(2*CE6*$C$87+6*$CF$2))</f>
        <v>#DIV/0!</v>
      </c>
      <c r="CG6" s="710" t="e">
        <f t="shared" ref="CG6:CG32" ca="1" si="28">IF(OR(AND(CC6=_oben,CF6&lt;0),AND(CC6=_unten,CF6&gt;0)),CF6,0)</f>
        <v>#DIV/0!</v>
      </c>
      <c r="CH6" s="835">
        <f t="shared" ca="1" si="1"/>
        <v>0</v>
      </c>
      <c r="CI6" s="821" t="e">
        <f t="shared" ca="1" si="2"/>
        <v>#DIV/0!</v>
      </c>
      <c r="CJ6" s="619" t="str">
        <f t="shared" si="3"/>
        <v>oben</v>
      </c>
      <c r="CK6" s="834" t="e">
        <f ca="1">IF(CJ6=_oben,Berechnung_BZoben!$S$7,Berechnung_BZunten!$S$7)</f>
        <v>#DIV/0!</v>
      </c>
      <c r="CL6" s="834" t="e">
        <f ca="1">CK6*2/(3*(1+2*Eingabe!CA6*Eingabe!$D$76))</f>
        <v>#DIV/0!</v>
      </c>
      <c r="CM6" s="710" t="e">
        <f ca="1">IF($C$86=Sprachtexte!$A$87,
-CL6*$C$87^3*BW6/(12*CE6*$C$87+24*$CF$2)+BX6*$CA$1*$BY$1/(6*$CF$2)*(($CA$1-$C$87-2*$BY$1)/(6*$CF$2)-1/CE6-$BY$1/(CE6*$C$87))/(($C$87/(3*$CF$2)+1/CE6)^2-($C$87/(6*$CF$2))^2),0)</f>
        <v>#DIV/0!</v>
      </c>
      <c r="CN6" s="710" t="e">
        <f t="shared" ca="1" si="4"/>
        <v>#DIV/0!</v>
      </c>
      <c r="CO6" s="835">
        <f t="shared" ca="1" si="5"/>
        <v>0</v>
      </c>
      <c r="CP6" s="849">
        <f t="shared" ref="CP6:CP32" si="29">$BV6</f>
        <v>0</v>
      </c>
      <c r="CQ6" s="710" t="e">
        <f t="shared" ca="1" si="6"/>
        <v>#DIV/0!</v>
      </c>
      <c r="CR6" s="710" t="e">
        <f t="shared" ca="1" si="7"/>
        <v>#DIV/0!</v>
      </c>
      <c r="CS6" s="710">
        <f t="shared" ref="CS6:CS32" si="30">$BY6</f>
        <v>0</v>
      </c>
      <c r="CT6" s="710" t="e">
        <f t="shared" ca="1" si="8"/>
        <v>#DIV/0!</v>
      </c>
      <c r="CU6" s="710">
        <f t="shared" ref="CU6:CU32" si="31">$BZ6</f>
        <v>0</v>
      </c>
      <c r="CV6" s="833">
        <f>MAX($C$79,$C$80)</f>
        <v>0.8</v>
      </c>
      <c r="CW6" s="821" t="e">
        <f ca="1">MIN(Ausgabe!$C$173,Ausgabe!$C$186)</f>
        <v>#DIV/0!</v>
      </c>
      <c r="CX6" s="710">
        <f>Ausgabe!$C$187</f>
        <v>1.3</v>
      </c>
      <c r="CY6" s="619">
        <f>Ausgabe!$C$191</f>
        <v>100</v>
      </c>
      <c r="CZ6" s="710">
        <f>Ausgabe!$C$192</f>
        <v>1.25</v>
      </c>
      <c r="DA6" s="619">
        <f>Ausgabe!$C$194</f>
        <v>36.6</v>
      </c>
      <c r="DB6" s="710">
        <f>Ausgabe!$C$195</f>
        <v>1.25</v>
      </c>
      <c r="DC6" s="619" t="e">
        <f t="shared" ca="1" si="9"/>
        <v>#DIV/0!</v>
      </c>
      <c r="DD6" s="619">
        <f t="shared" ref="DD6:DD32" si="32">$CP6</f>
        <v>0</v>
      </c>
      <c r="DE6" s="710" t="e">
        <f t="shared" ca="1" si="10"/>
        <v>#DIV/0!</v>
      </c>
      <c r="DF6" s="821">
        <f ca="1">MIN(Ausgabe!$C$221,Ausgabe!$C$239)</f>
        <v>92.436470366395326</v>
      </c>
      <c r="DG6" s="710">
        <f>Ausgabe!$C$240</f>
        <v>1.3</v>
      </c>
      <c r="DH6" s="619">
        <f>Ausgabe!$C$246</f>
        <v>150.4</v>
      </c>
      <c r="DI6" s="710">
        <f>Ausgabe!$C$247</f>
        <v>1.1000000000000001</v>
      </c>
      <c r="DJ6" s="619">
        <f>Ausgabe!$C$254</f>
        <v>176.4</v>
      </c>
      <c r="DK6" s="710">
        <f>Ausgabe!$C$255</f>
        <v>1.25</v>
      </c>
      <c r="DL6" s="619">
        <f>Ausgabe!$C$263</f>
        <v>180.95573684677208</v>
      </c>
      <c r="DM6" s="710">
        <f>Ausgabe!$C$264</f>
        <v>1.1000000000000001</v>
      </c>
      <c r="DN6" s="619">
        <f t="shared" ca="1" si="11"/>
        <v>56.883981763935587</v>
      </c>
      <c r="DO6" s="619" t="e">
        <f t="shared" ca="1" si="12"/>
        <v>#DIV/0!</v>
      </c>
      <c r="DP6" s="833" t="e">
        <f t="shared" ca="1" si="13"/>
        <v>#DIV/0!</v>
      </c>
      <c r="DQ6" s="821" t="e">
        <f ca="1">Ausgabe!$C$369</f>
        <v>#DIV/0!</v>
      </c>
      <c r="DR6" s="710">
        <f>Ausgabe!$C$370</f>
        <v>1.3</v>
      </c>
      <c r="DS6" s="619" t="e">
        <f t="shared" ca="1" si="14"/>
        <v>#DIV/0!</v>
      </c>
      <c r="DT6" s="619" t="e">
        <f t="shared" ca="1" si="15"/>
        <v>#DIV/0!</v>
      </c>
      <c r="DU6" s="833" t="e">
        <f t="shared" ca="1" si="16"/>
        <v>#DIV/0!</v>
      </c>
      <c r="DV6" s="821">
        <f ca="1">Ausgabe!$C$420</f>
        <v>33.607770254588836</v>
      </c>
      <c r="DW6" s="710">
        <f>Ausgabe!$C$421</f>
        <v>1.3</v>
      </c>
      <c r="DX6" s="619">
        <f>Ausgabe!$C$423</f>
        <v>36.9</v>
      </c>
      <c r="DY6" s="710">
        <f>Ausgabe!$C$424</f>
        <v>1.1000000000000001</v>
      </c>
      <c r="DZ6" s="619">
        <f t="shared" ca="1" si="17"/>
        <v>20.681704772054669</v>
      </c>
      <c r="EA6" s="619">
        <f t="shared" ref="EA6:EA32" si="33">$CS6</f>
        <v>0</v>
      </c>
      <c r="EB6" s="833">
        <f t="shared" ca="1" si="18"/>
        <v>0</v>
      </c>
      <c r="EC6" s="710">
        <f ca="1">IF(CJ6=_oben,Berechnung_BZoben!$P$5,Berechnung_BZunten!$P$5)</f>
        <v>4.847242517186606</v>
      </c>
      <c r="ED6" s="710">
        <f>Ausgabe!$C$520</f>
        <v>1.3</v>
      </c>
      <c r="EE6" s="710">
        <f t="shared" ca="1" si="19"/>
        <v>2.9829184721148345</v>
      </c>
      <c r="EF6" s="710" t="e">
        <f t="shared" ca="1" si="20"/>
        <v>#DIV/0!</v>
      </c>
      <c r="EG6" s="833" t="e">
        <f t="shared" ca="1" si="21"/>
        <v>#DIV/0!</v>
      </c>
      <c r="EH6" s="710">
        <f>Ausgabe!$C$592</f>
        <v>2.7</v>
      </c>
      <c r="EI6" s="710">
        <f>Ausgabe!$C$593</f>
        <v>1.3</v>
      </c>
      <c r="EJ6" s="710">
        <f t="shared" ref="EJ6:EJ32" si="34">MIN(EH6*$CV6/EI6)</f>
        <v>1.6615384615384616</v>
      </c>
      <c r="EK6" s="710">
        <f t="shared" ref="EK6:EK32" si="35">$CU6</f>
        <v>0</v>
      </c>
      <c r="EL6" s="833">
        <f t="shared" ref="EL6:EL32" si="36">IF(EH6=0,0,EK6/EJ6)</f>
        <v>0</v>
      </c>
      <c r="EM6" s="821">
        <f ca="1">Ausgabe!$C$581</f>
        <v>0</v>
      </c>
      <c r="EN6" s="710" t="e">
        <f t="shared" ca="1" si="22"/>
        <v>#DIV/0!</v>
      </c>
      <c r="EO6" s="710" t="e">
        <f t="shared" ref="EO6:EO17" ca="1" si="37">-IF(CJ6=_oben,MAX(ABS(EF6)-EM6/1000*MAX(DO6-DD6,0),0),0)</f>
        <v>#DIV/0!</v>
      </c>
      <c r="EP6" s="710" t="e">
        <f t="shared" ca="1" si="23"/>
        <v>#DIV/0!</v>
      </c>
      <c r="EQ6" s="833" t="e">
        <f t="shared" ca="1" si="24"/>
        <v>#DIV/0!</v>
      </c>
      <c r="ER6" s="889" t="e">
        <f t="shared" ca="1" si="25"/>
        <v>#DIV/0!</v>
      </c>
      <c r="ES6" s="619"/>
      <c r="EU6" s="499" t="s">
        <v>1141</v>
      </c>
      <c r="EV6" s="723">
        <f>$C$26</f>
        <v>0</v>
      </c>
      <c r="EW6" s="499" t="s">
        <v>1141</v>
      </c>
      <c r="EX6" s="723">
        <f>$C$26</f>
        <v>0</v>
      </c>
      <c r="EZ6" s="499" t="s">
        <v>1141</v>
      </c>
      <c r="FA6" s="950">
        <f>$C$26</f>
        <v>0</v>
      </c>
      <c r="FB6" s="499" t="s">
        <v>1141</v>
      </c>
      <c r="FC6" s="724">
        <f>$C$26</f>
        <v>0</v>
      </c>
      <c r="FE6" s="1225" t="s">
        <v>422</v>
      </c>
      <c r="FF6" s="1226" t="e">
        <f ca="1">Ausgabe!F267</f>
        <v>#DIV/0!</v>
      </c>
      <c r="FG6" s="569" t="s">
        <v>370</v>
      </c>
      <c r="FH6" s="1222"/>
    </row>
    <row r="7" spans="1:167" ht="15.75">
      <c r="A7" s="978" t="str">
        <f>Sprachtexte!A7</f>
        <v>Bauvorhaben</v>
      </c>
      <c r="B7" s="1461"/>
      <c r="C7" s="1462"/>
      <c r="D7" s="1462"/>
      <c r="E7" s="1462"/>
      <c r="F7" s="1463"/>
      <c r="G7" s="1432"/>
      <c r="H7" s="508"/>
      <c r="O7" s="575">
        <f>IF(D104&lt;=C87,"ok",0)</f>
        <v>0</v>
      </c>
      <c r="P7" s="1471" t="s">
        <v>673</v>
      </c>
      <c r="Q7" s="1471"/>
      <c r="R7" s="1471"/>
      <c r="S7" s="1472"/>
      <c r="U7" s="572" t="s">
        <v>94</v>
      </c>
      <c r="V7" s="517">
        <f>MIN(IF(C17="GL75",10,
IF(AND(OR(LEFT(C17,1)="C",AND(LEFT(C17,1)="G",LEN(C17)=5)),V10=22),11,
IF(LEFT(C17,1)="D",10,
IF(OR(LEFT(C17,1)="C",AND(LEFT(C17,1)="G",LEN(C17)=5)),10,
IF(C16="Funierschichtholz",10,"FEHLER"))))),
IF(C24="GL75",10,
IF(AND(OR(LEFT(C24,1)="C",AND(LEFT(C24,1)="G",LEN(C24)=5)),V10=22),11,
IF(LEFT(C24,1)="D",10,
IF(OR(LEFT(C24,1)="C",AND(LEFT(C24,1)="G",LEN(C24)=5)),10,
IF(C23="Funierschichtholz",10,NA()))))))</f>
        <v>11</v>
      </c>
      <c r="W7" s="1473" t="str">
        <f>HLOOKUP(D57,MKW!A116:AZ140,2,FALSE)&amp;" "&amp;HLOOKUP(D57,MKW!A116:AZ140,3,FALSE)</f>
        <v>Knapp Vollgewindeschraube ETA-15/0667</v>
      </c>
      <c r="X7" s="1473"/>
      <c r="Y7" s="1473"/>
      <c r="Z7" s="1474"/>
      <c r="AA7" s="501"/>
      <c r="AB7" s="554" t="str">
        <v>SK 8x160</v>
      </c>
      <c r="AC7" s="543" t="str">
        <v>SK 8x160</v>
      </c>
      <c r="AD7" s="554" t="str">
        <v>Assy Plus VG 8x140</v>
      </c>
      <c r="AE7" s="706" t="str">
        <v>Assy Plus VG 8x140</v>
      </c>
      <c r="AG7" s="523"/>
      <c r="AH7" s="556" t="str">
        <v>Vollholz aus NH</v>
      </c>
      <c r="AJ7" s="556" t="str">
        <v>GL26c</v>
      </c>
      <c r="AK7" s="556" t="str">
        <v>GL26c</v>
      </c>
      <c r="AM7" s="557">
        <v>5</v>
      </c>
      <c r="AN7" s="558" t="s">
        <v>431</v>
      </c>
      <c r="AO7" s="559" t="s">
        <v>60</v>
      </c>
      <c r="AP7" s="737">
        <f>HLOOKUP($C$17,MKW!$A$3:$BD$25,$AM7,FALSE)</f>
        <v>19.2</v>
      </c>
      <c r="AQ7" s="737">
        <f>HLOOKUP($C$24,MKW!$A$3:$BD$25,$AM7,FALSE)</f>
        <v>19.2</v>
      </c>
      <c r="AT7" s="573" t="s">
        <v>432</v>
      </c>
      <c r="AU7" s="560">
        <v>1</v>
      </c>
      <c r="AV7" s="563">
        <v>1</v>
      </c>
      <c r="AW7" s="525"/>
      <c r="BA7" s="509">
        <v>5</v>
      </c>
      <c r="BB7" s="564">
        <v>1</v>
      </c>
      <c r="BC7" s="565" t="s">
        <v>9</v>
      </c>
      <c r="BD7" s="531">
        <f>ABS($BG$2)</f>
        <v>0</v>
      </c>
      <c r="BE7" s="574">
        <f>IF(BG2&gt;=0,ABS(45-$BG$2),IF(BG2&lt;0,IF(ABS(45-$BG$2)&gt;90,180-ABS(45-$BG$2),ABS(45-$BG$2))))</f>
        <v>45</v>
      </c>
      <c r="BF7" s="575">
        <v>90</v>
      </c>
      <c r="BG7" s="574">
        <v>90</v>
      </c>
      <c r="BH7" s="575">
        <v>90</v>
      </c>
      <c r="BI7" s="574">
        <v>45</v>
      </c>
      <c r="BJ7" s="531">
        <v>90</v>
      </c>
      <c r="BK7" s="574">
        <v>45</v>
      </c>
      <c r="BL7" s="569" t="s">
        <v>430</v>
      </c>
      <c r="BR7" s="570" t="e">
        <f t="shared" ca="1" si="26"/>
        <v>#DIV/0!</v>
      </c>
      <c r="BS7" s="570" t="s">
        <v>1019</v>
      </c>
      <c r="BT7" s="571" t="s">
        <v>971</v>
      </c>
      <c r="BU7" s="610">
        <f>IF(OR(B101&lt;&gt;0,C101&lt;&gt;0,D101&lt;&gt;0,E101&lt;&gt;0,G101&lt;&gt;0),1,0)</f>
        <v>0</v>
      </c>
      <c r="BV7" s="619">
        <f>$BU$7*(1.35*B$99+1.5*B$101)</f>
        <v>0</v>
      </c>
      <c r="BW7" s="619">
        <f>$BU$7*(1.35*C$99+1.5*C$101)</f>
        <v>0</v>
      </c>
      <c r="BX7" s="619">
        <f>$BU$7*(1.35*D$99+1.5*D$101)</f>
        <v>0</v>
      </c>
      <c r="BY7" s="619">
        <f>$BU$7*(1.35*E$99+1.5*E$101)</f>
        <v>0</v>
      </c>
      <c r="BZ7" s="619">
        <f>$BU$7*(1.35*G$99+1.5*G$101)</f>
        <v>0</v>
      </c>
      <c r="CA7" s="833">
        <f>VLOOKUP($A$81,MKW!$A$50:$E$60,4,FALSE)</f>
        <v>0</v>
      </c>
      <c r="CB7" s="821" t="e">
        <f t="shared" ca="1" si="27"/>
        <v>#DIV/0!</v>
      </c>
      <c r="CC7" s="619" t="str">
        <f t="shared" si="0"/>
        <v>oben</v>
      </c>
      <c r="CD7" s="834" t="e">
        <f ca="1">IF(CC7=_oben,Berechnung_BZoben!$S$7,Berechnung_BZunten!$S$7)</f>
        <v>#DIV/0!</v>
      </c>
      <c r="CE7" s="834" t="e">
        <f ca="1">CD7*2/(3*(1+2*Eingabe!CA7*Eingabe!$D$76))</f>
        <v>#DIV/0!</v>
      </c>
      <c r="CF7" s="710" t="e">
        <f ca="1">IF($C$86=Sprachtexte!$A$87,
-CE7*$C$87^3*BW7/(12*CE7*$C$87+24*$CF$2)+BX7*$BY$1*$CA$1/(6*$CF$2)*(($BY$1-$C$87-2*$CA$1)/(6*$CF$2)-1/CE7-$CA$1/(CE7*$C$87))/(($C$87/(3*$CF$2)+1/CE7)^2-($C$87/(6*$CF$2))^2),
-CE7*$C$87^3*BW7/(8*CE7*$C$87+24*$CF$2)-CE7*$CA$1/$C$87*($C$87^2-$CA$1^2)*BX7/(2*CE7*$C$87+6*$CF$2))</f>
        <v>#DIV/0!</v>
      </c>
      <c r="CG7" s="710" t="e">
        <f t="shared" ca="1" si="28"/>
        <v>#DIV/0!</v>
      </c>
      <c r="CH7" s="835">
        <f t="shared" ca="1" si="1"/>
        <v>0</v>
      </c>
      <c r="CI7" s="821" t="e">
        <f t="shared" ca="1" si="2"/>
        <v>#DIV/0!</v>
      </c>
      <c r="CJ7" s="619" t="str">
        <f t="shared" si="3"/>
        <v>oben</v>
      </c>
      <c r="CK7" s="834" t="e">
        <f ca="1">IF(CJ7=_oben,Berechnung_BZoben!$S$7,Berechnung_BZunten!$S$7)</f>
        <v>#DIV/0!</v>
      </c>
      <c r="CL7" s="834" t="e">
        <f ca="1">CK7*2/(3*(1+2*Eingabe!CA7*Eingabe!$D$76))</f>
        <v>#DIV/0!</v>
      </c>
      <c r="CM7" s="710" t="e">
        <f ca="1">IF($C$86=Sprachtexte!$A$87,
-CL7*$C$87^3*BW7/(12*CE7*$C$87+24*$CF$2)+BX7*$CA$1*$BY$1/(6*$CF$2)*(($CA$1-$C$87-2*$BY$1)/(6*$CF$2)-1/CE7-$BY$1/(CE7*$C$87))/(($C$87/(3*$CF$2)+1/CE7)^2-($C$87/(6*$CF$2))^2),0)</f>
        <v>#DIV/0!</v>
      </c>
      <c r="CN7" s="710" t="e">
        <f t="shared" ca="1" si="4"/>
        <v>#DIV/0!</v>
      </c>
      <c r="CO7" s="835">
        <f t="shared" ca="1" si="5"/>
        <v>0</v>
      </c>
      <c r="CP7" s="849">
        <f t="shared" si="29"/>
        <v>0</v>
      </c>
      <c r="CQ7" s="710" t="e">
        <f t="shared" ca="1" si="6"/>
        <v>#DIV/0!</v>
      </c>
      <c r="CR7" s="710" t="e">
        <f t="shared" ca="1" si="7"/>
        <v>#DIV/0!</v>
      </c>
      <c r="CS7" s="710">
        <f t="shared" si="30"/>
        <v>0</v>
      </c>
      <c r="CT7" s="710" t="e">
        <f t="shared" ca="1" si="8"/>
        <v>#DIV/0!</v>
      </c>
      <c r="CU7" s="710">
        <f t="shared" si="31"/>
        <v>0</v>
      </c>
      <c r="CV7" s="833">
        <f>MAX($C$79,$C$81)</f>
        <v>0.9</v>
      </c>
      <c r="CW7" s="821" t="e">
        <f ca="1">MIN(Ausgabe!$C$173,Ausgabe!$C$186)</f>
        <v>#DIV/0!</v>
      </c>
      <c r="CX7" s="710">
        <f>Ausgabe!$C$187</f>
        <v>1.3</v>
      </c>
      <c r="CY7" s="619">
        <f>Ausgabe!$C$191</f>
        <v>100</v>
      </c>
      <c r="CZ7" s="710">
        <f>Ausgabe!$C$192</f>
        <v>1.25</v>
      </c>
      <c r="DA7" s="619">
        <f>Ausgabe!$C$194</f>
        <v>36.6</v>
      </c>
      <c r="DB7" s="710">
        <f>Ausgabe!$C$195</f>
        <v>1.25</v>
      </c>
      <c r="DC7" s="619" t="e">
        <f t="shared" ca="1" si="9"/>
        <v>#DIV/0!</v>
      </c>
      <c r="DD7" s="619">
        <f t="shared" si="32"/>
        <v>0</v>
      </c>
      <c r="DE7" s="710" t="e">
        <f t="shared" ca="1" si="10"/>
        <v>#DIV/0!</v>
      </c>
      <c r="DF7" s="821">
        <f ca="1">MIN(Ausgabe!$C$221,Ausgabe!$C$239)</f>
        <v>92.436470366395326</v>
      </c>
      <c r="DG7" s="710">
        <f>Ausgabe!$C$240</f>
        <v>1.3</v>
      </c>
      <c r="DH7" s="619">
        <f>Ausgabe!$C$246</f>
        <v>150.4</v>
      </c>
      <c r="DI7" s="710">
        <f>Ausgabe!$C$247</f>
        <v>1.1000000000000001</v>
      </c>
      <c r="DJ7" s="619">
        <f>Ausgabe!$C$254</f>
        <v>176.4</v>
      </c>
      <c r="DK7" s="710">
        <f>Ausgabe!$C$255</f>
        <v>1.25</v>
      </c>
      <c r="DL7" s="619">
        <f>Ausgabe!$C$263</f>
        <v>180.95573684677208</v>
      </c>
      <c r="DM7" s="710">
        <f>Ausgabe!$C$264</f>
        <v>1.1000000000000001</v>
      </c>
      <c r="DN7" s="619">
        <f t="shared" ca="1" si="11"/>
        <v>63.994479484427536</v>
      </c>
      <c r="DO7" s="619" t="e">
        <f t="shared" ca="1" si="12"/>
        <v>#DIV/0!</v>
      </c>
      <c r="DP7" s="833" t="e">
        <f t="shared" ca="1" si="13"/>
        <v>#DIV/0!</v>
      </c>
      <c r="DQ7" s="821" t="e">
        <f ca="1">Ausgabe!$C$369</f>
        <v>#DIV/0!</v>
      </c>
      <c r="DR7" s="710">
        <f>Ausgabe!$C$370</f>
        <v>1.3</v>
      </c>
      <c r="DS7" s="619" t="e">
        <f t="shared" ca="1" si="14"/>
        <v>#DIV/0!</v>
      </c>
      <c r="DT7" s="619" t="e">
        <f t="shared" ca="1" si="15"/>
        <v>#DIV/0!</v>
      </c>
      <c r="DU7" s="833" t="e">
        <f t="shared" ca="1" si="16"/>
        <v>#DIV/0!</v>
      </c>
      <c r="DV7" s="821">
        <f ca="1">Ausgabe!$C$420</f>
        <v>33.607770254588836</v>
      </c>
      <c r="DW7" s="710">
        <f>Ausgabe!$C$421</f>
        <v>1.3</v>
      </c>
      <c r="DX7" s="619">
        <f>Ausgabe!$C$423</f>
        <v>36.9</v>
      </c>
      <c r="DY7" s="710">
        <f>Ausgabe!$C$424</f>
        <v>1.1000000000000001</v>
      </c>
      <c r="DZ7" s="619">
        <f t="shared" ca="1" si="17"/>
        <v>23.266917868561499</v>
      </c>
      <c r="EA7" s="619">
        <f t="shared" si="33"/>
        <v>0</v>
      </c>
      <c r="EB7" s="833">
        <f t="shared" ca="1" si="18"/>
        <v>0</v>
      </c>
      <c r="EC7" s="710">
        <f ca="1">IF(CJ7=_oben,Berechnung_BZoben!$P$5,Berechnung_BZunten!$P$5)</f>
        <v>4.847242517186606</v>
      </c>
      <c r="ED7" s="710">
        <f>Ausgabe!$C$520</f>
        <v>1.3</v>
      </c>
      <c r="EE7" s="710">
        <f t="shared" ca="1" si="19"/>
        <v>3.355783281129189</v>
      </c>
      <c r="EF7" s="710" t="e">
        <f t="shared" ca="1" si="20"/>
        <v>#DIV/0!</v>
      </c>
      <c r="EG7" s="833" t="e">
        <f t="shared" ca="1" si="21"/>
        <v>#DIV/0!</v>
      </c>
      <c r="EH7" s="710">
        <f>Ausgabe!$C$592</f>
        <v>2.7</v>
      </c>
      <c r="EI7" s="710">
        <f>Ausgabe!$C$593</f>
        <v>1.3</v>
      </c>
      <c r="EJ7" s="710">
        <f t="shared" si="34"/>
        <v>1.8692307692307693</v>
      </c>
      <c r="EK7" s="710">
        <f t="shared" si="35"/>
        <v>0</v>
      </c>
      <c r="EL7" s="833">
        <f t="shared" si="36"/>
        <v>0</v>
      </c>
      <c r="EM7" s="821">
        <f ca="1">Ausgabe!$C$581</f>
        <v>0</v>
      </c>
      <c r="EN7" s="710" t="e">
        <f t="shared" ca="1" si="22"/>
        <v>#DIV/0!</v>
      </c>
      <c r="EO7" s="710" t="e">
        <f ca="1">-IF(CJ7=_oben,MAX(ABS(EF7)-EM7/1000*MAX(DO7-DD7,0),0),0)</f>
        <v>#DIV/0!</v>
      </c>
      <c r="EP7" s="710" t="e">
        <f t="shared" ca="1" si="23"/>
        <v>#DIV/0!</v>
      </c>
      <c r="EQ7" s="833" t="e">
        <f t="shared" ca="1" si="24"/>
        <v>#DIV/0!</v>
      </c>
      <c r="ER7" s="889" t="e">
        <f t="shared" ca="1" si="25"/>
        <v>#DIV/0!</v>
      </c>
      <c r="ES7" s="619"/>
      <c r="EU7" s="499" t="s">
        <v>780</v>
      </c>
      <c r="EV7" s="723">
        <f>Berechnung_BZoben!$C$13</f>
        <v>60</v>
      </c>
      <c r="EW7" s="499" t="s">
        <v>780</v>
      </c>
      <c r="EX7" s="723">
        <f>Berechnung_BZoben!$C$13</f>
        <v>60</v>
      </c>
      <c r="EZ7" s="499" t="s">
        <v>780</v>
      </c>
      <c r="FA7" s="950">
        <f>Berechnung_BZoben!$C$13</f>
        <v>60</v>
      </c>
      <c r="FB7" s="499" t="s">
        <v>780</v>
      </c>
      <c r="FC7" s="724">
        <f>Berechnung_BZoben!$C$13</f>
        <v>60</v>
      </c>
      <c r="FE7" s="1225" t="s">
        <v>1072</v>
      </c>
      <c r="FF7" s="1216">
        <f>C26</f>
        <v>0</v>
      </c>
      <c r="FG7" s="569" t="s">
        <v>2</v>
      </c>
      <c r="FH7" s="1223" t="s">
        <v>2062</v>
      </c>
    </row>
    <row r="8" spans="1:167" ht="16.5" thickBot="1">
      <c r="A8" s="978" t="str">
        <f>Sprachtexte!A8</f>
        <v>Datum</v>
      </c>
      <c r="B8" s="1599"/>
      <c r="C8" s="1462"/>
      <c r="D8" s="1462"/>
      <c r="E8" s="1462"/>
      <c r="F8" s="1463"/>
      <c r="G8" s="1432"/>
      <c r="H8" s="508"/>
      <c r="O8" s="575" t="str">
        <f>IF(AND(D239=0,V19=61),"ok",IF(V19=60,"ok",0))</f>
        <v>ok</v>
      </c>
      <c r="P8" s="1471" t="s">
        <v>675</v>
      </c>
      <c r="Q8" s="1471"/>
      <c r="R8" s="1471"/>
      <c r="S8" s="1472"/>
      <c r="U8" s="576" t="s">
        <v>95</v>
      </c>
      <c r="V8" s="533">
        <f>V7</f>
        <v>11</v>
      </c>
      <c r="W8" s="1475" t="str">
        <f>HLOOKUP(D59,MKW!A116:AZ140,2,FALSE)&amp;" "&amp;HLOOKUP(D59,MKW!A116:AZ140,3,FALSE)</f>
        <v>Knapp Vollgewindeschraube ETA-15/0667</v>
      </c>
      <c r="X8" s="1475"/>
      <c r="Y8" s="1475"/>
      <c r="Z8" s="1476"/>
      <c r="AA8" s="501"/>
      <c r="AB8" s="554" t="str">
        <v>SK 8x240</v>
      </c>
      <c r="AC8" s="543" t="str">
        <v>SK 8x240</v>
      </c>
      <c r="AD8" s="554" t="str">
        <v>Assy Plus VG 8x160</v>
      </c>
      <c r="AE8" s="706" t="str">
        <v>Assy Plus VG 8x160</v>
      </c>
      <c r="AG8" s="523"/>
      <c r="AH8" s="556" t="str">
        <v>Vollholz aus LH</v>
      </c>
      <c r="AJ8" s="556" t="str">
        <v>GL28c</v>
      </c>
      <c r="AK8" s="556" t="str">
        <v>GL28c</v>
      </c>
      <c r="AM8" s="557">
        <v>6</v>
      </c>
      <c r="AN8" s="558" t="s">
        <v>433</v>
      </c>
      <c r="AO8" s="559" t="s">
        <v>60</v>
      </c>
      <c r="AP8" s="737">
        <f>HLOOKUP($C$17,MKW!$A$3:$BD$25,$AM8,FALSE)</f>
        <v>0.5</v>
      </c>
      <c r="AQ8" s="737">
        <f>HLOOKUP($C$24,MKW!$A$3:$BD$25,$AM8,FALSE)</f>
        <v>0.5</v>
      </c>
      <c r="AT8" s="573" t="str">
        <f>Sprachtexte!A78</f>
        <v>ständig</v>
      </c>
      <c r="AU8" s="561">
        <v>0.6</v>
      </c>
      <c r="AV8" s="561">
        <v>0.6</v>
      </c>
      <c r="AW8" s="625" t="str">
        <f>AT8</f>
        <v>ständig</v>
      </c>
      <c r="BA8" s="509">
        <v>6</v>
      </c>
      <c r="BB8" s="564" t="s">
        <v>619</v>
      </c>
      <c r="BC8" s="565" t="s">
        <v>9</v>
      </c>
      <c r="BD8" s="531">
        <f>ABS($BG$2)</f>
        <v>0</v>
      </c>
      <c r="BE8" s="574">
        <f>IF(BG2&gt;=0,ABS(45-$BG$2),IF(BG2&lt;0,IF(ABS(45-$BG$2)&gt;90,180-ABS(45-$BG$2),ABS(45-$BG$2))))</f>
        <v>45</v>
      </c>
      <c r="BF8" s="575">
        <v>90</v>
      </c>
      <c r="BG8" s="574">
        <v>90</v>
      </c>
      <c r="BH8" s="575">
        <v>90</v>
      </c>
      <c r="BI8" s="574">
        <v>45</v>
      </c>
      <c r="BJ8" s="531">
        <v>90</v>
      </c>
      <c r="BK8" s="574">
        <v>45</v>
      </c>
      <c r="BL8" s="569" t="s">
        <v>430</v>
      </c>
      <c r="BR8" s="570" t="e">
        <f t="shared" ca="1" si="26"/>
        <v>#DIV/0!</v>
      </c>
      <c r="BS8" s="570" t="s">
        <v>1020</v>
      </c>
      <c r="BT8" s="571" t="s">
        <v>972</v>
      </c>
      <c r="BU8" s="610">
        <f>IF(OR(B102&lt;&gt;0,C102&lt;&gt;0,D102&lt;&gt;0,E102&lt;&gt;0,G102&lt;&gt;0),1,0)</f>
        <v>0</v>
      </c>
      <c r="BV8" s="619">
        <f>$BU$8*(1*B$99+1.5*B$102)</f>
        <v>0</v>
      </c>
      <c r="BW8" s="619">
        <f>$BU$8*(1*C$99+1.5*C$102)</f>
        <v>0</v>
      </c>
      <c r="BX8" s="619">
        <f>$BU$8*(1*D$99+1.5*D$102)</f>
        <v>0</v>
      </c>
      <c r="BY8" s="619">
        <f>$BU$8*(1*E$99+1.5*E$102)</f>
        <v>0</v>
      </c>
      <c r="BZ8" s="619">
        <f>$BU$8*(1*G$99+1.5*G$102)</f>
        <v>0</v>
      </c>
      <c r="CA8" s="833">
        <f>VLOOKUP($A$82,MKW!$A$50:$E$60,4,FALSE)</f>
        <v>0</v>
      </c>
      <c r="CB8" s="821" t="e">
        <f t="shared" ca="1" si="27"/>
        <v>#DIV/0!</v>
      </c>
      <c r="CC8" s="619" t="str">
        <f t="shared" si="0"/>
        <v>oben</v>
      </c>
      <c r="CD8" s="834" t="e">
        <f ca="1">IF(CC8=_oben,Berechnung_BZoben!$S$7,Berechnung_BZunten!$S$7)</f>
        <v>#DIV/0!</v>
      </c>
      <c r="CE8" s="834" t="e">
        <f ca="1">CD8*2/(3*(1+2*Eingabe!CA8*Eingabe!$D$76))</f>
        <v>#DIV/0!</v>
      </c>
      <c r="CF8" s="710" t="e">
        <f ca="1">IF($C$86=Sprachtexte!$A$87,
-CE8*$C$87^3*BW8/(12*CE8*$C$87+24*$CF$2)+BX8*$BY$1*$CA$1/(6*$CF$2)*(($BY$1-$C$87-2*$CA$1)/(6*$CF$2)-1/CE8-$CA$1/(CE8*$C$87))/(($C$87/(3*$CF$2)+1/CE8)^2-($C$87/(6*$CF$2))^2),
-CE8*$C$87^3*BW8/(8*CE8*$C$87+24*$CF$2)-CE8*$CA$1/$C$87*($C$87^2-$CA$1^2)*BX8/(2*CE8*$C$87+6*$CF$2))</f>
        <v>#DIV/0!</v>
      </c>
      <c r="CG8" s="710" t="e">
        <f t="shared" ca="1" si="28"/>
        <v>#DIV/0!</v>
      </c>
      <c r="CH8" s="835">
        <f t="shared" ca="1" si="1"/>
        <v>0</v>
      </c>
      <c r="CI8" s="821" t="e">
        <f t="shared" ca="1" si="2"/>
        <v>#DIV/0!</v>
      </c>
      <c r="CJ8" s="619" t="str">
        <f t="shared" si="3"/>
        <v>oben</v>
      </c>
      <c r="CK8" s="834" t="e">
        <f ca="1">IF(CJ8=_oben,Berechnung_BZoben!$S$7,Berechnung_BZunten!$S$7)</f>
        <v>#DIV/0!</v>
      </c>
      <c r="CL8" s="834" t="e">
        <f ca="1">CK8*2/(3*(1+2*Eingabe!CA8*Eingabe!$D$76))</f>
        <v>#DIV/0!</v>
      </c>
      <c r="CM8" s="710" t="e">
        <f ca="1">IF($C$86=Sprachtexte!$A$87,
-CL8*$C$87^3*BW8/(12*CE8*$C$87+24*$CF$2)+BX8*$CA$1*$BY$1/(6*$CF$2)*(($CA$1-$C$87-2*$BY$1)/(6*$CF$2)-1/CE8-$BY$1/(CE8*$C$87))/(($C$87/(3*$CF$2)+1/CE8)^2-($C$87/(6*$CF$2))^2),0)</f>
        <v>#DIV/0!</v>
      </c>
      <c r="CN8" s="710" t="e">
        <f t="shared" ca="1" si="4"/>
        <v>#DIV/0!</v>
      </c>
      <c r="CO8" s="835">
        <f t="shared" ca="1" si="5"/>
        <v>0</v>
      </c>
      <c r="CP8" s="849">
        <f t="shared" si="29"/>
        <v>0</v>
      </c>
      <c r="CQ8" s="710" t="e">
        <f t="shared" ca="1" si="6"/>
        <v>#DIV/0!</v>
      </c>
      <c r="CR8" s="710" t="e">
        <f t="shared" ca="1" si="7"/>
        <v>#DIV/0!</v>
      </c>
      <c r="CS8" s="710">
        <f t="shared" si="30"/>
        <v>0</v>
      </c>
      <c r="CT8" s="710" t="e">
        <f t="shared" ca="1" si="8"/>
        <v>#DIV/0!</v>
      </c>
      <c r="CU8" s="710">
        <f t="shared" si="31"/>
        <v>0</v>
      </c>
      <c r="CV8" s="833">
        <f>MAX($C$79,$C$82)</f>
        <v>1</v>
      </c>
      <c r="CW8" s="821" t="e">
        <f ca="1">MIN(Ausgabe!$C$173,Ausgabe!$C$186)</f>
        <v>#DIV/0!</v>
      </c>
      <c r="CX8" s="710">
        <f>Ausgabe!$C$187</f>
        <v>1.3</v>
      </c>
      <c r="CY8" s="619">
        <f>Ausgabe!$C$191</f>
        <v>100</v>
      </c>
      <c r="CZ8" s="710">
        <f>Ausgabe!$C$192</f>
        <v>1.25</v>
      </c>
      <c r="DA8" s="619">
        <f>Ausgabe!$C$194</f>
        <v>36.6</v>
      </c>
      <c r="DB8" s="710">
        <f>Ausgabe!$C$195</f>
        <v>1.25</v>
      </c>
      <c r="DC8" s="619" t="e">
        <f t="shared" ca="1" si="9"/>
        <v>#DIV/0!</v>
      </c>
      <c r="DD8" s="619">
        <f t="shared" si="32"/>
        <v>0</v>
      </c>
      <c r="DE8" s="710" t="e">
        <f t="shared" ca="1" si="10"/>
        <v>#DIV/0!</v>
      </c>
      <c r="DF8" s="821">
        <f ca="1">MIN(Ausgabe!$C$221,Ausgabe!$C$239)</f>
        <v>92.436470366395326</v>
      </c>
      <c r="DG8" s="710">
        <f>Ausgabe!$C$240</f>
        <v>1.3</v>
      </c>
      <c r="DH8" s="619">
        <f>Ausgabe!$C$246</f>
        <v>150.4</v>
      </c>
      <c r="DI8" s="710">
        <f>Ausgabe!$C$247</f>
        <v>1.1000000000000001</v>
      </c>
      <c r="DJ8" s="619">
        <f>Ausgabe!$C$254</f>
        <v>176.4</v>
      </c>
      <c r="DK8" s="710">
        <f>Ausgabe!$C$255</f>
        <v>1.25</v>
      </c>
      <c r="DL8" s="619">
        <f>Ausgabe!$C$263</f>
        <v>180.95573684677208</v>
      </c>
      <c r="DM8" s="710">
        <f>Ausgabe!$C$264</f>
        <v>1.1000000000000001</v>
      </c>
      <c r="DN8" s="619">
        <f t="shared" ca="1" si="11"/>
        <v>71.104977204919479</v>
      </c>
      <c r="DO8" s="619" t="e">
        <f t="shared" ca="1" si="12"/>
        <v>#DIV/0!</v>
      </c>
      <c r="DP8" s="833" t="e">
        <f t="shared" ca="1" si="13"/>
        <v>#DIV/0!</v>
      </c>
      <c r="DQ8" s="821" t="e">
        <f ca="1">Ausgabe!$C$369</f>
        <v>#DIV/0!</v>
      </c>
      <c r="DR8" s="710">
        <f>Ausgabe!$C$370</f>
        <v>1.3</v>
      </c>
      <c r="DS8" s="619" t="e">
        <f t="shared" ca="1" si="14"/>
        <v>#DIV/0!</v>
      </c>
      <c r="DT8" s="619" t="e">
        <f t="shared" ca="1" si="15"/>
        <v>#DIV/0!</v>
      </c>
      <c r="DU8" s="833" t="e">
        <f t="shared" ca="1" si="16"/>
        <v>#DIV/0!</v>
      </c>
      <c r="DV8" s="821">
        <f ca="1">Ausgabe!$C$420</f>
        <v>33.607770254588836</v>
      </c>
      <c r="DW8" s="710">
        <f>Ausgabe!$C$421</f>
        <v>1.3</v>
      </c>
      <c r="DX8" s="619">
        <f>Ausgabe!$C$423</f>
        <v>36.9</v>
      </c>
      <c r="DY8" s="710">
        <f>Ausgabe!$C$424</f>
        <v>1.1000000000000001</v>
      </c>
      <c r="DZ8" s="619">
        <f t="shared" ca="1" si="17"/>
        <v>25.852130965068334</v>
      </c>
      <c r="EA8" s="619">
        <f t="shared" si="33"/>
        <v>0</v>
      </c>
      <c r="EB8" s="833">
        <f t="shared" ca="1" si="18"/>
        <v>0</v>
      </c>
      <c r="EC8" s="710">
        <f ca="1">IF(CJ8=_oben,Berechnung_BZoben!$P$5,Berechnung_BZunten!$P$5)</f>
        <v>4.847242517186606</v>
      </c>
      <c r="ED8" s="710">
        <f>Ausgabe!$C$520</f>
        <v>1.3</v>
      </c>
      <c r="EE8" s="710">
        <f t="shared" ca="1" si="19"/>
        <v>3.728648090143543</v>
      </c>
      <c r="EF8" s="710" t="e">
        <f t="shared" ca="1" si="20"/>
        <v>#DIV/0!</v>
      </c>
      <c r="EG8" s="833" t="e">
        <f t="shared" ca="1" si="21"/>
        <v>#DIV/0!</v>
      </c>
      <c r="EH8" s="710">
        <f>Ausgabe!$C$592</f>
        <v>2.7</v>
      </c>
      <c r="EI8" s="710">
        <f>Ausgabe!$C$593</f>
        <v>1.3</v>
      </c>
      <c r="EJ8" s="710">
        <f t="shared" si="34"/>
        <v>2.0769230769230771</v>
      </c>
      <c r="EK8" s="710">
        <f t="shared" si="35"/>
        <v>0</v>
      </c>
      <c r="EL8" s="833">
        <f t="shared" si="36"/>
        <v>0</v>
      </c>
      <c r="EM8" s="821">
        <f ca="1">Ausgabe!$C$581</f>
        <v>0</v>
      </c>
      <c r="EN8" s="710" t="e">
        <f t="shared" ca="1" si="22"/>
        <v>#DIV/0!</v>
      </c>
      <c r="EO8" s="710" t="e">
        <f t="shared" ca="1" si="37"/>
        <v>#DIV/0!</v>
      </c>
      <c r="EP8" s="710" t="e">
        <f t="shared" ca="1" si="23"/>
        <v>#DIV/0!</v>
      </c>
      <c r="EQ8" s="833" t="e">
        <f t="shared" ca="1" si="24"/>
        <v>#DIV/0!</v>
      </c>
      <c r="ER8" s="889" t="e">
        <f t="shared" ca="1" si="25"/>
        <v>#DIV/0!</v>
      </c>
      <c r="ES8" s="619"/>
      <c r="EU8" s="499" t="s">
        <v>781</v>
      </c>
      <c r="EV8" s="723">
        <f>Berechnung_BZoben!$C$14</f>
        <v>310</v>
      </c>
      <c r="EW8" s="499" t="s">
        <v>781</v>
      </c>
      <c r="EX8" s="723">
        <f>Berechnung_BZoben!$C$14</f>
        <v>310</v>
      </c>
      <c r="EZ8" s="499" t="s">
        <v>781</v>
      </c>
      <c r="FA8" s="950">
        <f>Berechnung_BZoben!$C$14</f>
        <v>310</v>
      </c>
      <c r="FB8" s="499" t="s">
        <v>781</v>
      </c>
      <c r="FC8" s="724">
        <f>Berechnung_BZoben!$C$14</f>
        <v>310</v>
      </c>
      <c r="FE8" s="1225" t="s">
        <v>2013</v>
      </c>
      <c r="FF8" s="1226">
        <f ca="1">EV32</f>
        <v>344.19774516162744</v>
      </c>
      <c r="FG8" s="569" t="s">
        <v>2</v>
      </c>
      <c r="FH8" s="1223"/>
    </row>
    <row r="9" spans="1:167" ht="16.5" thickBot="1">
      <c r="A9" s="978" t="str">
        <f>Sprachtexte!A9</f>
        <v>Bearbeiter</v>
      </c>
      <c r="B9" s="1461"/>
      <c r="C9" s="1462"/>
      <c r="D9" s="1462"/>
      <c r="E9" s="1462"/>
      <c r="F9" s="1463"/>
      <c r="G9" s="1432"/>
      <c r="H9" s="508"/>
      <c r="O9" s="575" t="str">
        <f>IF(
 OR(
  IF(
   OR(V4=0,V4=1),
   IF(OR(C28=BL32,C28=BL33),"ok",0),0)="ok",
  IF(
   OR(V4=2,V4=3),
   IF(OR(C28=BL34,C28=BL35,C28=BL36),"ok",0)
  )="ok"),
 "ok",0)</f>
        <v>ok</v>
      </c>
      <c r="P9" s="1471" t="s">
        <v>441</v>
      </c>
      <c r="Q9" s="1471"/>
      <c r="R9" s="1471"/>
      <c r="S9" s="1472"/>
      <c r="U9" s="1464" t="s">
        <v>434</v>
      </c>
      <c r="V9" s="1465"/>
      <c r="W9" s="1465"/>
      <c r="X9" s="1465"/>
      <c r="Y9" s="1465"/>
      <c r="Z9" s="1466"/>
      <c r="AB9" s="554" t="str">
        <v>SK 8x280</v>
      </c>
      <c r="AC9" s="543" t="str">
        <v>SK 8x280</v>
      </c>
      <c r="AD9" s="554" t="str">
        <v>Assy Plus VG 8x180</v>
      </c>
      <c r="AE9" s="706" t="str">
        <v>Assy Plus VG 8x180</v>
      </c>
      <c r="AG9" s="523"/>
      <c r="AH9" s="556" t="str">
        <v>Brettschichtholz</v>
      </c>
      <c r="AJ9" s="556" t="str">
        <v>GL30c</v>
      </c>
      <c r="AK9" s="556" t="str">
        <v>GL30c</v>
      </c>
      <c r="AM9" s="557">
        <v>7</v>
      </c>
      <c r="AN9" s="558" t="s">
        <v>435</v>
      </c>
      <c r="AO9" s="559" t="s">
        <v>60</v>
      </c>
      <c r="AP9" s="737">
        <f>HLOOKUP($C$17,MKW!$A$3:$BD$25,$AM9,FALSE)</f>
        <v>24</v>
      </c>
      <c r="AQ9" s="737">
        <f>HLOOKUP($C$24,MKW!$A$3:$BD$25,$AM9,FALSE)</f>
        <v>24</v>
      </c>
      <c r="AT9" s="573" t="str">
        <f>Sprachtexte!A79</f>
        <v>lang</v>
      </c>
      <c r="AU9" s="561">
        <v>0.7</v>
      </c>
      <c r="AV9" s="561">
        <v>0.7</v>
      </c>
      <c r="AW9" s="625" t="str">
        <f t="shared" ref="AW9:AW13" si="38">AT9</f>
        <v>lang</v>
      </c>
      <c r="BA9" s="509">
        <v>7</v>
      </c>
      <c r="BB9" s="564" t="s">
        <v>619</v>
      </c>
      <c r="BC9" s="565" t="s">
        <v>436</v>
      </c>
      <c r="BD9" s="531">
        <f>IF(ABS(90-$BG$2)&gt;90,ABS(ABS(90-$BG$2)-180),ABS(90-$BG$2))</f>
        <v>90</v>
      </c>
      <c r="BE9" s="574">
        <f>IF(ABS(90-$BG$2)&gt;90,ABS(ABS(90-$BG$2)-180),ABS(90-$BG$2))</f>
        <v>90</v>
      </c>
      <c r="BF9" s="575">
        <v>90</v>
      </c>
      <c r="BG9" s="574">
        <v>90</v>
      </c>
      <c r="BH9" s="575">
        <v>45</v>
      </c>
      <c r="BI9" s="574">
        <v>45</v>
      </c>
      <c r="BJ9" s="531">
        <v>45</v>
      </c>
      <c r="BK9" s="574">
        <v>45</v>
      </c>
      <c r="BL9" s="569" t="s">
        <v>437</v>
      </c>
      <c r="BR9" s="570" t="e">
        <f t="shared" ca="1" si="26"/>
        <v>#DIV/0!</v>
      </c>
      <c r="BS9" s="570" t="s">
        <v>1021</v>
      </c>
      <c r="BT9" s="571" t="s">
        <v>973</v>
      </c>
      <c r="BU9" s="610">
        <f>IF(OR(B102&lt;&gt;0,C102&lt;&gt;0,D102&lt;&gt;0,E102&lt;&gt;0,G102&lt;&gt;0),1,0)</f>
        <v>0</v>
      </c>
      <c r="BV9" s="619">
        <f>$BU$9*(1.35*B$99+1.5*B$102)</f>
        <v>0</v>
      </c>
      <c r="BW9" s="619">
        <f>$BU$9*(1.35*C$99+1.5*C$102)</f>
        <v>0</v>
      </c>
      <c r="BX9" s="619">
        <f>$BU$9*(1.35*D$99+1.5*D$102)</f>
        <v>0</v>
      </c>
      <c r="BY9" s="619">
        <f>$BU$9*(1.35*E$99+1.5*E$102)</f>
        <v>0</v>
      </c>
      <c r="BZ9" s="619">
        <f>$BU$9*(1.35*G$99+1.5*G$102)</f>
        <v>0</v>
      </c>
      <c r="CA9" s="833">
        <f>VLOOKUP($A$82,MKW!$A$50:$E$60,4,FALSE)</f>
        <v>0</v>
      </c>
      <c r="CB9" s="821" t="e">
        <f t="shared" ca="1" si="27"/>
        <v>#DIV/0!</v>
      </c>
      <c r="CC9" s="619" t="str">
        <f t="shared" si="0"/>
        <v>oben</v>
      </c>
      <c r="CD9" s="834" t="e">
        <f ca="1">IF(CC9=_oben,Berechnung_BZoben!$S$7,Berechnung_BZunten!$S$7)</f>
        <v>#DIV/0!</v>
      </c>
      <c r="CE9" s="834" t="e">
        <f ca="1">CD9*2/(3*(1+2*Eingabe!CA9*Eingabe!$D$76))</f>
        <v>#DIV/0!</v>
      </c>
      <c r="CF9" s="710" t="e">
        <f ca="1">IF($C$86=Sprachtexte!$A$87,
-CE9*$C$87^3*BW9/(12*CE9*$C$87+24*$CF$2)+BX9*$BY$1*$CA$1/(6*$CF$2)*(($BY$1-$C$87-2*$CA$1)/(6*$CF$2)-1/CE9-$CA$1/(CE9*$C$87))/(($C$87/(3*$CF$2)+1/CE9)^2-($C$87/(6*$CF$2))^2),
-CE9*$C$87^3*BW9/(8*CE9*$C$87+24*$CF$2)-CE9*$CA$1/$C$87*($C$87^2-$CA$1^2)*BX9/(2*CE9*$C$87+6*$CF$2))</f>
        <v>#DIV/0!</v>
      </c>
      <c r="CG9" s="710" t="e">
        <f t="shared" ca="1" si="28"/>
        <v>#DIV/0!</v>
      </c>
      <c r="CH9" s="835">
        <f t="shared" ca="1" si="1"/>
        <v>0</v>
      </c>
      <c r="CI9" s="821" t="e">
        <f t="shared" ca="1" si="2"/>
        <v>#DIV/0!</v>
      </c>
      <c r="CJ9" s="619" t="str">
        <f t="shared" si="3"/>
        <v>oben</v>
      </c>
      <c r="CK9" s="834" t="e">
        <f ca="1">IF(CJ9=_oben,Berechnung_BZoben!$S$7,Berechnung_BZunten!$S$7)</f>
        <v>#DIV/0!</v>
      </c>
      <c r="CL9" s="834" t="e">
        <f ca="1">CK9*2/(3*(1+2*Eingabe!CA9*Eingabe!$D$76))</f>
        <v>#DIV/0!</v>
      </c>
      <c r="CM9" s="710" t="e">
        <f ca="1">IF($C$86=Sprachtexte!$A$87,
-CL9*$C$87^3*BW9/(12*CE9*$C$87+24*$CF$2)+BX9*$CA$1*$BY$1/(6*$CF$2)*(($CA$1-$C$87-2*$BY$1)/(6*$CF$2)-1/CE9-$BY$1/(CE9*$C$87))/(($C$87/(3*$CF$2)+1/CE9)^2-($C$87/(6*$CF$2))^2),0)</f>
        <v>#DIV/0!</v>
      </c>
      <c r="CN9" s="710" t="e">
        <f t="shared" ca="1" si="4"/>
        <v>#DIV/0!</v>
      </c>
      <c r="CO9" s="835">
        <f t="shared" ca="1" si="5"/>
        <v>0</v>
      </c>
      <c r="CP9" s="849">
        <f t="shared" si="29"/>
        <v>0</v>
      </c>
      <c r="CQ9" s="710" t="e">
        <f t="shared" ca="1" si="6"/>
        <v>#DIV/0!</v>
      </c>
      <c r="CR9" s="710" t="e">
        <f t="shared" ca="1" si="7"/>
        <v>#DIV/0!</v>
      </c>
      <c r="CS9" s="710">
        <f t="shared" si="30"/>
        <v>0</v>
      </c>
      <c r="CT9" s="710" t="e">
        <f t="shared" ca="1" si="8"/>
        <v>#DIV/0!</v>
      </c>
      <c r="CU9" s="710">
        <f t="shared" si="31"/>
        <v>0</v>
      </c>
      <c r="CV9" s="833">
        <f>MAX($C$79,$C$82)</f>
        <v>1</v>
      </c>
      <c r="CW9" s="821" t="e">
        <f ca="1">MIN(Ausgabe!$C$173,Ausgabe!$C$186)</f>
        <v>#DIV/0!</v>
      </c>
      <c r="CX9" s="710">
        <f>Ausgabe!$C$187</f>
        <v>1.3</v>
      </c>
      <c r="CY9" s="619">
        <f>Ausgabe!$C$191</f>
        <v>100</v>
      </c>
      <c r="CZ9" s="710">
        <f>Ausgabe!$C$192</f>
        <v>1.25</v>
      </c>
      <c r="DA9" s="619">
        <f>Ausgabe!$C$194</f>
        <v>36.6</v>
      </c>
      <c r="DB9" s="710">
        <f>Ausgabe!$C$195</f>
        <v>1.25</v>
      </c>
      <c r="DC9" s="619" t="e">
        <f t="shared" ca="1" si="9"/>
        <v>#DIV/0!</v>
      </c>
      <c r="DD9" s="619">
        <f t="shared" si="32"/>
        <v>0</v>
      </c>
      <c r="DE9" s="710" t="e">
        <f t="shared" ca="1" si="10"/>
        <v>#DIV/0!</v>
      </c>
      <c r="DF9" s="821">
        <f ca="1">MIN(Ausgabe!$C$221,Ausgabe!$C$239)</f>
        <v>92.436470366395326</v>
      </c>
      <c r="DG9" s="710">
        <f>Ausgabe!$C$240</f>
        <v>1.3</v>
      </c>
      <c r="DH9" s="619">
        <f>Ausgabe!$C$246</f>
        <v>150.4</v>
      </c>
      <c r="DI9" s="710">
        <f>Ausgabe!$C$247</f>
        <v>1.1000000000000001</v>
      </c>
      <c r="DJ9" s="619">
        <f>Ausgabe!$C$254</f>
        <v>176.4</v>
      </c>
      <c r="DK9" s="710">
        <f>Ausgabe!$C$255</f>
        <v>1.25</v>
      </c>
      <c r="DL9" s="619">
        <f>Ausgabe!$C$263</f>
        <v>180.95573684677208</v>
      </c>
      <c r="DM9" s="710">
        <f>Ausgabe!$C$264</f>
        <v>1.1000000000000001</v>
      </c>
      <c r="DN9" s="619">
        <f t="shared" ca="1" si="11"/>
        <v>71.104977204919479</v>
      </c>
      <c r="DO9" s="619" t="e">
        <f t="shared" ca="1" si="12"/>
        <v>#DIV/0!</v>
      </c>
      <c r="DP9" s="833" t="e">
        <f t="shared" ca="1" si="13"/>
        <v>#DIV/0!</v>
      </c>
      <c r="DQ9" s="821" t="e">
        <f ca="1">Ausgabe!$C$369</f>
        <v>#DIV/0!</v>
      </c>
      <c r="DR9" s="710">
        <f>Ausgabe!$C$370</f>
        <v>1.3</v>
      </c>
      <c r="DS9" s="619" t="e">
        <f t="shared" ca="1" si="14"/>
        <v>#DIV/0!</v>
      </c>
      <c r="DT9" s="619" t="e">
        <f t="shared" ca="1" si="15"/>
        <v>#DIV/0!</v>
      </c>
      <c r="DU9" s="833" t="e">
        <f t="shared" ca="1" si="16"/>
        <v>#DIV/0!</v>
      </c>
      <c r="DV9" s="821">
        <f ca="1">Ausgabe!$C$420</f>
        <v>33.607770254588836</v>
      </c>
      <c r="DW9" s="710">
        <f>Ausgabe!$C$421</f>
        <v>1.3</v>
      </c>
      <c r="DX9" s="619">
        <f>Ausgabe!$C$423</f>
        <v>36.9</v>
      </c>
      <c r="DY9" s="710">
        <f>Ausgabe!$C$424</f>
        <v>1.1000000000000001</v>
      </c>
      <c r="DZ9" s="619">
        <f t="shared" ca="1" si="17"/>
        <v>25.852130965068334</v>
      </c>
      <c r="EA9" s="619">
        <f t="shared" si="33"/>
        <v>0</v>
      </c>
      <c r="EB9" s="833">
        <f t="shared" ca="1" si="18"/>
        <v>0</v>
      </c>
      <c r="EC9" s="710">
        <f ca="1">IF(CJ9=_oben,Berechnung_BZoben!$P$5,Berechnung_BZunten!$P$5)</f>
        <v>4.847242517186606</v>
      </c>
      <c r="ED9" s="710">
        <f>Ausgabe!$C$520</f>
        <v>1.3</v>
      </c>
      <c r="EE9" s="710">
        <f t="shared" ca="1" si="19"/>
        <v>3.728648090143543</v>
      </c>
      <c r="EF9" s="710" t="e">
        <f t="shared" ca="1" si="20"/>
        <v>#DIV/0!</v>
      </c>
      <c r="EG9" s="833" t="e">
        <f t="shared" ca="1" si="21"/>
        <v>#DIV/0!</v>
      </c>
      <c r="EH9" s="710">
        <f>Ausgabe!$C$592</f>
        <v>2.7</v>
      </c>
      <c r="EI9" s="710">
        <f>Ausgabe!$C$593</f>
        <v>1.3</v>
      </c>
      <c r="EJ9" s="710">
        <f t="shared" si="34"/>
        <v>2.0769230769230771</v>
      </c>
      <c r="EK9" s="710">
        <f t="shared" si="35"/>
        <v>0</v>
      </c>
      <c r="EL9" s="833">
        <f t="shared" si="36"/>
        <v>0</v>
      </c>
      <c r="EM9" s="821">
        <f ca="1">Ausgabe!$C$581</f>
        <v>0</v>
      </c>
      <c r="EN9" s="710" t="e">
        <f t="shared" ca="1" si="22"/>
        <v>#DIV/0!</v>
      </c>
      <c r="EO9" s="710" t="e">
        <f t="shared" ca="1" si="37"/>
        <v>#DIV/0!</v>
      </c>
      <c r="EP9" s="710" t="e">
        <f t="shared" ca="1" si="23"/>
        <v>#DIV/0!</v>
      </c>
      <c r="EQ9" s="833" t="e">
        <f t="shared" ca="1" si="24"/>
        <v>#DIV/0!</v>
      </c>
      <c r="ER9" s="889" t="e">
        <f t="shared" ca="1" si="25"/>
        <v>#DIV/0!</v>
      </c>
      <c r="ES9" s="619"/>
      <c r="EU9" s="499" t="s">
        <v>782</v>
      </c>
      <c r="EV9" s="723">
        <f>Berechnung_BZoben!$C$15</f>
        <v>40</v>
      </c>
      <c r="EW9" s="499" t="s">
        <v>782</v>
      </c>
      <c r="EX9" s="723">
        <f>Berechnung_BZoben!$C$15</f>
        <v>40</v>
      </c>
      <c r="EZ9" s="499" t="s">
        <v>782</v>
      </c>
      <c r="FA9" s="950">
        <f>Berechnung_BZoben!$C$15</f>
        <v>40</v>
      </c>
      <c r="FB9" s="499" t="s">
        <v>782</v>
      </c>
      <c r="FC9" s="724">
        <f>Berechnung_BZoben!$C$15</f>
        <v>40</v>
      </c>
      <c r="FE9" s="1225" t="s">
        <v>2014</v>
      </c>
      <c r="FF9" s="1226">
        <f>C25*FF10</f>
        <v>0</v>
      </c>
      <c r="FG9" s="569" t="s">
        <v>2</v>
      </c>
      <c r="FH9" s="1223"/>
    </row>
    <row r="10" spans="1:167" ht="16.5" thickBot="1">
      <c r="A10" s="978" t="str">
        <f>Sprachtexte!A10</f>
        <v>Vertrieb</v>
      </c>
      <c r="B10" s="1461"/>
      <c r="C10" s="1462"/>
      <c r="D10" s="1462"/>
      <c r="E10" s="1462"/>
      <c r="F10" s="1463"/>
      <c r="G10" s="1432"/>
      <c r="H10" s="508"/>
      <c r="O10" s="843">
        <f ca="1">IF(AND(EV42=1,EX42=1),"ok",0)</f>
        <v>0</v>
      </c>
      <c r="P10" s="1452" t="s">
        <v>1113</v>
      </c>
      <c r="Q10" s="1452"/>
      <c r="R10" s="1452"/>
      <c r="S10" s="1453"/>
      <c r="U10" s="528" t="s">
        <v>438</v>
      </c>
      <c r="V10" s="578">
        <f>IF(AND(A29=BL39,C29&lt;&gt;0),20,IF(AND(A29=BL40,C29&lt;&gt;0),21,IF(C29=0,22,NA())))</f>
        <v>22</v>
      </c>
      <c r="W10" s="1467" t="str">
        <f>IF(V10=20,BL39,IF(V10=21,BL40,IF(V10=22,BL41,NA())))</f>
        <v>Regelfall ohne Anschlusswinkel</v>
      </c>
      <c r="X10" s="1467"/>
      <c r="Y10" s="1467"/>
      <c r="Z10" s="1468"/>
      <c r="AB10" s="554" t="str">
        <v>SK 8x300</v>
      </c>
      <c r="AC10" s="579" t="str">
        <v>SK 8x300</v>
      </c>
      <c r="AD10" s="554" t="str">
        <v>Assy Plus VG 8x200</v>
      </c>
      <c r="AE10" s="706" t="str">
        <v>Assy Plus VG 8x200</v>
      </c>
      <c r="AG10" s="523"/>
      <c r="AH10" s="556" t="str">
        <v>BauBuche</v>
      </c>
      <c r="AJ10" s="556" t="str">
        <v>GL32c</v>
      </c>
      <c r="AK10" s="556" t="str">
        <v>GL32c</v>
      </c>
      <c r="AM10" s="557">
        <v>8</v>
      </c>
      <c r="AN10" s="558" t="s">
        <v>439</v>
      </c>
      <c r="AO10" s="559" t="s">
        <v>60</v>
      </c>
      <c r="AP10" s="737">
        <f>HLOOKUP($C$17,MKW!$A$3:$BD$25,$AM10,FALSE)</f>
        <v>2.5</v>
      </c>
      <c r="AQ10" s="737">
        <f>HLOOKUP($C$24,MKW!$A$3:$BD$25,$AM10,FALSE)</f>
        <v>2.5</v>
      </c>
      <c r="AT10" s="573" t="str">
        <f>Sprachtexte!A80</f>
        <v>mittel</v>
      </c>
      <c r="AU10" s="561">
        <v>0.8</v>
      </c>
      <c r="AV10" s="561">
        <v>0.8</v>
      </c>
      <c r="AW10" s="625" t="str">
        <f t="shared" si="38"/>
        <v>mittel</v>
      </c>
      <c r="BA10" s="509">
        <v>8</v>
      </c>
      <c r="BB10" s="564" t="s">
        <v>619</v>
      </c>
      <c r="BC10" s="565" t="s">
        <v>440</v>
      </c>
      <c r="BD10" s="531">
        <v>90</v>
      </c>
      <c r="BE10" s="574">
        <v>90</v>
      </c>
      <c r="BF10" s="575">
        <v>0</v>
      </c>
      <c r="BG10" s="574">
        <v>0</v>
      </c>
      <c r="BH10" s="575">
        <v>90</v>
      </c>
      <c r="BI10" s="574">
        <v>90</v>
      </c>
      <c r="BJ10" s="531">
        <v>90</v>
      </c>
      <c r="BK10" s="574">
        <v>90</v>
      </c>
      <c r="BL10" s="569" t="s">
        <v>437</v>
      </c>
      <c r="BR10" s="570" t="e">
        <f t="shared" ca="1" si="26"/>
        <v>#DIV/0!</v>
      </c>
      <c r="BS10" s="570" t="s">
        <v>1022</v>
      </c>
      <c r="BT10" s="571" t="s">
        <v>974</v>
      </c>
      <c r="BU10" s="610">
        <f>IF(OR(B100&lt;&gt;0,C100&lt;&gt;0,D100&lt;&gt;0,E100&lt;&gt;0,G100&lt;&gt;0),1,0)</f>
        <v>0</v>
      </c>
      <c r="BV10" s="619">
        <f>$BU$10*(1.35*B$99+1.5*B$100+1.5*$E$81*B$101)</f>
        <v>0</v>
      </c>
      <c r="BW10" s="619">
        <f>$BU$10*(1.35*C$99+1.5*C$100+1.5*$E$81*C$101)</f>
        <v>0</v>
      </c>
      <c r="BX10" s="619">
        <f>$BU$10*(1.35*D$99+1.5*D$100+1.5*$E$81*D$101)</f>
        <v>0</v>
      </c>
      <c r="BY10" s="619">
        <f>$BU$10*(1.35*E$99+1.5*E$100+1.5*$E$81*E$101)</f>
        <v>0</v>
      </c>
      <c r="BZ10" s="619">
        <f>$BU$10*(1.35*G$99+1.5*G$100+1.5*$E$81*G$101)</f>
        <v>0</v>
      </c>
      <c r="CA10" s="833">
        <f>VLOOKUP($A$80,MKW!$A$50:$E$60,4,FALSE)</f>
        <v>0.3</v>
      </c>
      <c r="CB10" s="821" t="e">
        <f t="shared" ca="1" si="27"/>
        <v>#DIV/0!</v>
      </c>
      <c r="CC10" s="619" t="str">
        <f t="shared" si="0"/>
        <v>oben</v>
      </c>
      <c r="CD10" s="834" t="e">
        <f ca="1">IF(CC10=_oben,Berechnung_BZoben!$S$7,Berechnung_BZunten!$S$7)</f>
        <v>#DIV/0!</v>
      </c>
      <c r="CE10" s="834" t="e">
        <f ca="1">CD10*2/(3*(1+2*Eingabe!CA10*Eingabe!$D$76))</f>
        <v>#DIV/0!</v>
      </c>
      <c r="CF10" s="710" t="e">
        <f ca="1">IF($C$86=Sprachtexte!$A$87,
-CE10*$C$87^3*BW10/(12*CE10*$C$87+24*$CF$2)+BX10*$BY$1*$CA$1/(6*$CF$2)*(($BY$1-$C$87-2*$CA$1)/(6*$CF$2)-1/CE10-$CA$1/(CE10*$C$87))/(($C$87/(3*$CF$2)+1/CE10)^2-($C$87/(6*$CF$2))^2),
-CE10*$C$87^3*BW10/(8*CE10*$C$87+24*$CF$2)-CE10*$CA$1/$C$87*($C$87^2-$CA$1^2)*BX10/(2*CE10*$C$87+6*$CF$2))</f>
        <v>#DIV/0!</v>
      </c>
      <c r="CG10" s="710" t="e">
        <f t="shared" ca="1" si="28"/>
        <v>#DIV/0!</v>
      </c>
      <c r="CH10" s="835">
        <f t="shared" ca="1" si="1"/>
        <v>0</v>
      </c>
      <c r="CI10" s="821" t="e">
        <f t="shared" ca="1" si="2"/>
        <v>#DIV/0!</v>
      </c>
      <c r="CJ10" s="619" t="str">
        <f t="shared" si="3"/>
        <v>oben</v>
      </c>
      <c r="CK10" s="834" t="e">
        <f ca="1">IF(CJ10=_oben,Berechnung_BZoben!$S$7,Berechnung_BZunten!$S$7)</f>
        <v>#DIV/0!</v>
      </c>
      <c r="CL10" s="834" t="e">
        <f ca="1">CK10*2/(3*(1+2*Eingabe!CA10*Eingabe!$D$76))</f>
        <v>#DIV/0!</v>
      </c>
      <c r="CM10" s="710" t="e">
        <f ca="1">IF($C$86=Sprachtexte!$A$87,
-CL10*$C$87^3*BW10/(12*CE10*$C$87+24*$CF$2)+BX10*$CA$1*$BY$1/(6*$CF$2)*(($CA$1-$C$87-2*$BY$1)/(6*$CF$2)-1/CE10-$BY$1/(CE10*$C$87))/(($C$87/(3*$CF$2)+1/CE10)^2-($C$87/(6*$CF$2))^2),0)</f>
        <v>#DIV/0!</v>
      </c>
      <c r="CN10" s="710" t="e">
        <f t="shared" ca="1" si="4"/>
        <v>#DIV/0!</v>
      </c>
      <c r="CO10" s="835">
        <f t="shared" ca="1" si="5"/>
        <v>0</v>
      </c>
      <c r="CP10" s="849">
        <f t="shared" si="29"/>
        <v>0</v>
      </c>
      <c r="CQ10" s="710" t="e">
        <f t="shared" ca="1" si="6"/>
        <v>#DIV/0!</v>
      </c>
      <c r="CR10" s="710" t="e">
        <f t="shared" ca="1" si="7"/>
        <v>#DIV/0!</v>
      </c>
      <c r="CS10" s="710">
        <f t="shared" si="30"/>
        <v>0</v>
      </c>
      <c r="CT10" s="710" t="e">
        <f t="shared" ca="1" si="8"/>
        <v>#DIV/0!</v>
      </c>
      <c r="CU10" s="710">
        <f t="shared" si="31"/>
        <v>0</v>
      </c>
      <c r="CV10" s="833">
        <f>MAX($C$79,$C$80,$C$81)</f>
        <v>0.9</v>
      </c>
      <c r="CW10" s="821" t="e">
        <f ca="1">MIN(Ausgabe!$C$173,Ausgabe!$C$186)</f>
        <v>#DIV/0!</v>
      </c>
      <c r="CX10" s="710">
        <f>Ausgabe!$C$187</f>
        <v>1.3</v>
      </c>
      <c r="CY10" s="619">
        <f>Ausgabe!$C$191</f>
        <v>100</v>
      </c>
      <c r="CZ10" s="710">
        <f>Ausgabe!$C$192</f>
        <v>1.25</v>
      </c>
      <c r="DA10" s="619">
        <f>Ausgabe!$C$194</f>
        <v>36.6</v>
      </c>
      <c r="DB10" s="710">
        <f>Ausgabe!$C$195</f>
        <v>1.25</v>
      </c>
      <c r="DC10" s="619" t="e">
        <f t="shared" ca="1" si="9"/>
        <v>#DIV/0!</v>
      </c>
      <c r="DD10" s="619">
        <f t="shared" si="32"/>
        <v>0</v>
      </c>
      <c r="DE10" s="710" t="e">
        <f t="shared" ca="1" si="10"/>
        <v>#DIV/0!</v>
      </c>
      <c r="DF10" s="821">
        <f ca="1">MIN(Ausgabe!$C$221,Ausgabe!$C$239)</f>
        <v>92.436470366395326</v>
      </c>
      <c r="DG10" s="710">
        <f>Ausgabe!$C$240</f>
        <v>1.3</v>
      </c>
      <c r="DH10" s="619">
        <f>Ausgabe!$C$246</f>
        <v>150.4</v>
      </c>
      <c r="DI10" s="710">
        <f>Ausgabe!$C$247</f>
        <v>1.1000000000000001</v>
      </c>
      <c r="DJ10" s="619">
        <f>Ausgabe!$C$254</f>
        <v>176.4</v>
      </c>
      <c r="DK10" s="710">
        <f>Ausgabe!$C$255</f>
        <v>1.25</v>
      </c>
      <c r="DL10" s="619">
        <f>Ausgabe!$C$263</f>
        <v>180.95573684677208</v>
      </c>
      <c r="DM10" s="710">
        <f>Ausgabe!$C$264</f>
        <v>1.1000000000000001</v>
      </c>
      <c r="DN10" s="619">
        <f t="shared" ca="1" si="11"/>
        <v>63.994479484427536</v>
      </c>
      <c r="DO10" s="619" t="e">
        <f t="shared" ca="1" si="12"/>
        <v>#DIV/0!</v>
      </c>
      <c r="DP10" s="833" t="e">
        <f t="shared" ca="1" si="13"/>
        <v>#DIV/0!</v>
      </c>
      <c r="DQ10" s="821" t="e">
        <f ca="1">Ausgabe!$C$369</f>
        <v>#DIV/0!</v>
      </c>
      <c r="DR10" s="710">
        <f>Ausgabe!$C$370</f>
        <v>1.3</v>
      </c>
      <c r="DS10" s="619" t="e">
        <f t="shared" ca="1" si="14"/>
        <v>#DIV/0!</v>
      </c>
      <c r="DT10" s="619" t="e">
        <f t="shared" ca="1" si="15"/>
        <v>#DIV/0!</v>
      </c>
      <c r="DU10" s="833" t="e">
        <f t="shared" ca="1" si="16"/>
        <v>#DIV/0!</v>
      </c>
      <c r="DV10" s="821">
        <f ca="1">Ausgabe!$C$420</f>
        <v>33.607770254588836</v>
      </c>
      <c r="DW10" s="710">
        <f>Ausgabe!$C$421</f>
        <v>1.3</v>
      </c>
      <c r="DX10" s="619">
        <f>Ausgabe!$C$423</f>
        <v>36.9</v>
      </c>
      <c r="DY10" s="710">
        <f>Ausgabe!$C$424</f>
        <v>1.1000000000000001</v>
      </c>
      <c r="DZ10" s="619">
        <f t="shared" ca="1" si="17"/>
        <v>23.266917868561499</v>
      </c>
      <c r="EA10" s="619">
        <f t="shared" si="33"/>
        <v>0</v>
      </c>
      <c r="EB10" s="833">
        <f t="shared" ca="1" si="18"/>
        <v>0</v>
      </c>
      <c r="EC10" s="710">
        <f ca="1">IF(CJ10=_oben,Berechnung_BZoben!$P$5,Berechnung_BZunten!$P$5)</f>
        <v>4.847242517186606</v>
      </c>
      <c r="ED10" s="710">
        <f>Ausgabe!$C$520</f>
        <v>1.3</v>
      </c>
      <c r="EE10" s="710">
        <f t="shared" ca="1" si="19"/>
        <v>3.355783281129189</v>
      </c>
      <c r="EF10" s="710" t="e">
        <f t="shared" ca="1" si="20"/>
        <v>#DIV/0!</v>
      </c>
      <c r="EG10" s="833" t="e">
        <f t="shared" ca="1" si="21"/>
        <v>#DIV/0!</v>
      </c>
      <c r="EH10" s="710">
        <f>Ausgabe!$C$592</f>
        <v>2.7</v>
      </c>
      <c r="EI10" s="710">
        <f>Ausgabe!$C$593</f>
        <v>1.3</v>
      </c>
      <c r="EJ10" s="710">
        <f t="shared" si="34"/>
        <v>1.8692307692307693</v>
      </c>
      <c r="EK10" s="710">
        <f t="shared" si="35"/>
        <v>0</v>
      </c>
      <c r="EL10" s="833">
        <f t="shared" si="36"/>
        <v>0</v>
      </c>
      <c r="EM10" s="821">
        <f ca="1">Ausgabe!$C$581</f>
        <v>0</v>
      </c>
      <c r="EN10" s="710" t="e">
        <f t="shared" ca="1" si="22"/>
        <v>#DIV/0!</v>
      </c>
      <c r="EO10" s="710" t="e">
        <f t="shared" ca="1" si="37"/>
        <v>#DIV/0!</v>
      </c>
      <c r="EP10" s="710" t="e">
        <f t="shared" ca="1" si="23"/>
        <v>#DIV/0!</v>
      </c>
      <c r="EQ10" s="833" t="e">
        <f t="shared" ca="1" si="24"/>
        <v>#DIV/0!</v>
      </c>
      <c r="ER10" s="889" t="e">
        <f t="shared" ca="1" si="25"/>
        <v>#DIV/0!</v>
      </c>
      <c r="ES10" s="619"/>
      <c r="EU10" s="499" t="s">
        <v>434</v>
      </c>
      <c r="EV10" s="723">
        <f>IF(A29=BL39,$C$29,0)</f>
        <v>0</v>
      </c>
      <c r="EW10" s="499" t="s">
        <v>434</v>
      </c>
      <c r="EX10" s="723">
        <f>IF(A29=BL40,$C$29,0)</f>
        <v>0</v>
      </c>
      <c r="EZ10" s="499" t="s">
        <v>434</v>
      </c>
      <c r="FA10" s="950">
        <f>IF(A29=BL39,$C$29,0)</f>
        <v>0</v>
      </c>
      <c r="FB10" s="499" t="s">
        <v>434</v>
      </c>
      <c r="FC10" s="724">
        <f>IF(A29=BL40,$C$29,0)</f>
        <v>0</v>
      </c>
      <c r="FE10" s="1227" t="s">
        <v>2012</v>
      </c>
      <c r="FF10" s="859">
        <f>AQ25</f>
        <v>0.7142857142857143</v>
      </c>
      <c r="FG10" s="569" t="s">
        <v>370</v>
      </c>
      <c r="FH10" s="1223"/>
    </row>
    <row r="11" spans="1:167" ht="18" thickBot="1">
      <c r="A11" s="979"/>
      <c r="B11" s="980"/>
      <c r="C11" s="980"/>
      <c r="D11" s="981"/>
      <c r="E11" s="980"/>
      <c r="F11" s="980"/>
      <c r="G11" s="1432"/>
      <c r="H11" s="508"/>
      <c r="O11" s="843">
        <f ca="1">IF(AND(EV43=1,EX43=1),"ok",0)</f>
        <v>0</v>
      </c>
      <c r="P11" s="1452" t="s">
        <v>1114</v>
      </c>
      <c r="Q11" s="1452"/>
      <c r="R11" s="1452"/>
      <c r="S11" s="1453"/>
      <c r="U11" s="1464" t="s">
        <v>441</v>
      </c>
      <c r="V11" s="1465"/>
      <c r="W11" s="1465"/>
      <c r="X11" s="1465"/>
      <c r="Y11" s="1465"/>
      <c r="Z11" s="1466"/>
      <c r="AB11" s="554" t="str">
        <v>SK 8x325</v>
      </c>
      <c r="AC11" s="579" t="str">
        <v>SK 8x325</v>
      </c>
      <c r="AD11" s="554" t="str">
        <v>Assy Plus VG 8x220</v>
      </c>
      <c r="AE11" s="706" t="str">
        <v>Assy Plus VG 8x220</v>
      </c>
      <c r="AG11" s="523"/>
      <c r="AH11" s="556" t="str">
        <v>Funierschichtholz</v>
      </c>
      <c r="AJ11" s="556" t="str">
        <v>GL24h</v>
      </c>
      <c r="AK11" s="556" t="str">
        <v>GL24h</v>
      </c>
      <c r="AM11" s="557">
        <v>9</v>
      </c>
      <c r="AN11" s="558" t="s">
        <v>442</v>
      </c>
      <c r="AO11" s="559" t="s">
        <v>60</v>
      </c>
      <c r="AP11" s="737">
        <f>HLOOKUP($C$17,MKW!$A$3:$BD$25,$AM11,FALSE)</f>
        <v>3.5</v>
      </c>
      <c r="AQ11" s="737">
        <f>HLOOKUP($C$24,MKW!$A$3:$BD$25,$AM11,FALSE)</f>
        <v>3.5</v>
      </c>
      <c r="AT11" s="573" t="str">
        <f>Sprachtexte!A81</f>
        <v>kurz</v>
      </c>
      <c r="AU11" s="561">
        <v>0.9</v>
      </c>
      <c r="AV11" s="561">
        <v>0.9</v>
      </c>
      <c r="AW11" s="625" t="str">
        <f t="shared" si="38"/>
        <v>kurz</v>
      </c>
      <c r="BA11" s="509">
        <v>9</v>
      </c>
      <c r="BB11" s="564" t="s">
        <v>619</v>
      </c>
      <c r="BC11" s="565" t="s">
        <v>443</v>
      </c>
      <c r="BD11" s="531">
        <f>ABS(BG2)</f>
        <v>0</v>
      </c>
      <c r="BE11" s="574">
        <f>IF(BG2&gt;=0,ABS(45-$BG$2),IF(BG2&lt;0,IF(ABS(45-$BG$2)&gt;90,180-ABS(45-$BG$2),ABS(45-$BG$2))))</f>
        <v>45</v>
      </c>
      <c r="BF11" s="575">
        <v>0</v>
      </c>
      <c r="BG11" s="574">
        <v>45</v>
      </c>
      <c r="BH11" s="575">
        <v>90</v>
      </c>
      <c r="BI11" s="574">
        <v>45</v>
      </c>
      <c r="BJ11" s="531">
        <v>0</v>
      </c>
      <c r="BK11" s="574">
        <v>0</v>
      </c>
      <c r="BL11" s="569" t="s">
        <v>444</v>
      </c>
      <c r="BR11" s="570" t="e">
        <f t="shared" ca="1" si="26"/>
        <v>#DIV/0!</v>
      </c>
      <c r="BS11" s="570" t="s">
        <v>1023</v>
      </c>
      <c r="BT11" s="571" t="s">
        <v>975</v>
      </c>
      <c r="BU11" s="610">
        <f>IF(OR(B100&lt;&gt;0,C100&lt;&gt;0,D100&lt;&gt;0,E100&lt;&gt;0,G100&lt;&gt;0),1,0)</f>
        <v>0</v>
      </c>
      <c r="BV11" s="619">
        <f>$BU$11*(1.35*B$99+1.5*B$100+1.5*$E$82*B$102)</f>
        <v>0</v>
      </c>
      <c r="BW11" s="619">
        <f>$BU$11*(1.35*C$99+1.5*C$100+1.5*$E$82*C$102)</f>
        <v>0</v>
      </c>
      <c r="BX11" s="619">
        <f>$BU$11*(1.35*D$99+1.5*D$100+1.5*$E$82*D$102)</f>
        <v>0</v>
      </c>
      <c r="BY11" s="619">
        <f>$BU$11*(1.35*E$99+1.5*E$100+1.5*$E$82*E$102)</f>
        <v>0</v>
      </c>
      <c r="BZ11" s="619">
        <f>$BU$11*(1.35*G$99+1.5*G$100+1.5*$E$82*G$102)</f>
        <v>0</v>
      </c>
      <c r="CA11" s="833">
        <f>VLOOKUP($A$80,MKW!$A$50:$E$60,4,FALSE)</f>
        <v>0.3</v>
      </c>
      <c r="CB11" s="821" t="e">
        <f t="shared" ca="1" si="27"/>
        <v>#DIV/0!</v>
      </c>
      <c r="CC11" s="619" t="str">
        <f t="shared" si="0"/>
        <v>oben</v>
      </c>
      <c r="CD11" s="834" t="e">
        <f ca="1">IF(CC11=_oben,Berechnung_BZoben!$S$7,Berechnung_BZunten!$S$7)</f>
        <v>#DIV/0!</v>
      </c>
      <c r="CE11" s="834" t="e">
        <f ca="1">CD11*2/(3*(1+2*Eingabe!CA11*Eingabe!$D$76))</f>
        <v>#DIV/0!</v>
      </c>
      <c r="CF11" s="710" t="e">
        <f ca="1">IF($C$86=Sprachtexte!$A$87,
-CE11*$C$87^3*BW11/(12*CE11*$C$87+24*$CF$2)+BX11*$BY$1*$CA$1/(6*$CF$2)*(($BY$1-$C$87-2*$CA$1)/(6*$CF$2)-1/CE11-$CA$1/(CE11*$C$87))/(($C$87/(3*$CF$2)+1/CE11)^2-($C$87/(6*$CF$2))^2),
-CE11*$C$87^3*BW11/(8*CE11*$C$87+24*$CF$2)-CE11*$CA$1/$C$87*($C$87^2-$CA$1^2)*BX11/(2*CE11*$C$87+6*$CF$2))</f>
        <v>#DIV/0!</v>
      </c>
      <c r="CG11" s="710" t="e">
        <f t="shared" ca="1" si="28"/>
        <v>#DIV/0!</v>
      </c>
      <c r="CH11" s="835">
        <f t="shared" ca="1" si="1"/>
        <v>0</v>
      </c>
      <c r="CI11" s="821" t="e">
        <f t="shared" ca="1" si="2"/>
        <v>#DIV/0!</v>
      </c>
      <c r="CJ11" s="619" t="str">
        <f t="shared" si="3"/>
        <v>oben</v>
      </c>
      <c r="CK11" s="834" t="e">
        <f ca="1">IF(CJ11=_oben,Berechnung_BZoben!$S$7,Berechnung_BZunten!$S$7)</f>
        <v>#DIV/0!</v>
      </c>
      <c r="CL11" s="834" t="e">
        <f ca="1">CK11*2/(3*(1+2*Eingabe!CA11*Eingabe!$D$76))</f>
        <v>#DIV/0!</v>
      </c>
      <c r="CM11" s="710" t="e">
        <f ca="1">IF($C$86=Sprachtexte!$A$87,
-CL11*$C$87^3*BW11/(12*CE11*$C$87+24*$CF$2)+BX11*$CA$1*$BY$1/(6*$CF$2)*(($CA$1-$C$87-2*$BY$1)/(6*$CF$2)-1/CE11-$BY$1/(CE11*$C$87))/(($C$87/(3*$CF$2)+1/CE11)^2-($C$87/(6*$CF$2))^2),0)</f>
        <v>#DIV/0!</v>
      </c>
      <c r="CN11" s="710" t="e">
        <f t="shared" ca="1" si="4"/>
        <v>#DIV/0!</v>
      </c>
      <c r="CO11" s="835">
        <f t="shared" ca="1" si="5"/>
        <v>0</v>
      </c>
      <c r="CP11" s="849">
        <f t="shared" si="29"/>
        <v>0</v>
      </c>
      <c r="CQ11" s="710" t="e">
        <f t="shared" ca="1" si="6"/>
        <v>#DIV/0!</v>
      </c>
      <c r="CR11" s="710" t="e">
        <f t="shared" ca="1" si="7"/>
        <v>#DIV/0!</v>
      </c>
      <c r="CS11" s="710">
        <f t="shared" si="30"/>
        <v>0</v>
      </c>
      <c r="CT11" s="710" t="e">
        <f t="shared" ca="1" si="8"/>
        <v>#DIV/0!</v>
      </c>
      <c r="CU11" s="710">
        <f t="shared" si="31"/>
        <v>0</v>
      </c>
      <c r="CV11" s="833">
        <f>MAX($C$79,$C$80,$C$82)</f>
        <v>1</v>
      </c>
      <c r="CW11" s="821" t="e">
        <f ca="1">MIN(Ausgabe!$C$173,Ausgabe!$C$186)</f>
        <v>#DIV/0!</v>
      </c>
      <c r="CX11" s="710">
        <f>Ausgabe!$C$187</f>
        <v>1.3</v>
      </c>
      <c r="CY11" s="619">
        <f>Ausgabe!$C$191</f>
        <v>100</v>
      </c>
      <c r="CZ11" s="710">
        <f>Ausgabe!$C$192</f>
        <v>1.25</v>
      </c>
      <c r="DA11" s="619">
        <f>Ausgabe!$C$194</f>
        <v>36.6</v>
      </c>
      <c r="DB11" s="710">
        <f>Ausgabe!$C$195</f>
        <v>1.25</v>
      </c>
      <c r="DC11" s="619" t="e">
        <f t="shared" ca="1" si="9"/>
        <v>#DIV/0!</v>
      </c>
      <c r="DD11" s="619">
        <f t="shared" si="32"/>
        <v>0</v>
      </c>
      <c r="DE11" s="710" t="e">
        <f t="shared" ca="1" si="10"/>
        <v>#DIV/0!</v>
      </c>
      <c r="DF11" s="821">
        <f ca="1">MIN(Ausgabe!$C$221,Ausgabe!$C$239)</f>
        <v>92.436470366395326</v>
      </c>
      <c r="DG11" s="710">
        <f>Ausgabe!$C$240</f>
        <v>1.3</v>
      </c>
      <c r="DH11" s="619">
        <f>Ausgabe!$C$246</f>
        <v>150.4</v>
      </c>
      <c r="DI11" s="710">
        <f>Ausgabe!$C$247</f>
        <v>1.1000000000000001</v>
      </c>
      <c r="DJ11" s="619">
        <f>Ausgabe!$C$254</f>
        <v>176.4</v>
      </c>
      <c r="DK11" s="710">
        <f>Ausgabe!$C$255</f>
        <v>1.25</v>
      </c>
      <c r="DL11" s="619">
        <f>Ausgabe!$C$263</f>
        <v>180.95573684677208</v>
      </c>
      <c r="DM11" s="710">
        <f>Ausgabe!$C$264</f>
        <v>1.1000000000000001</v>
      </c>
      <c r="DN11" s="619">
        <f t="shared" ca="1" si="11"/>
        <v>71.104977204919479</v>
      </c>
      <c r="DO11" s="619" t="e">
        <f t="shared" ca="1" si="12"/>
        <v>#DIV/0!</v>
      </c>
      <c r="DP11" s="833" t="e">
        <f t="shared" ca="1" si="13"/>
        <v>#DIV/0!</v>
      </c>
      <c r="DQ11" s="821" t="e">
        <f ca="1">Ausgabe!$C$369</f>
        <v>#DIV/0!</v>
      </c>
      <c r="DR11" s="710">
        <f>Ausgabe!$C$370</f>
        <v>1.3</v>
      </c>
      <c r="DS11" s="619" t="e">
        <f t="shared" ca="1" si="14"/>
        <v>#DIV/0!</v>
      </c>
      <c r="DT11" s="619" t="e">
        <f t="shared" ca="1" si="15"/>
        <v>#DIV/0!</v>
      </c>
      <c r="DU11" s="833" t="e">
        <f t="shared" ca="1" si="16"/>
        <v>#DIV/0!</v>
      </c>
      <c r="DV11" s="821">
        <f ca="1">Ausgabe!$C$420</f>
        <v>33.607770254588836</v>
      </c>
      <c r="DW11" s="710">
        <f>Ausgabe!$C$421</f>
        <v>1.3</v>
      </c>
      <c r="DX11" s="619">
        <f>Ausgabe!$C$423</f>
        <v>36.9</v>
      </c>
      <c r="DY11" s="710">
        <f>Ausgabe!$C$424</f>
        <v>1.1000000000000001</v>
      </c>
      <c r="DZ11" s="619">
        <f t="shared" ca="1" si="17"/>
        <v>25.852130965068334</v>
      </c>
      <c r="EA11" s="619">
        <f t="shared" si="33"/>
        <v>0</v>
      </c>
      <c r="EB11" s="833">
        <f t="shared" ca="1" si="18"/>
        <v>0</v>
      </c>
      <c r="EC11" s="710">
        <f ca="1">IF(CJ11=_oben,Berechnung_BZoben!$P$5,Berechnung_BZunten!$P$5)</f>
        <v>4.847242517186606</v>
      </c>
      <c r="ED11" s="710">
        <f>Ausgabe!$C$520</f>
        <v>1.3</v>
      </c>
      <c r="EE11" s="710">
        <f t="shared" ca="1" si="19"/>
        <v>3.728648090143543</v>
      </c>
      <c r="EF11" s="710" t="e">
        <f t="shared" ca="1" si="20"/>
        <v>#DIV/0!</v>
      </c>
      <c r="EG11" s="833" t="e">
        <f t="shared" ca="1" si="21"/>
        <v>#DIV/0!</v>
      </c>
      <c r="EH11" s="710">
        <f>Ausgabe!$C$592</f>
        <v>2.7</v>
      </c>
      <c r="EI11" s="710">
        <f>Ausgabe!$C$593</f>
        <v>1.3</v>
      </c>
      <c r="EJ11" s="710">
        <f t="shared" si="34"/>
        <v>2.0769230769230771</v>
      </c>
      <c r="EK11" s="710">
        <f t="shared" si="35"/>
        <v>0</v>
      </c>
      <c r="EL11" s="833">
        <f t="shared" si="36"/>
        <v>0</v>
      </c>
      <c r="EM11" s="821">
        <f ca="1">Ausgabe!$C$581</f>
        <v>0</v>
      </c>
      <c r="EN11" s="710" t="e">
        <f t="shared" ca="1" si="22"/>
        <v>#DIV/0!</v>
      </c>
      <c r="EO11" s="710" t="e">
        <f t="shared" ca="1" si="37"/>
        <v>#DIV/0!</v>
      </c>
      <c r="EP11" s="710" t="e">
        <f t="shared" ca="1" si="23"/>
        <v>#DIV/0!</v>
      </c>
      <c r="EQ11" s="833" t="e">
        <f t="shared" ca="1" si="24"/>
        <v>#DIV/0!</v>
      </c>
      <c r="ER11" s="889" t="e">
        <f t="shared" ca="1" si="25"/>
        <v>#DIV/0!</v>
      </c>
      <c r="ES11" s="619"/>
      <c r="EU11" s="499" t="s">
        <v>775</v>
      </c>
      <c r="EV11" s="723">
        <f>EV6/COS(RADIANS(EV10))</f>
        <v>0</v>
      </c>
      <c r="EW11" s="499" t="s">
        <v>790</v>
      </c>
      <c r="EX11" s="723">
        <f>EX5/COS(RADIANS(EX10))</f>
        <v>0</v>
      </c>
      <c r="EZ11" s="499" t="s">
        <v>775</v>
      </c>
      <c r="FA11" s="951">
        <f>FA6/COS(RADIANS(FA10))</f>
        <v>0</v>
      </c>
      <c r="FB11" s="499" t="s">
        <v>790</v>
      </c>
      <c r="FC11" s="723">
        <f>FC5/COS(RADIANS(FC10))</f>
        <v>0</v>
      </c>
      <c r="FE11" s="1225" t="s">
        <v>2015</v>
      </c>
      <c r="FF11" s="1297" t="e">
        <f ca="1">MIN(1,(FF12*(1+(1.1*FF13^1.5)/SQRT(FF7)))/(SQRT(FF7)*(SQRT(FF15*(1-FF15))+0.8*(FF14/FF7)*SQRT(1/FF15-FF15^2))))</f>
        <v>#DIV/0!</v>
      </c>
      <c r="FG11" s="569" t="s">
        <v>370</v>
      </c>
      <c r="FH11" s="1223"/>
    </row>
    <row r="12" spans="1:167" ht="17.25" thickBot="1">
      <c r="A12" s="980"/>
      <c r="B12" s="982"/>
      <c r="C12" s="980"/>
      <c r="D12" s="980"/>
      <c r="E12" s="980"/>
      <c r="F12" s="980"/>
      <c r="G12" s="980"/>
      <c r="O12" s="843">
        <f>IF(AND(FA17=1,FC17=1),"ok",0)</f>
        <v>0</v>
      </c>
      <c r="P12" s="1452" t="s">
        <v>1144</v>
      </c>
      <c r="Q12" s="1452"/>
      <c r="R12" s="1452"/>
      <c r="S12" s="1453"/>
      <c r="U12" s="528" t="s">
        <v>438</v>
      </c>
      <c r="V12" s="578">
        <f>IF(C28=BL34,30,IF(C28=BL35,31,IF(C28=BL36,32,IF(C28=BL32,33,IF(C28=BL33,34,NA())))))</f>
        <v>33</v>
      </c>
      <c r="W12" s="1467" t="str">
        <f>IF(V12=30,BL34,IF(V12=31,BL35,IF(V12=32,BL36,IF(V12=33,BL32,IF(V12=34,BL33,NA())))))</f>
        <v>Nebenträger an Hauptträger</v>
      </c>
      <c r="X12" s="1467"/>
      <c r="Y12" s="1467"/>
      <c r="Z12" s="1468"/>
      <c r="AB12" s="554" t="str">
        <v>SK 8x350</v>
      </c>
      <c r="AC12" s="579" t="str">
        <v>SK 8x350</v>
      </c>
      <c r="AD12" s="554" t="str">
        <v>Assy Plus VG 8x240</v>
      </c>
      <c r="AE12" s="706" t="str">
        <v>Assy Plus VG 8x240</v>
      </c>
      <c r="AG12" s="523"/>
      <c r="AH12" s="556"/>
      <c r="AJ12" s="556" t="str">
        <v>GL26h</v>
      </c>
      <c r="AK12" s="556" t="str">
        <v>GL26h</v>
      </c>
      <c r="AM12" s="557">
        <v>10</v>
      </c>
      <c r="AN12" s="558" t="s">
        <v>445</v>
      </c>
      <c r="AO12" s="559" t="s">
        <v>60</v>
      </c>
      <c r="AP12" s="737">
        <f>HLOOKUP($C$17,MKW!$A$3:$BD$25,$AM12,FALSE)</f>
        <v>1.2</v>
      </c>
      <c r="AQ12" s="737">
        <f>HLOOKUP($C$24,MKW!$A$3:$BD$25,$AM12,FALSE)</f>
        <v>1.2</v>
      </c>
      <c r="AT12" s="573" t="str">
        <f>Sprachtexte!A82</f>
        <v>kurz/sehr kurz</v>
      </c>
      <c r="AU12" s="561">
        <v>1</v>
      </c>
      <c r="AV12" s="561">
        <v>1</v>
      </c>
      <c r="AW12" s="625" t="str">
        <f t="shared" si="38"/>
        <v>kurz/sehr kurz</v>
      </c>
      <c r="BA12" s="509">
        <v>10</v>
      </c>
      <c r="BB12" s="564" t="s">
        <v>619</v>
      </c>
      <c r="BC12" s="581" t="s">
        <v>446</v>
      </c>
      <c r="BD12" s="582">
        <f>ABS($BG$2)</f>
        <v>0</v>
      </c>
      <c r="BE12" s="583">
        <f>IF(BG2&gt;=0,ABS(45-$BG$2),IF(BG2&lt;0,IF(ABS(45-$BG$2)&gt;90,180-ABS(45-$BG$2),ABS(45-$BG$2))))</f>
        <v>45</v>
      </c>
      <c r="BF12" s="584">
        <v>90</v>
      </c>
      <c r="BG12" s="583">
        <v>90</v>
      </c>
      <c r="BH12" s="584">
        <v>90</v>
      </c>
      <c r="BI12" s="583">
        <v>45</v>
      </c>
      <c r="BJ12" s="582">
        <v>90</v>
      </c>
      <c r="BK12" s="583">
        <v>45</v>
      </c>
      <c r="BL12" s="569" t="s">
        <v>430</v>
      </c>
      <c r="BR12" s="570" t="e">
        <f t="shared" ca="1" si="26"/>
        <v>#DIV/0!</v>
      </c>
      <c r="BS12" s="570" t="s">
        <v>1024</v>
      </c>
      <c r="BT12" s="571" t="s">
        <v>976</v>
      </c>
      <c r="BU12" s="610">
        <f>IF(OR(B101&lt;&gt;0,C101&lt;&gt;0,D101&lt;&gt;0,E101&lt;&gt;0,G101&lt;&gt;0),1,0)</f>
        <v>0</v>
      </c>
      <c r="BV12" s="619">
        <f>$BU$12*(1.35*B$99+1.5*B$101+1.5*$E$80*B$100)</f>
        <v>0</v>
      </c>
      <c r="BW12" s="619">
        <f>$BU$12*(1.35*C$99+1.5*C$101+1.5*$E$80*C$100)</f>
        <v>0</v>
      </c>
      <c r="BX12" s="619">
        <f>$BU$12*(1.35*D$99+1.5*D$101+1.5*$E$80*D$100)</f>
        <v>0</v>
      </c>
      <c r="BY12" s="619">
        <f>$BU$12*(1.35*E$99+1.5*E$101+1.5*$E$80*E$100)</f>
        <v>0</v>
      </c>
      <c r="BZ12" s="619">
        <f>$BU$12*(1.35*G$99+1.5*G$101+1.5*$E$80*G$100)</f>
        <v>0</v>
      </c>
      <c r="CA12" s="833">
        <f>VLOOKUP($A$81,MKW!$A$50:$E$60,4,FALSE)</f>
        <v>0</v>
      </c>
      <c r="CB12" s="821" t="e">
        <f t="shared" ca="1" si="27"/>
        <v>#DIV/0!</v>
      </c>
      <c r="CC12" s="619" t="str">
        <f t="shared" si="0"/>
        <v>oben</v>
      </c>
      <c r="CD12" s="834" t="e">
        <f ca="1">IF(CC12=_oben,Berechnung_BZoben!$S$7,Berechnung_BZunten!$S$7)</f>
        <v>#DIV/0!</v>
      </c>
      <c r="CE12" s="834" t="e">
        <f ca="1">CD12*2/(3*(1+2*Eingabe!CA12*Eingabe!$D$76))</f>
        <v>#DIV/0!</v>
      </c>
      <c r="CF12" s="710" t="e">
        <f ca="1">IF($C$86=Sprachtexte!$A$87,
-CE12*$C$87^3*BW12/(12*CE12*$C$87+24*$CF$2)+BX12*$BY$1*$CA$1/(6*$CF$2)*(($BY$1-$C$87-2*$CA$1)/(6*$CF$2)-1/CE12-$CA$1/(CE12*$C$87))/(($C$87/(3*$CF$2)+1/CE12)^2-($C$87/(6*$CF$2))^2),
-CE12*$C$87^3*BW12/(8*CE12*$C$87+24*$CF$2)-CE12*$CA$1/$C$87*($C$87^2-$CA$1^2)*BX12/(2*CE12*$C$87+6*$CF$2))</f>
        <v>#DIV/0!</v>
      </c>
      <c r="CG12" s="710" t="e">
        <f t="shared" ca="1" si="28"/>
        <v>#DIV/0!</v>
      </c>
      <c r="CH12" s="835">
        <f t="shared" ca="1" si="1"/>
        <v>0</v>
      </c>
      <c r="CI12" s="821" t="e">
        <f t="shared" ca="1" si="2"/>
        <v>#DIV/0!</v>
      </c>
      <c r="CJ12" s="619" t="str">
        <f t="shared" si="3"/>
        <v>oben</v>
      </c>
      <c r="CK12" s="834" t="e">
        <f ca="1">IF(CJ12=_oben,Berechnung_BZoben!$S$7,Berechnung_BZunten!$S$7)</f>
        <v>#DIV/0!</v>
      </c>
      <c r="CL12" s="834" t="e">
        <f ca="1">CK12*2/(3*(1+2*Eingabe!CA12*Eingabe!$D$76))</f>
        <v>#DIV/0!</v>
      </c>
      <c r="CM12" s="710" t="e">
        <f ca="1">IF($C$86=Sprachtexte!$A$87,
-CL12*$C$87^3*BW12/(12*CE12*$C$87+24*$CF$2)+BX12*$CA$1*$BY$1/(6*$CF$2)*(($CA$1-$C$87-2*$BY$1)/(6*$CF$2)-1/CE12-$BY$1/(CE12*$C$87))/(($C$87/(3*$CF$2)+1/CE12)^2-($C$87/(6*$CF$2))^2),0)</f>
        <v>#DIV/0!</v>
      </c>
      <c r="CN12" s="710" t="e">
        <f t="shared" ca="1" si="4"/>
        <v>#DIV/0!</v>
      </c>
      <c r="CO12" s="835">
        <f t="shared" ca="1" si="5"/>
        <v>0</v>
      </c>
      <c r="CP12" s="849">
        <f t="shared" si="29"/>
        <v>0</v>
      </c>
      <c r="CQ12" s="710" t="e">
        <f t="shared" ca="1" si="6"/>
        <v>#DIV/0!</v>
      </c>
      <c r="CR12" s="710" t="e">
        <f t="shared" ca="1" si="7"/>
        <v>#DIV/0!</v>
      </c>
      <c r="CS12" s="710">
        <f t="shared" si="30"/>
        <v>0</v>
      </c>
      <c r="CT12" s="710" t="e">
        <f t="shared" ca="1" si="8"/>
        <v>#DIV/0!</v>
      </c>
      <c r="CU12" s="710">
        <f t="shared" si="31"/>
        <v>0</v>
      </c>
      <c r="CV12" s="833">
        <f>MAX($C$79,$C$81,$C$80)</f>
        <v>0.9</v>
      </c>
      <c r="CW12" s="821" t="e">
        <f ca="1">MIN(Ausgabe!$C$173,Ausgabe!$C$186)</f>
        <v>#DIV/0!</v>
      </c>
      <c r="CX12" s="710">
        <f>Ausgabe!$C$187</f>
        <v>1.3</v>
      </c>
      <c r="CY12" s="619">
        <f>Ausgabe!$C$191</f>
        <v>100</v>
      </c>
      <c r="CZ12" s="710">
        <f>Ausgabe!$C$192</f>
        <v>1.25</v>
      </c>
      <c r="DA12" s="619">
        <f>Ausgabe!$C$194</f>
        <v>36.6</v>
      </c>
      <c r="DB12" s="710">
        <f>Ausgabe!$C$195</f>
        <v>1.25</v>
      </c>
      <c r="DC12" s="619" t="e">
        <f t="shared" ca="1" si="9"/>
        <v>#DIV/0!</v>
      </c>
      <c r="DD12" s="619">
        <f t="shared" si="32"/>
        <v>0</v>
      </c>
      <c r="DE12" s="710" t="e">
        <f t="shared" ca="1" si="10"/>
        <v>#DIV/0!</v>
      </c>
      <c r="DF12" s="821">
        <f ca="1">MIN(Ausgabe!$C$221,Ausgabe!$C$239)</f>
        <v>92.436470366395326</v>
      </c>
      <c r="DG12" s="710">
        <f>Ausgabe!$C$240</f>
        <v>1.3</v>
      </c>
      <c r="DH12" s="619">
        <f>Ausgabe!$C$246</f>
        <v>150.4</v>
      </c>
      <c r="DI12" s="710">
        <f>Ausgabe!$C$247</f>
        <v>1.1000000000000001</v>
      </c>
      <c r="DJ12" s="619">
        <f>Ausgabe!$C$254</f>
        <v>176.4</v>
      </c>
      <c r="DK12" s="710">
        <f>Ausgabe!$C$255</f>
        <v>1.25</v>
      </c>
      <c r="DL12" s="619">
        <f>Ausgabe!$C$263</f>
        <v>180.95573684677208</v>
      </c>
      <c r="DM12" s="710">
        <f>Ausgabe!$C$264</f>
        <v>1.1000000000000001</v>
      </c>
      <c r="DN12" s="619">
        <f t="shared" ca="1" si="11"/>
        <v>63.994479484427536</v>
      </c>
      <c r="DO12" s="619" t="e">
        <f t="shared" ca="1" si="12"/>
        <v>#DIV/0!</v>
      </c>
      <c r="DP12" s="833" t="e">
        <f t="shared" ca="1" si="13"/>
        <v>#DIV/0!</v>
      </c>
      <c r="DQ12" s="821" t="e">
        <f ca="1">Ausgabe!$C$369</f>
        <v>#DIV/0!</v>
      </c>
      <c r="DR12" s="710">
        <f>Ausgabe!$C$370</f>
        <v>1.3</v>
      </c>
      <c r="DS12" s="619" t="e">
        <f t="shared" ca="1" si="14"/>
        <v>#DIV/0!</v>
      </c>
      <c r="DT12" s="619" t="e">
        <f t="shared" ca="1" si="15"/>
        <v>#DIV/0!</v>
      </c>
      <c r="DU12" s="833" t="e">
        <f t="shared" ca="1" si="16"/>
        <v>#DIV/0!</v>
      </c>
      <c r="DV12" s="821">
        <f ca="1">Ausgabe!$C$420</f>
        <v>33.607770254588836</v>
      </c>
      <c r="DW12" s="710">
        <f>Ausgabe!$C$421</f>
        <v>1.3</v>
      </c>
      <c r="DX12" s="619">
        <f>Ausgabe!$C$423</f>
        <v>36.9</v>
      </c>
      <c r="DY12" s="710">
        <f>Ausgabe!$C$424</f>
        <v>1.1000000000000001</v>
      </c>
      <c r="DZ12" s="619">
        <f t="shared" ca="1" si="17"/>
        <v>23.266917868561499</v>
      </c>
      <c r="EA12" s="619">
        <f t="shared" si="33"/>
        <v>0</v>
      </c>
      <c r="EB12" s="833">
        <f t="shared" ca="1" si="18"/>
        <v>0</v>
      </c>
      <c r="EC12" s="710">
        <f ca="1">IF(CJ12=_oben,Berechnung_BZoben!$P$5,Berechnung_BZunten!$P$5)</f>
        <v>4.847242517186606</v>
      </c>
      <c r="ED12" s="710">
        <f>Ausgabe!$C$520</f>
        <v>1.3</v>
      </c>
      <c r="EE12" s="710">
        <f t="shared" ca="1" si="19"/>
        <v>3.355783281129189</v>
      </c>
      <c r="EF12" s="710" t="e">
        <f t="shared" ca="1" si="20"/>
        <v>#DIV/0!</v>
      </c>
      <c r="EG12" s="833" t="e">
        <f t="shared" ca="1" si="21"/>
        <v>#DIV/0!</v>
      </c>
      <c r="EH12" s="710">
        <f>Ausgabe!$C$592</f>
        <v>2.7</v>
      </c>
      <c r="EI12" s="710">
        <f>Ausgabe!$C$593</f>
        <v>1.3</v>
      </c>
      <c r="EJ12" s="710">
        <f t="shared" si="34"/>
        <v>1.8692307692307693</v>
      </c>
      <c r="EK12" s="710">
        <f t="shared" si="35"/>
        <v>0</v>
      </c>
      <c r="EL12" s="833">
        <f t="shared" si="36"/>
        <v>0</v>
      </c>
      <c r="EM12" s="821">
        <f ca="1">Ausgabe!$C$581</f>
        <v>0</v>
      </c>
      <c r="EN12" s="710" t="e">
        <f t="shared" ca="1" si="22"/>
        <v>#DIV/0!</v>
      </c>
      <c r="EO12" s="710" t="e">
        <f t="shared" ca="1" si="37"/>
        <v>#DIV/0!</v>
      </c>
      <c r="EP12" s="710" t="e">
        <f t="shared" ca="1" si="23"/>
        <v>#DIV/0!</v>
      </c>
      <c r="EQ12" s="833" t="e">
        <f ca="1">IF(EN12=0,0,(DE12+ABS(EP12)/EE12)^2+DP12^2+EB12^2+EL12^2)</f>
        <v>#DIV/0!</v>
      </c>
      <c r="ER12" s="889" t="e">
        <f t="shared" ca="1" si="25"/>
        <v>#DIV/0!</v>
      </c>
      <c r="ES12" s="619"/>
      <c r="EU12" s="499" t="s">
        <v>1130</v>
      </c>
      <c r="EV12" s="723">
        <f>C31</f>
        <v>0</v>
      </c>
      <c r="EW12" s="499" t="s">
        <v>791</v>
      </c>
      <c r="EX12" s="723">
        <f>(EX11-EX7)/2</f>
        <v>-30</v>
      </c>
      <c r="EZ12" s="499" t="s">
        <v>1130</v>
      </c>
      <c r="FA12" s="951">
        <f>C31</f>
        <v>0</v>
      </c>
      <c r="FB12" s="499" t="s">
        <v>791</v>
      </c>
      <c r="FC12" s="723">
        <f>(FC11-FC7)/2</f>
        <v>-30</v>
      </c>
      <c r="FE12" s="1227" t="s">
        <v>2008</v>
      </c>
      <c r="FF12" s="1226">
        <f>$AQ$24</f>
        <v>6.5</v>
      </c>
      <c r="FG12" s="569" t="s">
        <v>370</v>
      </c>
      <c r="FH12" s="1223"/>
    </row>
    <row r="13" spans="1:167" ht="19.5" thickBot="1">
      <c r="A13" s="585" t="str">
        <f>Sprachtexte!A11</f>
        <v>Querschnitte</v>
      </c>
      <c r="B13" s="586"/>
      <c r="C13" s="587"/>
      <c r="D13" s="588"/>
      <c r="E13" s="586"/>
      <c r="F13" s="586"/>
      <c r="G13" s="586"/>
      <c r="O13" s="843" t="str">
        <f>IF(OR(AND(V10&lt;&gt;22,C122=BP22,C157=BP22),V10=22),"ok",0)</f>
        <v>ok</v>
      </c>
      <c r="P13" s="1452" t="s">
        <v>2064</v>
      </c>
      <c r="Q13" s="1452"/>
      <c r="R13" s="1452"/>
      <c r="S13" s="1453"/>
      <c r="U13" s="1464" t="s">
        <v>2664</v>
      </c>
      <c r="V13" s="1465"/>
      <c r="W13" s="1465"/>
      <c r="X13" s="1465"/>
      <c r="Y13" s="1465"/>
      <c r="Z13" s="1466"/>
      <c r="AB13" s="554" t="str">
        <v>SK 8x375</v>
      </c>
      <c r="AC13" s="579" t="str">
        <v>SK 8x375</v>
      </c>
      <c r="AD13" s="554" t="str">
        <v>Assy Plus VG 8x260</v>
      </c>
      <c r="AE13" s="706" t="str">
        <v>Assy Plus VG 8x260</v>
      </c>
      <c r="AG13" s="523"/>
      <c r="AH13" s="556"/>
      <c r="AJ13" s="556" t="str">
        <v>GL28h</v>
      </c>
      <c r="AK13" s="556" t="str">
        <v>GL28h</v>
      </c>
      <c r="AM13" s="557">
        <v>11</v>
      </c>
      <c r="AN13" s="558" t="s">
        <v>447</v>
      </c>
      <c r="AO13" s="559" t="s">
        <v>60</v>
      </c>
      <c r="AP13" s="737">
        <f>HLOOKUP($C$17,MKW!$A$3:$BD$25,$AM13,FALSE)</f>
        <v>11500</v>
      </c>
      <c r="AQ13" s="737">
        <f>HLOOKUP($C$24,MKW!$A$3:$BD$25,$AM13,FALSE)</f>
        <v>11500</v>
      </c>
      <c r="AT13" s="573" t="str">
        <f>Sprachtexte!A83</f>
        <v>sehr kurz</v>
      </c>
      <c r="AU13" s="561">
        <v>1.1000000000000001</v>
      </c>
      <c r="AV13" s="561">
        <v>1.1000000000000001</v>
      </c>
      <c r="AW13" s="625" t="str">
        <f t="shared" si="38"/>
        <v>sehr kurz</v>
      </c>
      <c r="BA13" s="509">
        <v>11</v>
      </c>
      <c r="BB13" s="527"/>
      <c r="BC13" s="527"/>
      <c r="BD13" s="502" t="str">
        <f>BL40</f>
        <v>Anschlusswinkel horizontal</v>
      </c>
      <c r="BE13" s="503"/>
      <c r="BF13" s="503"/>
      <c r="BG13" s="589">
        <f>C29</f>
        <v>0</v>
      </c>
      <c r="BH13" s="503"/>
      <c r="BI13" s="503"/>
      <c r="BJ13" s="503"/>
      <c r="BK13" s="505"/>
      <c r="BR13" s="570" t="e">
        <f t="shared" ca="1" si="26"/>
        <v>#DIV/0!</v>
      </c>
      <c r="BS13" s="570" t="s">
        <v>1025</v>
      </c>
      <c r="BT13" s="571" t="s">
        <v>977</v>
      </c>
      <c r="BU13" s="610">
        <f>IF(OR(B101&lt;&gt;0,C101&lt;&gt;0,D101&lt;&gt;0,E101&lt;&gt;0,G101&lt;&gt;0),1,0)</f>
        <v>0</v>
      </c>
      <c r="BV13" s="619">
        <f>$BU$13*(1.35*B$99+1.5*B$101+1.5*$E$82*B$102)</f>
        <v>0</v>
      </c>
      <c r="BW13" s="619">
        <f>$BU$13*(1.35*C$99+1.5*C$101+1.5*$E$82*C$102)</f>
        <v>0</v>
      </c>
      <c r="BX13" s="619">
        <f>$BU$13*(1.35*D$99+1.5*D$101+1.5*$E$82*D$102)</f>
        <v>0</v>
      </c>
      <c r="BY13" s="619">
        <f>$BU$13*(1.35*E$99+1.5*E$101+1.5*$E$82*E$102)</f>
        <v>0</v>
      </c>
      <c r="BZ13" s="619">
        <f>$BU$13*(1.35*G$99+1.5*G$101+1.5*$E$82*G$102)</f>
        <v>0</v>
      </c>
      <c r="CA13" s="833">
        <f>VLOOKUP($A$81,MKW!$A$50:$E$60,4,FALSE)</f>
        <v>0</v>
      </c>
      <c r="CB13" s="821" t="e">
        <f t="shared" ca="1" si="27"/>
        <v>#DIV/0!</v>
      </c>
      <c r="CC13" s="619" t="str">
        <f t="shared" si="0"/>
        <v>oben</v>
      </c>
      <c r="CD13" s="834" t="e">
        <f ca="1">IF(CC13=_oben,Berechnung_BZoben!$S$7,Berechnung_BZunten!$S$7)</f>
        <v>#DIV/0!</v>
      </c>
      <c r="CE13" s="834" t="e">
        <f ca="1">CD13*2/(3*(1+2*Eingabe!CA13*Eingabe!$D$76))</f>
        <v>#DIV/0!</v>
      </c>
      <c r="CF13" s="710" t="e">
        <f ca="1">IF($C$86=Sprachtexte!$A$87,
-CE13*$C$87^3*BW13/(12*CE13*$C$87+24*$CF$2)+BX13*$BY$1*$CA$1/(6*$CF$2)*(($BY$1-$C$87-2*$CA$1)/(6*$CF$2)-1/CE13-$CA$1/(CE13*$C$87))/(($C$87/(3*$CF$2)+1/CE13)^2-($C$87/(6*$CF$2))^2),
-CE13*$C$87^3*BW13/(8*CE13*$C$87+24*$CF$2)-CE13*$CA$1/$C$87*($C$87^2-$CA$1^2)*BX13/(2*CE13*$C$87+6*$CF$2))</f>
        <v>#DIV/0!</v>
      </c>
      <c r="CG13" s="710" t="e">
        <f t="shared" ca="1" si="28"/>
        <v>#DIV/0!</v>
      </c>
      <c r="CH13" s="835">
        <f t="shared" ca="1" si="1"/>
        <v>0</v>
      </c>
      <c r="CI13" s="821" t="e">
        <f t="shared" ca="1" si="2"/>
        <v>#DIV/0!</v>
      </c>
      <c r="CJ13" s="619" t="str">
        <f t="shared" si="3"/>
        <v>oben</v>
      </c>
      <c r="CK13" s="834" t="e">
        <f ca="1">IF(CJ13=_oben,Berechnung_BZoben!$S$7,Berechnung_BZunten!$S$7)</f>
        <v>#DIV/0!</v>
      </c>
      <c r="CL13" s="834" t="e">
        <f ca="1">CK13*2/(3*(1+2*Eingabe!CA13*Eingabe!$D$76))</f>
        <v>#DIV/0!</v>
      </c>
      <c r="CM13" s="710" t="e">
        <f ca="1">IF($C$86=Sprachtexte!$A$87,
-CL13*$C$87^3*BW13/(12*CE13*$C$87+24*$CF$2)+BX13*$CA$1*$BY$1/(6*$CF$2)*(($CA$1-$C$87-2*$BY$1)/(6*$CF$2)-1/CE13-$BY$1/(CE13*$C$87))/(($C$87/(3*$CF$2)+1/CE13)^2-($C$87/(6*$CF$2))^2),0)</f>
        <v>#DIV/0!</v>
      </c>
      <c r="CN13" s="710" t="e">
        <f t="shared" ca="1" si="4"/>
        <v>#DIV/0!</v>
      </c>
      <c r="CO13" s="835">
        <f t="shared" ca="1" si="5"/>
        <v>0</v>
      </c>
      <c r="CP13" s="849">
        <f t="shared" si="29"/>
        <v>0</v>
      </c>
      <c r="CQ13" s="710" t="e">
        <f t="shared" ca="1" si="6"/>
        <v>#DIV/0!</v>
      </c>
      <c r="CR13" s="710" t="e">
        <f t="shared" ca="1" si="7"/>
        <v>#DIV/0!</v>
      </c>
      <c r="CS13" s="710">
        <f t="shared" si="30"/>
        <v>0</v>
      </c>
      <c r="CT13" s="710" t="e">
        <f t="shared" ca="1" si="8"/>
        <v>#DIV/0!</v>
      </c>
      <c r="CU13" s="710">
        <f t="shared" si="31"/>
        <v>0</v>
      </c>
      <c r="CV13" s="833">
        <f>MAX($C$79,$C$81,$C$82)</f>
        <v>1</v>
      </c>
      <c r="CW13" s="821" t="e">
        <f ca="1">MIN(Ausgabe!$C$173,Ausgabe!$C$186)</f>
        <v>#DIV/0!</v>
      </c>
      <c r="CX13" s="710">
        <f>Ausgabe!$C$187</f>
        <v>1.3</v>
      </c>
      <c r="CY13" s="619">
        <f>Ausgabe!$C$191</f>
        <v>100</v>
      </c>
      <c r="CZ13" s="710">
        <f>Ausgabe!$C$192</f>
        <v>1.25</v>
      </c>
      <c r="DA13" s="619">
        <f>Ausgabe!$C$194</f>
        <v>36.6</v>
      </c>
      <c r="DB13" s="710">
        <f>Ausgabe!$C$195</f>
        <v>1.25</v>
      </c>
      <c r="DC13" s="619" t="e">
        <f t="shared" ca="1" si="9"/>
        <v>#DIV/0!</v>
      </c>
      <c r="DD13" s="619">
        <f t="shared" si="32"/>
        <v>0</v>
      </c>
      <c r="DE13" s="710" t="e">
        <f t="shared" ca="1" si="10"/>
        <v>#DIV/0!</v>
      </c>
      <c r="DF13" s="821">
        <f ca="1">MIN(Ausgabe!$C$221,Ausgabe!$C$239)</f>
        <v>92.436470366395326</v>
      </c>
      <c r="DG13" s="710">
        <f>Ausgabe!$C$240</f>
        <v>1.3</v>
      </c>
      <c r="DH13" s="619">
        <f>Ausgabe!$C$246</f>
        <v>150.4</v>
      </c>
      <c r="DI13" s="710">
        <f>Ausgabe!$C$247</f>
        <v>1.1000000000000001</v>
      </c>
      <c r="DJ13" s="619">
        <f>Ausgabe!$C$254</f>
        <v>176.4</v>
      </c>
      <c r="DK13" s="710">
        <f>Ausgabe!$C$255</f>
        <v>1.25</v>
      </c>
      <c r="DL13" s="619">
        <f>Ausgabe!$C$263</f>
        <v>180.95573684677208</v>
      </c>
      <c r="DM13" s="710">
        <f>Ausgabe!$C$264</f>
        <v>1.1000000000000001</v>
      </c>
      <c r="DN13" s="619">
        <f t="shared" ca="1" si="11"/>
        <v>71.104977204919479</v>
      </c>
      <c r="DO13" s="619" t="e">
        <f t="shared" ca="1" si="12"/>
        <v>#DIV/0!</v>
      </c>
      <c r="DP13" s="833" t="e">
        <f t="shared" ca="1" si="13"/>
        <v>#DIV/0!</v>
      </c>
      <c r="DQ13" s="821" t="e">
        <f ca="1">Ausgabe!$C$369</f>
        <v>#DIV/0!</v>
      </c>
      <c r="DR13" s="710">
        <f>Ausgabe!$C$370</f>
        <v>1.3</v>
      </c>
      <c r="DS13" s="619" t="e">
        <f t="shared" ca="1" si="14"/>
        <v>#DIV/0!</v>
      </c>
      <c r="DT13" s="619" t="e">
        <f t="shared" ca="1" si="15"/>
        <v>#DIV/0!</v>
      </c>
      <c r="DU13" s="833" t="e">
        <f t="shared" ca="1" si="16"/>
        <v>#DIV/0!</v>
      </c>
      <c r="DV13" s="821">
        <f ca="1">Ausgabe!$C$420</f>
        <v>33.607770254588836</v>
      </c>
      <c r="DW13" s="710">
        <f>Ausgabe!$C$421</f>
        <v>1.3</v>
      </c>
      <c r="DX13" s="619">
        <f>Ausgabe!$C$423</f>
        <v>36.9</v>
      </c>
      <c r="DY13" s="710">
        <f>Ausgabe!$C$424</f>
        <v>1.1000000000000001</v>
      </c>
      <c r="DZ13" s="619">
        <f t="shared" ca="1" si="17"/>
        <v>25.852130965068334</v>
      </c>
      <c r="EA13" s="619">
        <f t="shared" si="33"/>
        <v>0</v>
      </c>
      <c r="EB13" s="833">
        <f t="shared" ca="1" si="18"/>
        <v>0</v>
      </c>
      <c r="EC13" s="710">
        <f ca="1">IF(CJ13=_oben,Berechnung_BZoben!$P$5,Berechnung_BZunten!$P$5)</f>
        <v>4.847242517186606</v>
      </c>
      <c r="ED13" s="710">
        <f>Ausgabe!$C$520</f>
        <v>1.3</v>
      </c>
      <c r="EE13" s="710">
        <f t="shared" ca="1" si="19"/>
        <v>3.728648090143543</v>
      </c>
      <c r="EF13" s="710" t="e">
        <f t="shared" ca="1" si="20"/>
        <v>#DIV/0!</v>
      </c>
      <c r="EG13" s="833" t="e">
        <f t="shared" ca="1" si="21"/>
        <v>#DIV/0!</v>
      </c>
      <c r="EH13" s="710">
        <f>Ausgabe!$C$592</f>
        <v>2.7</v>
      </c>
      <c r="EI13" s="710">
        <f>Ausgabe!$C$593</f>
        <v>1.3</v>
      </c>
      <c r="EJ13" s="710">
        <f t="shared" si="34"/>
        <v>2.0769230769230771</v>
      </c>
      <c r="EK13" s="710">
        <f t="shared" si="35"/>
        <v>0</v>
      </c>
      <c r="EL13" s="833">
        <f t="shared" si="36"/>
        <v>0</v>
      </c>
      <c r="EM13" s="821">
        <f ca="1">Ausgabe!$C$581</f>
        <v>0</v>
      </c>
      <c r="EN13" s="710" t="e">
        <f t="shared" ca="1" si="22"/>
        <v>#DIV/0!</v>
      </c>
      <c r="EO13" s="710" t="e">
        <f t="shared" ca="1" si="37"/>
        <v>#DIV/0!</v>
      </c>
      <c r="EP13" s="710" t="e">
        <f t="shared" ca="1" si="23"/>
        <v>#DIV/0!</v>
      </c>
      <c r="EQ13" s="833" t="e">
        <f t="shared" ca="1" si="24"/>
        <v>#DIV/0!</v>
      </c>
      <c r="ER13" s="889" t="e">
        <f t="shared" ca="1" si="25"/>
        <v>#DIV/0!</v>
      </c>
      <c r="ES13" s="619"/>
      <c r="EU13" s="499" t="s">
        <v>776</v>
      </c>
      <c r="EV13" s="723">
        <f ca="1">_xlfn.MINIFS(Berechnung_BZoben!$C$233:$C$306,Berechnung_BZoben!$A$233:$A$306,90)</f>
        <v>10</v>
      </c>
      <c r="EW13" s="499" t="s">
        <v>792</v>
      </c>
      <c r="EX13" s="723">
        <f ca="1">_xlfn.MINIFS(Berechnung_BZoben!$B$233:$B$306,Berechnung_BZoben!$A$233:$A$306,90)</f>
        <v>10</v>
      </c>
      <c r="EZ13" s="621"/>
      <c r="FB13" s="621"/>
      <c r="FC13" s="643"/>
      <c r="FE13" s="1227" t="s">
        <v>2005</v>
      </c>
      <c r="FF13" s="527">
        <v>0</v>
      </c>
      <c r="FG13" s="569" t="s">
        <v>370</v>
      </c>
      <c r="FH13" s="1223" t="s">
        <v>2009</v>
      </c>
    </row>
    <row r="14" spans="1:167" ht="17.25" thickBot="1">
      <c r="F14" s="514"/>
      <c r="G14" s="514"/>
      <c r="H14" s="514"/>
      <c r="I14" s="514"/>
      <c r="O14" s="1269" t="e">
        <f ca="1">IF(AND(100*ABS(Berechnung_BZoben!$AH$16 )/Berechnung_BZoben!$AF$16 &gt;3,V21=70),0,"ok")</f>
        <v>#DIV/0!</v>
      </c>
      <c r="P14" s="1452" t="s">
        <v>2325</v>
      </c>
      <c r="Q14" s="1452"/>
      <c r="R14" s="1452"/>
      <c r="S14" s="1453"/>
      <c r="U14" s="528" t="s">
        <v>438</v>
      </c>
      <c r="V14" s="578">
        <f>IF(AND(C122=$BP$22,C157=$BP$22),40,IF(OR(C122=$BP$21,C157=$BP$21),41,NA()))</f>
        <v>40</v>
      </c>
      <c r="W14" s="1467" t="str">
        <f>IF(V14=41,"Verstärkung vorhanden",IF(V14=40,"keine Verstärkung vorhanden",NA()))</f>
        <v>keine Verstärkung vorhanden</v>
      </c>
      <c r="X14" s="1467"/>
      <c r="Y14" s="1467"/>
      <c r="Z14" s="1468"/>
      <c r="AB14" s="554" t="str">
        <v>SK 8x400</v>
      </c>
      <c r="AC14" s="579" t="str">
        <v>SK 8x400</v>
      </c>
      <c r="AD14" s="554" t="str">
        <v>Assy Plus VG 8x280</v>
      </c>
      <c r="AE14" s="706" t="str">
        <v>Assy Plus VG 8x280</v>
      </c>
      <c r="AG14" s="523"/>
      <c r="AH14" s="556"/>
      <c r="AJ14" s="556" t="str">
        <v>GL30h</v>
      </c>
      <c r="AK14" s="556" t="str">
        <v>GL30h</v>
      </c>
      <c r="AM14" s="557">
        <v>12</v>
      </c>
      <c r="AN14" s="558" t="s">
        <v>448</v>
      </c>
      <c r="AO14" s="559" t="s">
        <v>60</v>
      </c>
      <c r="AP14" s="737">
        <f>HLOOKUP($C$17,MKW!$A$3:$BD$25,$AM14,FALSE)</f>
        <v>9600</v>
      </c>
      <c r="AQ14" s="737">
        <f>HLOOKUP($C$24,MKW!$A$3:$BD$25,$AM14,FALSE)</f>
        <v>9600</v>
      </c>
      <c r="AT14" s="590" t="s">
        <v>449</v>
      </c>
      <c r="AU14" s="562">
        <v>0.6</v>
      </c>
      <c r="AV14" s="562">
        <v>0.6</v>
      </c>
      <c r="AW14" s="525"/>
      <c r="BA14" s="509">
        <v>12</v>
      </c>
      <c r="BB14" s="526" t="s">
        <v>417</v>
      </c>
      <c r="BC14" s="527">
        <f>IF(V10=21,1,0)</f>
        <v>0</v>
      </c>
      <c r="BD14" s="1469" t="s">
        <v>95</v>
      </c>
      <c r="BE14" s="1470"/>
      <c r="BF14" s="1469" t="s">
        <v>613</v>
      </c>
      <c r="BG14" s="1470"/>
      <c r="BH14" s="1469" t="s">
        <v>450</v>
      </c>
      <c r="BI14" s="1470"/>
      <c r="BJ14" s="1469" t="s">
        <v>451</v>
      </c>
      <c r="BK14" s="1470"/>
      <c r="BR14" s="570" t="e">
        <f t="shared" ca="1" si="26"/>
        <v>#DIV/0!</v>
      </c>
      <c r="BS14" s="570" t="s">
        <v>1026</v>
      </c>
      <c r="BT14" s="571" t="s">
        <v>978</v>
      </c>
      <c r="BU14" s="610">
        <f>IF(OR(B102&lt;&gt;0,C102&lt;&gt;0,D102&lt;&gt;0,E102&lt;&gt;0,G102&lt;&gt;0),1,0)</f>
        <v>0</v>
      </c>
      <c r="BV14" s="619">
        <f>$BU$14*(1.35*B$99+1.5*B$102+1.5*$E$80*B$100)</f>
        <v>0</v>
      </c>
      <c r="BW14" s="619">
        <f>$BU$14*(1.35*C$99+1.5*C$102+1.5*$E$80*C$100)</f>
        <v>0</v>
      </c>
      <c r="BX14" s="619">
        <f>$BU$14*(1.35*D$99+1.5*D$102+1.5*$E$80*D$100)</f>
        <v>0</v>
      </c>
      <c r="BY14" s="619">
        <f>$BU$14*(1.35*E$99+1.5*E$102+1.5*$E$80*E$100)</f>
        <v>0</v>
      </c>
      <c r="BZ14" s="619">
        <f>$BU$14*(1.35*G$99+1.5*G$102+1.5*$E$80*G$100)</f>
        <v>0</v>
      </c>
      <c r="CA14" s="833">
        <f>VLOOKUP($A$82,MKW!$A$50:$E$60,4,FALSE)</f>
        <v>0</v>
      </c>
      <c r="CB14" s="821" t="e">
        <f t="shared" ca="1" si="27"/>
        <v>#DIV/0!</v>
      </c>
      <c r="CC14" s="619" t="str">
        <f t="shared" si="0"/>
        <v>oben</v>
      </c>
      <c r="CD14" s="834" t="e">
        <f ca="1">IF(CC14=_oben,Berechnung_BZoben!$S$7,Berechnung_BZunten!$S$7)</f>
        <v>#DIV/0!</v>
      </c>
      <c r="CE14" s="834" t="e">
        <f ca="1">CD14*2/(3*(1+2*Eingabe!CA14*Eingabe!$D$76))</f>
        <v>#DIV/0!</v>
      </c>
      <c r="CF14" s="710" t="e">
        <f ca="1">IF($C$86=Sprachtexte!$A$87,
-CE14*$C$87^3*BW14/(12*CE14*$C$87+24*$CF$2)+BX14*$BY$1*$CA$1/(6*$CF$2)*(($BY$1-$C$87-2*$CA$1)/(6*$CF$2)-1/CE14-$CA$1/(CE14*$C$87))/(($C$87/(3*$CF$2)+1/CE14)^2-($C$87/(6*$CF$2))^2),
-CE14*$C$87^3*BW14/(8*CE14*$C$87+24*$CF$2)-CE14*$CA$1/$C$87*($C$87^2-$CA$1^2)*BX14/(2*CE14*$C$87+6*$CF$2))</f>
        <v>#DIV/0!</v>
      </c>
      <c r="CG14" s="710" t="e">
        <f t="shared" ca="1" si="28"/>
        <v>#DIV/0!</v>
      </c>
      <c r="CH14" s="835">
        <f t="shared" ca="1" si="1"/>
        <v>0</v>
      </c>
      <c r="CI14" s="821" t="e">
        <f t="shared" ca="1" si="2"/>
        <v>#DIV/0!</v>
      </c>
      <c r="CJ14" s="619" t="str">
        <f t="shared" si="3"/>
        <v>oben</v>
      </c>
      <c r="CK14" s="834" t="e">
        <f ca="1">IF(CJ14=_oben,Berechnung_BZoben!$S$7,Berechnung_BZunten!$S$7)</f>
        <v>#DIV/0!</v>
      </c>
      <c r="CL14" s="834" t="e">
        <f ca="1">CK14*2/(3*(1+2*Eingabe!CA14*Eingabe!$D$76))</f>
        <v>#DIV/0!</v>
      </c>
      <c r="CM14" s="710" t="e">
        <f ca="1">IF($C$86=Sprachtexte!$A$87,
-CL14*$C$87^3*BW14/(12*CE14*$C$87+24*$CF$2)+BX14*$CA$1*$BY$1/(6*$CF$2)*(($CA$1-$C$87-2*$BY$1)/(6*$CF$2)-1/CE14-$BY$1/(CE14*$C$87))/(($C$87/(3*$CF$2)+1/CE14)^2-($C$87/(6*$CF$2))^2),0)</f>
        <v>#DIV/0!</v>
      </c>
      <c r="CN14" s="710" t="e">
        <f t="shared" ca="1" si="4"/>
        <v>#DIV/0!</v>
      </c>
      <c r="CO14" s="835">
        <f t="shared" ca="1" si="5"/>
        <v>0</v>
      </c>
      <c r="CP14" s="849">
        <f t="shared" si="29"/>
        <v>0</v>
      </c>
      <c r="CQ14" s="710" t="e">
        <f t="shared" ca="1" si="6"/>
        <v>#DIV/0!</v>
      </c>
      <c r="CR14" s="710" t="e">
        <f t="shared" ca="1" si="7"/>
        <v>#DIV/0!</v>
      </c>
      <c r="CS14" s="710">
        <f t="shared" si="30"/>
        <v>0</v>
      </c>
      <c r="CT14" s="710" t="e">
        <f t="shared" ca="1" si="8"/>
        <v>#DIV/0!</v>
      </c>
      <c r="CU14" s="710">
        <f t="shared" si="31"/>
        <v>0</v>
      </c>
      <c r="CV14" s="833">
        <f>MAX($C$79,$C$82,$C$80)</f>
        <v>1</v>
      </c>
      <c r="CW14" s="821" t="e">
        <f ca="1">MIN(Ausgabe!$C$173,Ausgabe!$C$186)</f>
        <v>#DIV/0!</v>
      </c>
      <c r="CX14" s="710">
        <f>Ausgabe!$C$187</f>
        <v>1.3</v>
      </c>
      <c r="CY14" s="619">
        <f>Ausgabe!$C$191</f>
        <v>100</v>
      </c>
      <c r="CZ14" s="710">
        <f>Ausgabe!$C$192</f>
        <v>1.25</v>
      </c>
      <c r="DA14" s="619">
        <f>Ausgabe!$C$194</f>
        <v>36.6</v>
      </c>
      <c r="DB14" s="710">
        <f>Ausgabe!$C$195</f>
        <v>1.25</v>
      </c>
      <c r="DC14" s="619" t="e">
        <f t="shared" ca="1" si="9"/>
        <v>#DIV/0!</v>
      </c>
      <c r="DD14" s="619">
        <f t="shared" si="32"/>
        <v>0</v>
      </c>
      <c r="DE14" s="710" t="e">
        <f t="shared" ca="1" si="10"/>
        <v>#DIV/0!</v>
      </c>
      <c r="DF14" s="821">
        <f ca="1">MIN(Ausgabe!$C$221,Ausgabe!$C$239)</f>
        <v>92.436470366395326</v>
      </c>
      <c r="DG14" s="710">
        <f>Ausgabe!$C$240</f>
        <v>1.3</v>
      </c>
      <c r="DH14" s="619">
        <f>Ausgabe!$C$246</f>
        <v>150.4</v>
      </c>
      <c r="DI14" s="710">
        <f>Ausgabe!$C$247</f>
        <v>1.1000000000000001</v>
      </c>
      <c r="DJ14" s="619">
        <f>Ausgabe!$C$254</f>
        <v>176.4</v>
      </c>
      <c r="DK14" s="710">
        <f>Ausgabe!$C$255</f>
        <v>1.25</v>
      </c>
      <c r="DL14" s="619">
        <f>Ausgabe!$C$263</f>
        <v>180.95573684677208</v>
      </c>
      <c r="DM14" s="710">
        <f>Ausgabe!$C$264</f>
        <v>1.1000000000000001</v>
      </c>
      <c r="DN14" s="619">
        <f t="shared" ca="1" si="11"/>
        <v>71.104977204919479</v>
      </c>
      <c r="DO14" s="619" t="e">
        <f t="shared" ca="1" si="12"/>
        <v>#DIV/0!</v>
      </c>
      <c r="DP14" s="833" t="e">
        <f t="shared" ca="1" si="13"/>
        <v>#DIV/0!</v>
      </c>
      <c r="DQ14" s="821" t="e">
        <f ca="1">Ausgabe!$C$369</f>
        <v>#DIV/0!</v>
      </c>
      <c r="DR14" s="710">
        <f>Ausgabe!$C$370</f>
        <v>1.3</v>
      </c>
      <c r="DS14" s="619" t="e">
        <f t="shared" ca="1" si="14"/>
        <v>#DIV/0!</v>
      </c>
      <c r="DT14" s="619" t="e">
        <f t="shared" ca="1" si="15"/>
        <v>#DIV/0!</v>
      </c>
      <c r="DU14" s="833" t="e">
        <f t="shared" ca="1" si="16"/>
        <v>#DIV/0!</v>
      </c>
      <c r="DV14" s="821">
        <f ca="1">Ausgabe!$C$420</f>
        <v>33.607770254588836</v>
      </c>
      <c r="DW14" s="710">
        <f>Ausgabe!$C$421</f>
        <v>1.3</v>
      </c>
      <c r="DX14" s="619">
        <f>Ausgabe!$C$423</f>
        <v>36.9</v>
      </c>
      <c r="DY14" s="710">
        <f>Ausgabe!$C$424</f>
        <v>1.1000000000000001</v>
      </c>
      <c r="DZ14" s="619">
        <f t="shared" ca="1" si="17"/>
        <v>25.852130965068334</v>
      </c>
      <c r="EA14" s="619">
        <f t="shared" si="33"/>
        <v>0</v>
      </c>
      <c r="EB14" s="833">
        <f t="shared" ca="1" si="18"/>
        <v>0</v>
      </c>
      <c r="EC14" s="710">
        <f ca="1">IF(CJ14=_oben,Berechnung_BZoben!$P$5,Berechnung_BZunten!$P$5)</f>
        <v>4.847242517186606</v>
      </c>
      <c r="ED14" s="710">
        <f>Ausgabe!$C$520</f>
        <v>1.3</v>
      </c>
      <c r="EE14" s="710">
        <f t="shared" ca="1" si="19"/>
        <v>3.728648090143543</v>
      </c>
      <c r="EF14" s="710" t="e">
        <f t="shared" ca="1" si="20"/>
        <v>#DIV/0!</v>
      </c>
      <c r="EG14" s="833" t="e">
        <f t="shared" ca="1" si="21"/>
        <v>#DIV/0!</v>
      </c>
      <c r="EH14" s="710">
        <f>Ausgabe!$C$592</f>
        <v>2.7</v>
      </c>
      <c r="EI14" s="710">
        <f>Ausgabe!$C$593</f>
        <v>1.3</v>
      </c>
      <c r="EJ14" s="710">
        <f t="shared" si="34"/>
        <v>2.0769230769230771</v>
      </c>
      <c r="EK14" s="710">
        <f t="shared" si="35"/>
        <v>0</v>
      </c>
      <c r="EL14" s="833">
        <f t="shared" si="36"/>
        <v>0</v>
      </c>
      <c r="EM14" s="821">
        <f ca="1">Ausgabe!$C$581</f>
        <v>0</v>
      </c>
      <c r="EN14" s="710" t="e">
        <f t="shared" ca="1" si="22"/>
        <v>#DIV/0!</v>
      </c>
      <c r="EO14" s="710" t="e">
        <f t="shared" ca="1" si="37"/>
        <v>#DIV/0!</v>
      </c>
      <c r="EP14" s="710" t="e">
        <f t="shared" ca="1" si="23"/>
        <v>#DIV/0!</v>
      </c>
      <c r="EQ14" s="833" t="e">
        <f t="shared" ca="1" si="24"/>
        <v>#DIV/0!</v>
      </c>
      <c r="ER14" s="889" t="e">
        <f t="shared" ca="1" si="25"/>
        <v>#DIV/0!</v>
      </c>
      <c r="ES14" s="619"/>
      <c r="EU14" s="499" t="s">
        <v>778</v>
      </c>
      <c r="EV14" s="723">
        <f ca="1">_xlfn.MAXIFS(Berechnung_BZoben!$C$233:$C$306,Berechnung_BZoben!$A$233:$A$306,90)</f>
        <v>250</v>
      </c>
      <c r="EW14" s="499" t="s">
        <v>793</v>
      </c>
      <c r="EX14" s="723">
        <f ca="1">_xlfn.MAXIFS(Berechnung_BZoben!$B$233:$B$306,Berechnung_BZoben!$A$233:$A$306,90)</f>
        <v>50.25</v>
      </c>
      <c r="EZ14" s="499" t="s">
        <v>1142</v>
      </c>
      <c r="FA14" s="951">
        <f>FA11-FA12-FA8</f>
        <v>-310</v>
      </c>
      <c r="FB14" s="621"/>
      <c r="FC14" s="643"/>
      <c r="FE14" s="1227" t="s">
        <v>247</v>
      </c>
      <c r="FF14" s="1216">
        <f ca="1">EV33</f>
        <v>140.76271631908301</v>
      </c>
      <c r="FG14" s="569" t="s">
        <v>2</v>
      </c>
      <c r="FH14" s="1223" t="s">
        <v>2250</v>
      </c>
    </row>
    <row r="15" spans="1:167" ht="16.5" customHeight="1" thickBot="1">
      <c r="A15" s="591" t="str">
        <f>IF(C28=BL27,Sprachtexte!A12,IF(OR(C28=BL28,C28=BL29),Sprachtexte!A13,NA()))</f>
        <v>Hauptträger (Index H - header)</v>
      </c>
      <c r="H15" s="508"/>
      <c r="J15" s="643"/>
      <c r="K15" s="569"/>
      <c r="O15" s="1269" t="e">
        <f ca="1">IF(AND(100*ABS(Berechnung_BZunten!$AH$16)/Berechnung_BZunten!$AF$16&gt;3,V21=71),0,"ok")</f>
        <v>#DIV/0!</v>
      </c>
      <c r="P15" s="1452" t="s">
        <v>2326</v>
      </c>
      <c r="Q15" s="1452"/>
      <c r="R15" s="1452"/>
      <c r="S15" s="1453"/>
      <c r="U15" s="1464" t="s">
        <v>513</v>
      </c>
      <c r="V15" s="1465"/>
      <c r="W15" s="1465"/>
      <c r="X15" s="1465"/>
      <c r="Y15" s="1465"/>
      <c r="Z15" s="1466"/>
      <c r="AB15" s="554" t="str">
        <v>SK 8x450</v>
      </c>
      <c r="AC15" s="579" t="str">
        <v>SK 8x450</v>
      </c>
      <c r="AD15" s="554" t="str">
        <v>Assy Plus VG 8x300</v>
      </c>
      <c r="AE15" s="706" t="str">
        <v>Assy Plus VG 8x300</v>
      </c>
      <c r="AG15" s="523"/>
      <c r="AH15" s="556"/>
      <c r="AJ15" s="556" t="str">
        <v>GL32h</v>
      </c>
      <c r="AK15" s="556" t="str">
        <v>GL32h</v>
      </c>
      <c r="AM15" s="557">
        <v>13</v>
      </c>
      <c r="AN15" s="558" t="s">
        <v>452</v>
      </c>
      <c r="AO15" s="559" t="s">
        <v>60</v>
      </c>
      <c r="AP15" s="737">
        <f>HLOOKUP($C$17,MKW!$A$3:$BD$25,$AM15,FALSE)</f>
        <v>300</v>
      </c>
      <c r="AQ15" s="737">
        <f>HLOOKUP($C$24,MKW!$A$3:$BD$25,$AM15,FALSE)</f>
        <v>300</v>
      </c>
      <c r="AT15" s="592"/>
      <c r="AU15" s="592"/>
      <c r="AV15" s="592"/>
      <c r="AW15" s="525"/>
      <c r="BA15" s="509">
        <v>13</v>
      </c>
      <c r="BB15" s="544" t="s">
        <v>264</v>
      </c>
      <c r="BC15" s="545" t="s">
        <v>424</v>
      </c>
      <c r="BD15" s="546" t="s">
        <v>425</v>
      </c>
      <c r="BE15" s="517" t="s">
        <v>426</v>
      </c>
      <c r="BF15" s="547" t="s">
        <v>427</v>
      </c>
      <c r="BG15" s="517" t="s">
        <v>426</v>
      </c>
      <c r="BH15" s="547" t="s">
        <v>427</v>
      </c>
      <c r="BI15" s="548" t="s">
        <v>426</v>
      </c>
      <c r="BJ15" s="547" t="s">
        <v>427</v>
      </c>
      <c r="BK15" s="548" t="s">
        <v>426</v>
      </c>
      <c r="BL15" s="569" t="s">
        <v>430</v>
      </c>
      <c r="BP15" s="969" t="str">
        <f>Sprachtexte!A222</f>
        <v>oben</v>
      </c>
      <c r="BR15" s="570" t="e">
        <f t="shared" ca="1" si="26"/>
        <v>#DIV/0!</v>
      </c>
      <c r="BS15" s="570" t="s">
        <v>1027</v>
      </c>
      <c r="BT15" s="571" t="s">
        <v>979</v>
      </c>
      <c r="BU15" s="610">
        <f>IF(OR(B102&lt;&gt;0,C102&lt;&gt;0,D102&lt;&gt;0,E102&lt;&gt;0,G102&lt;&gt;0),1,0)</f>
        <v>0</v>
      </c>
      <c r="BV15" s="619">
        <f>$BU$15*(1.35*B$99+1.5*B$102+1.5*$E$81*B$101)</f>
        <v>0</v>
      </c>
      <c r="BW15" s="619">
        <f>$BU$15*(1.35*C$99+1.5*C$102+1.5*$E$81*C$101)</f>
        <v>0</v>
      </c>
      <c r="BX15" s="619">
        <f>$BU$15*(1.35*D$99+1.5*D$102+1.5*$E$81*D$101)</f>
        <v>0</v>
      </c>
      <c r="BY15" s="619">
        <f>$BU$15*(1.35*E$99+1.5*E$102+1.5*$E$81*E$101)</f>
        <v>0</v>
      </c>
      <c r="BZ15" s="619">
        <f>$BU$15*(1.35*G$99+1.5*G$102+1.5*$E$81*G$101)</f>
        <v>0</v>
      </c>
      <c r="CA15" s="833">
        <f>VLOOKUP($A$82,MKW!$A$50:$E$60,4,FALSE)</f>
        <v>0</v>
      </c>
      <c r="CB15" s="821" t="e">
        <f t="shared" ca="1" si="27"/>
        <v>#DIV/0!</v>
      </c>
      <c r="CC15" s="619" t="str">
        <f t="shared" si="0"/>
        <v>oben</v>
      </c>
      <c r="CD15" s="834" t="e">
        <f ca="1">IF(CC15=_oben,Berechnung_BZoben!$S$7,Berechnung_BZunten!$S$7)</f>
        <v>#DIV/0!</v>
      </c>
      <c r="CE15" s="834" t="e">
        <f ca="1">CD15*2/(3*(1+2*Eingabe!CA15*Eingabe!$D$76))</f>
        <v>#DIV/0!</v>
      </c>
      <c r="CF15" s="710" t="e">
        <f ca="1">IF($C$86=Sprachtexte!$A$87,
-CE15*$C$87^3*BW15/(12*CE15*$C$87+24*$CF$2)+BX15*$BY$1*$CA$1/(6*$CF$2)*(($BY$1-$C$87-2*$CA$1)/(6*$CF$2)-1/CE15-$CA$1/(CE15*$C$87))/(($C$87/(3*$CF$2)+1/CE15)^2-($C$87/(6*$CF$2))^2),
-CE15*$C$87^3*BW15/(8*CE15*$C$87+24*$CF$2)-CE15*$CA$1/$C$87*($C$87^2-$CA$1^2)*BX15/(2*CE15*$C$87+6*$CF$2))</f>
        <v>#DIV/0!</v>
      </c>
      <c r="CG15" s="710" t="e">
        <f t="shared" ca="1" si="28"/>
        <v>#DIV/0!</v>
      </c>
      <c r="CH15" s="835">
        <f t="shared" ca="1" si="1"/>
        <v>0</v>
      </c>
      <c r="CI15" s="821" t="e">
        <f t="shared" ca="1" si="2"/>
        <v>#DIV/0!</v>
      </c>
      <c r="CJ15" s="619" t="str">
        <f t="shared" si="3"/>
        <v>oben</v>
      </c>
      <c r="CK15" s="834" t="e">
        <f ca="1">IF(CJ15=_oben,Berechnung_BZoben!$S$7,Berechnung_BZunten!$S$7)</f>
        <v>#DIV/0!</v>
      </c>
      <c r="CL15" s="834" t="e">
        <f ca="1">CK15*2/(3*(1+2*Eingabe!CA15*Eingabe!$D$76))</f>
        <v>#DIV/0!</v>
      </c>
      <c r="CM15" s="710" t="e">
        <f ca="1">IF($C$86=Sprachtexte!$A$87,
-CL15*$C$87^3*BW15/(12*CE15*$C$87+24*$CF$2)+BX15*$CA$1*$BY$1/(6*$CF$2)*(($CA$1-$C$87-2*$BY$1)/(6*$CF$2)-1/CE15-$BY$1/(CE15*$C$87))/(($C$87/(3*$CF$2)+1/CE15)^2-($C$87/(6*$CF$2))^2),0)</f>
        <v>#DIV/0!</v>
      </c>
      <c r="CN15" s="710" t="e">
        <f t="shared" ca="1" si="4"/>
        <v>#DIV/0!</v>
      </c>
      <c r="CO15" s="835">
        <f t="shared" ca="1" si="5"/>
        <v>0</v>
      </c>
      <c r="CP15" s="849">
        <f t="shared" si="29"/>
        <v>0</v>
      </c>
      <c r="CQ15" s="710" t="e">
        <f t="shared" ca="1" si="6"/>
        <v>#DIV/0!</v>
      </c>
      <c r="CR15" s="710" t="e">
        <f t="shared" ca="1" si="7"/>
        <v>#DIV/0!</v>
      </c>
      <c r="CS15" s="710">
        <f t="shared" si="30"/>
        <v>0</v>
      </c>
      <c r="CT15" s="710" t="e">
        <f t="shared" ca="1" si="8"/>
        <v>#DIV/0!</v>
      </c>
      <c r="CU15" s="710">
        <f t="shared" si="31"/>
        <v>0</v>
      </c>
      <c r="CV15" s="833">
        <f>MAX($C$79,$C$82,$C$81)</f>
        <v>1</v>
      </c>
      <c r="CW15" s="821" t="e">
        <f ca="1">MIN(Ausgabe!$C$173,Ausgabe!$C$186)</f>
        <v>#DIV/0!</v>
      </c>
      <c r="CX15" s="710">
        <f>Ausgabe!$C$187</f>
        <v>1.3</v>
      </c>
      <c r="CY15" s="619">
        <f>Ausgabe!$C$191</f>
        <v>100</v>
      </c>
      <c r="CZ15" s="710">
        <f>Ausgabe!$C$192</f>
        <v>1.25</v>
      </c>
      <c r="DA15" s="619">
        <f>Ausgabe!$C$194</f>
        <v>36.6</v>
      </c>
      <c r="DB15" s="710">
        <f>Ausgabe!$C$195</f>
        <v>1.25</v>
      </c>
      <c r="DC15" s="619" t="e">
        <f t="shared" ca="1" si="9"/>
        <v>#DIV/0!</v>
      </c>
      <c r="DD15" s="619">
        <f t="shared" si="32"/>
        <v>0</v>
      </c>
      <c r="DE15" s="710" t="e">
        <f t="shared" ca="1" si="10"/>
        <v>#DIV/0!</v>
      </c>
      <c r="DF15" s="821">
        <f ca="1">MIN(Ausgabe!$C$221,Ausgabe!$C$239)</f>
        <v>92.436470366395326</v>
      </c>
      <c r="DG15" s="710">
        <f>Ausgabe!$C$240</f>
        <v>1.3</v>
      </c>
      <c r="DH15" s="619">
        <f>Ausgabe!$C$246</f>
        <v>150.4</v>
      </c>
      <c r="DI15" s="710">
        <f>Ausgabe!$C$247</f>
        <v>1.1000000000000001</v>
      </c>
      <c r="DJ15" s="619">
        <f>Ausgabe!$C$254</f>
        <v>176.4</v>
      </c>
      <c r="DK15" s="710">
        <f>Ausgabe!$C$255</f>
        <v>1.25</v>
      </c>
      <c r="DL15" s="619">
        <f>Ausgabe!$C$263</f>
        <v>180.95573684677208</v>
      </c>
      <c r="DM15" s="710">
        <f>Ausgabe!$C$264</f>
        <v>1.1000000000000001</v>
      </c>
      <c r="DN15" s="619">
        <f t="shared" ca="1" si="11"/>
        <v>71.104977204919479</v>
      </c>
      <c r="DO15" s="619" t="e">
        <f t="shared" ca="1" si="12"/>
        <v>#DIV/0!</v>
      </c>
      <c r="DP15" s="833" t="e">
        <f t="shared" ca="1" si="13"/>
        <v>#DIV/0!</v>
      </c>
      <c r="DQ15" s="821" t="e">
        <f ca="1">Ausgabe!$C$369</f>
        <v>#DIV/0!</v>
      </c>
      <c r="DR15" s="710">
        <f>Ausgabe!$C$370</f>
        <v>1.3</v>
      </c>
      <c r="DS15" s="619" t="e">
        <f t="shared" ca="1" si="14"/>
        <v>#DIV/0!</v>
      </c>
      <c r="DT15" s="619" t="e">
        <f t="shared" ca="1" si="15"/>
        <v>#DIV/0!</v>
      </c>
      <c r="DU15" s="833" t="e">
        <f t="shared" ca="1" si="16"/>
        <v>#DIV/0!</v>
      </c>
      <c r="DV15" s="821">
        <f ca="1">Ausgabe!$C$420</f>
        <v>33.607770254588836</v>
      </c>
      <c r="DW15" s="710">
        <f>Ausgabe!$C$421</f>
        <v>1.3</v>
      </c>
      <c r="DX15" s="619">
        <f>Ausgabe!$C$423</f>
        <v>36.9</v>
      </c>
      <c r="DY15" s="710">
        <f>Ausgabe!$C$424</f>
        <v>1.1000000000000001</v>
      </c>
      <c r="DZ15" s="619">
        <f t="shared" ca="1" si="17"/>
        <v>25.852130965068334</v>
      </c>
      <c r="EA15" s="619">
        <f t="shared" si="33"/>
        <v>0</v>
      </c>
      <c r="EB15" s="833">
        <f t="shared" ca="1" si="18"/>
        <v>0</v>
      </c>
      <c r="EC15" s="710">
        <f ca="1">IF(CJ15=_oben,Berechnung_BZoben!$P$5,Berechnung_BZunten!$P$5)</f>
        <v>4.847242517186606</v>
      </c>
      <c r="ED15" s="710">
        <f>Ausgabe!$C$520</f>
        <v>1.3</v>
      </c>
      <c r="EE15" s="710">
        <f t="shared" ca="1" si="19"/>
        <v>3.728648090143543</v>
      </c>
      <c r="EF15" s="710" t="e">
        <f t="shared" ca="1" si="20"/>
        <v>#DIV/0!</v>
      </c>
      <c r="EG15" s="833" t="e">
        <f t="shared" ca="1" si="21"/>
        <v>#DIV/0!</v>
      </c>
      <c r="EH15" s="710">
        <f>Ausgabe!$C$592</f>
        <v>2.7</v>
      </c>
      <c r="EI15" s="710">
        <f>Ausgabe!$C$593</f>
        <v>1.3</v>
      </c>
      <c r="EJ15" s="710">
        <f t="shared" si="34"/>
        <v>2.0769230769230771</v>
      </c>
      <c r="EK15" s="710">
        <f t="shared" si="35"/>
        <v>0</v>
      </c>
      <c r="EL15" s="833">
        <f t="shared" si="36"/>
        <v>0</v>
      </c>
      <c r="EM15" s="821">
        <f ca="1">Ausgabe!$C$581</f>
        <v>0</v>
      </c>
      <c r="EN15" s="710" t="e">
        <f t="shared" ca="1" si="22"/>
        <v>#DIV/0!</v>
      </c>
      <c r="EO15" s="710" t="e">
        <f t="shared" ca="1" si="37"/>
        <v>#DIV/0!</v>
      </c>
      <c r="EP15" s="710" t="e">
        <f t="shared" ca="1" si="23"/>
        <v>#DIV/0!</v>
      </c>
      <c r="EQ15" s="833" t="e">
        <f t="shared" ca="1" si="24"/>
        <v>#DIV/0!</v>
      </c>
      <c r="ER15" s="889" t="e">
        <f t="shared" ca="1" si="25"/>
        <v>#DIV/0!</v>
      </c>
      <c r="ES15" s="619"/>
      <c r="EU15" s="499" t="s">
        <v>777</v>
      </c>
      <c r="EV15" s="723">
        <f ca="1">_xlfn.MINIFS(Berechnung_BZoben!$C$233:$C$306,Berechnung_BZoben!$A$233:$A$306,45)</f>
        <v>56</v>
      </c>
      <c r="EW15" s="499" t="s">
        <v>794</v>
      </c>
      <c r="EX15" s="723">
        <f ca="1">_xlfn.MINIFS(Berechnung_BZoben!$B$233:$B$306,Berechnung_BZoben!$A$233:$A$306,45)</f>
        <v>9.75</v>
      </c>
      <c r="EZ15" s="621"/>
      <c r="FB15" s="621"/>
      <c r="FC15" s="643"/>
      <c r="FE15" s="1228" t="s">
        <v>479</v>
      </c>
      <c r="FF15" s="859" t="e">
        <f ca="1">FF8/FF7</f>
        <v>#DIV/0!</v>
      </c>
      <c r="FG15" s="569" t="s">
        <v>370</v>
      </c>
      <c r="FH15" s="1223"/>
    </row>
    <row r="16" spans="1:167" ht="16.5" customHeight="1">
      <c r="A16" s="569" t="str">
        <f>Sprachtexte!A14</f>
        <v>Materialkategorie</v>
      </c>
      <c r="C16" s="1361" t="s">
        <v>0</v>
      </c>
      <c r="F16" s="508"/>
      <c r="J16" s="643"/>
      <c r="K16" s="1516" t="e" vm="1">
        <v>#VALUE!</v>
      </c>
      <c r="L16" s="1517"/>
      <c r="O16" s="843" t="str">
        <f>IF(AND(M133="ok",M144="ok"),"ok",0)</f>
        <v>ok</v>
      </c>
      <c r="P16" s="1452" t="s">
        <v>2221</v>
      </c>
      <c r="Q16" s="1452"/>
      <c r="R16" s="1452"/>
      <c r="S16" s="1453"/>
      <c r="U16" s="572" t="s">
        <v>94</v>
      </c>
      <c r="V16" s="517">
        <f>IF(AND(V4=0,V7=11),50,IF(AND(V4=0,V7=10),51,IF(AND(V4=1,V7=10),52,IF(AND(V4=2,V7=10),53,IF(AND(V4=3,V7=10),54,NA())))))</f>
        <v>50</v>
      </c>
      <c r="W16" s="1473" t="str">
        <f>IF(V16=50,"BSH/NH mit Knapp Schraube",IF(V16=51,"BSH/NH mit Würth Schraube",IF(V16=52,"LH mit Würth Schraube",IF(V16=53,"BauBuche mit Würth Schraube",IF(V16=54,"LVL mit Würth Schraube","FEHLER")))))</f>
        <v>BSH/NH mit Knapp Schraube</v>
      </c>
      <c r="X16" s="1473"/>
      <c r="Y16" s="1473"/>
      <c r="Z16" s="1474"/>
      <c r="AB16" s="554" t="str">
        <v>SK 8x500</v>
      </c>
      <c r="AC16" s="579" t="str">
        <v>SK 8x500</v>
      </c>
      <c r="AD16" s="554" t="str">
        <v>Assy Plus VG 8x320</v>
      </c>
      <c r="AE16" s="706" t="str">
        <v>Assy Plus VG 8x320</v>
      </c>
      <c r="AG16" s="523"/>
      <c r="AH16" s="556"/>
      <c r="AJ16" s="556"/>
      <c r="AK16" s="556"/>
      <c r="AM16" s="557">
        <v>14</v>
      </c>
      <c r="AN16" s="558" t="s">
        <v>453</v>
      </c>
      <c r="AO16" s="559" t="s">
        <v>60</v>
      </c>
      <c r="AP16" s="737">
        <f>HLOOKUP($C$17,MKW!$A$3:$BD$25,$AM16,FALSE)</f>
        <v>250</v>
      </c>
      <c r="AQ16" s="737">
        <f>HLOOKUP($C$24,MKW!$A$3:$BD$25,$AM16,FALSE)</f>
        <v>250</v>
      </c>
      <c r="AT16" s="593"/>
      <c r="AU16" s="594"/>
      <c r="AV16" s="594"/>
      <c r="AW16" s="525"/>
      <c r="BA16" s="509">
        <v>14</v>
      </c>
      <c r="BB16" s="564">
        <v>0</v>
      </c>
      <c r="BC16" s="565" t="s">
        <v>9</v>
      </c>
      <c r="BD16" s="566">
        <f>ABS($BG$13)</f>
        <v>0</v>
      </c>
      <c r="BE16" s="567">
        <v>45</v>
      </c>
      <c r="BF16" s="568">
        <v>90</v>
      </c>
      <c r="BG16" s="567">
        <v>90</v>
      </c>
      <c r="BH16" s="568">
        <v>90</v>
      </c>
      <c r="BI16" s="567">
        <v>45</v>
      </c>
      <c r="BJ16" s="566">
        <v>90</v>
      </c>
      <c r="BK16" s="567">
        <v>45</v>
      </c>
      <c r="BL16" s="569" t="s">
        <v>430</v>
      </c>
      <c r="BP16" s="970" t="str">
        <f>Sprachtexte!A223</f>
        <v>unten</v>
      </c>
      <c r="BR16" s="570" t="e">
        <f t="shared" ca="1" si="26"/>
        <v>#DIV/0!</v>
      </c>
      <c r="BS16" s="570" t="s">
        <v>1028</v>
      </c>
      <c r="BT16" s="571" t="s">
        <v>980</v>
      </c>
      <c r="BU16" s="610">
        <f>IF(OR(B100&lt;&gt;0,C100&lt;&gt;0,D100&lt;&gt;0,E100&lt;&gt;0,G100&lt;&gt;0),1,0)</f>
        <v>0</v>
      </c>
      <c r="BV16" s="619">
        <f>$BU$16*(1.35*B$99+1.5*B$100+1.5*$E$81*B$101+1.5*$E$82*B$102)</f>
        <v>0</v>
      </c>
      <c r="BW16" s="619">
        <f>$BU$16*(1.35*C$99+1.5*C$100+1.5*$E$81*C$101+1.5*$E$82*C$102)</f>
        <v>0</v>
      </c>
      <c r="BX16" s="619">
        <f>$BU$16*(1.35*D$99+1.5*D$100+1.5*$E$81*D$101+1.5*$E$82*D$102)</f>
        <v>0</v>
      </c>
      <c r="BY16" s="619">
        <f>$BU$16*(1.35*E$99+1.5*E$100+1.5*$E$81*E$101+1.5*$E$82*E$102)</f>
        <v>0</v>
      </c>
      <c r="BZ16" s="619">
        <f>$BU$16*(1.35*G$99+1.5*G$100+1.5*$E$81*G$101+1.5*$E$82*G$102)</f>
        <v>0</v>
      </c>
      <c r="CA16" s="833">
        <f>VLOOKUP($A$80,MKW!$A$50:$E$60,4,FALSE)</f>
        <v>0.3</v>
      </c>
      <c r="CB16" s="821" t="e">
        <f t="shared" ca="1" si="27"/>
        <v>#DIV/0!</v>
      </c>
      <c r="CC16" s="619" t="str">
        <f t="shared" si="0"/>
        <v>oben</v>
      </c>
      <c r="CD16" s="834" t="e">
        <f ca="1">IF(CC16=_oben,Berechnung_BZoben!$S$7,Berechnung_BZunten!$S$7)</f>
        <v>#DIV/0!</v>
      </c>
      <c r="CE16" s="834" t="e">
        <f ca="1">CD16*2/(3*(1+2*Eingabe!CA16*Eingabe!$D$76))</f>
        <v>#DIV/0!</v>
      </c>
      <c r="CF16" s="710" t="e">
        <f ca="1">IF($C$86=Sprachtexte!$A$87,
-CE16*$C$87^3*BW16/(12*CE16*$C$87+24*$CF$2)+BX16*$BY$1*$CA$1/(6*$CF$2)*(($BY$1-$C$87-2*$CA$1)/(6*$CF$2)-1/CE16-$CA$1/(CE16*$C$87))/(($C$87/(3*$CF$2)+1/CE16)^2-($C$87/(6*$CF$2))^2),
-CE16*$C$87^3*BW16/(8*CE16*$C$87+24*$CF$2)-CE16*$CA$1/$C$87*($C$87^2-$CA$1^2)*BX16/(2*CE16*$C$87+6*$CF$2))</f>
        <v>#DIV/0!</v>
      </c>
      <c r="CG16" s="710" t="e">
        <f t="shared" ca="1" si="28"/>
        <v>#DIV/0!</v>
      </c>
      <c r="CH16" s="835">
        <f t="shared" ca="1" si="1"/>
        <v>0</v>
      </c>
      <c r="CI16" s="821" t="e">
        <f t="shared" ca="1" si="2"/>
        <v>#DIV/0!</v>
      </c>
      <c r="CJ16" s="619" t="str">
        <f t="shared" si="3"/>
        <v>oben</v>
      </c>
      <c r="CK16" s="834" t="e">
        <f ca="1">IF(CJ16=_oben,Berechnung_BZoben!$S$7,Berechnung_BZunten!$S$7)</f>
        <v>#DIV/0!</v>
      </c>
      <c r="CL16" s="834" t="e">
        <f ca="1">CK16*2/(3*(1+2*Eingabe!CA16*Eingabe!$D$76))</f>
        <v>#DIV/0!</v>
      </c>
      <c r="CM16" s="710" t="e">
        <f ca="1">IF($C$86=Sprachtexte!$A$87,
-CL16*$C$87^3*BW16/(12*CE16*$C$87+24*$CF$2)+BX16*$CA$1*$BY$1/(6*$CF$2)*(($CA$1-$C$87-2*$BY$1)/(6*$CF$2)-1/CE16-$BY$1/(CE16*$C$87))/(($C$87/(3*$CF$2)+1/CE16)^2-($C$87/(6*$CF$2))^2),0)</f>
        <v>#DIV/0!</v>
      </c>
      <c r="CN16" s="710" t="e">
        <f t="shared" ca="1" si="4"/>
        <v>#DIV/0!</v>
      </c>
      <c r="CO16" s="835">
        <f t="shared" ca="1" si="5"/>
        <v>0</v>
      </c>
      <c r="CP16" s="849">
        <f t="shared" si="29"/>
        <v>0</v>
      </c>
      <c r="CQ16" s="710" t="e">
        <f t="shared" ca="1" si="6"/>
        <v>#DIV/0!</v>
      </c>
      <c r="CR16" s="710" t="e">
        <f t="shared" ca="1" si="7"/>
        <v>#DIV/0!</v>
      </c>
      <c r="CS16" s="710">
        <f t="shared" si="30"/>
        <v>0</v>
      </c>
      <c r="CT16" s="710" t="e">
        <f t="shared" ca="1" si="8"/>
        <v>#DIV/0!</v>
      </c>
      <c r="CU16" s="710">
        <f t="shared" si="31"/>
        <v>0</v>
      </c>
      <c r="CV16" s="833">
        <f>MAX($C$79,$C$80,$C$81,$C$82)</f>
        <v>1</v>
      </c>
      <c r="CW16" s="821" t="e">
        <f ca="1">MIN(Ausgabe!$C$173,Ausgabe!$C$186)</f>
        <v>#DIV/0!</v>
      </c>
      <c r="CX16" s="710">
        <f>Ausgabe!$C$187</f>
        <v>1.3</v>
      </c>
      <c r="CY16" s="619">
        <f>Ausgabe!$C$191</f>
        <v>100</v>
      </c>
      <c r="CZ16" s="710">
        <f>Ausgabe!$C$192</f>
        <v>1.25</v>
      </c>
      <c r="DA16" s="619">
        <f>Ausgabe!$C$194</f>
        <v>36.6</v>
      </c>
      <c r="DB16" s="710">
        <f>Ausgabe!$C$195</f>
        <v>1.25</v>
      </c>
      <c r="DC16" s="619" t="e">
        <f t="shared" ca="1" si="9"/>
        <v>#DIV/0!</v>
      </c>
      <c r="DD16" s="619">
        <f t="shared" si="32"/>
        <v>0</v>
      </c>
      <c r="DE16" s="710" t="e">
        <f t="shared" ca="1" si="10"/>
        <v>#DIV/0!</v>
      </c>
      <c r="DF16" s="821">
        <f ca="1">MIN(Ausgabe!$C$221,Ausgabe!$C$239)</f>
        <v>92.436470366395326</v>
      </c>
      <c r="DG16" s="710">
        <f>Ausgabe!$C$240</f>
        <v>1.3</v>
      </c>
      <c r="DH16" s="619">
        <f>Ausgabe!$C$246</f>
        <v>150.4</v>
      </c>
      <c r="DI16" s="710">
        <f>Ausgabe!$C$247</f>
        <v>1.1000000000000001</v>
      </c>
      <c r="DJ16" s="619">
        <f>Ausgabe!$C$254</f>
        <v>176.4</v>
      </c>
      <c r="DK16" s="710">
        <f>Ausgabe!$C$255</f>
        <v>1.25</v>
      </c>
      <c r="DL16" s="619">
        <f>Ausgabe!$C$263</f>
        <v>180.95573684677208</v>
      </c>
      <c r="DM16" s="710">
        <f>Ausgabe!$C$264</f>
        <v>1.1000000000000001</v>
      </c>
      <c r="DN16" s="619">
        <f t="shared" ca="1" si="11"/>
        <v>71.104977204919479</v>
      </c>
      <c r="DO16" s="619" t="e">
        <f t="shared" ca="1" si="12"/>
        <v>#DIV/0!</v>
      </c>
      <c r="DP16" s="833" t="e">
        <f t="shared" ca="1" si="13"/>
        <v>#DIV/0!</v>
      </c>
      <c r="DQ16" s="821" t="e">
        <f ca="1">Ausgabe!$C$369</f>
        <v>#DIV/0!</v>
      </c>
      <c r="DR16" s="710">
        <f>Ausgabe!$C$370</f>
        <v>1.3</v>
      </c>
      <c r="DS16" s="619" t="e">
        <f t="shared" ca="1" si="14"/>
        <v>#DIV/0!</v>
      </c>
      <c r="DT16" s="619" t="e">
        <f t="shared" ca="1" si="15"/>
        <v>#DIV/0!</v>
      </c>
      <c r="DU16" s="833" t="e">
        <f t="shared" ca="1" si="16"/>
        <v>#DIV/0!</v>
      </c>
      <c r="DV16" s="821">
        <f ca="1">Ausgabe!$C$420</f>
        <v>33.607770254588836</v>
      </c>
      <c r="DW16" s="710">
        <f>Ausgabe!$C$421</f>
        <v>1.3</v>
      </c>
      <c r="DX16" s="619">
        <f>Ausgabe!$C$423</f>
        <v>36.9</v>
      </c>
      <c r="DY16" s="710">
        <f>Ausgabe!$C$424</f>
        <v>1.1000000000000001</v>
      </c>
      <c r="DZ16" s="619">
        <f t="shared" ca="1" si="17"/>
        <v>25.852130965068334</v>
      </c>
      <c r="EA16" s="619">
        <f t="shared" si="33"/>
        <v>0</v>
      </c>
      <c r="EB16" s="833">
        <f t="shared" ca="1" si="18"/>
        <v>0</v>
      </c>
      <c r="EC16" s="710">
        <f ca="1">IF(CJ16=_oben,Berechnung_BZoben!$P$5,Berechnung_BZunten!$P$5)</f>
        <v>4.847242517186606</v>
      </c>
      <c r="ED16" s="710">
        <f>Ausgabe!$C$520</f>
        <v>1.3</v>
      </c>
      <c r="EE16" s="710">
        <f t="shared" ca="1" si="19"/>
        <v>3.728648090143543</v>
      </c>
      <c r="EF16" s="710" t="e">
        <f t="shared" ca="1" si="20"/>
        <v>#DIV/0!</v>
      </c>
      <c r="EG16" s="833" t="e">
        <f t="shared" ca="1" si="21"/>
        <v>#DIV/0!</v>
      </c>
      <c r="EH16" s="710">
        <f>Ausgabe!$C$592</f>
        <v>2.7</v>
      </c>
      <c r="EI16" s="710">
        <f>Ausgabe!$C$593</f>
        <v>1.3</v>
      </c>
      <c r="EJ16" s="710">
        <f t="shared" si="34"/>
        <v>2.0769230769230771</v>
      </c>
      <c r="EK16" s="710">
        <f t="shared" si="35"/>
        <v>0</v>
      </c>
      <c r="EL16" s="833">
        <f t="shared" si="36"/>
        <v>0</v>
      </c>
      <c r="EM16" s="821">
        <f ca="1">Ausgabe!$C$581</f>
        <v>0</v>
      </c>
      <c r="EN16" s="710" t="e">
        <f t="shared" ca="1" si="22"/>
        <v>#DIV/0!</v>
      </c>
      <c r="EO16" s="710" t="e">
        <f t="shared" ca="1" si="37"/>
        <v>#DIV/0!</v>
      </c>
      <c r="EP16" s="710" t="e">
        <f t="shared" ca="1" si="23"/>
        <v>#DIV/0!</v>
      </c>
      <c r="EQ16" s="833" t="e">
        <f t="shared" ca="1" si="24"/>
        <v>#DIV/0!</v>
      </c>
      <c r="ER16" s="889" t="e">
        <f t="shared" ca="1" si="25"/>
        <v>#DIV/0!</v>
      </c>
      <c r="ES16" s="619"/>
      <c r="EU16" s="499" t="s">
        <v>779</v>
      </c>
      <c r="EV16" s="723">
        <f ca="1">_xlfn.MAXIFS(Berechnung_BZoben!$C$233:$C$306,Berechnung_BZoben!$A$233:$A$306,45)</f>
        <v>230</v>
      </c>
      <c r="EW16" s="499" t="s">
        <v>795</v>
      </c>
      <c r="EX16" s="723">
        <f ca="1">_xlfn.MAXIFS(Berechnung_BZoben!$B$233:$B$306,Berechnung_BZoben!$A$233:$A$306,45)</f>
        <v>50.25</v>
      </c>
      <c r="EZ16" s="499" t="s">
        <v>786</v>
      </c>
      <c r="FA16" s="950"/>
      <c r="FB16" s="499" t="s">
        <v>786</v>
      </c>
      <c r="FC16" s="724"/>
      <c r="FE16" s="499" t="s">
        <v>2033</v>
      </c>
      <c r="FF16" s="569"/>
      <c r="FG16" s="569"/>
      <c r="FH16" s="1223"/>
    </row>
    <row r="17" spans="1:167" ht="16.5" customHeight="1" thickBot="1">
      <c r="A17" s="569" t="str">
        <f>Sprachtexte!A15</f>
        <v>Festigkeitsklasse</v>
      </c>
      <c r="B17"/>
      <c r="C17" s="1362" t="s">
        <v>52</v>
      </c>
      <c r="E17" s="569" t="str">
        <f>Sprachtexte!A21</f>
        <v>Mindestquerschnitt:</v>
      </c>
      <c r="F17" s="508"/>
      <c r="J17" s="643"/>
      <c r="K17" s="1518"/>
      <c r="L17" s="1519"/>
      <c r="O17" s="843" t="e">
        <f ca="1">IF(AND(C190=BP21,C195&lt;FF28),0,IF(AND(C190=BP22,FF19&gt;1),0,"ok"))</f>
        <v>#DIV/0!</v>
      </c>
      <c r="P17" s="1452" t="s">
        <v>2327</v>
      </c>
      <c r="Q17" s="1452"/>
      <c r="R17" s="1452"/>
      <c r="S17" s="1453"/>
      <c r="U17" s="576" t="s">
        <v>95</v>
      </c>
      <c r="V17" s="533">
        <f>IF(AND(V5=0,V8=11),50,IF(AND(V5=0,V8=10),51,IF(AND(V5=1,V8=10),52,IF(AND(V5=2,V8=10),53,IF(AND(V5=3,V8=10),54,NA())))))</f>
        <v>50</v>
      </c>
      <c r="W17" s="1475" t="str">
        <f>IF(V17=50,"BSH/NH mit Knapp Schraube",IF(V17=51,"BSH/NH mit Würth Schraube",IF(V17=52,"LH mit Würth Schraube",IF(V17=53,"BauBuche mit Würth Schraube",IF(V17=54,"LVL mit Würth Schraube","FEHLER")))))</f>
        <v>BSH/NH mit Knapp Schraube</v>
      </c>
      <c r="X17" s="1475"/>
      <c r="Y17" s="1475"/>
      <c r="Z17" s="1476"/>
      <c r="AB17" s="554" t="str">
        <v>SK 8x600</v>
      </c>
      <c r="AC17" s="579" t="str">
        <v>SK 8x600</v>
      </c>
      <c r="AD17" s="554" t="str">
        <v>Assy Plus VG 8x340</v>
      </c>
      <c r="AE17" s="706" t="str">
        <v>Assy Plus VG 8x340</v>
      </c>
      <c r="AG17" s="523"/>
      <c r="AH17" s="595"/>
      <c r="AJ17" s="556"/>
      <c r="AK17" s="556"/>
      <c r="AM17" s="557">
        <v>15</v>
      </c>
      <c r="AN17" s="558" t="s">
        <v>454</v>
      </c>
      <c r="AO17" s="559" t="s">
        <v>60</v>
      </c>
      <c r="AP17" s="737">
        <f>HLOOKUP($C$17,MKW!$A$3:$BD$25,$AM17,FALSE)</f>
        <v>650</v>
      </c>
      <c r="AQ17" s="737">
        <f>HLOOKUP($C$24,MKW!$A$3:$BD$25,$AM17,FALSE)</f>
        <v>650</v>
      </c>
      <c r="AW17" s="525"/>
      <c r="BA17" s="509">
        <v>15</v>
      </c>
      <c r="BB17" s="564">
        <v>1</v>
      </c>
      <c r="BC17" s="565" t="s">
        <v>9</v>
      </c>
      <c r="BD17" s="531">
        <f>ABS($BG$13)</f>
        <v>0</v>
      </c>
      <c r="BE17" s="574">
        <v>45</v>
      </c>
      <c r="BF17" s="575">
        <v>90</v>
      </c>
      <c r="BG17" s="574">
        <v>90</v>
      </c>
      <c r="BH17" s="575">
        <v>90</v>
      </c>
      <c r="BI17" s="574">
        <v>45</v>
      </c>
      <c r="BJ17" s="531">
        <v>90</v>
      </c>
      <c r="BK17" s="574">
        <v>45</v>
      </c>
      <c r="BL17" s="569" t="s">
        <v>430</v>
      </c>
      <c r="BR17" s="570" t="e">
        <f t="shared" ca="1" si="26"/>
        <v>#DIV/0!</v>
      </c>
      <c r="BS17" s="570" t="s">
        <v>1029</v>
      </c>
      <c r="BT17" s="571" t="s">
        <v>981</v>
      </c>
      <c r="BU17" s="610">
        <f>IF(OR(B101&lt;&gt;0,C101&lt;&gt;0,D101&lt;&gt;0,E101&lt;&gt;0,G101&lt;&gt;0),1,0)</f>
        <v>0</v>
      </c>
      <c r="BV17" s="619">
        <f>$BU$17*(1.35*B$99+1.5*B$101+1.5*$E$80*B$100+1.5*$E$82*B$102)</f>
        <v>0</v>
      </c>
      <c r="BW17" s="619">
        <f>$BU$17*(1.35*C$99+1.5*C$101+1.5*$E$80*C$100+1.5*$E$82*C$102)</f>
        <v>0</v>
      </c>
      <c r="BX17" s="619">
        <f>$BU$17*(1.35*D$99+1.5*D$101+1.5*$E$80*D$100+1.5*$E$82*D$102)</f>
        <v>0</v>
      </c>
      <c r="BY17" s="619">
        <f>$BU$17*(1.35*E$99+1.5*E$101+1.5*$E$80*E$100+1.5*$E$82*E$102)</f>
        <v>0</v>
      </c>
      <c r="BZ17" s="619">
        <f>$BU$17*(1.35*G$99+1.5*G$101+1.5*$E$80*G$100+1.5*$E$82*G$102)</f>
        <v>0</v>
      </c>
      <c r="CA17" s="833">
        <f>VLOOKUP($A$81,MKW!$A$50:$E$60,4,FALSE)</f>
        <v>0</v>
      </c>
      <c r="CB17" s="821" t="e">
        <f t="shared" ca="1" si="27"/>
        <v>#DIV/0!</v>
      </c>
      <c r="CC17" s="619" t="str">
        <f t="shared" si="0"/>
        <v>oben</v>
      </c>
      <c r="CD17" s="834" t="e">
        <f ca="1">IF(CC17=_oben,Berechnung_BZoben!$S$7,Berechnung_BZunten!$S$7)</f>
        <v>#DIV/0!</v>
      </c>
      <c r="CE17" s="834" t="e">
        <f ca="1">CD17*2/(3*(1+2*Eingabe!CA17*Eingabe!$D$76))</f>
        <v>#DIV/0!</v>
      </c>
      <c r="CF17" s="710" t="e">
        <f ca="1">IF($C$86=Sprachtexte!$A$87,
-CE17*$C$87^3*BW17/(12*CE17*$C$87+24*$CF$2)+BX17*$BY$1*$CA$1/(6*$CF$2)*(($BY$1-$C$87-2*$CA$1)/(6*$CF$2)-1/CE17-$CA$1/(CE17*$C$87))/(($C$87/(3*$CF$2)+1/CE17)^2-($C$87/(6*$CF$2))^2),
-CE17*$C$87^3*BW17/(8*CE17*$C$87+24*$CF$2)-CE17*$CA$1/$C$87*($C$87^2-$CA$1^2)*BX17/(2*CE17*$C$87+6*$CF$2))</f>
        <v>#DIV/0!</v>
      </c>
      <c r="CG17" s="710" t="e">
        <f t="shared" ca="1" si="28"/>
        <v>#DIV/0!</v>
      </c>
      <c r="CH17" s="835">
        <f t="shared" ca="1" si="1"/>
        <v>0</v>
      </c>
      <c r="CI17" s="821" t="e">
        <f t="shared" ca="1" si="2"/>
        <v>#DIV/0!</v>
      </c>
      <c r="CJ17" s="619" t="str">
        <f t="shared" si="3"/>
        <v>oben</v>
      </c>
      <c r="CK17" s="834" t="e">
        <f ca="1">IF(CJ17=_oben,Berechnung_BZoben!$S$7,Berechnung_BZunten!$S$7)</f>
        <v>#DIV/0!</v>
      </c>
      <c r="CL17" s="834" t="e">
        <f ca="1">CK17*2/(3*(1+2*Eingabe!CA17*Eingabe!$D$76))</f>
        <v>#DIV/0!</v>
      </c>
      <c r="CM17" s="710" t="e">
        <f ca="1">IF($C$86=Sprachtexte!$A$87,
-CL17*$C$87^3*BW17/(12*CE17*$C$87+24*$CF$2)+BX17*$CA$1*$BY$1/(6*$CF$2)*(($CA$1-$C$87-2*$BY$1)/(6*$CF$2)-1/CE17-$BY$1/(CE17*$C$87))/(($C$87/(3*$CF$2)+1/CE17)^2-($C$87/(6*$CF$2))^2),0)</f>
        <v>#DIV/0!</v>
      </c>
      <c r="CN17" s="710" t="e">
        <f t="shared" ca="1" si="4"/>
        <v>#DIV/0!</v>
      </c>
      <c r="CO17" s="835">
        <f t="shared" ca="1" si="5"/>
        <v>0</v>
      </c>
      <c r="CP17" s="849">
        <f t="shared" si="29"/>
        <v>0</v>
      </c>
      <c r="CQ17" s="710" t="e">
        <f t="shared" ca="1" si="6"/>
        <v>#DIV/0!</v>
      </c>
      <c r="CR17" s="710" t="e">
        <f t="shared" ca="1" si="7"/>
        <v>#DIV/0!</v>
      </c>
      <c r="CS17" s="710">
        <f t="shared" si="30"/>
        <v>0</v>
      </c>
      <c r="CT17" s="710" t="e">
        <f t="shared" ca="1" si="8"/>
        <v>#DIV/0!</v>
      </c>
      <c r="CU17" s="710">
        <f t="shared" si="31"/>
        <v>0</v>
      </c>
      <c r="CV17" s="833">
        <f>MAX($C$79,$C$81,$C$80,$C$82)</f>
        <v>1</v>
      </c>
      <c r="CW17" s="821" t="e">
        <f ca="1">MIN(Ausgabe!$C$173,Ausgabe!$C$186)</f>
        <v>#DIV/0!</v>
      </c>
      <c r="CX17" s="710">
        <f>Ausgabe!$C$187</f>
        <v>1.3</v>
      </c>
      <c r="CY17" s="619">
        <f>Ausgabe!$C$191</f>
        <v>100</v>
      </c>
      <c r="CZ17" s="710">
        <f>Ausgabe!$C$192</f>
        <v>1.25</v>
      </c>
      <c r="DA17" s="619">
        <f>Ausgabe!$C$194</f>
        <v>36.6</v>
      </c>
      <c r="DB17" s="710">
        <f>Ausgabe!$C$195</f>
        <v>1.25</v>
      </c>
      <c r="DC17" s="619" t="e">
        <f t="shared" ca="1" si="9"/>
        <v>#DIV/0!</v>
      </c>
      <c r="DD17" s="619">
        <f t="shared" si="32"/>
        <v>0</v>
      </c>
      <c r="DE17" s="710" t="e">
        <f t="shared" ca="1" si="10"/>
        <v>#DIV/0!</v>
      </c>
      <c r="DF17" s="821">
        <f ca="1">MIN(Ausgabe!$C$221,Ausgabe!$C$239)</f>
        <v>92.436470366395326</v>
      </c>
      <c r="DG17" s="710">
        <f>Ausgabe!$C$240</f>
        <v>1.3</v>
      </c>
      <c r="DH17" s="619">
        <f>Ausgabe!$C$246</f>
        <v>150.4</v>
      </c>
      <c r="DI17" s="710">
        <f>Ausgabe!$C$247</f>
        <v>1.1000000000000001</v>
      </c>
      <c r="DJ17" s="619">
        <f>Ausgabe!$C$254</f>
        <v>176.4</v>
      </c>
      <c r="DK17" s="710">
        <f>Ausgabe!$C$255</f>
        <v>1.25</v>
      </c>
      <c r="DL17" s="619">
        <f>Ausgabe!$C$263</f>
        <v>180.95573684677208</v>
      </c>
      <c r="DM17" s="710">
        <f>Ausgabe!$C$264</f>
        <v>1.1000000000000001</v>
      </c>
      <c r="DN17" s="619">
        <f t="shared" ca="1" si="11"/>
        <v>71.104977204919479</v>
      </c>
      <c r="DO17" s="619" t="e">
        <f t="shared" ca="1" si="12"/>
        <v>#DIV/0!</v>
      </c>
      <c r="DP17" s="833" t="e">
        <f t="shared" ca="1" si="13"/>
        <v>#DIV/0!</v>
      </c>
      <c r="DQ17" s="821" t="e">
        <f ca="1">Ausgabe!$C$369</f>
        <v>#DIV/0!</v>
      </c>
      <c r="DR17" s="710">
        <f>Ausgabe!$C$370</f>
        <v>1.3</v>
      </c>
      <c r="DS17" s="619" t="e">
        <f t="shared" ca="1" si="14"/>
        <v>#DIV/0!</v>
      </c>
      <c r="DT17" s="619" t="e">
        <f t="shared" ca="1" si="15"/>
        <v>#DIV/0!</v>
      </c>
      <c r="DU17" s="833" t="e">
        <f t="shared" ca="1" si="16"/>
        <v>#DIV/0!</v>
      </c>
      <c r="DV17" s="821">
        <f ca="1">Ausgabe!$C$420</f>
        <v>33.607770254588836</v>
      </c>
      <c r="DW17" s="710">
        <f>Ausgabe!$C$421</f>
        <v>1.3</v>
      </c>
      <c r="DX17" s="619">
        <f>Ausgabe!$C$423</f>
        <v>36.9</v>
      </c>
      <c r="DY17" s="710">
        <f>Ausgabe!$C$424</f>
        <v>1.1000000000000001</v>
      </c>
      <c r="DZ17" s="619">
        <f t="shared" ca="1" si="17"/>
        <v>25.852130965068334</v>
      </c>
      <c r="EA17" s="619">
        <f t="shared" si="33"/>
        <v>0</v>
      </c>
      <c r="EB17" s="833">
        <f t="shared" ca="1" si="18"/>
        <v>0</v>
      </c>
      <c r="EC17" s="710">
        <f ca="1">IF(CJ17=_oben,Berechnung_BZoben!$P$5,Berechnung_BZunten!$P$5)</f>
        <v>4.847242517186606</v>
      </c>
      <c r="ED17" s="710">
        <f>Ausgabe!$C$520</f>
        <v>1.3</v>
      </c>
      <c r="EE17" s="710">
        <f t="shared" ca="1" si="19"/>
        <v>3.728648090143543</v>
      </c>
      <c r="EF17" s="710" t="e">
        <f t="shared" ca="1" si="20"/>
        <v>#DIV/0!</v>
      </c>
      <c r="EG17" s="833" t="e">
        <f t="shared" ca="1" si="21"/>
        <v>#DIV/0!</v>
      </c>
      <c r="EH17" s="710">
        <f>Ausgabe!$C$592</f>
        <v>2.7</v>
      </c>
      <c r="EI17" s="710">
        <f>Ausgabe!$C$593</f>
        <v>1.3</v>
      </c>
      <c r="EJ17" s="710">
        <f t="shared" si="34"/>
        <v>2.0769230769230771</v>
      </c>
      <c r="EK17" s="710">
        <f t="shared" si="35"/>
        <v>0</v>
      </c>
      <c r="EL17" s="833">
        <f t="shared" si="36"/>
        <v>0</v>
      </c>
      <c r="EM17" s="821">
        <f ca="1">Ausgabe!$C$581</f>
        <v>0</v>
      </c>
      <c r="EN17" s="710" t="e">
        <f t="shared" ca="1" si="22"/>
        <v>#DIV/0!</v>
      </c>
      <c r="EO17" s="710" t="e">
        <f t="shared" ca="1" si="37"/>
        <v>#DIV/0!</v>
      </c>
      <c r="EP17" s="710" t="e">
        <f t="shared" ca="1" si="23"/>
        <v>#DIV/0!</v>
      </c>
      <c r="EQ17" s="833" t="e">
        <f t="shared" ca="1" si="24"/>
        <v>#DIV/0!</v>
      </c>
      <c r="ER17" s="889" t="e">
        <f t="shared" ca="1" si="25"/>
        <v>#DIV/0!</v>
      </c>
      <c r="ES17" s="619"/>
      <c r="EU17" s="499" t="s">
        <v>783</v>
      </c>
      <c r="EV17" s="723">
        <f ca="1">_xlfn.MAXIFS(Berechnung_BZoben!$E$233:$E$306,Berechnung_BZoben!$A$233:$A$306,45)</f>
        <v>142.5</v>
      </c>
      <c r="EW17" s="499" t="s">
        <v>783</v>
      </c>
      <c r="EX17" s="723">
        <f ca="1">_xlfn.MAXIFS(Berechnung_BZoben!$E$233:$E$306,Berechnung_BZoben!$A$233:$A$306,45)</f>
        <v>142.5</v>
      </c>
      <c r="EZ17" s="499" t="s">
        <v>1111</v>
      </c>
      <c r="FA17" s="950">
        <f>IF(FA14&gt;=0,1,0)</f>
        <v>0</v>
      </c>
      <c r="FB17" s="499" t="s">
        <v>1111</v>
      </c>
      <c r="FC17" s="724">
        <f>IF(FC12&gt;=0,1,0)</f>
        <v>0</v>
      </c>
      <c r="FE17" s="499" t="s">
        <v>2016</v>
      </c>
      <c r="FF17" s="859" t="e">
        <f ca="1">1.5*FF5/(FF9*FF8)</f>
        <v>#DIV/0!</v>
      </c>
      <c r="FG17" s="569" t="s">
        <v>3</v>
      </c>
      <c r="FH17" s="1223"/>
    </row>
    <row r="18" spans="1:167" ht="16.5" customHeight="1" thickBot="1">
      <c r="A18" s="569" t="str">
        <f>Sprachtexte!A16</f>
        <v>Breite</v>
      </c>
      <c r="B18" s="631" t="s">
        <v>860</v>
      </c>
      <c r="C18" s="1361"/>
      <c r="D18" s="569" t="s">
        <v>2</v>
      </c>
      <c r="E18" s="631" t="s">
        <v>924</v>
      </c>
      <c r="F18" s="1216">
        <f>Berechnung_BZoben!$C$22</f>
        <v>160</v>
      </c>
      <c r="G18" s="569" t="s">
        <v>2</v>
      </c>
      <c r="J18" s="643"/>
      <c r="K18" s="1518"/>
      <c r="L18" s="1519"/>
      <c r="O18" s="843" t="str">
        <f>IF(AND(A29=Sprachtexte!A33,C29&gt;=-10,C29&lt;=10),"ok",IF(AND(A29=Sprachtexte!A32,C29&gt;=-20,C29&lt;=20),"ok",0))</f>
        <v>ok</v>
      </c>
      <c r="P18" s="1452" t="s">
        <v>2604</v>
      </c>
      <c r="Q18" s="1452"/>
      <c r="R18" s="1452"/>
      <c r="S18" s="1453"/>
      <c r="U18" s="1464" t="s">
        <v>676</v>
      </c>
      <c r="V18" s="1465"/>
      <c r="W18" s="1465"/>
      <c r="X18" s="1465"/>
      <c r="Y18" s="1465"/>
      <c r="Z18" s="1466"/>
      <c r="AB18" s="554"/>
      <c r="AC18" s="579"/>
      <c r="AD18" s="554"/>
      <c r="AE18" s="706"/>
      <c r="AG18" s="523"/>
      <c r="AJ18" s="556"/>
      <c r="AK18" s="556"/>
      <c r="AM18" s="557">
        <v>16</v>
      </c>
      <c r="AN18" s="558" t="s">
        <v>455</v>
      </c>
      <c r="AO18" s="559" t="s">
        <v>60</v>
      </c>
      <c r="AP18" s="737">
        <f>HLOOKUP($C$17,MKW!$A$3:$BD$25,$AM18,FALSE)</f>
        <v>540</v>
      </c>
      <c r="AQ18" s="737">
        <f>HLOOKUP($C$24,MKW!$A$3:$BD$25,$AM18,FALSE)</f>
        <v>540</v>
      </c>
      <c r="AT18" s="596"/>
      <c r="AU18" s="597"/>
      <c r="AV18" s="597"/>
      <c r="AW18" s="525"/>
      <c r="BA18" s="509">
        <v>16</v>
      </c>
      <c r="BB18" s="564" t="s">
        <v>619</v>
      </c>
      <c r="BC18" s="565" t="s">
        <v>9</v>
      </c>
      <c r="BD18" s="531">
        <f>ABS($BG$13)</f>
        <v>0</v>
      </c>
      <c r="BE18" s="574">
        <v>45</v>
      </c>
      <c r="BF18" s="575">
        <v>90</v>
      </c>
      <c r="BG18" s="574">
        <v>90</v>
      </c>
      <c r="BH18" s="575">
        <v>90</v>
      </c>
      <c r="BI18" s="574">
        <v>45</v>
      </c>
      <c r="BJ18" s="531">
        <v>90</v>
      </c>
      <c r="BK18" s="574">
        <v>45</v>
      </c>
      <c r="BL18" s="569" t="s">
        <v>437</v>
      </c>
      <c r="BR18" s="824" t="e">
        <f t="shared" ca="1" si="26"/>
        <v>#DIV/0!</v>
      </c>
      <c r="BS18" s="824" t="s">
        <v>1030</v>
      </c>
      <c r="BT18" s="825" t="s">
        <v>982</v>
      </c>
      <c r="BU18" s="608">
        <f>IF(OR(B102&lt;&gt;0,C102&lt;&gt;0,D102&lt;&gt;0,E102&lt;&gt;0,G102&lt;&gt;0),1,0)</f>
        <v>0</v>
      </c>
      <c r="BV18" s="679">
        <f>$BU$18*(1.35*B$99+1.5*B$102+1.5*$E$80*B$100+1.5*$E$81*B$101)</f>
        <v>0</v>
      </c>
      <c r="BW18" s="679">
        <f>$BU$18*(1.35*C$99+1.5*C$102+1.5*$E$80*C$100+1.5*$E$81*C$101)</f>
        <v>0</v>
      </c>
      <c r="BX18" s="679">
        <f>$BU$18*(1.35*D$99+1.5*D$102+1.5*$E$80*D$100+1.5*$E$81*D$101)</f>
        <v>0</v>
      </c>
      <c r="BY18" s="679">
        <f>$BU$18*(1.35*E$99+1.5*E$102+1.5*$E$80*E$100+1.5*$E$81*E$101)</f>
        <v>0</v>
      </c>
      <c r="BZ18" s="679">
        <f>$BU$18*(1.35*G$99+1.5*G$102+1.5*$E$80*G$100+1.5*$E$81*G$101)</f>
        <v>0</v>
      </c>
      <c r="CA18" s="837">
        <f>VLOOKUP($A$82,MKW!$A$50:$E$60,4,FALSE)</f>
        <v>0</v>
      </c>
      <c r="CB18" s="823" t="e">
        <f t="shared" ca="1" si="27"/>
        <v>#DIV/0!</v>
      </c>
      <c r="CC18" s="679" t="str">
        <f t="shared" si="0"/>
        <v>oben</v>
      </c>
      <c r="CD18" s="838" t="e">
        <f ca="1">IF(CC18=_oben,Berechnung_BZoben!$S$7,Berechnung_BZunten!$S$7)</f>
        <v>#DIV/0!</v>
      </c>
      <c r="CE18" s="838" t="e">
        <f ca="1">CD18*2/(3*(1+2*Eingabe!CA18*Eingabe!$D$76))</f>
        <v>#DIV/0!</v>
      </c>
      <c r="CF18" s="836" t="e">
        <f ca="1">IF($C$86=Sprachtexte!$A$87,
-CE18*$C$87^3*BW18/(12*CE18*$C$87+24*$CF$2)+BX18*$BY$1*$CA$1/(6*$CF$2)*(($BY$1-$C$87-2*$CA$1)/(6*$CF$2)-1/CE18-$CA$1/(CE18*$C$87))/(($C$87/(3*$CF$2)+1/CE18)^2-($C$87/(6*$CF$2))^2),
-CE18*$C$87^3*BW18/(8*CE18*$C$87+24*$CF$2)-CE18*$CA$1/$C$87*($C$87^2-$CA$1^2)*BX18/(2*CE18*$C$87+6*$CF$2))</f>
        <v>#DIV/0!</v>
      </c>
      <c r="CG18" s="836" t="e">
        <f t="shared" ca="1" si="28"/>
        <v>#DIV/0!</v>
      </c>
      <c r="CH18" s="839">
        <f t="shared" ca="1" si="1"/>
        <v>0</v>
      </c>
      <c r="CI18" s="823" t="e">
        <f t="shared" ca="1" si="2"/>
        <v>#DIV/0!</v>
      </c>
      <c r="CJ18" s="679" t="str">
        <f t="shared" si="3"/>
        <v>oben</v>
      </c>
      <c r="CK18" s="838" t="e">
        <f ca="1">IF(CJ18=_oben,Berechnung_BZoben!$S$7,Berechnung_BZunten!$S$7)</f>
        <v>#DIV/0!</v>
      </c>
      <c r="CL18" s="838" t="e">
        <f ca="1">CK18*2/(3*(1+2*Eingabe!CA18*Eingabe!$D$76))</f>
        <v>#DIV/0!</v>
      </c>
      <c r="CM18" s="836" t="e">
        <f ca="1">IF($C$86=Sprachtexte!$A$87,
-CL18*$C$87^3*BW18/(12*CE18*$C$87+24*$CF$2)+BX18*$CA$1*$BY$1/(6*$CF$2)*(($CA$1-$C$87-2*$BY$1)/(6*$CF$2)-1/CE18-$BY$1/(CE18*$C$87))/(($C$87/(3*$CF$2)+1/CE18)^2-($C$87/(6*$CF$2))^2),0)</f>
        <v>#DIV/0!</v>
      </c>
      <c r="CN18" s="836" t="e">
        <f t="shared" ca="1" si="4"/>
        <v>#DIV/0!</v>
      </c>
      <c r="CO18" s="839">
        <f t="shared" ca="1" si="5"/>
        <v>0</v>
      </c>
      <c r="CP18" s="850">
        <f t="shared" si="29"/>
        <v>0</v>
      </c>
      <c r="CQ18" s="836" t="e">
        <f t="shared" ca="1" si="6"/>
        <v>#DIV/0!</v>
      </c>
      <c r="CR18" s="836" t="e">
        <f t="shared" ca="1" si="7"/>
        <v>#DIV/0!</v>
      </c>
      <c r="CS18" s="836">
        <f t="shared" si="30"/>
        <v>0</v>
      </c>
      <c r="CT18" s="836" t="e">
        <f t="shared" ca="1" si="8"/>
        <v>#DIV/0!</v>
      </c>
      <c r="CU18" s="836">
        <f t="shared" si="31"/>
        <v>0</v>
      </c>
      <c r="CV18" s="837">
        <f>MAX($C$79,$C$82,$C$80,$C$81)</f>
        <v>1</v>
      </c>
      <c r="CW18" s="821" t="e">
        <f ca="1">MIN(Ausgabe!$C$173,Ausgabe!$C$186)</f>
        <v>#DIV/0!</v>
      </c>
      <c r="CX18" s="710">
        <f>Ausgabe!$C$187</f>
        <v>1.3</v>
      </c>
      <c r="CY18" s="619">
        <f>Ausgabe!$C$191</f>
        <v>100</v>
      </c>
      <c r="CZ18" s="710">
        <f>Ausgabe!$C$192</f>
        <v>1.25</v>
      </c>
      <c r="DA18" s="619">
        <f>Ausgabe!$C$194</f>
        <v>36.6</v>
      </c>
      <c r="DB18" s="710">
        <f>Ausgabe!$C$195</f>
        <v>1.25</v>
      </c>
      <c r="DC18" s="679" t="e">
        <f t="shared" ca="1" si="9"/>
        <v>#DIV/0!</v>
      </c>
      <c r="DD18" s="679">
        <f t="shared" si="32"/>
        <v>0</v>
      </c>
      <c r="DE18" s="836" t="e">
        <f t="shared" ca="1" si="10"/>
        <v>#DIV/0!</v>
      </c>
      <c r="DF18" s="823">
        <f ca="1">MIN(Ausgabe!$C$221,Ausgabe!$C$239)</f>
        <v>92.436470366395326</v>
      </c>
      <c r="DG18" s="836">
        <f>Ausgabe!$C$240</f>
        <v>1.3</v>
      </c>
      <c r="DH18" s="679">
        <f>Ausgabe!$C$246</f>
        <v>150.4</v>
      </c>
      <c r="DI18" s="836">
        <f>Ausgabe!$C$247</f>
        <v>1.1000000000000001</v>
      </c>
      <c r="DJ18" s="679">
        <f>Ausgabe!$C$254</f>
        <v>176.4</v>
      </c>
      <c r="DK18" s="836">
        <f>Ausgabe!$C$255</f>
        <v>1.25</v>
      </c>
      <c r="DL18" s="679">
        <f>Ausgabe!$C$263</f>
        <v>180.95573684677208</v>
      </c>
      <c r="DM18" s="836">
        <f>Ausgabe!$C$264</f>
        <v>1.1000000000000001</v>
      </c>
      <c r="DN18" s="679">
        <f t="shared" ca="1" si="11"/>
        <v>71.104977204919479</v>
      </c>
      <c r="DO18" s="679" t="e">
        <f t="shared" ca="1" si="12"/>
        <v>#DIV/0!</v>
      </c>
      <c r="DP18" s="837" t="e">
        <f t="shared" ca="1" si="13"/>
        <v>#DIV/0!</v>
      </c>
      <c r="DQ18" s="821" t="e">
        <f ca="1">Ausgabe!$C$369</f>
        <v>#DIV/0!</v>
      </c>
      <c r="DR18" s="710">
        <f>Ausgabe!$C$370</f>
        <v>1.3</v>
      </c>
      <c r="DS18" s="679" t="e">
        <f t="shared" ca="1" si="14"/>
        <v>#DIV/0!</v>
      </c>
      <c r="DT18" s="679" t="e">
        <f t="shared" ca="1" si="15"/>
        <v>#DIV/0!</v>
      </c>
      <c r="DU18" s="837" t="e">
        <f t="shared" ca="1" si="16"/>
        <v>#DIV/0!</v>
      </c>
      <c r="DV18" s="821">
        <f ca="1">Ausgabe!$C$420</f>
        <v>33.607770254588836</v>
      </c>
      <c r="DW18" s="710">
        <f>Ausgabe!$C$421</f>
        <v>1.3</v>
      </c>
      <c r="DX18" s="619">
        <f>Ausgabe!$C$423</f>
        <v>36.9</v>
      </c>
      <c r="DY18" s="710">
        <f>Ausgabe!$C$424</f>
        <v>1.1000000000000001</v>
      </c>
      <c r="DZ18" s="679">
        <f t="shared" ca="1" si="17"/>
        <v>25.852130965068334</v>
      </c>
      <c r="EA18" s="679">
        <f t="shared" si="33"/>
        <v>0</v>
      </c>
      <c r="EB18" s="837">
        <f t="shared" ca="1" si="18"/>
        <v>0</v>
      </c>
      <c r="EC18" s="836">
        <f ca="1">IF(CJ18=_oben,Berechnung_BZoben!$P$5,Berechnung_BZunten!$P$5)</f>
        <v>4.847242517186606</v>
      </c>
      <c r="ED18" s="836">
        <f>Ausgabe!$C$520</f>
        <v>1.3</v>
      </c>
      <c r="EE18" s="836">
        <f t="shared" ca="1" si="19"/>
        <v>3.728648090143543</v>
      </c>
      <c r="EF18" s="836" t="e">
        <f t="shared" ca="1" si="20"/>
        <v>#DIV/0!</v>
      </c>
      <c r="EG18" s="837" t="e">
        <f t="shared" ca="1" si="21"/>
        <v>#DIV/0!</v>
      </c>
      <c r="EH18" s="836">
        <f>Ausgabe!$C$592</f>
        <v>2.7</v>
      </c>
      <c r="EI18" s="836">
        <f>Ausgabe!$C$593</f>
        <v>1.3</v>
      </c>
      <c r="EJ18" s="836">
        <f t="shared" si="34"/>
        <v>2.0769230769230771</v>
      </c>
      <c r="EK18" s="836">
        <f t="shared" si="35"/>
        <v>0</v>
      </c>
      <c r="EL18" s="837">
        <f t="shared" si="36"/>
        <v>0</v>
      </c>
      <c r="EM18" s="823">
        <f ca="1">Ausgabe!$C$581</f>
        <v>0</v>
      </c>
      <c r="EN18" s="836" t="e">
        <f t="shared" ca="1" si="22"/>
        <v>#DIV/0!</v>
      </c>
      <c r="EO18" s="710" t="e">
        <f ca="1">-IF(CJ18=_oben,MAX(ABS(EF18)-EM18/1000*MAX(DO18-DD18,0),0),0)</f>
        <v>#DIV/0!</v>
      </c>
      <c r="EP18" s="836" t="e">
        <f t="shared" ca="1" si="23"/>
        <v>#DIV/0!</v>
      </c>
      <c r="EQ18" s="833" t="e">
        <f t="shared" ca="1" si="24"/>
        <v>#DIV/0!</v>
      </c>
      <c r="ER18" s="890" t="e">
        <f t="shared" ca="1" si="25"/>
        <v>#DIV/0!</v>
      </c>
      <c r="ES18" s="619"/>
      <c r="EU18" s="499" t="s">
        <v>784</v>
      </c>
      <c r="EV18" s="723">
        <f ca="1">_xlfn.MAXIFS(Berechnung_BZoben!$E$233:$E$306,Berechnung_BZoben!$A$233:$A$306,90)</f>
        <v>226</v>
      </c>
      <c r="EW18" s="499" t="s">
        <v>784</v>
      </c>
      <c r="EX18" s="723">
        <f ca="1">_xlfn.MAXIFS(Berechnung_BZoben!$E$233:$E$306,Berechnung_BZoben!$A$233:$A$306,90)</f>
        <v>226</v>
      </c>
      <c r="EY18" s="723"/>
      <c r="EZ18" s="1501" t="s">
        <v>1143</v>
      </c>
      <c r="FA18" s="1502"/>
      <c r="FB18" s="1502"/>
      <c r="FC18" s="1503"/>
      <c r="FE18" s="499" t="s">
        <v>2017</v>
      </c>
      <c r="FF18" s="859" t="e">
        <f ca="1">$FF$11*$AQ$11*$FF$6/1.3</f>
        <v>#DIV/0!</v>
      </c>
      <c r="FG18" s="569" t="s">
        <v>3</v>
      </c>
      <c r="FH18" s="1223"/>
    </row>
    <row r="19" spans="1:167" ht="16.5" customHeight="1" thickBot="1">
      <c r="A19" s="569" t="str">
        <f>Sprachtexte!A17</f>
        <v>Höhe</v>
      </c>
      <c r="B19" s="631" t="s">
        <v>861</v>
      </c>
      <c r="C19" s="1361"/>
      <c r="D19" s="569" t="s">
        <v>2</v>
      </c>
      <c r="E19" s="631" t="s">
        <v>925</v>
      </c>
      <c r="F19" s="1216">
        <f>IF(OR($V$12=33,$V$12=30),Berechnung_BZoben!$C$23,IF(OR($V$12=34,$V$12=31,$V$12=32),Berechnung_BZoben!$C$39,FALSE))</f>
        <v>410</v>
      </c>
      <c r="G19" s="569" t="s">
        <v>2</v>
      </c>
      <c r="J19" s="643"/>
      <c r="K19" s="1518"/>
      <c r="L19" s="1519"/>
      <c r="O19" s="843"/>
      <c r="P19" s="1452"/>
      <c r="Q19" s="1452"/>
      <c r="R19" s="1452"/>
      <c r="S19" s="1453"/>
      <c r="U19" s="528" t="s">
        <v>438</v>
      </c>
      <c r="V19" s="578">
        <f xml:space="preserve">
IF(OR(C53=MKW!A103,C53=MKW!A104,C53=MKW!A105),
61,
IF(AND(V4=0,V5=0),
IF(AND(V7=11,V8=11,
HLOOKUP(D57,MKW!E116:AZ140,5,FALSE)&gt;=160,
HLOOKUP(D58,MKW!E116:AZ140,5,FALSE)&gt;=160,
HLOOKUP(D60,MKW!E116:AZ140,5,FALSE)&gt;=240),
60,61),
IF(AND(V4=1,V5=1),IF(AND(V7=10,V8=10,OR(AND(
HLOOKUP(C17,MKW!$E$3:$BS$22,19,FALSE)=530,
HLOOKUP(C24,MKW!$E$3:$BS$22,19,FALSE)=530),
AND(
HLOOKUP(C17,MKW!$E$3:$BS$22,19,FALSE)=590,
HLOOKUP(C24,MKW!$E$3:$BS$22,19,FALSE)=590)),
HLOOKUP(D57,MKW!E116:AZ140,5,FALSE)&gt;=160,
HLOOKUP(D58,MKW!E116:AZ140,5,FALSE)&gt;=160,
HLOOKUP(D60,MKW!E116:AZ140,5,FALSE)&gt;=160),
60,61),
61)))</f>
        <v>60</v>
      </c>
      <c r="W19" s="1467" t="str">
        <f>IF(V19=60,Sprachtexte!A96,IF(V19=61,Sprachtexte!A95,NA()))</f>
        <v>Bemessungswerte für M_tor nach ETA-15/0667 Anhang 5.</v>
      </c>
      <c r="X19" s="1467"/>
      <c r="Y19" s="1467"/>
      <c r="Z19" s="1468"/>
      <c r="AB19" s="554"/>
      <c r="AC19" s="579"/>
      <c r="AD19" s="554"/>
      <c r="AE19" s="706"/>
      <c r="AG19" s="523"/>
      <c r="AJ19" s="556"/>
      <c r="AK19" s="556"/>
      <c r="AM19" s="557">
        <v>17</v>
      </c>
      <c r="AN19" s="558" t="s">
        <v>457</v>
      </c>
      <c r="AO19" s="559" t="s">
        <v>60</v>
      </c>
      <c r="AP19" s="737">
        <f>HLOOKUP($C$17,MKW!$A$3:$BD$25,$AM19,FALSE)</f>
        <v>65</v>
      </c>
      <c r="AQ19" s="737">
        <f>HLOOKUP($C$24,MKW!$A$3:$BD$25,$AM19,FALSE)</f>
        <v>65</v>
      </c>
      <c r="AW19" s="525"/>
      <c r="BA19" s="509">
        <v>17</v>
      </c>
      <c r="BB19" s="564" t="s">
        <v>619</v>
      </c>
      <c r="BC19" s="565" t="s">
        <v>436</v>
      </c>
      <c r="BD19" s="531">
        <v>90</v>
      </c>
      <c r="BE19" s="574">
        <v>90</v>
      </c>
      <c r="BF19" s="575">
        <v>90</v>
      </c>
      <c r="BG19" s="574">
        <v>90</v>
      </c>
      <c r="BH19" s="575">
        <v>45</v>
      </c>
      <c r="BI19" s="574">
        <v>45</v>
      </c>
      <c r="BJ19" s="531">
        <v>45</v>
      </c>
      <c r="BK19" s="574">
        <v>45</v>
      </c>
      <c r="BL19" s="569" t="s">
        <v>437</v>
      </c>
      <c r="BR19" s="549" t="e">
        <f t="shared" ca="1" si="26"/>
        <v>#DIV/0!</v>
      </c>
      <c r="BS19" s="549" t="s">
        <v>1031</v>
      </c>
      <c r="BT19" s="550" t="s">
        <v>733</v>
      </c>
      <c r="BU19" s="949">
        <f>IF(OR(B99&lt;&gt;0,C99&lt;&gt;0,D99&lt;&gt;0,E99&lt;&gt;0,G99&lt;&gt;0),1,0)</f>
        <v>0</v>
      </c>
      <c r="BV19" s="829">
        <f>$BU$19*1.35*B$99</f>
        <v>0</v>
      </c>
      <c r="BW19" s="829">
        <f>$BU$19*1.35*C$99</f>
        <v>0</v>
      </c>
      <c r="BX19" s="829">
        <f>$BU$19*1.35*D$99</f>
        <v>0</v>
      </c>
      <c r="BY19" s="829">
        <f>$BU$19*1.35*E$99</f>
        <v>0</v>
      </c>
      <c r="BZ19" s="829">
        <f>$BU$19*1.35*G$99</f>
        <v>0</v>
      </c>
      <c r="CA19" s="830">
        <v>1</v>
      </c>
      <c r="CB19" s="821" t="e">
        <f t="shared" ca="1" si="27"/>
        <v>#DIV/0!</v>
      </c>
      <c r="CC19" s="619" t="str">
        <f t="shared" ref="CC19:CC32" si="39">_unten</f>
        <v>unten</v>
      </c>
      <c r="CD19" s="834" t="e">
        <f ca="1">IF(CC19=_oben,Berechnung_BZoben!$S$7,Berechnung_BZunten!$S$7)</f>
        <v>#DIV/0!</v>
      </c>
      <c r="CE19" s="831" t="e">
        <f ca="1">CD19*2/(3*(1+2*Eingabe!CA19*Eingabe!$D$76))</f>
        <v>#DIV/0!</v>
      </c>
      <c r="CF19" s="710" t="e">
        <f ca="1">IF($C$86=Sprachtexte!$A$87,
-CE19*$C$87^3*BW19/(12*CE19*$C$87+24*$CF$2)+BX19*$BY$1*$CA$1/(6*$CF$2)*(($BY$1-$C$87-2*$CA$1)/(6*$CF$2)-1/CE19-$CA$1/(CE19*$C$87))/(($C$87/(3*$CF$2)+1/CE19)^2-($C$87/(6*$CF$2))^2),
-CE19*$C$87^3*BW19/(8*CE19*$C$87+24*$CF$2)-CE19*$CA$1/$C$87*($C$87^2-$CA$1^2)*BX19/(2*CE19*$C$87+6*$CF$2))</f>
        <v>#DIV/0!</v>
      </c>
      <c r="CG19" s="710" t="e">
        <f t="shared" ca="1" si="28"/>
        <v>#DIV/0!</v>
      </c>
      <c r="CH19" s="835">
        <f t="shared" ca="1" si="1"/>
        <v>0</v>
      </c>
      <c r="CI19" s="821" t="e">
        <f t="shared" ca="1" si="2"/>
        <v>#DIV/0!</v>
      </c>
      <c r="CJ19" s="619" t="str">
        <f t="shared" ref="CJ19:CJ32" si="40">_unten</f>
        <v>unten</v>
      </c>
      <c r="CK19" s="834" t="e">
        <f ca="1">IF(CJ19=_oben,Berechnung_BZoben!$S$7,Berechnung_BZunten!$S$7)</f>
        <v>#DIV/0!</v>
      </c>
      <c r="CL19" s="831" t="e">
        <f ca="1">CK19*2/(3*(1+2*Eingabe!CA19*Eingabe!$D$76))</f>
        <v>#DIV/0!</v>
      </c>
      <c r="CM19" s="710" t="e">
        <f ca="1">IF($C$86=Sprachtexte!$A$87,
-CL19*$C$87^3*BW19/(12*CE19*$C$87+24*$CF$2)+BX19*$CA$1*$BY$1/(6*$CF$2)*(($CA$1-$C$87-2*$BY$1)/(6*$CF$2)-1/CE19-$BY$1/(CE19*$C$87))/(($C$87/(3*$CF$2)+1/CE19)^2-($C$87/(6*$CF$2))^2),0)</f>
        <v>#DIV/0!</v>
      </c>
      <c r="CN19" s="710" t="e">
        <f t="shared" ca="1" si="4"/>
        <v>#DIV/0!</v>
      </c>
      <c r="CO19" s="835">
        <f t="shared" ca="1" si="5"/>
        <v>0</v>
      </c>
      <c r="CP19" s="849">
        <f t="shared" si="29"/>
        <v>0</v>
      </c>
      <c r="CQ19" s="710" t="e">
        <f t="shared" ca="1" si="6"/>
        <v>#DIV/0!</v>
      </c>
      <c r="CR19" s="710" t="e">
        <f t="shared" ca="1" si="7"/>
        <v>#DIV/0!</v>
      </c>
      <c r="CS19" s="710">
        <f t="shared" si="30"/>
        <v>0</v>
      </c>
      <c r="CT19" s="947" t="e">
        <f t="shared" ref="CT19:CT32" ca="1" si="41">MAX($CG19,$CN19)</f>
        <v>#DIV/0!</v>
      </c>
      <c r="CU19" s="710">
        <f t="shared" si="31"/>
        <v>0</v>
      </c>
      <c r="CV19" s="830">
        <f>$C$79</f>
        <v>0.6</v>
      </c>
      <c r="CW19" s="822" t="e">
        <f ca="1">MIN(Ausgabe!$C$173,Ausgabe!$C$186)</f>
        <v>#DIV/0!</v>
      </c>
      <c r="CX19" s="828">
        <f>Ausgabe!$C$187</f>
        <v>1.3</v>
      </c>
      <c r="CY19" s="829">
        <f>Ausgabe!$C$191</f>
        <v>100</v>
      </c>
      <c r="CZ19" s="828">
        <f>Ausgabe!$C$192</f>
        <v>1.25</v>
      </c>
      <c r="DA19" s="829">
        <f>Ausgabe!$C$194</f>
        <v>36.6</v>
      </c>
      <c r="DB19" s="828">
        <f>Ausgabe!$C$195</f>
        <v>1.25</v>
      </c>
      <c r="DC19" s="829" t="e">
        <f t="shared" ca="1" si="9"/>
        <v>#DIV/0!</v>
      </c>
      <c r="DD19" s="829">
        <f t="shared" si="32"/>
        <v>0</v>
      </c>
      <c r="DE19" s="828" t="e">
        <f t="shared" ca="1" si="10"/>
        <v>#DIV/0!</v>
      </c>
      <c r="DF19" s="821">
        <f ca="1">MIN(Ausgabe!$C$221,Ausgabe!$C$239)</f>
        <v>92.436470366395326</v>
      </c>
      <c r="DG19" s="710">
        <f>Ausgabe!$C$240</f>
        <v>1.3</v>
      </c>
      <c r="DH19" s="619">
        <f>Ausgabe!$C$246</f>
        <v>150.4</v>
      </c>
      <c r="DI19" s="710">
        <f>Ausgabe!$C$247</f>
        <v>1.1000000000000001</v>
      </c>
      <c r="DJ19" s="619">
        <f>Ausgabe!$C$254</f>
        <v>176.4</v>
      </c>
      <c r="DK19" s="710">
        <f>Ausgabe!$C$255</f>
        <v>1.25</v>
      </c>
      <c r="DL19" s="619">
        <f>Ausgabe!$C$263</f>
        <v>180.95573684677208</v>
      </c>
      <c r="DM19" s="710">
        <f>Ausgabe!$C$264</f>
        <v>1.1000000000000001</v>
      </c>
      <c r="DN19" s="619">
        <f t="shared" ca="1" si="11"/>
        <v>42.662986322951689</v>
      </c>
      <c r="DO19" s="619" t="e">
        <f t="shared" ca="1" si="12"/>
        <v>#DIV/0!</v>
      </c>
      <c r="DP19" s="833" t="e">
        <f t="shared" ca="1" si="13"/>
        <v>#DIV/0!</v>
      </c>
      <c r="DQ19" s="822" t="e">
        <f ca="1">Ausgabe!$C$369</f>
        <v>#DIV/0!</v>
      </c>
      <c r="DR19" s="828">
        <f>Ausgabe!$C$370</f>
        <v>1.3</v>
      </c>
      <c r="DS19" s="829" t="e">
        <f t="shared" ca="1" si="14"/>
        <v>#DIV/0!</v>
      </c>
      <c r="DT19" s="829" t="e">
        <f t="shared" ca="1" si="15"/>
        <v>#DIV/0!</v>
      </c>
      <c r="DU19" s="830" t="e">
        <f t="shared" ca="1" si="16"/>
        <v>#DIV/0!</v>
      </c>
      <c r="DV19" s="822">
        <f ca="1">Ausgabe!$C$420</f>
        <v>33.607770254588836</v>
      </c>
      <c r="DW19" s="828">
        <f>Ausgabe!$C$421</f>
        <v>1.3</v>
      </c>
      <c r="DX19" s="829">
        <f>Ausgabe!$C$423</f>
        <v>36.9</v>
      </c>
      <c r="DY19" s="828">
        <f>Ausgabe!$C$424</f>
        <v>1.1000000000000001</v>
      </c>
      <c r="DZ19" s="829">
        <f t="shared" ca="1" si="17"/>
        <v>15.511278579041001</v>
      </c>
      <c r="EA19" s="829">
        <f t="shared" si="33"/>
        <v>0</v>
      </c>
      <c r="EB19" s="830">
        <f t="shared" ca="1" si="18"/>
        <v>0</v>
      </c>
      <c r="EC19" s="828" t="e">
        <f ca="1">IF(CJ19=_oben,Berechnung_BZoben!$P$5,Berechnung_BZunten!$P$5)</f>
        <v>#DIV/0!</v>
      </c>
      <c r="ED19" s="828">
        <f>Ausgabe!$C$520</f>
        <v>1.3</v>
      </c>
      <c r="EE19" s="828" t="e">
        <f t="shared" ca="1" si="19"/>
        <v>#DIV/0!</v>
      </c>
      <c r="EF19" s="828" t="e">
        <f t="shared" ca="1" si="20"/>
        <v>#DIV/0!</v>
      </c>
      <c r="EG19" s="830" t="e">
        <f t="shared" ca="1" si="21"/>
        <v>#DIV/0!</v>
      </c>
      <c r="EH19" s="828">
        <f>Ausgabe!$C$592</f>
        <v>2.7</v>
      </c>
      <c r="EI19" s="828">
        <f>Ausgabe!$C$593</f>
        <v>1.3</v>
      </c>
      <c r="EJ19" s="828">
        <f t="shared" si="34"/>
        <v>1.2461538461538462</v>
      </c>
      <c r="EK19" s="828">
        <f t="shared" si="35"/>
        <v>0</v>
      </c>
      <c r="EL19" s="830">
        <f t="shared" si="36"/>
        <v>0</v>
      </c>
      <c r="EM19" s="822">
        <f ca="1">Ausgabe!$C$581</f>
        <v>0</v>
      </c>
      <c r="EN19" s="828" t="e">
        <f t="shared" ca="1" si="22"/>
        <v>#DIV/0!</v>
      </c>
      <c r="EO19" s="1477"/>
      <c r="EP19" s="946" t="e">
        <f t="shared" ref="EP19:EP32" ca="1" si="42">EN19</f>
        <v>#DIV/0!</v>
      </c>
      <c r="EQ19" s="830" t="e">
        <f t="shared" ca="1" si="24"/>
        <v>#DIV/0!</v>
      </c>
      <c r="ER19" s="891" t="e">
        <f t="shared" ca="1" si="25"/>
        <v>#DIV/0!</v>
      </c>
      <c r="ES19" s="619"/>
      <c r="EU19" s="499" t="s">
        <v>2249</v>
      </c>
      <c r="EV19" s="723">
        <f>19</f>
        <v>19</v>
      </c>
      <c r="EW19" s="499" t="s">
        <v>2249</v>
      </c>
      <c r="EX19" s="723">
        <f>19</f>
        <v>19</v>
      </c>
      <c r="FE19" s="1229" t="s">
        <v>2018</v>
      </c>
      <c r="FF19" s="859" t="e">
        <f ca="1">FF17/FF18</f>
        <v>#DIV/0!</v>
      </c>
      <c r="FG19" s="569" t="s">
        <v>370</v>
      </c>
      <c r="FH19" s="1223"/>
    </row>
    <row r="20" spans="1:167" ht="16.5" customHeight="1" thickBot="1">
      <c r="A20" s="569" t="str">
        <f>Sprachtexte!A18</f>
        <v>Torsionssteifer Hauptträger / Stütze</v>
      </c>
      <c r="B20" s="429"/>
      <c r="C20" s="1361" t="s">
        <v>721</v>
      </c>
      <c r="D20" s="569" t="str">
        <f>IF(C20=BP21,Sprachtexte!A22,"")</f>
        <v>Hauptträger ist gegen Verdrehen zu sichern</v>
      </c>
      <c r="E20" s="569"/>
      <c r="F20" s="508"/>
      <c r="J20" s="643"/>
      <c r="K20" s="1518"/>
      <c r="L20" s="1519"/>
      <c r="O20" s="843"/>
      <c r="P20" s="1452"/>
      <c r="Q20" s="1452"/>
      <c r="R20" s="1452"/>
      <c r="S20" s="1453"/>
      <c r="U20" s="1464" t="s">
        <v>2253</v>
      </c>
      <c r="V20" s="1465"/>
      <c r="W20" s="1465"/>
      <c r="X20" s="1465"/>
      <c r="Y20" s="1465"/>
      <c r="Z20" s="1466"/>
      <c r="AB20" s="554"/>
      <c r="AC20" s="579"/>
      <c r="AD20" s="554"/>
      <c r="AE20" s="706"/>
      <c r="AG20" s="523"/>
      <c r="AJ20" s="556"/>
      <c r="AK20" s="556"/>
      <c r="AM20" s="557">
        <v>18</v>
      </c>
      <c r="AN20" s="558" t="s">
        <v>459</v>
      </c>
      <c r="AO20" s="559" t="s">
        <v>60</v>
      </c>
      <c r="AP20" s="737">
        <f>HLOOKUP($C$17,MKW!$A$3:$BD$25,$AM20,FALSE)</f>
        <v>54</v>
      </c>
      <c r="AQ20" s="737">
        <f>HLOOKUP($C$24,MKW!$A$3:$BD$25,$AM20,FALSE)</f>
        <v>54</v>
      </c>
      <c r="AW20" s="525"/>
      <c r="BA20" s="509">
        <v>18</v>
      </c>
      <c r="BB20" s="564" t="s">
        <v>619</v>
      </c>
      <c r="BC20" s="565" t="s">
        <v>440</v>
      </c>
      <c r="BD20" s="531">
        <f>90-ABS(BG13)</f>
        <v>90</v>
      </c>
      <c r="BE20" s="574">
        <f>90-ABS(BG13)</f>
        <v>90</v>
      </c>
      <c r="BF20" s="575">
        <v>0</v>
      </c>
      <c r="BG20" s="574">
        <v>0</v>
      </c>
      <c r="BH20" s="575">
        <v>90</v>
      </c>
      <c r="BI20" s="574">
        <v>90</v>
      </c>
      <c r="BJ20" s="531">
        <v>90</v>
      </c>
      <c r="BK20" s="574">
        <v>90</v>
      </c>
      <c r="BL20" s="569" t="s">
        <v>444</v>
      </c>
      <c r="BR20" s="570" t="e">
        <f t="shared" ca="1" si="26"/>
        <v>#DIV/0!</v>
      </c>
      <c r="BS20" s="570" t="s">
        <v>1032</v>
      </c>
      <c r="BT20" s="571" t="s">
        <v>970</v>
      </c>
      <c r="BU20" s="610">
        <f>IF(OR(B100&lt;&gt;0,C100&lt;&gt;0,D100&lt;&gt;0,E100&lt;&gt;0,G100&lt;&gt;0),1,0)</f>
        <v>0</v>
      </c>
      <c r="BV20" s="619">
        <f>$BU$20*(1.35*B$99+1.5*B$100)</f>
        <v>0</v>
      </c>
      <c r="BW20" s="619">
        <f>$BU$20*(1.35*C$99+1.5*C$100)</f>
        <v>0</v>
      </c>
      <c r="BX20" s="619">
        <f>$BU$20*(1.35*D$99+1.5*D$100)</f>
        <v>0</v>
      </c>
      <c r="BY20" s="619">
        <f>$BU$20*(1.35*E$99+1.5*E$100)</f>
        <v>0</v>
      </c>
      <c r="BZ20" s="619">
        <f>$BU$20*(1.35*G$99+1.5*G$100)</f>
        <v>0</v>
      </c>
      <c r="CA20" s="833">
        <f>VLOOKUP($A$80,MKW!$A$50:$E$60,4,FALSE)</f>
        <v>0.3</v>
      </c>
      <c r="CB20" s="821" t="e">
        <f t="shared" ca="1" si="27"/>
        <v>#DIV/0!</v>
      </c>
      <c r="CC20" s="619" t="str">
        <f t="shared" si="39"/>
        <v>unten</v>
      </c>
      <c r="CD20" s="834" t="e">
        <f ca="1">IF(CC20=_oben,Berechnung_BZoben!$S$7,Berechnung_BZunten!$S$7)</f>
        <v>#DIV/0!</v>
      </c>
      <c r="CE20" s="834" t="e">
        <f ca="1">CD20*2/(3*(1+2*Eingabe!CA20*Eingabe!$D$76))</f>
        <v>#DIV/0!</v>
      </c>
      <c r="CF20" s="710" t="e">
        <f ca="1">IF($C$86=Sprachtexte!$A$87,
-CE20*$C$87^3*BW20/(12*CE20*$C$87+24*$CF$2)+BX20*$BY$1*$CA$1/(6*$CF$2)*(($BY$1-$C$87-2*$CA$1)/(6*$CF$2)-1/CE20-$CA$1/(CE20*$C$87))/(($C$87/(3*$CF$2)+1/CE20)^2-($C$87/(6*$CF$2))^2),
-CE20*$C$87^3*BW20/(8*CE20*$C$87+24*$CF$2)-CE20*$CA$1/$C$87*($C$87^2-$CA$1^2)*BX20/(2*CE20*$C$87+6*$CF$2))</f>
        <v>#DIV/0!</v>
      </c>
      <c r="CG20" s="710" t="e">
        <f t="shared" ca="1" si="28"/>
        <v>#DIV/0!</v>
      </c>
      <c r="CH20" s="835">
        <f t="shared" ca="1" si="1"/>
        <v>0</v>
      </c>
      <c r="CI20" s="821" t="e">
        <f t="shared" ca="1" si="2"/>
        <v>#DIV/0!</v>
      </c>
      <c r="CJ20" s="619" t="str">
        <f t="shared" si="40"/>
        <v>unten</v>
      </c>
      <c r="CK20" s="834" t="e">
        <f ca="1">IF(CJ20=_oben,Berechnung_BZoben!$S$7,Berechnung_BZunten!$S$7)</f>
        <v>#DIV/0!</v>
      </c>
      <c r="CL20" s="834" t="e">
        <f ca="1">CK20*2/(3*(1+2*Eingabe!CA20*Eingabe!$D$76))</f>
        <v>#DIV/0!</v>
      </c>
      <c r="CM20" s="710" t="e">
        <f ca="1">IF($C$86=Sprachtexte!$A$87,
-CL20*$C$87^3*BW20/(12*CE20*$C$87+24*$CF$2)+BX20*$CA$1*$BY$1/(6*$CF$2)*(($CA$1-$C$87-2*$BY$1)/(6*$CF$2)-1/CE20-$BY$1/(CE20*$C$87))/(($C$87/(3*$CF$2)+1/CE20)^2-($C$87/(6*$CF$2))^2),0)</f>
        <v>#DIV/0!</v>
      </c>
      <c r="CN20" s="710" t="e">
        <f t="shared" ca="1" si="4"/>
        <v>#DIV/0!</v>
      </c>
      <c r="CO20" s="835">
        <f t="shared" ca="1" si="5"/>
        <v>0</v>
      </c>
      <c r="CP20" s="849">
        <f t="shared" si="29"/>
        <v>0</v>
      </c>
      <c r="CQ20" s="710" t="e">
        <f t="shared" ca="1" si="6"/>
        <v>#DIV/0!</v>
      </c>
      <c r="CR20" s="710" t="e">
        <f t="shared" ca="1" si="7"/>
        <v>#DIV/0!</v>
      </c>
      <c r="CS20" s="710">
        <f t="shared" si="30"/>
        <v>0</v>
      </c>
      <c r="CT20" s="710" t="e">
        <f t="shared" ca="1" si="41"/>
        <v>#DIV/0!</v>
      </c>
      <c r="CU20" s="710">
        <f t="shared" si="31"/>
        <v>0</v>
      </c>
      <c r="CV20" s="833">
        <f>MAX($C$79,$C$80)</f>
        <v>0.8</v>
      </c>
      <c r="CW20" s="821" t="e">
        <f ca="1">MIN(Ausgabe!$C$173,Ausgabe!$C$186)</f>
        <v>#DIV/0!</v>
      </c>
      <c r="CX20" s="710">
        <f>Ausgabe!$C$187</f>
        <v>1.3</v>
      </c>
      <c r="CY20" s="619">
        <f>Ausgabe!$C$191</f>
        <v>100</v>
      </c>
      <c r="CZ20" s="710">
        <f>Ausgabe!$C$192</f>
        <v>1.25</v>
      </c>
      <c r="DA20" s="619">
        <f>Ausgabe!$C$194</f>
        <v>36.6</v>
      </c>
      <c r="DB20" s="710">
        <f>Ausgabe!$C$195</f>
        <v>1.25</v>
      </c>
      <c r="DC20" s="619" t="e">
        <f t="shared" ca="1" si="9"/>
        <v>#DIV/0!</v>
      </c>
      <c r="DD20" s="619">
        <f t="shared" si="32"/>
        <v>0</v>
      </c>
      <c r="DE20" s="710" t="e">
        <f t="shared" ca="1" si="10"/>
        <v>#DIV/0!</v>
      </c>
      <c r="DF20" s="821">
        <f ca="1">MIN(Ausgabe!$C$221,Ausgabe!$C$239)</f>
        <v>92.436470366395326</v>
      </c>
      <c r="DG20" s="710">
        <f>Ausgabe!$C$240</f>
        <v>1.3</v>
      </c>
      <c r="DH20" s="619">
        <f>Ausgabe!$C$246</f>
        <v>150.4</v>
      </c>
      <c r="DI20" s="710">
        <f>Ausgabe!$C$247</f>
        <v>1.1000000000000001</v>
      </c>
      <c r="DJ20" s="619">
        <f>Ausgabe!$C$254</f>
        <v>176.4</v>
      </c>
      <c r="DK20" s="710">
        <f>Ausgabe!$C$255</f>
        <v>1.25</v>
      </c>
      <c r="DL20" s="619">
        <f>Ausgabe!$C$263</f>
        <v>180.95573684677208</v>
      </c>
      <c r="DM20" s="710">
        <f>Ausgabe!$C$264</f>
        <v>1.1000000000000001</v>
      </c>
      <c r="DN20" s="619">
        <f t="shared" ca="1" si="11"/>
        <v>56.883981763935587</v>
      </c>
      <c r="DO20" s="619" t="e">
        <f t="shared" ca="1" si="12"/>
        <v>#DIV/0!</v>
      </c>
      <c r="DP20" s="833" t="e">
        <f t="shared" ca="1" si="13"/>
        <v>#DIV/0!</v>
      </c>
      <c r="DQ20" s="821" t="e">
        <f ca="1">Ausgabe!$C$369</f>
        <v>#DIV/0!</v>
      </c>
      <c r="DR20" s="710">
        <f>Ausgabe!$C$370</f>
        <v>1.3</v>
      </c>
      <c r="DS20" s="619" t="e">
        <f t="shared" ca="1" si="14"/>
        <v>#DIV/0!</v>
      </c>
      <c r="DT20" s="619" t="e">
        <f t="shared" ca="1" si="15"/>
        <v>#DIV/0!</v>
      </c>
      <c r="DU20" s="833" t="e">
        <f t="shared" ca="1" si="16"/>
        <v>#DIV/0!</v>
      </c>
      <c r="DV20" s="821">
        <f ca="1">Ausgabe!$C$420</f>
        <v>33.607770254588836</v>
      </c>
      <c r="DW20" s="710">
        <f>Ausgabe!$C$421</f>
        <v>1.3</v>
      </c>
      <c r="DX20" s="619">
        <f>Ausgabe!$C$423</f>
        <v>36.9</v>
      </c>
      <c r="DY20" s="710">
        <f>Ausgabe!$C$424</f>
        <v>1.1000000000000001</v>
      </c>
      <c r="DZ20" s="619">
        <f t="shared" ca="1" si="17"/>
        <v>20.681704772054669</v>
      </c>
      <c r="EA20" s="619">
        <f t="shared" si="33"/>
        <v>0</v>
      </c>
      <c r="EB20" s="833">
        <f t="shared" ca="1" si="18"/>
        <v>0</v>
      </c>
      <c r="EC20" s="710" t="e">
        <f ca="1">IF(CJ20=_oben,Berechnung_BZoben!$P$5,Berechnung_BZunten!$P$5)</f>
        <v>#DIV/0!</v>
      </c>
      <c r="ED20" s="710">
        <f>Ausgabe!$C$520</f>
        <v>1.3</v>
      </c>
      <c r="EE20" s="710" t="e">
        <f t="shared" ca="1" si="19"/>
        <v>#DIV/0!</v>
      </c>
      <c r="EF20" s="710" t="e">
        <f t="shared" ca="1" si="20"/>
        <v>#DIV/0!</v>
      </c>
      <c r="EG20" s="833" t="e">
        <f t="shared" ca="1" si="21"/>
        <v>#DIV/0!</v>
      </c>
      <c r="EH20" s="710">
        <f>Ausgabe!$C$592</f>
        <v>2.7</v>
      </c>
      <c r="EI20" s="710">
        <f>Ausgabe!$C$593</f>
        <v>1.3</v>
      </c>
      <c r="EJ20" s="710">
        <f t="shared" si="34"/>
        <v>1.6615384615384616</v>
      </c>
      <c r="EK20" s="710">
        <f t="shared" si="35"/>
        <v>0</v>
      </c>
      <c r="EL20" s="833">
        <f t="shared" si="36"/>
        <v>0</v>
      </c>
      <c r="EM20" s="821">
        <f ca="1">Ausgabe!$C$581</f>
        <v>0</v>
      </c>
      <c r="EN20" s="710" t="e">
        <f t="shared" ca="1" si="22"/>
        <v>#DIV/0!</v>
      </c>
      <c r="EO20" s="1478"/>
      <c r="EP20" s="710" t="e">
        <f t="shared" ca="1" si="42"/>
        <v>#DIV/0!</v>
      </c>
      <c r="EQ20" s="833" t="e">
        <f t="shared" ca="1" si="24"/>
        <v>#DIV/0!</v>
      </c>
      <c r="ER20" s="889" t="e">
        <f t="shared" ca="1" si="25"/>
        <v>#DIV/0!</v>
      </c>
      <c r="ES20" s="619"/>
      <c r="EU20" s="499" t="s">
        <v>789</v>
      </c>
      <c r="EV20" s="723"/>
      <c r="EW20" s="499" t="s">
        <v>789</v>
      </c>
      <c r="EX20" s="723"/>
      <c r="FE20" s="499" t="s">
        <v>2034</v>
      </c>
      <c r="FF20" s="859"/>
      <c r="FG20" s="569"/>
      <c r="FH20" s="1223"/>
    </row>
    <row r="21" spans="1:167" ht="16.5" customHeight="1" thickBot="1">
      <c r="C21" s="603"/>
      <c r="D21" s="569"/>
      <c r="F21" s="508"/>
      <c r="J21" s="643"/>
      <c r="K21" s="1518"/>
      <c r="L21" s="1519"/>
      <c r="O21" s="844">
        <f ca="1">IF(COUNTIF(O3:O20,"ok")=COUNTA(O3:O20),"ok",0)</f>
        <v>0</v>
      </c>
      <c r="P21" s="845" t="s">
        <v>999</v>
      </c>
      <c r="Q21" s="846"/>
      <c r="R21" s="846"/>
      <c r="S21" s="847"/>
      <c r="U21" s="528" t="s">
        <v>438</v>
      </c>
      <c r="V21" s="578" t="e">
        <f ca="1">IF(W21=Sprachtexte!A222,70,IF(Eingabe!W21=Sprachtexte!A223,71,NA()))</f>
        <v>#DIV/0!</v>
      </c>
      <c r="W21" s="1467" t="e">
        <f ca="1">IF(Eingabe!$V$14=40,_xlfn.XLOOKUP(IF(Eingabe!$V$14=40,MAX(Eingabe!$EG$5:$EG$32),IF(Eingabe!$V$14=41,MAX(Eingabe!$EG$37:$EG$64),"FEHLER")),Eingabe!$EG$5:$EG$32,Eingabe!$CJ$5:$CJ$32,0,0,1),IF(Eingabe!$V$14=41,_xlfn.XLOOKUP(IF(Eingabe!$V$14=40,MAX(Eingabe!$EG$5:$EG$32),IF(Eingabe!$V$14=41,MAX(Eingabe!$EG$37:$EG$64),"FEHLER")),Eingabe!$EG$37:$EG$64,Eingabe!$CJ$37:$CJ$64,0,0,1),NA()))</f>
        <v>#DIV/0!</v>
      </c>
      <c r="X21" s="1467"/>
      <c r="Y21" s="1467"/>
      <c r="Z21" s="1468"/>
      <c r="AB21" s="554"/>
      <c r="AC21" s="579"/>
      <c r="AD21" s="554"/>
      <c r="AE21" s="706"/>
      <c r="AG21" s="523"/>
      <c r="AJ21" s="556"/>
      <c r="AK21" s="556"/>
      <c r="AM21" s="557">
        <v>19</v>
      </c>
      <c r="AN21" s="601" t="s">
        <v>460</v>
      </c>
      <c r="AO21" s="602" t="s">
        <v>91</v>
      </c>
      <c r="AP21" s="737">
        <f>HLOOKUP($C$17,MKW!$A$3:$BD$25,$AM21,FALSE)</f>
        <v>385</v>
      </c>
      <c r="AQ21" s="737">
        <f>HLOOKUP($C$24,MKW!$A$3:$BD$25,$AM21,FALSE)</f>
        <v>385</v>
      </c>
      <c r="AW21" s="525"/>
      <c r="BA21" s="509">
        <v>19</v>
      </c>
      <c r="BB21" s="564" t="s">
        <v>619</v>
      </c>
      <c r="BC21" s="565" t="s">
        <v>443</v>
      </c>
      <c r="BD21" s="531">
        <v>0</v>
      </c>
      <c r="BE21" s="574">
        <v>45</v>
      </c>
      <c r="BF21" s="575">
        <v>0</v>
      </c>
      <c r="BG21" s="574">
        <v>45</v>
      </c>
      <c r="BH21" s="575">
        <v>90</v>
      </c>
      <c r="BI21" s="574">
        <v>45</v>
      </c>
      <c r="BJ21" s="531">
        <v>0</v>
      </c>
      <c r="BK21" s="574">
        <v>0</v>
      </c>
      <c r="BL21" s="569" t="s">
        <v>444</v>
      </c>
      <c r="BP21" s="700" t="str">
        <f>Sprachtexte!A19</f>
        <v>Ja</v>
      </c>
      <c r="BR21" s="570" t="e">
        <f t="shared" ca="1" si="26"/>
        <v>#DIV/0!</v>
      </c>
      <c r="BS21" s="570" t="s">
        <v>1033</v>
      </c>
      <c r="BT21" s="571" t="s">
        <v>971</v>
      </c>
      <c r="BU21" s="610">
        <f>IF(OR(B101&lt;&gt;0,C101&lt;&gt;0,D101&lt;&gt;0,E101&lt;&gt;0,G101&lt;&gt;0),1,0)</f>
        <v>0</v>
      </c>
      <c r="BV21" s="619">
        <f>$BU$21*(1.35*B$99+1.5*B$101)</f>
        <v>0</v>
      </c>
      <c r="BW21" s="619">
        <f>$BU$21*(1.35*C$99+1.5*C$101)</f>
        <v>0</v>
      </c>
      <c r="BX21" s="619">
        <f>$BU$21*(1.35*D$99+1.5*D$101)</f>
        <v>0</v>
      </c>
      <c r="BY21" s="619">
        <f>$BU$21*(1.35*E$99+1.5*E$101)</f>
        <v>0</v>
      </c>
      <c r="BZ21" s="619">
        <f>$BU$21*(1.35*G$99+1.5*G$101)</f>
        <v>0</v>
      </c>
      <c r="CA21" s="833">
        <f>VLOOKUP($A$81,MKW!$A$50:$E$60,4,FALSE)</f>
        <v>0</v>
      </c>
      <c r="CB21" s="821" t="e">
        <f t="shared" ca="1" si="27"/>
        <v>#DIV/0!</v>
      </c>
      <c r="CC21" s="619" t="str">
        <f t="shared" si="39"/>
        <v>unten</v>
      </c>
      <c r="CD21" s="834" t="e">
        <f ca="1">IF(CC21=_oben,Berechnung_BZoben!$S$7,Berechnung_BZunten!$S$7)</f>
        <v>#DIV/0!</v>
      </c>
      <c r="CE21" s="834" t="e">
        <f ca="1">CD21*2/(3*(1+2*Eingabe!CA21*Eingabe!$D$76))</f>
        <v>#DIV/0!</v>
      </c>
      <c r="CF21" s="710" t="e">
        <f ca="1">IF($C$86=Sprachtexte!$A$87,
-CE21*$C$87^3*BW21/(12*CE21*$C$87+24*$CF$2)+BX21*$BY$1*$CA$1/(6*$CF$2)*(($BY$1-$C$87-2*$CA$1)/(6*$CF$2)-1/CE21-$CA$1/(CE21*$C$87))/(($C$87/(3*$CF$2)+1/CE21)^2-($C$87/(6*$CF$2))^2),
-CE21*$C$87^3*BW21/(8*CE21*$C$87+24*$CF$2)-CE21*$CA$1/$C$87*($C$87^2-$CA$1^2)*BX21/(2*CE21*$C$87+6*$CF$2))</f>
        <v>#DIV/0!</v>
      </c>
      <c r="CG21" s="710" t="e">
        <f t="shared" ca="1" si="28"/>
        <v>#DIV/0!</v>
      </c>
      <c r="CH21" s="835">
        <f t="shared" ca="1" si="1"/>
        <v>0</v>
      </c>
      <c r="CI21" s="821" t="e">
        <f t="shared" ca="1" si="2"/>
        <v>#DIV/0!</v>
      </c>
      <c r="CJ21" s="619" t="str">
        <f t="shared" si="40"/>
        <v>unten</v>
      </c>
      <c r="CK21" s="834" t="e">
        <f ca="1">IF(CJ21=_oben,Berechnung_BZoben!$S$7,Berechnung_BZunten!$S$7)</f>
        <v>#DIV/0!</v>
      </c>
      <c r="CL21" s="834" t="e">
        <f ca="1">CK21*2/(3*(1+2*Eingabe!CA21*Eingabe!$D$76))</f>
        <v>#DIV/0!</v>
      </c>
      <c r="CM21" s="710" t="e">
        <f ca="1">IF($C$86=Sprachtexte!$A$87,
-CL21*$C$87^3*BW21/(12*CE21*$C$87+24*$CF$2)+BX21*$CA$1*$BY$1/(6*$CF$2)*(($CA$1-$C$87-2*$BY$1)/(6*$CF$2)-1/CE21-$BY$1/(CE21*$C$87))/(($C$87/(3*$CF$2)+1/CE21)^2-($C$87/(6*$CF$2))^2),0)</f>
        <v>#DIV/0!</v>
      </c>
      <c r="CN21" s="710" t="e">
        <f t="shared" ca="1" si="4"/>
        <v>#DIV/0!</v>
      </c>
      <c r="CO21" s="835">
        <f t="shared" ca="1" si="5"/>
        <v>0</v>
      </c>
      <c r="CP21" s="849">
        <f t="shared" si="29"/>
        <v>0</v>
      </c>
      <c r="CQ21" s="710" t="e">
        <f t="shared" ca="1" si="6"/>
        <v>#DIV/0!</v>
      </c>
      <c r="CR21" s="710" t="e">
        <f t="shared" ca="1" si="7"/>
        <v>#DIV/0!</v>
      </c>
      <c r="CS21" s="710">
        <f t="shared" si="30"/>
        <v>0</v>
      </c>
      <c r="CT21" s="710" t="e">
        <f t="shared" ca="1" si="41"/>
        <v>#DIV/0!</v>
      </c>
      <c r="CU21" s="710">
        <f t="shared" si="31"/>
        <v>0</v>
      </c>
      <c r="CV21" s="833">
        <f>MAX($C$79,$C$81)</f>
        <v>0.9</v>
      </c>
      <c r="CW21" s="821" t="e">
        <f ca="1">MIN(Ausgabe!$C$173,Ausgabe!$C$186)</f>
        <v>#DIV/0!</v>
      </c>
      <c r="CX21" s="710">
        <f>Ausgabe!$C$187</f>
        <v>1.3</v>
      </c>
      <c r="CY21" s="619">
        <f>Ausgabe!$C$191</f>
        <v>100</v>
      </c>
      <c r="CZ21" s="710">
        <f>Ausgabe!$C$192</f>
        <v>1.25</v>
      </c>
      <c r="DA21" s="619">
        <f>Ausgabe!$C$194</f>
        <v>36.6</v>
      </c>
      <c r="DB21" s="710">
        <f>Ausgabe!$C$195</f>
        <v>1.25</v>
      </c>
      <c r="DC21" s="619" t="e">
        <f t="shared" ca="1" si="9"/>
        <v>#DIV/0!</v>
      </c>
      <c r="DD21" s="619">
        <f t="shared" si="32"/>
        <v>0</v>
      </c>
      <c r="DE21" s="710" t="e">
        <f t="shared" ca="1" si="10"/>
        <v>#DIV/0!</v>
      </c>
      <c r="DF21" s="821">
        <f ca="1">MIN(Ausgabe!$C$221,Ausgabe!$C$239)</f>
        <v>92.436470366395326</v>
      </c>
      <c r="DG21" s="710">
        <f>Ausgabe!$C$240</f>
        <v>1.3</v>
      </c>
      <c r="DH21" s="619">
        <f>Ausgabe!$C$246</f>
        <v>150.4</v>
      </c>
      <c r="DI21" s="710">
        <f>Ausgabe!$C$247</f>
        <v>1.1000000000000001</v>
      </c>
      <c r="DJ21" s="619">
        <f>Ausgabe!$C$254</f>
        <v>176.4</v>
      </c>
      <c r="DK21" s="710">
        <f>Ausgabe!$C$255</f>
        <v>1.25</v>
      </c>
      <c r="DL21" s="619">
        <f>Ausgabe!$C$263</f>
        <v>180.95573684677208</v>
      </c>
      <c r="DM21" s="710">
        <f>Ausgabe!$C$264</f>
        <v>1.1000000000000001</v>
      </c>
      <c r="DN21" s="619">
        <f t="shared" ca="1" si="11"/>
        <v>63.994479484427536</v>
      </c>
      <c r="DO21" s="619" t="e">
        <f t="shared" ca="1" si="12"/>
        <v>#DIV/0!</v>
      </c>
      <c r="DP21" s="833" t="e">
        <f t="shared" ca="1" si="13"/>
        <v>#DIV/0!</v>
      </c>
      <c r="DQ21" s="821" t="e">
        <f ca="1">Ausgabe!$C$369</f>
        <v>#DIV/0!</v>
      </c>
      <c r="DR21" s="710">
        <f>Ausgabe!$C$370</f>
        <v>1.3</v>
      </c>
      <c r="DS21" s="619" t="e">
        <f t="shared" ca="1" si="14"/>
        <v>#DIV/0!</v>
      </c>
      <c r="DT21" s="619" t="e">
        <f t="shared" ca="1" si="15"/>
        <v>#DIV/0!</v>
      </c>
      <c r="DU21" s="833" t="e">
        <f t="shared" ca="1" si="16"/>
        <v>#DIV/0!</v>
      </c>
      <c r="DV21" s="821">
        <f ca="1">Ausgabe!$C$420</f>
        <v>33.607770254588836</v>
      </c>
      <c r="DW21" s="710">
        <f>Ausgabe!$C$421</f>
        <v>1.3</v>
      </c>
      <c r="DX21" s="619">
        <f>Ausgabe!$C$423</f>
        <v>36.9</v>
      </c>
      <c r="DY21" s="710">
        <f>Ausgabe!$C$424</f>
        <v>1.1000000000000001</v>
      </c>
      <c r="DZ21" s="619">
        <f t="shared" ca="1" si="17"/>
        <v>23.266917868561499</v>
      </c>
      <c r="EA21" s="619">
        <f t="shared" si="33"/>
        <v>0</v>
      </c>
      <c r="EB21" s="833">
        <f t="shared" ca="1" si="18"/>
        <v>0</v>
      </c>
      <c r="EC21" s="710" t="e">
        <f ca="1">IF(CJ21=_oben,Berechnung_BZoben!$P$5,Berechnung_BZunten!$P$5)</f>
        <v>#DIV/0!</v>
      </c>
      <c r="ED21" s="710">
        <f>Ausgabe!$C$520</f>
        <v>1.3</v>
      </c>
      <c r="EE21" s="710" t="e">
        <f t="shared" ca="1" si="19"/>
        <v>#DIV/0!</v>
      </c>
      <c r="EF21" s="710" t="e">
        <f t="shared" ca="1" si="20"/>
        <v>#DIV/0!</v>
      </c>
      <c r="EG21" s="833" t="e">
        <f t="shared" ca="1" si="21"/>
        <v>#DIV/0!</v>
      </c>
      <c r="EH21" s="710">
        <f>Ausgabe!$C$592</f>
        <v>2.7</v>
      </c>
      <c r="EI21" s="710">
        <f>Ausgabe!$C$593</f>
        <v>1.3</v>
      </c>
      <c r="EJ21" s="710">
        <f t="shared" si="34"/>
        <v>1.8692307692307693</v>
      </c>
      <c r="EK21" s="710">
        <f t="shared" si="35"/>
        <v>0</v>
      </c>
      <c r="EL21" s="833">
        <f t="shared" si="36"/>
        <v>0</v>
      </c>
      <c r="EM21" s="821">
        <f ca="1">Ausgabe!$C$581</f>
        <v>0</v>
      </c>
      <c r="EN21" s="710" t="e">
        <f t="shared" ca="1" si="22"/>
        <v>#DIV/0!</v>
      </c>
      <c r="EO21" s="1478"/>
      <c r="EP21" s="710" t="e">
        <f t="shared" ca="1" si="42"/>
        <v>#DIV/0!</v>
      </c>
      <c r="EQ21" s="833" t="e">
        <f t="shared" ca="1" si="24"/>
        <v>#DIV/0!</v>
      </c>
      <c r="ER21" s="889" t="e">
        <f t="shared" ca="1" si="25"/>
        <v>#DIV/0!</v>
      </c>
      <c r="ES21" s="619"/>
      <c r="EU21" s="499" t="s">
        <v>796</v>
      </c>
      <c r="EV21" s="723">
        <f ca="1">EV12+EV13</f>
        <v>10</v>
      </c>
      <c r="EW21" s="499" t="s">
        <v>800</v>
      </c>
      <c r="EX21" s="723">
        <f ca="1">EX12+EX13</f>
        <v>-20</v>
      </c>
      <c r="FE21" s="499" t="s">
        <v>2020</v>
      </c>
      <c r="FF21" s="1216">
        <f ca="1">FF8</f>
        <v>344.19774516162744</v>
      </c>
      <c r="FG21" s="569" t="s">
        <v>2</v>
      </c>
      <c r="FH21" s="1223"/>
    </row>
    <row r="22" spans="1:167" ht="16.5" customHeight="1" thickBot="1">
      <c r="A22" s="591" t="str">
        <f>Sprachtexte!A23</f>
        <v>Nebenträger (Index J - Joist)</v>
      </c>
      <c r="J22" s="643"/>
      <c r="K22" s="1518"/>
      <c r="L22" s="1519"/>
      <c r="O22" s="649"/>
      <c r="P22" s="649"/>
      <c r="Q22" s="649"/>
      <c r="R22" s="649"/>
      <c r="AB22" s="554"/>
      <c r="AC22" s="579"/>
      <c r="AD22" s="554"/>
      <c r="AE22" s="706"/>
      <c r="AG22" s="523"/>
      <c r="AJ22" s="556"/>
      <c r="AK22" s="556"/>
      <c r="AM22" s="557">
        <v>20</v>
      </c>
      <c r="AN22" s="601" t="s">
        <v>461</v>
      </c>
      <c r="AO22" s="602" t="s">
        <v>91</v>
      </c>
      <c r="AP22" s="737">
        <f>HLOOKUP($C$17,MKW!$A$3:$BD$25,$AM22,FALSE)</f>
        <v>420</v>
      </c>
      <c r="AQ22" s="737">
        <f>HLOOKUP($C$24,MKW!$A$3:$BD$25,$AM22,FALSE)</f>
        <v>420</v>
      </c>
      <c r="AW22" s="525"/>
      <c r="BA22" s="509">
        <v>20</v>
      </c>
      <c r="BB22" s="564" t="s">
        <v>619</v>
      </c>
      <c r="BC22" s="581" t="s">
        <v>446</v>
      </c>
      <c r="BD22" s="582">
        <f>ABS($BG$13)</f>
        <v>0</v>
      </c>
      <c r="BE22" s="583">
        <v>45</v>
      </c>
      <c r="BF22" s="584">
        <v>90</v>
      </c>
      <c r="BG22" s="583">
        <v>90</v>
      </c>
      <c r="BH22" s="584">
        <v>90</v>
      </c>
      <c r="BI22" s="583">
        <v>45</v>
      </c>
      <c r="BJ22" s="582">
        <v>90</v>
      </c>
      <c r="BK22" s="583">
        <v>45</v>
      </c>
      <c r="BL22" s="569" t="s">
        <v>430</v>
      </c>
      <c r="BP22" s="701" t="str">
        <f>Sprachtexte!A20</f>
        <v>Nein</v>
      </c>
      <c r="BR22" s="570" t="e">
        <f t="shared" ca="1" si="26"/>
        <v>#DIV/0!</v>
      </c>
      <c r="BS22" s="570" t="s">
        <v>1034</v>
      </c>
      <c r="BT22" s="571" t="s">
        <v>972</v>
      </c>
      <c r="BU22" s="610">
        <f>IF(OR(B102&lt;&gt;0,C102&lt;&gt;0,D102&lt;&gt;0,E102&lt;&gt;0,G102&lt;&gt;0),1,0)</f>
        <v>0</v>
      </c>
      <c r="BV22" s="619">
        <f>$BU$22*(1*B$99+1.5*B$102)</f>
        <v>0</v>
      </c>
      <c r="BW22" s="619">
        <f>$BU$22*(1*C$99+1.5*C$102)</f>
        <v>0</v>
      </c>
      <c r="BX22" s="619">
        <f>$BU$22*(1*D$99+1.5*D$102)</f>
        <v>0</v>
      </c>
      <c r="BY22" s="619">
        <f>$BU$22*(1*E$99+1.5*E$102)</f>
        <v>0</v>
      </c>
      <c r="BZ22" s="619">
        <f>$BU$22*(1*G$99+1.5*G$102)</f>
        <v>0</v>
      </c>
      <c r="CA22" s="833">
        <f>VLOOKUP($A$82,MKW!$A$50:$E$60,4,FALSE)</f>
        <v>0</v>
      </c>
      <c r="CB22" s="821" t="e">
        <f t="shared" ca="1" si="27"/>
        <v>#DIV/0!</v>
      </c>
      <c r="CC22" s="619" t="str">
        <f t="shared" si="39"/>
        <v>unten</v>
      </c>
      <c r="CD22" s="834" t="e">
        <f ca="1">IF(CC22=_oben,Berechnung_BZoben!$S$7,Berechnung_BZunten!$S$7)</f>
        <v>#DIV/0!</v>
      </c>
      <c r="CE22" s="834" t="e">
        <f ca="1">CD22*2/(3*(1+2*Eingabe!CA22*Eingabe!$D$76))</f>
        <v>#DIV/0!</v>
      </c>
      <c r="CF22" s="710" t="e">
        <f ca="1">IF($C$86=Sprachtexte!$A$87,
-CE22*$C$87^3*BW22/(12*CE22*$C$87+24*$CF$2)+BX22*$BY$1*$CA$1/(6*$CF$2)*(($BY$1-$C$87-2*$CA$1)/(6*$CF$2)-1/CE22-$CA$1/(CE22*$C$87))/(($C$87/(3*$CF$2)+1/CE22)^2-($C$87/(6*$CF$2))^2),
-CE22*$C$87^3*BW22/(8*CE22*$C$87+24*$CF$2)-CE22*$CA$1/$C$87*($C$87^2-$CA$1^2)*BX22/(2*CE22*$C$87+6*$CF$2))</f>
        <v>#DIV/0!</v>
      </c>
      <c r="CG22" s="710" t="e">
        <f t="shared" ca="1" si="28"/>
        <v>#DIV/0!</v>
      </c>
      <c r="CH22" s="835">
        <f t="shared" ca="1" si="1"/>
        <v>0</v>
      </c>
      <c r="CI22" s="821" t="e">
        <f t="shared" ca="1" si="2"/>
        <v>#DIV/0!</v>
      </c>
      <c r="CJ22" s="619" t="str">
        <f t="shared" si="40"/>
        <v>unten</v>
      </c>
      <c r="CK22" s="834" t="e">
        <f ca="1">IF(CJ22=_oben,Berechnung_BZoben!$S$7,Berechnung_BZunten!$S$7)</f>
        <v>#DIV/0!</v>
      </c>
      <c r="CL22" s="834" t="e">
        <f ca="1">CK22*2/(3*(1+2*Eingabe!CA22*Eingabe!$D$76))</f>
        <v>#DIV/0!</v>
      </c>
      <c r="CM22" s="710" t="e">
        <f ca="1">IF($C$86=Sprachtexte!$A$87,
-CL22*$C$87^3*BW22/(12*CE22*$C$87+24*$CF$2)+BX22*$CA$1*$BY$1/(6*$CF$2)*(($CA$1-$C$87-2*$BY$1)/(6*$CF$2)-1/CE22-$BY$1/(CE22*$C$87))/(($C$87/(3*$CF$2)+1/CE22)^2-($C$87/(6*$CF$2))^2),0)</f>
        <v>#DIV/0!</v>
      </c>
      <c r="CN22" s="710" t="e">
        <f t="shared" ca="1" si="4"/>
        <v>#DIV/0!</v>
      </c>
      <c r="CO22" s="835">
        <f t="shared" ca="1" si="5"/>
        <v>0</v>
      </c>
      <c r="CP22" s="849">
        <f t="shared" si="29"/>
        <v>0</v>
      </c>
      <c r="CQ22" s="710" t="e">
        <f t="shared" ca="1" si="6"/>
        <v>#DIV/0!</v>
      </c>
      <c r="CR22" s="710" t="e">
        <f t="shared" ca="1" si="7"/>
        <v>#DIV/0!</v>
      </c>
      <c r="CS22" s="710">
        <f t="shared" si="30"/>
        <v>0</v>
      </c>
      <c r="CT22" s="710" t="e">
        <f t="shared" ca="1" si="41"/>
        <v>#DIV/0!</v>
      </c>
      <c r="CU22" s="710">
        <f t="shared" si="31"/>
        <v>0</v>
      </c>
      <c r="CV22" s="833">
        <f>MAX($C$79,$C$82)</f>
        <v>1</v>
      </c>
      <c r="CW22" s="821" t="e">
        <f ca="1">MIN(Ausgabe!$C$173,Ausgabe!$C$186)</f>
        <v>#DIV/0!</v>
      </c>
      <c r="CX22" s="710">
        <f>Ausgabe!$C$187</f>
        <v>1.3</v>
      </c>
      <c r="CY22" s="619">
        <f>Ausgabe!$C$191</f>
        <v>100</v>
      </c>
      <c r="CZ22" s="710">
        <f>Ausgabe!$C$192</f>
        <v>1.25</v>
      </c>
      <c r="DA22" s="619">
        <f>Ausgabe!$C$194</f>
        <v>36.6</v>
      </c>
      <c r="DB22" s="710">
        <f>Ausgabe!$C$195</f>
        <v>1.25</v>
      </c>
      <c r="DC22" s="619" t="e">
        <f t="shared" ca="1" si="9"/>
        <v>#DIV/0!</v>
      </c>
      <c r="DD22" s="619">
        <f t="shared" si="32"/>
        <v>0</v>
      </c>
      <c r="DE22" s="710" t="e">
        <f t="shared" ca="1" si="10"/>
        <v>#DIV/0!</v>
      </c>
      <c r="DF22" s="821">
        <f ca="1">MIN(Ausgabe!$C$221,Ausgabe!$C$239)</f>
        <v>92.436470366395326</v>
      </c>
      <c r="DG22" s="710">
        <f>Ausgabe!$C$240</f>
        <v>1.3</v>
      </c>
      <c r="DH22" s="619">
        <f>Ausgabe!$C$246</f>
        <v>150.4</v>
      </c>
      <c r="DI22" s="710">
        <f>Ausgabe!$C$247</f>
        <v>1.1000000000000001</v>
      </c>
      <c r="DJ22" s="619">
        <f>Ausgabe!$C$254</f>
        <v>176.4</v>
      </c>
      <c r="DK22" s="710">
        <f>Ausgabe!$C$255</f>
        <v>1.25</v>
      </c>
      <c r="DL22" s="619">
        <f>Ausgabe!$C$263</f>
        <v>180.95573684677208</v>
      </c>
      <c r="DM22" s="710">
        <f>Ausgabe!$C$264</f>
        <v>1.1000000000000001</v>
      </c>
      <c r="DN22" s="619">
        <f t="shared" ca="1" si="11"/>
        <v>71.104977204919479</v>
      </c>
      <c r="DO22" s="619" t="e">
        <f t="shared" ca="1" si="12"/>
        <v>#DIV/0!</v>
      </c>
      <c r="DP22" s="833" t="e">
        <f t="shared" ca="1" si="13"/>
        <v>#DIV/0!</v>
      </c>
      <c r="DQ22" s="821" t="e">
        <f ca="1">Ausgabe!$C$369</f>
        <v>#DIV/0!</v>
      </c>
      <c r="DR22" s="710">
        <f>Ausgabe!$C$370</f>
        <v>1.3</v>
      </c>
      <c r="DS22" s="619" t="e">
        <f t="shared" ca="1" si="14"/>
        <v>#DIV/0!</v>
      </c>
      <c r="DT22" s="619" t="e">
        <f t="shared" ca="1" si="15"/>
        <v>#DIV/0!</v>
      </c>
      <c r="DU22" s="833" t="e">
        <f t="shared" ca="1" si="16"/>
        <v>#DIV/0!</v>
      </c>
      <c r="DV22" s="821">
        <f ca="1">Ausgabe!$C$420</f>
        <v>33.607770254588836</v>
      </c>
      <c r="DW22" s="710">
        <f>Ausgabe!$C$421</f>
        <v>1.3</v>
      </c>
      <c r="DX22" s="619">
        <f>Ausgabe!$C$423</f>
        <v>36.9</v>
      </c>
      <c r="DY22" s="710">
        <f>Ausgabe!$C$424</f>
        <v>1.1000000000000001</v>
      </c>
      <c r="DZ22" s="619">
        <f t="shared" ca="1" si="17"/>
        <v>25.852130965068334</v>
      </c>
      <c r="EA22" s="619">
        <f t="shared" si="33"/>
        <v>0</v>
      </c>
      <c r="EB22" s="833">
        <f t="shared" ca="1" si="18"/>
        <v>0</v>
      </c>
      <c r="EC22" s="710" t="e">
        <f ca="1">IF(CJ22=_oben,Berechnung_BZoben!$P$5,Berechnung_BZunten!$P$5)</f>
        <v>#DIV/0!</v>
      </c>
      <c r="ED22" s="710">
        <f>Ausgabe!$C$520</f>
        <v>1.3</v>
      </c>
      <c r="EE22" s="710" t="e">
        <f t="shared" ca="1" si="19"/>
        <v>#DIV/0!</v>
      </c>
      <c r="EF22" s="710" t="e">
        <f t="shared" ca="1" si="20"/>
        <v>#DIV/0!</v>
      </c>
      <c r="EG22" s="833" t="e">
        <f t="shared" ca="1" si="21"/>
        <v>#DIV/0!</v>
      </c>
      <c r="EH22" s="710">
        <f>Ausgabe!$C$592</f>
        <v>2.7</v>
      </c>
      <c r="EI22" s="710">
        <f>Ausgabe!$C$593</f>
        <v>1.3</v>
      </c>
      <c r="EJ22" s="710">
        <f t="shared" si="34"/>
        <v>2.0769230769230771</v>
      </c>
      <c r="EK22" s="710">
        <f t="shared" si="35"/>
        <v>0</v>
      </c>
      <c r="EL22" s="833">
        <f t="shared" si="36"/>
        <v>0</v>
      </c>
      <c r="EM22" s="821">
        <f ca="1">Ausgabe!$C$581</f>
        <v>0</v>
      </c>
      <c r="EN22" s="710" t="e">
        <f t="shared" ca="1" si="22"/>
        <v>#DIV/0!</v>
      </c>
      <c r="EO22" s="1478"/>
      <c r="EP22" s="710" t="e">
        <f t="shared" ca="1" si="42"/>
        <v>#DIV/0!</v>
      </c>
      <c r="EQ22" s="833" t="e">
        <f t="shared" ca="1" si="24"/>
        <v>#DIV/0!</v>
      </c>
      <c r="ER22" s="889" t="e">
        <f t="shared" ca="1" si="25"/>
        <v>#DIV/0!</v>
      </c>
      <c r="ES22" s="619"/>
      <c r="EU22" s="499" t="s">
        <v>797</v>
      </c>
      <c r="EV22" s="723">
        <f ca="1">EV12+EV14</f>
        <v>250</v>
      </c>
      <c r="EW22" s="499" t="s">
        <v>801</v>
      </c>
      <c r="EX22" s="723">
        <f ca="1">EX12+EX14</f>
        <v>20.25</v>
      </c>
      <c r="FE22" s="499" t="s">
        <v>2019</v>
      </c>
      <c r="FF22" s="1216">
        <f ca="1">FF7-FF8</f>
        <v>-344.19774516162744</v>
      </c>
      <c r="FG22" s="569" t="s">
        <v>2</v>
      </c>
      <c r="FH22" s="1223"/>
    </row>
    <row r="23" spans="1:167" ht="16.5" customHeight="1">
      <c r="A23" s="569" t="str">
        <f>Sprachtexte!A14</f>
        <v>Materialkategorie</v>
      </c>
      <c r="B23"/>
      <c r="C23" s="1361" t="s">
        <v>0</v>
      </c>
      <c r="D23" s="569"/>
      <c r="F23" s="508"/>
      <c r="J23" s="643"/>
      <c r="K23" s="1518"/>
      <c r="L23" s="1519"/>
      <c r="O23" s="649"/>
      <c r="P23" s="649"/>
      <c r="Q23" s="649"/>
      <c r="R23" s="649"/>
      <c r="AB23" s="554"/>
      <c r="AC23" s="579"/>
      <c r="AD23" s="554"/>
      <c r="AE23" s="707"/>
      <c r="AG23" s="523"/>
      <c r="AJ23" s="556"/>
      <c r="AK23" s="556"/>
      <c r="AM23" s="557">
        <v>21</v>
      </c>
      <c r="AN23" s="601" t="s">
        <v>823</v>
      </c>
      <c r="AO23" s="602" t="s">
        <v>814</v>
      </c>
      <c r="AP23" s="737">
        <f>HLOOKUP($C$17,MKW!$A$3:$BD$25,$AM23,FALSE)</f>
        <v>0.7</v>
      </c>
      <c r="AQ23" s="737">
        <f>HLOOKUP($C$24,MKW!$A$3:$BD$25,$AM23,FALSE)</f>
        <v>0.7</v>
      </c>
      <c r="AW23" s="525"/>
      <c r="BR23" s="570" t="e">
        <f t="shared" ca="1" si="26"/>
        <v>#DIV/0!</v>
      </c>
      <c r="BS23" s="570" t="s">
        <v>1035</v>
      </c>
      <c r="BT23" s="571" t="s">
        <v>973</v>
      </c>
      <c r="BU23" s="610">
        <f>IF(OR(B102&lt;&gt;0,C102&lt;&gt;0,D102&lt;&gt;0,E102&lt;&gt;0,G102&lt;&gt;0),1,0)</f>
        <v>0</v>
      </c>
      <c r="BV23" s="619">
        <f>$BU$23*(1.35*B$99+1.5*B$102)</f>
        <v>0</v>
      </c>
      <c r="BW23" s="619">
        <f>$BU$23*(1.35*C$99+1.5*C$102)</f>
        <v>0</v>
      </c>
      <c r="BX23" s="619">
        <f>$BU$23*(1.35*D$99+1.5*D$102)</f>
        <v>0</v>
      </c>
      <c r="BY23" s="619">
        <f>$BU$23*(1.35*E$99+1.5*E$102)</f>
        <v>0</v>
      </c>
      <c r="BZ23" s="619">
        <f>$BU$23*(1.35*G$99+1.5*G$102)</f>
        <v>0</v>
      </c>
      <c r="CA23" s="833">
        <f>VLOOKUP($A$82,MKW!$A$50:$E$60,4,FALSE)</f>
        <v>0</v>
      </c>
      <c r="CB23" s="821" t="e">
        <f t="shared" ca="1" si="27"/>
        <v>#DIV/0!</v>
      </c>
      <c r="CC23" s="619" t="str">
        <f t="shared" si="39"/>
        <v>unten</v>
      </c>
      <c r="CD23" s="834" t="e">
        <f ca="1">IF(CC23=_oben,Berechnung_BZoben!$S$7,Berechnung_BZunten!$S$7)</f>
        <v>#DIV/0!</v>
      </c>
      <c r="CE23" s="834" t="e">
        <f ca="1">CD23*2/(3*(1+2*Eingabe!CA23*Eingabe!$D$76))</f>
        <v>#DIV/0!</v>
      </c>
      <c r="CF23" s="710" t="e">
        <f ca="1">IF($C$86=Sprachtexte!$A$87,
-CE23*$C$87^3*BW23/(12*CE23*$C$87+24*$CF$2)+BX23*$BY$1*$CA$1/(6*$CF$2)*(($BY$1-$C$87-2*$CA$1)/(6*$CF$2)-1/CE23-$CA$1/(CE23*$C$87))/(($C$87/(3*$CF$2)+1/CE23)^2-($C$87/(6*$CF$2))^2),
-CE23*$C$87^3*BW23/(8*CE23*$C$87+24*$CF$2)-CE23*$CA$1/$C$87*($C$87^2-$CA$1^2)*BX23/(2*CE23*$C$87+6*$CF$2))</f>
        <v>#DIV/0!</v>
      </c>
      <c r="CG23" s="710" t="e">
        <f t="shared" ca="1" si="28"/>
        <v>#DIV/0!</v>
      </c>
      <c r="CH23" s="835">
        <f t="shared" ca="1" si="1"/>
        <v>0</v>
      </c>
      <c r="CI23" s="821" t="e">
        <f t="shared" ca="1" si="2"/>
        <v>#DIV/0!</v>
      </c>
      <c r="CJ23" s="619" t="str">
        <f t="shared" si="40"/>
        <v>unten</v>
      </c>
      <c r="CK23" s="834" t="e">
        <f ca="1">IF(CJ23=_oben,Berechnung_BZoben!$S$7,Berechnung_BZunten!$S$7)</f>
        <v>#DIV/0!</v>
      </c>
      <c r="CL23" s="834" t="e">
        <f ca="1">CK23*2/(3*(1+2*Eingabe!CA23*Eingabe!$D$76))</f>
        <v>#DIV/0!</v>
      </c>
      <c r="CM23" s="710" t="e">
        <f ca="1">IF($C$86=Sprachtexte!$A$87,
-CL23*$C$87^3*BW23/(12*CE23*$C$87+24*$CF$2)+BX23*$CA$1*$BY$1/(6*$CF$2)*(($CA$1-$C$87-2*$BY$1)/(6*$CF$2)-1/CE23-$BY$1/(CE23*$C$87))/(($C$87/(3*$CF$2)+1/CE23)^2-($C$87/(6*$CF$2))^2),0)</f>
        <v>#DIV/0!</v>
      </c>
      <c r="CN23" s="710" t="e">
        <f t="shared" ca="1" si="4"/>
        <v>#DIV/0!</v>
      </c>
      <c r="CO23" s="835">
        <f t="shared" ca="1" si="5"/>
        <v>0</v>
      </c>
      <c r="CP23" s="849">
        <f t="shared" si="29"/>
        <v>0</v>
      </c>
      <c r="CQ23" s="710" t="e">
        <f t="shared" ca="1" si="6"/>
        <v>#DIV/0!</v>
      </c>
      <c r="CR23" s="710" t="e">
        <f t="shared" ca="1" si="7"/>
        <v>#DIV/0!</v>
      </c>
      <c r="CS23" s="710">
        <f t="shared" si="30"/>
        <v>0</v>
      </c>
      <c r="CT23" s="710" t="e">
        <f t="shared" ca="1" si="41"/>
        <v>#DIV/0!</v>
      </c>
      <c r="CU23" s="710">
        <f t="shared" si="31"/>
        <v>0</v>
      </c>
      <c r="CV23" s="833">
        <f>MAX($C$79,$C$82)</f>
        <v>1</v>
      </c>
      <c r="CW23" s="821" t="e">
        <f ca="1">MIN(Ausgabe!$C$173,Ausgabe!$C$186)</f>
        <v>#DIV/0!</v>
      </c>
      <c r="CX23" s="710">
        <f>Ausgabe!$C$187</f>
        <v>1.3</v>
      </c>
      <c r="CY23" s="619">
        <f>Ausgabe!$C$191</f>
        <v>100</v>
      </c>
      <c r="CZ23" s="710">
        <f>Ausgabe!$C$192</f>
        <v>1.25</v>
      </c>
      <c r="DA23" s="619">
        <f>Ausgabe!$C$194</f>
        <v>36.6</v>
      </c>
      <c r="DB23" s="710">
        <f>Ausgabe!$C$195</f>
        <v>1.25</v>
      </c>
      <c r="DC23" s="619" t="e">
        <f t="shared" ca="1" si="9"/>
        <v>#DIV/0!</v>
      </c>
      <c r="DD23" s="619">
        <f t="shared" si="32"/>
        <v>0</v>
      </c>
      <c r="DE23" s="710" t="e">
        <f t="shared" ca="1" si="10"/>
        <v>#DIV/0!</v>
      </c>
      <c r="DF23" s="821">
        <f ca="1">MIN(Ausgabe!$C$221,Ausgabe!$C$239)</f>
        <v>92.436470366395326</v>
      </c>
      <c r="DG23" s="710">
        <f>Ausgabe!$C$240</f>
        <v>1.3</v>
      </c>
      <c r="DH23" s="619">
        <f>Ausgabe!$C$246</f>
        <v>150.4</v>
      </c>
      <c r="DI23" s="710">
        <f>Ausgabe!$C$247</f>
        <v>1.1000000000000001</v>
      </c>
      <c r="DJ23" s="619">
        <f>Ausgabe!$C$254</f>
        <v>176.4</v>
      </c>
      <c r="DK23" s="710">
        <f>Ausgabe!$C$255</f>
        <v>1.25</v>
      </c>
      <c r="DL23" s="619">
        <f>Ausgabe!$C$263</f>
        <v>180.95573684677208</v>
      </c>
      <c r="DM23" s="710">
        <f>Ausgabe!$C$264</f>
        <v>1.1000000000000001</v>
      </c>
      <c r="DN23" s="619">
        <f t="shared" ca="1" si="11"/>
        <v>71.104977204919479</v>
      </c>
      <c r="DO23" s="619" t="e">
        <f t="shared" ca="1" si="12"/>
        <v>#DIV/0!</v>
      </c>
      <c r="DP23" s="833" t="e">
        <f t="shared" ca="1" si="13"/>
        <v>#DIV/0!</v>
      </c>
      <c r="DQ23" s="821" t="e">
        <f ca="1">Ausgabe!$C$369</f>
        <v>#DIV/0!</v>
      </c>
      <c r="DR23" s="710">
        <f>Ausgabe!$C$370</f>
        <v>1.3</v>
      </c>
      <c r="DS23" s="619" t="e">
        <f t="shared" ca="1" si="14"/>
        <v>#DIV/0!</v>
      </c>
      <c r="DT23" s="619" t="e">
        <f t="shared" ca="1" si="15"/>
        <v>#DIV/0!</v>
      </c>
      <c r="DU23" s="833" t="e">
        <f t="shared" ca="1" si="16"/>
        <v>#DIV/0!</v>
      </c>
      <c r="DV23" s="821">
        <f ca="1">Ausgabe!$C$420</f>
        <v>33.607770254588836</v>
      </c>
      <c r="DW23" s="710">
        <f>Ausgabe!$C$421</f>
        <v>1.3</v>
      </c>
      <c r="DX23" s="619">
        <f>Ausgabe!$C$423</f>
        <v>36.9</v>
      </c>
      <c r="DY23" s="710">
        <f>Ausgabe!$C$424</f>
        <v>1.1000000000000001</v>
      </c>
      <c r="DZ23" s="619">
        <f t="shared" ca="1" si="17"/>
        <v>25.852130965068334</v>
      </c>
      <c r="EA23" s="619">
        <f t="shared" si="33"/>
        <v>0</v>
      </c>
      <c r="EB23" s="833">
        <f t="shared" ca="1" si="18"/>
        <v>0</v>
      </c>
      <c r="EC23" s="710" t="e">
        <f ca="1">IF(CJ23=_oben,Berechnung_BZoben!$P$5,Berechnung_BZunten!$P$5)</f>
        <v>#DIV/0!</v>
      </c>
      <c r="ED23" s="710">
        <f>Ausgabe!$C$520</f>
        <v>1.3</v>
      </c>
      <c r="EE23" s="710" t="e">
        <f t="shared" ca="1" si="19"/>
        <v>#DIV/0!</v>
      </c>
      <c r="EF23" s="710" t="e">
        <f t="shared" ca="1" si="20"/>
        <v>#DIV/0!</v>
      </c>
      <c r="EG23" s="833" t="e">
        <f t="shared" ca="1" si="21"/>
        <v>#DIV/0!</v>
      </c>
      <c r="EH23" s="710">
        <f>Ausgabe!$C$592</f>
        <v>2.7</v>
      </c>
      <c r="EI23" s="710">
        <f>Ausgabe!$C$593</f>
        <v>1.3</v>
      </c>
      <c r="EJ23" s="710">
        <f t="shared" si="34"/>
        <v>2.0769230769230771</v>
      </c>
      <c r="EK23" s="710">
        <f t="shared" si="35"/>
        <v>0</v>
      </c>
      <c r="EL23" s="833">
        <f t="shared" si="36"/>
        <v>0</v>
      </c>
      <c r="EM23" s="821">
        <f ca="1">Ausgabe!$C$581</f>
        <v>0</v>
      </c>
      <c r="EN23" s="710" t="e">
        <f t="shared" ca="1" si="22"/>
        <v>#DIV/0!</v>
      </c>
      <c r="EO23" s="1478"/>
      <c r="EP23" s="710" t="e">
        <f t="shared" ca="1" si="42"/>
        <v>#DIV/0!</v>
      </c>
      <c r="EQ23" s="833" t="e">
        <f t="shared" ca="1" si="24"/>
        <v>#DIV/0!</v>
      </c>
      <c r="ER23" s="889" t="e">
        <f t="shared" ca="1" si="25"/>
        <v>#DIV/0!</v>
      </c>
      <c r="ES23" s="619"/>
      <c r="EU23" s="499" t="s">
        <v>785</v>
      </c>
      <c r="EV23" s="723">
        <f ca="1">EV9+EV18</f>
        <v>266</v>
      </c>
      <c r="EW23" s="499" t="s">
        <v>785</v>
      </c>
      <c r="EX23" s="723">
        <f ca="1">EX9+EX18</f>
        <v>266</v>
      </c>
      <c r="FE23" s="499" t="s">
        <v>2024</v>
      </c>
      <c r="FF23" s="1216">
        <f>C194</f>
        <v>0</v>
      </c>
      <c r="FG23" s="569" t="s">
        <v>4</v>
      </c>
      <c r="FH23" s="1223" t="s">
        <v>2062</v>
      </c>
    </row>
    <row r="24" spans="1:167" ht="16.5" customHeight="1">
      <c r="A24" s="569" t="str">
        <f>Sprachtexte!A15</f>
        <v>Festigkeitsklasse</v>
      </c>
      <c r="B24"/>
      <c r="C24" s="1362" t="s">
        <v>52</v>
      </c>
      <c r="D24" s="569"/>
      <c r="E24" s="569" t="str">
        <f>Sprachtexte!A21</f>
        <v>Mindestquerschnitt:</v>
      </c>
      <c r="F24" s="508"/>
      <c r="J24" s="643"/>
      <c r="K24" s="1518"/>
      <c r="L24" s="1519"/>
      <c r="O24" s="649"/>
      <c r="P24" s="649"/>
      <c r="Q24" s="649"/>
      <c r="R24" s="649"/>
      <c r="AB24" s="554"/>
      <c r="AC24" s="579"/>
      <c r="AD24" s="607"/>
      <c r="AE24" s="708"/>
      <c r="AG24" s="523"/>
      <c r="AJ24" s="556"/>
      <c r="AK24" s="556"/>
      <c r="AM24" s="604">
        <v>22</v>
      </c>
      <c r="AN24" s="605" t="s">
        <v>2008</v>
      </c>
      <c r="AO24" s="606" t="s">
        <v>370</v>
      </c>
      <c r="AP24" s="737">
        <f>HLOOKUP($C$17,MKW!$A$3:$BD$25,$AM24,FALSE)</f>
        <v>6.5</v>
      </c>
      <c r="AQ24" s="737">
        <f>HLOOKUP($C$24,MKW!$A$3:$BD$25,$AM24,FALSE)</f>
        <v>6.5</v>
      </c>
      <c r="AW24" s="525"/>
      <c r="BR24" s="570" t="e">
        <f t="shared" ca="1" si="26"/>
        <v>#DIV/0!</v>
      </c>
      <c r="BS24" s="570" t="s">
        <v>1036</v>
      </c>
      <c r="BT24" s="571" t="s">
        <v>974</v>
      </c>
      <c r="BU24" s="610">
        <f>IF(OR(B100&lt;&gt;0,C100&lt;&gt;0,D100&lt;&gt;0,E100&lt;&gt;0,G100&lt;&gt;0),1,0)</f>
        <v>0</v>
      </c>
      <c r="BV24" s="619">
        <f>$BU$24*(1.35*B$99+1.5*B$100+1.5*$E$81*B$101)</f>
        <v>0</v>
      </c>
      <c r="BW24" s="619">
        <f>$BU$24*(1.35*C$99+1.5*C$100+1.5*$E$81*C$101)</f>
        <v>0</v>
      </c>
      <c r="BX24" s="619">
        <f>$BU$24*(1.35*D$99+1.5*D$100+1.5*$E$81*D$101)</f>
        <v>0</v>
      </c>
      <c r="BY24" s="619">
        <f>$BU$24*(1.35*E$99+1.5*E$100+1.5*$E$81*E$101)</f>
        <v>0</v>
      </c>
      <c r="BZ24" s="619">
        <f>$BU$24*(1.35*G$99+1.5*G$100+1.5*$E$81*G$101)</f>
        <v>0</v>
      </c>
      <c r="CA24" s="833">
        <f>VLOOKUP($A$80,MKW!$A$50:$E$60,4,FALSE)</f>
        <v>0.3</v>
      </c>
      <c r="CB24" s="821" t="e">
        <f t="shared" ca="1" si="27"/>
        <v>#DIV/0!</v>
      </c>
      <c r="CC24" s="619" t="str">
        <f t="shared" si="39"/>
        <v>unten</v>
      </c>
      <c r="CD24" s="834" t="e">
        <f ca="1">IF(CC24=_oben,Berechnung_BZoben!$S$7,Berechnung_BZunten!$S$7)</f>
        <v>#DIV/0!</v>
      </c>
      <c r="CE24" s="834" t="e">
        <f ca="1">CD24*2/(3*(1+2*Eingabe!CA24*Eingabe!$D$76))</f>
        <v>#DIV/0!</v>
      </c>
      <c r="CF24" s="710" t="e">
        <f ca="1">IF($C$86=Sprachtexte!$A$87,
-CE24*$C$87^3*BW24/(12*CE24*$C$87+24*$CF$2)+BX24*$BY$1*$CA$1/(6*$CF$2)*(($BY$1-$C$87-2*$CA$1)/(6*$CF$2)-1/CE24-$CA$1/(CE24*$C$87))/(($C$87/(3*$CF$2)+1/CE24)^2-($C$87/(6*$CF$2))^2),
-CE24*$C$87^3*BW24/(8*CE24*$C$87+24*$CF$2)-CE24*$CA$1/$C$87*($C$87^2-$CA$1^2)*BX24/(2*CE24*$C$87+6*$CF$2))</f>
        <v>#DIV/0!</v>
      </c>
      <c r="CG24" s="710" t="e">
        <f t="shared" ca="1" si="28"/>
        <v>#DIV/0!</v>
      </c>
      <c r="CH24" s="835">
        <f t="shared" ca="1" si="1"/>
        <v>0</v>
      </c>
      <c r="CI24" s="821" t="e">
        <f t="shared" ca="1" si="2"/>
        <v>#DIV/0!</v>
      </c>
      <c r="CJ24" s="619" t="str">
        <f t="shared" si="40"/>
        <v>unten</v>
      </c>
      <c r="CK24" s="834" t="e">
        <f ca="1">IF(CJ24=_oben,Berechnung_BZoben!$S$7,Berechnung_BZunten!$S$7)</f>
        <v>#DIV/0!</v>
      </c>
      <c r="CL24" s="834" t="e">
        <f ca="1">CK24*2/(3*(1+2*Eingabe!CA24*Eingabe!$D$76))</f>
        <v>#DIV/0!</v>
      </c>
      <c r="CM24" s="710" t="e">
        <f ca="1">IF($C$86=Sprachtexte!$A$87,
-CL24*$C$87^3*BW24/(12*CE24*$C$87+24*$CF$2)+BX24*$CA$1*$BY$1/(6*$CF$2)*(($CA$1-$C$87-2*$BY$1)/(6*$CF$2)-1/CE24-$BY$1/(CE24*$C$87))/(($C$87/(3*$CF$2)+1/CE24)^2-($C$87/(6*$CF$2))^2),0)</f>
        <v>#DIV/0!</v>
      </c>
      <c r="CN24" s="710" t="e">
        <f t="shared" ca="1" si="4"/>
        <v>#DIV/0!</v>
      </c>
      <c r="CO24" s="835">
        <f t="shared" ca="1" si="5"/>
        <v>0</v>
      </c>
      <c r="CP24" s="849">
        <f t="shared" si="29"/>
        <v>0</v>
      </c>
      <c r="CQ24" s="710" t="e">
        <f t="shared" ca="1" si="6"/>
        <v>#DIV/0!</v>
      </c>
      <c r="CR24" s="710" t="e">
        <f t="shared" ca="1" si="7"/>
        <v>#DIV/0!</v>
      </c>
      <c r="CS24" s="710">
        <f t="shared" si="30"/>
        <v>0</v>
      </c>
      <c r="CT24" s="710" t="e">
        <f t="shared" ca="1" si="41"/>
        <v>#DIV/0!</v>
      </c>
      <c r="CU24" s="710">
        <f t="shared" si="31"/>
        <v>0</v>
      </c>
      <c r="CV24" s="833">
        <f>MAX($C$79,$C$80,$C$81)</f>
        <v>0.9</v>
      </c>
      <c r="CW24" s="821" t="e">
        <f ca="1">MIN(Ausgabe!$C$173,Ausgabe!$C$186)</f>
        <v>#DIV/0!</v>
      </c>
      <c r="CX24" s="710">
        <f>Ausgabe!$C$187</f>
        <v>1.3</v>
      </c>
      <c r="CY24" s="619">
        <f>Ausgabe!$C$191</f>
        <v>100</v>
      </c>
      <c r="CZ24" s="710">
        <f>Ausgabe!$C$192</f>
        <v>1.25</v>
      </c>
      <c r="DA24" s="619">
        <f>Ausgabe!$C$194</f>
        <v>36.6</v>
      </c>
      <c r="DB24" s="710">
        <f>Ausgabe!$C$195</f>
        <v>1.25</v>
      </c>
      <c r="DC24" s="619" t="e">
        <f t="shared" ca="1" si="9"/>
        <v>#DIV/0!</v>
      </c>
      <c r="DD24" s="619">
        <f t="shared" si="32"/>
        <v>0</v>
      </c>
      <c r="DE24" s="710" t="e">
        <f t="shared" ca="1" si="10"/>
        <v>#DIV/0!</v>
      </c>
      <c r="DF24" s="821">
        <f ca="1">MIN(Ausgabe!$C$221,Ausgabe!$C$239)</f>
        <v>92.436470366395326</v>
      </c>
      <c r="DG24" s="710">
        <f>Ausgabe!$C$240</f>
        <v>1.3</v>
      </c>
      <c r="DH24" s="619">
        <f>Ausgabe!$C$246</f>
        <v>150.4</v>
      </c>
      <c r="DI24" s="710">
        <f>Ausgabe!$C$247</f>
        <v>1.1000000000000001</v>
      </c>
      <c r="DJ24" s="619">
        <f>Ausgabe!$C$254</f>
        <v>176.4</v>
      </c>
      <c r="DK24" s="710">
        <f>Ausgabe!$C$255</f>
        <v>1.25</v>
      </c>
      <c r="DL24" s="619">
        <f>Ausgabe!$C$263</f>
        <v>180.95573684677208</v>
      </c>
      <c r="DM24" s="710">
        <f>Ausgabe!$C$264</f>
        <v>1.1000000000000001</v>
      </c>
      <c r="DN24" s="619">
        <f t="shared" ca="1" si="11"/>
        <v>63.994479484427536</v>
      </c>
      <c r="DO24" s="619" t="e">
        <f t="shared" ca="1" si="12"/>
        <v>#DIV/0!</v>
      </c>
      <c r="DP24" s="833" t="e">
        <f t="shared" ca="1" si="13"/>
        <v>#DIV/0!</v>
      </c>
      <c r="DQ24" s="821" t="e">
        <f ca="1">Ausgabe!$C$369</f>
        <v>#DIV/0!</v>
      </c>
      <c r="DR24" s="710">
        <f>Ausgabe!$C$370</f>
        <v>1.3</v>
      </c>
      <c r="DS24" s="619" t="e">
        <f t="shared" ca="1" si="14"/>
        <v>#DIV/0!</v>
      </c>
      <c r="DT24" s="619" t="e">
        <f t="shared" ca="1" si="15"/>
        <v>#DIV/0!</v>
      </c>
      <c r="DU24" s="833" t="e">
        <f t="shared" ca="1" si="16"/>
        <v>#DIV/0!</v>
      </c>
      <c r="DV24" s="821">
        <f ca="1">Ausgabe!$C$420</f>
        <v>33.607770254588836</v>
      </c>
      <c r="DW24" s="710">
        <f>Ausgabe!$C$421</f>
        <v>1.3</v>
      </c>
      <c r="DX24" s="619">
        <f>Ausgabe!$C$423</f>
        <v>36.9</v>
      </c>
      <c r="DY24" s="710">
        <f>Ausgabe!$C$424</f>
        <v>1.1000000000000001</v>
      </c>
      <c r="DZ24" s="619">
        <f t="shared" ca="1" si="17"/>
        <v>23.266917868561499</v>
      </c>
      <c r="EA24" s="619">
        <f t="shared" si="33"/>
        <v>0</v>
      </c>
      <c r="EB24" s="833">
        <f t="shared" ca="1" si="18"/>
        <v>0</v>
      </c>
      <c r="EC24" s="710" t="e">
        <f ca="1">IF(CJ24=_oben,Berechnung_BZoben!$P$5,Berechnung_BZunten!$P$5)</f>
        <v>#DIV/0!</v>
      </c>
      <c r="ED24" s="710">
        <f>Ausgabe!$C$520</f>
        <v>1.3</v>
      </c>
      <c r="EE24" s="710" t="e">
        <f t="shared" ca="1" si="19"/>
        <v>#DIV/0!</v>
      </c>
      <c r="EF24" s="710" t="e">
        <f t="shared" ca="1" si="20"/>
        <v>#DIV/0!</v>
      </c>
      <c r="EG24" s="833" t="e">
        <f t="shared" ca="1" si="21"/>
        <v>#DIV/0!</v>
      </c>
      <c r="EH24" s="710">
        <f>Ausgabe!$C$592</f>
        <v>2.7</v>
      </c>
      <c r="EI24" s="710">
        <f>Ausgabe!$C$593</f>
        <v>1.3</v>
      </c>
      <c r="EJ24" s="710">
        <f t="shared" si="34"/>
        <v>1.8692307692307693</v>
      </c>
      <c r="EK24" s="710">
        <f t="shared" si="35"/>
        <v>0</v>
      </c>
      <c r="EL24" s="833">
        <f t="shared" si="36"/>
        <v>0</v>
      </c>
      <c r="EM24" s="821">
        <f ca="1">Ausgabe!$C$581</f>
        <v>0</v>
      </c>
      <c r="EN24" s="710" t="e">
        <f t="shared" ca="1" si="22"/>
        <v>#DIV/0!</v>
      </c>
      <c r="EO24" s="1478"/>
      <c r="EP24" s="710" t="e">
        <f t="shared" ca="1" si="42"/>
        <v>#DIV/0!</v>
      </c>
      <c r="EQ24" s="833" t="e">
        <f t="shared" ca="1" si="24"/>
        <v>#DIV/0!</v>
      </c>
      <c r="ER24" s="889" t="e">
        <f t="shared" ca="1" si="25"/>
        <v>#DIV/0!</v>
      </c>
      <c r="ES24" s="619"/>
      <c r="EU24" s="499" t="s">
        <v>803</v>
      </c>
      <c r="EV24" s="723">
        <f ca="1">EV23*TAN(RADIANS(EV10))</f>
        <v>0</v>
      </c>
      <c r="EW24" s="499" t="s">
        <v>802</v>
      </c>
      <c r="EX24" s="723">
        <f ca="1">EX23*TAN(RADIANS(EX10))</f>
        <v>0</v>
      </c>
      <c r="FE24" s="499" t="s">
        <v>10</v>
      </c>
      <c r="FF24" s="1216">
        <f>C195</f>
        <v>0</v>
      </c>
      <c r="FG24" s="569" t="s">
        <v>1935</v>
      </c>
      <c r="FH24" s="1223" t="s">
        <v>2062</v>
      </c>
    </row>
    <row r="25" spans="1:167" ht="15.75" customHeight="1" thickBot="1">
      <c r="A25" s="569" t="str">
        <f>Sprachtexte!A16</f>
        <v>Breite</v>
      </c>
      <c r="B25" s="631" t="s">
        <v>862</v>
      </c>
      <c r="C25" s="1361"/>
      <c r="D25" s="569" t="s">
        <v>2</v>
      </c>
      <c r="E25" s="631" t="s">
        <v>869</v>
      </c>
      <c r="F25" s="1216">
        <f>Berechnung_BZoben!$C$39</f>
        <v>108</v>
      </c>
      <c r="G25" s="569" t="s">
        <v>2</v>
      </c>
      <c r="J25" s="643"/>
      <c r="K25" s="1518"/>
      <c r="L25" s="1519"/>
      <c r="O25" s="649"/>
      <c r="P25" s="649"/>
      <c r="Q25" s="649"/>
      <c r="R25" s="649"/>
      <c r="AB25" s="554"/>
      <c r="AC25" s="579"/>
      <c r="AD25" s="607"/>
      <c r="AE25" s="707"/>
      <c r="AG25" s="523"/>
      <c r="AJ25" s="556"/>
      <c r="AK25" s="556"/>
      <c r="AM25" s="604">
        <v>23</v>
      </c>
      <c r="AN25" s="605" t="s">
        <v>2012</v>
      </c>
      <c r="AO25" s="606" t="s">
        <v>370</v>
      </c>
      <c r="AP25" s="1215">
        <f>HLOOKUP($C$17,MKW!$A$3:$BD$25,$AM25,FALSE)</f>
        <v>0.7142857142857143</v>
      </c>
      <c r="AQ25" s="1215">
        <f>HLOOKUP($C$24,MKW!$A$3:$BD$25,$AM25,FALSE)</f>
        <v>0.7142857142857143</v>
      </c>
      <c r="AW25" s="525"/>
      <c r="BB25" s="569" t="s">
        <v>498</v>
      </c>
      <c r="BR25" s="570" t="e">
        <f t="shared" ca="1" si="26"/>
        <v>#DIV/0!</v>
      </c>
      <c r="BS25" s="570" t="s">
        <v>1037</v>
      </c>
      <c r="BT25" s="571" t="s">
        <v>975</v>
      </c>
      <c r="BU25" s="610">
        <f>IF(OR(B100&lt;&gt;0,C100&lt;&gt;0,D100&lt;&gt;0,E100&lt;&gt;0,G100&lt;&gt;0),1,0)</f>
        <v>0</v>
      </c>
      <c r="BV25" s="619">
        <f>$BU$25*(1.35*B$99+1.5*B$100+1.5*$E$82*B$102)</f>
        <v>0</v>
      </c>
      <c r="BW25" s="619">
        <f>$BU$25*(1.35*C$99+1.5*C$100+1.5*$E$82*C$102)</f>
        <v>0</v>
      </c>
      <c r="BX25" s="619">
        <f>$BU$25*(1.35*D$99+1.5*D$100+1.5*$E$82*D$102)</f>
        <v>0</v>
      </c>
      <c r="BY25" s="619">
        <f>$BU$25*(1.35*E$99+1.5*E$100+1.5*$E$82*E$102)</f>
        <v>0</v>
      </c>
      <c r="BZ25" s="619">
        <f>$BU$25*(1.35*G$99+1.5*G$100+1.5*$E$82*G$102)</f>
        <v>0</v>
      </c>
      <c r="CA25" s="833">
        <f>VLOOKUP($A$80,MKW!$A$50:$E$60,4,FALSE)</f>
        <v>0.3</v>
      </c>
      <c r="CB25" s="821" t="e">
        <f t="shared" ca="1" si="27"/>
        <v>#DIV/0!</v>
      </c>
      <c r="CC25" s="619" t="str">
        <f t="shared" si="39"/>
        <v>unten</v>
      </c>
      <c r="CD25" s="834" t="e">
        <f ca="1">IF(CC25=_oben,Berechnung_BZoben!$S$7,Berechnung_BZunten!$S$7)</f>
        <v>#DIV/0!</v>
      </c>
      <c r="CE25" s="834" t="e">
        <f ca="1">CD25*2/(3*(1+2*Eingabe!CA25*Eingabe!$D$76))</f>
        <v>#DIV/0!</v>
      </c>
      <c r="CF25" s="710" t="e">
        <f ca="1">IF($C$86=Sprachtexte!$A$87,
-CE25*$C$87^3*BW25/(12*CE25*$C$87+24*$CF$2)+BX25*$BY$1*$CA$1/(6*$CF$2)*(($BY$1-$C$87-2*$CA$1)/(6*$CF$2)-1/CE25-$CA$1/(CE25*$C$87))/(($C$87/(3*$CF$2)+1/CE25)^2-($C$87/(6*$CF$2))^2),
-CE25*$C$87^3*BW25/(8*CE25*$C$87+24*$CF$2)-CE25*$CA$1/$C$87*($C$87^2-$CA$1^2)*BX25/(2*CE25*$C$87+6*$CF$2))</f>
        <v>#DIV/0!</v>
      </c>
      <c r="CG25" s="710" t="e">
        <f t="shared" ca="1" si="28"/>
        <v>#DIV/0!</v>
      </c>
      <c r="CH25" s="835">
        <f t="shared" ca="1" si="1"/>
        <v>0</v>
      </c>
      <c r="CI25" s="821" t="e">
        <f t="shared" ca="1" si="2"/>
        <v>#DIV/0!</v>
      </c>
      <c r="CJ25" s="619" t="str">
        <f t="shared" si="40"/>
        <v>unten</v>
      </c>
      <c r="CK25" s="834" t="e">
        <f ca="1">IF(CJ25=_oben,Berechnung_BZoben!$S$7,Berechnung_BZunten!$S$7)</f>
        <v>#DIV/0!</v>
      </c>
      <c r="CL25" s="834" t="e">
        <f ca="1">CK25*2/(3*(1+2*Eingabe!CA25*Eingabe!$D$76))</f>
        <v>#DIV/0!</v>
      </c>
      <c r="CM25" s="710" t="e">
        <f ca="1">IF($C$86=Sprachtexte!$A$87,
-CL25*$C$87^3*BW25/(12*CE25*$C$87+24*$CF$2)+BX25*$CA$1*$BY$1/(6*$CF$2)*(($CA$1-$C$87-2*$BY$1)/(6*$CF$2)-1/CE25-$BY$1/(CE25*$C$87))/(($C$87/(3*$CF$2)+1/CE25)^2-($C$87/(6*$CF$2))^2),0)</f>
        <v>#DIV/0!</v>
      </c>
      <c r="CN25" s="710" t="e">
        <f t="shared" ca="1" si="4"/>
        <v>#DIV/0!</v>
      </c>
      <c r="CO25" s="835">
        <f t="shared" ca="1" si="5"/>
        <v>0</v>
      </c>
      <c r="CP25" s="849">
        <f t="shared" si="29"/>
        <v>0</v>
      </c>
      <c r="CQ25" s="710" t="e">
        <f t="shared" ca="1" si="6"/>
        <v>#DIV/0!</v>
      </c>
      <c r="CR25" s="710" t="e">
        <f t="shared" ca="1" si="7"/>
        <v>#DIV/0!</v>
      </c>
      <c r="CS25" s="710">
        <f t="shared" si="30"/>
        <v>0</v>
      </c>
      <c r="CT25" s="710" t="e">
        <f t="shared" ca="1" si="41"/>
        <v>#DIV/0!</v>
      </c>
      <c r="CU25" s="710">
        <f t="shared" si="31"/>
        <v>0</v>
      </c>
      <c r="CV25" s="833">
        <f>MAX($C$79,$C$80,$C$82)</f>
        <v>1</v>
      </c>
      <c r="CW25" s="821" t="e">
        <f ca="1">MIN(Ausgabe!$C$173,Ausgabe!$C$186)</f>
        <v>#DIV/0!</v>
      </c>
      <c r="CX25" s="710">
        <f>Ausgabe!$C$187</f>
        <v>1.3</v>
      </c>
      <c r="CY25" s="619">
        <f>Ausgabe!$C$191</f>
        <v>100</v>
      </c>
      <c r="CZ25" s="710">
        <f>Ausgabe!$C$192</f>
        <v>1.25</v>
      </c>
      <c r="DA25" s="619">
        <f>Ausgabe!$C$194</f>
        <v>36.6</v>
      </c>
      <c r="DB25" s="710">
        <f>Ausgabe!$C$195</f>
        <v>1.25</v>
      </c>
      <c r="DC25" s="619" t="e">
        <f t="shared" ca="1" si="9"/>
        <v>#DIV/0!</v>
      </c>
      <c r="DD25" s="619">
        <f t="shared" si="32"/>
        <v>0</v>
      </c>
      <c r="DE25" s="710" t="e">
        <f t="shared" ca="1" si="10"/>
        <v>#DIV/0!</v>
      </c>
      <c r="DF25" s="821">
        <f ca="1">MIN(Ausgabe!$C$221,Ausgabe!$C$239)</f>
        <v>92.436470366395326</v>
      </c>
      <c r="DG25" s="710">
        <f>Ausgabe!$C$240</f>
        <v>1.3</v>
      </c>
      <c r="DH25" s="619">
        <f>Ausgabe!$C$246</f>
        <v>150.4</v>
      </c>
      <c r="DI25" s="710">
        <f>Ausgabe!$C$247</f>
        <v>1.1000000000000001</v>
      </c>
      <c r="DJ25" s="619">
        <f>Ausgabe!$C$254</f>
        <v>176.4</v>
      </c>
      <c r="DK25" s="710">
        <f>Ausgabe!$C$255</f>
        <v>1.25</v>
      </c>
      <c r="DL25" s="619">
        <f>Ausgabe!$C$263</f>
        <v>180.95573684677208</v>
      </c>
      <c r="DM25" s="710">
        <f>Ausgabe!$C$264</f>
        <v>1.1000000000000001</v>
      </c>
      <c r="DN25" s="619">
        <f t="shared" ca="1" si="11"/>
        <v>71.104977204919479</v>
      </c>
      <c r="DO25" s="619" t="e">
        <f t="shared" ca="1" si="12"/>
        <v>#DIV/0!</v>
      </c>
      <c r="DP25" s="833" t="e">
        <f t="shared" ca="1" si="13"/>
        <v>#DIV/0!</v>
      </c>
      <c r="DQ25" s="821" t="e">
        <f ca="1">Ausgabe!$C$369</f>
        <v>#DIV/0!</v>
      </c>
      <c r="DR25" s="710">
        <f>Ausgabe!$C$370</f>
        <v>1.3</v>
      </c>
      <c r="DS25" s="619" t="e">
        <f t="shared" ca="1" si="14"/>
        <v>#DIV/0!</v>
      </c>
      <c r="DT25" s="619" t="e">
        <f t="shared" ca="1" si="15"/>
        <v>#DIV/0!</v>
      </c>
      <c r="DU25" s="833" t="e">
        <f t="shared" ca="1" si="16"/>
        <v>#DIV/0!</v>
      </c>
      <c r="DV25" s="821">
        <f ca="1">Ausgabe!$C$420</f>
        <v>33.607770254588836</v>
      </c>
      <c r="DW25" s="710">
        <f>Ausgabe!$C$421</f>
        <v>1.3</v>
      </c>
      <c r="DX25" s="619">
        <f>Ausgabe!$C$423</f>
        <v>36.9</v>
      </c>
      <c r="DY25" s="710">
        <f>Ausgabe!$C$424</f>
        <v>1.1000000000000001</v>
      </c>
      <c r="DZ25" s="619">
        <f t="shared" ca="1" si="17"/>
        <v>25.852130965068334</v>
      </c>
      <c r="EA25" s="619">
        <f t="shared" si="33"/>
        <v>0</v>
      </c>
      <c r="EB25" s="833">
        <f t="shared" ca="1" si="18"/>
        <v>0</v>
      </c>
      <c r="EC25" s="710" t="e">
        <f ca="1">IF(CJ25=_oben,Berechnung_BZoben!$P$5,Berechnung_BZunten!$P$5)</f>
        <v>#DIV/0!</v>
      </c>
      <c r="ED25" s="710">
        <f>Ausgabe!$C$520</f>
        <v>1.3</v>
      </c>
      <c r="EE25" s="710" t="e">
        <f t="shared" ca="1" si="19"/>
        <v>#DIV/0!</v>
      </c>
      <c r="EF25" s="710" t="e">
        <f t="shared" ca="1" si="20"/>
        <v>#DIV/0!</v>
      </c>
      <c r="EG25" s="833" t="e">
        <f t="shared" ca="1" si="21"/>
        <v>#DIV/0!</v>
      </c>
      <c r="EH25" s="710">
        <f>Ausgabe!$C$592</f>
        <v>2.7</v>
      </c>
      <c r="EI25" s="710">
        <f>Ausgabe!$C$593</f>
        <v>1.3</v>
      </c>
      <c r="EJ25" s="710">
        <f t="shared" si="34"/>
        <v>2.0769230769230771</v>
      </c>
      <c r="EK25" s="710">
        <f t="shared" si="35"/>
        <v>0</v>
      </c>
      <c r="EL25" s="833">
        <f t="shared" si="36"/>
        <v>0</v>
      </c>
      <c r="EM25" s="821">
        <f ca="1">Ausgabe!$C$581</f>
        <v>0</v>
      </c>
      <c r="EN25" s="710" t="e">
        <f t="shared" ca="1" si="22"/>
        <v>#DIV/0!</v>
      </c>
      <c r="EO25" s="1478"/>
      <c r="EP25" s="710" t="e">
        <f t="shared" ca="1" si="42"/>
        <v>#DIV/0!</v>
      </c>
      <c r="EQ25" s="833" t="e">
        <f t="shared" ca="1" si="24"/>
        <v>#DIV/0!</v>
      </c>
      <c r="ER25" s="889" t="e">
        <f t="shared" ca="1" si="25"/>
        <v>#DIV/0!</v>
      </c>
      <c r="ES25" s="619"/>
      <c r="EU25" s="499" t="s">
        <v>804</v>
      </c>
      <c r="EV25" s="723">
        <f ca="1">EV11+EV23*TAN(RADIANS(EV10))</f>
        <v>0</v>
      </c>
      <c r="EW25" s="499" t="s">
        <v>807</v>
      </c>
      <c r="EX25" s="723">
        <f ca="1">EX11+EX23*TAN(RADIANS(EX10))</f>
        <v>0</v>
      </c>
      <c r="FE25" s="499" t="s">
        <v>2021</v>
      </c>
      <c r="FF25" s="859" t="e">
        <f ca="1">FF24*FF23*FF6/1.3</f>
        <v>#DIV/0!</v>
      </c>
      <c r="FG25" s="569" t="s">
        <v>5</v>
      </c>
      <c r="FH25" s="1223"/>
    </row>
    <row r="26" spans="1:167" ht="15.75" customHeight="1">
      <c r="A26" s="569" t="str">
        <f>Sprachtexte!A17</f>
        <v>Höhe</v>
      </c>
      <c r="B26" s="631" t="s">
        <v>863</v>
      </c>
      <c r="C26" s="1361"/>
      <c r="D26" s="569" t="s">
        <v>2</v>
      </c>
      <c r="E26" s="631" t="s">
        <v>870</v>
      </c>
      <c r="F26" s="1216">
        <f>Berechnung_BZoben!$C$40</f>
        <v>410</v>
      </c>
      <c r="G26" s="569" t="s">
        <v>2</v>
      </c>
      <c r="J26" s="643"/>
      <c r="K26" s="1518"/>
      <c r="L26" s="1519"/>
      <c r="O26" s="649"/>
      <c r="P26" s="649"/>
      <c r="Q26" s="649"/>
      <c r="R26" s="649"/>
      <c r="AB26" s="554"/>
      <c r="AC26" s="579"/>
      <c r="AD26" s="607"/>
      <c r="AE26" s="707"/>
      <c r="AG26" s="523"/>
      <c r="AJ26" s="556"/>
      <c r="AK26" s="556"/>
      <c r="AW26" s="525"/>
      <c r="BB26" s="634" t="s">
        <v>417</v>
      </c>
      <c r="BC26" s="635">
        <f>IF(Eingabe!$V$12=33,30,IF(Eingabe!$V$12=34,31,Eingabe!$V$12))</f>
        <v>30</v>
      </c>
      <c r="BD26" s="636" t="str">
        <f>Eingabe!$W$12</f>
        <v>Nebenträger an Hauptträger</v>
      </c>
      <c r="BE26" s="626"/>
      <c r="BF26" s="626"/>
      <c r="BG26" s="626"/>
      <c r="BH26" s="626"/>
      <c r="BI26" s="626"/>
      <c r="BJ26" s="627"/>
      <c r="BR26" s="570" t="e">
        <f t="shared" ca="1" si="26"/>
        <v>#DIV/0!</v>
      </c>
      <c r="BS26" s="570" t="s">
        <v>1038</v>
      </c>
      <c r="BT26" s="571" t="s">
        <v>976</v>
      </c>
      <c r="BU26" s="610">
        <f>IF(OR(B101&lt;&gt;0,C101&lt;&gt;0,D101&lt;&gt;0,E101&lt;&gt;0,G101&lt;&gt;0),1,0)</f>
        <v>0</v>
      </c>
      <c r="BV26" s="619">
        <f>$BU$26*(1.35*B$99+1.5*B$101+1.5*$E$80*B$100)</f>
        <v>0</v>
      </c>
      <c r="BW26" s="619">
        <f>$BU$26*(1.35*C$99+1.5*C$101+1.5*$E$80*C$100)</f>
        <v>0</v>
      </c>
      <c r="BX26" s="619">
        <f>$BU$26*(1.35*D$99+1.5*D$101+1.5*$E$80*D$100)</f>
        <v>0</v>
      </c>
      <c r="BY26" s="619">
        <f>$BU$26*(1.35*E$99+1.5*E$101+1.5*$E$80*E$100)</f>
        <v>0</v>
      </c>
      <c r="BZ26" s="619">
        <f>$BU$26*(1.35*G$99+1.5*G$101+1.5*$E$80*G$100)</f>
        <v>0</v>
      </c>
      <c r="CA26" s="833">
        <f>VLOOKUP($A$81,MKW!$A$50:$E$60,4,FALSE)</f>
        <v>0</v>
      </c>
      <c r="CB26" s="821" t="e">
        <f t="shared" ca="1" si="27"/>
        <v>#DIV/0!</v>
      </c>
      <c r="CC26" s="619" t="str">
        <f t="shared" si="39"/>
        <v>unten</v>
      </c>
      <c r="CD26" s="834" t="e">
        <f ca="1">IF(CC26=_oben,Berechnung_BZoben!$S$7,Berechnung_BZunten!$S$7)</f>
        <v>#DIV/0!</v>
      </c>
      <c r="CE26" s="834" t="e">
        <f ca="1">CD26*2/(3*(1+2*Eingabe!CA26*Eingabe!$D$76))</f>
        <v>#DIV/0!</v>
      </c>
      <c r="CF26" s="710" t="e">
        <f ca="1">IF($C$86=Sprachtexte!$A$87,
-CE26*$C$87^3*BW26/(12*CE26*$C$87+24*$CF$2)+BX26*$BY$1*$CA$1/(6*$CF$2)*(($BY$1-$C$87-2*$CA$1)/(6*$CF$2)-1/CE26-$CA$1/(CE26*$C$87))/(($C$87/(3*$CF$2)+1/CE26)^2-($C$87/(6*$CF$2))^2),
-CE26*$C$87^3*BW26/(8*CE26*$C$87+24*$CF$2)-CE26*$CA$1/$C$87*($C$87^2-$CA$1^2)*BX26/(2*CE26*$C$87+6*$CF$2))</f>
        <v>#DIV/0!</v>
      </c>
      <c r="CG26" s="710" t="e">
        <f t="shared" ca="1" si="28"/>
        <v>#DIV/0!</v>
      </c>
      <c r="CH26" s="835">
        <f t="shared" ca="1" si="1"/>
        <v>0</v>
      </c>
      <c r="CI26" s="821" t="e">
        <f t="shared" ca="1" si="2"/>
        <v>#DIV/0!</v>
      </c>
      <c r="CJ26" s="619" t="str">
        <f t="shared" si="40"/>
        <v>unten</v>
      </c>
      <c r="CK26" s="834" t="e">
        <f ca="1">IF(CJ26=_oben,Berechnung_BZoben!$S$7,Berechnung_BZunten!$S$7)</f>
        <v>#DIV/0!</v>
      </c>
      <c r="CL26" s="834" t="e">
        <f ca="1">CK26*2/(3*(1+2*Eingabe!CA26*Eingabe!$D$76))</f>
        <v>#DIV/0!</v>
      </c>
      <c r="CM26" s="710" t="e">
        <f ca="1">IF($C$86=Sprachtexte!$A$87,
-CL26*$C$87^3*BW26/(12*CE26*$C$87+24*$CF$2)+BX26*$CA$1*$BY$1/(6*$CF$2)*(($CA$1-$C$87-2*$BY$1)/(6*$CF$2)-1/CE26-$BY$1/(CE26*$C$87))/(($C$87/(3*$CF$2)+1/CE26)^2-($C$87/(6*$CF$2))^2),0)</f>
        <v>#DIV/0!</v>
      </c>
      <c r="CN26" s="710" t="e">
        <f t="shared" ca="1" si="4"/>
        <v>#DIV/0!</v>
      </c>
      <c r="CO26" s="835">
        <f t="shared" ca="1" si="5"/>
        <v>0</v>
      </c>
      <c r="CP26" s="849">
        <f t="shared" si="29"/>
        <v>0</v>
      </c>
      <c r="CQ26" s="710" t="e">
        <f t="shared" ca="1" si="6"/>
        <v>#DIV/0!</v>
      </c>
      <c r="CR26" s="710" t="e">
        <f t="shared" ca="1" si="7"/>
        <v>#DIV/0!</v>
      </c>
      <c r="CS26" s="710">
        <f t="shared" si="30"/>
        <v>0</v>
      </c>
      <c r="CT26" s="710" t="e">
        <f t="shared" ca="1" si="41"/>
        <v>#DIV/0!</v>
      </c>
      <c r="CU26" s="710">
        <f t="shared" si="31"/>
        <v>0</v>
      </c>
      <c r="CV26" s="833">
        <f>MAX($C$79,$C$81,$C$80)</f>
        <v>0.9</v>
      </c>
      <c r="CW26" s="821" t="e">
        <f ca="1">MIN(Ausgabe!$C$173,Ausgabe!$C$186)</f>
        <v>#DIV/0!</v>
      </c>
      <c r="CX26" s="710">
        <f>Ausgabe!$C$187</f>
        <v>1.3</v>
      </c>
      <c r="CY26" s="619">
        <f>Ausgabe!$C$191</f>
        <v>100</v>
      </c>
      <c r="CZ26" s="710">
        <f>Ausgabe!$C$192</f>
        <v>1.25</v>
      </c>
      <c r="DA26" s="619">
        <f>Ausgabe!$C$194</f>
        <v>36.6</v>
      </c>
      <c r="DB26" s="710">
        <f>Ausgabe!$C$195</f>
        <v>1.25</v>
      </c>
      <c r="DC26" s="619" t="e">
        <f t="shared" ca="1" si="9"/>
        <v>#DIV/0!</v>
      </c>
      <c r="DD26" s="619">
        <f t="shared" si="32"/>
        <v>0</v>
      </c>
      <c r="DE26" s="710" t="e">
        <f t="shared" ca="1" si="10"/>
        <v>#DIV/0!</v>
      </c>
      <c r="DF26" s="821">
        <f ca="1">MIN(Ausgabe!$C$221,Ausgabe!$C$239)</f>
        <v>92.436470366395326</v>
      </c>
      <c r="DG26" s="710">
        <f>Ausgabe!$C$240</f>
        <v>1.3</v>
      </c>
      <c r="DH26" s="619">
        <f>Ausgabe!$C$246</f>
        <v>150.4</v>
      </c>
      <c r="DI26" s="710">
        <f>Ausgabe!$C$247</f>
        <v>1.1000000000000001</v>
      </c>
      <c r="DJ26" s="619">
        <f>Ausgabe!$C$254</f>
        <v>176.4</v>
      </c>
      <c r="DK26" s="710">
        <f>Ausgabe!$C$255</f>
        <v>1.25</v>
      </c>
      <c r="DL26" s="619">
        <f>Ausgabe!$C$263</f>
        <v>180.95573684677208</v>
      </c>
      <c r="DM26" s="710">
        <f>Ausgabe!$C$264</f>
        <v>1.1000000000000001</v>
      </c>
      <c r="DN26" s="619">
        <f t="shared" ca="1" si="11"/>
        <v>63.994479484427536</v>
      </c>
      <c r="DO26" s="619" t="e">
        <f t="shared" ca="1" si="12"/>
        <v>#DIV/0!</v>
      </c>
      <c r="DP26" s="833" t="e">
        <f t="shared" ca="1" si="13"/>
        <v>#DIV/0!</v>
      </c>
      <c r="DQ26" s="821" t="e">
        <f ca="1">Ausgabe!$C$369</f>
        <v>#DIV/0!</v>
      </c>
      <c r="DR26" s="710">
        <f>Ausgabe!$C$370</f>
        <v>1.3</v>
      </c>
      <c r="DS26" s="619" t="e">
        <f t="shared" ca="1" si="14"/>
        <v>#DIV/0!</v>
      </c>
      <c r="DT26" s="619" t="e">
        <f t="shared" ca="1" si="15"/>
        <v>#DIV/0!</v>
      </c>
      <c r="DU26" s="833" t="e">
        <f t="shared" ca="1" si="16"/>
        <v>#DIV/0!</v>
      </c>
      <c r="DV26" s="821">
        <f ca="1">Ausgabe!$C$420</f>
        <v>33.607770254588836</v>
      </c>
      <c r="DW26" s="710">
        <f>Ausgabe!$C$421</f>
        <v>1.3</v>
      </c>
      <c r="DX26" s="619">
        <f>Ausgabe!$C$423</f>
        <v>36.9</v>
      </c>
      <c r="DY26" s="710">
        <f>Ausgabe!$C$424</f>
        <v>1.1000000000000001</v>
      </c>
      <c r="DZ26" s="619">
        <f t="shared" ca="1" si="17"/>
        <v>23.266917868561499</v>
      </c>
      <c r="EA26" s="619">
        <f t="shared" si="33"/>
        <v>0</v>
      </c>
      <c r="EB26" s="833">
        <f t="shared" ca="1" si="18"/>
        <v>0</v>
      </c>
      <c r="EC26" s="710" t="e">
        <f ca="1">IF(CJ26=_oben,Berechnung_BZoben!$P$5,Berechnung_BZunten!$P$5)</f>
        <v>#DIV/0!</v>
      </c>
      <c r="ED26" s="710">
        <f>Ausgabe!$C$520</f>
        <v>1.3</v>
      </c>
      <c r="EE26" s="710" t="e">
        <f t="shared" ca="1" si="19"/>
        <v>#DIV/0!</v>
      </c>
      <c r="EF26" s="710" t="e">
        <f t="shared" ca="1" si="20"/>
        <v>#DIV/0!</v>
      </c>
      <c r="EG26" s="833" t="e">
        <f t="shared" ca="1" si="21"/>
        <v>#DIV/0!</v>
      </c>
      <c r="EH26" s="710">
        <f>Ausgabe!$C$592</f>
        <v>2.7</v>
      </c>
      <c r="EI26" s="710">
        <f>Ausgabe!$C$593</f>
        <v>1.3</v>
      </c>
      <c r="EJ26" s="710">
        <f t="shared" si="34"/>
        <v>1.8692307692307693</v>
      </c>
      <c r="EK26" s="710">
        <f t="shared" si="35"/>
        <v>0</v>
      </c>
      <c r="EL26" s="833">
        <f t="shared" si="36"/>
        <v>0</v>
      </c>
      <c r="EM26" s="821">
        <f ca="1">Ausgabe!$C$581</f>
        <v>0</v>
      </c>
      <c r="EN26" s="710" t="e">
        <f t="shared" ca="1" si="22"/>
        <v>#DIV/0!</v>
      </c>
      <c r="EO26" s="1478"/>
      <c r="EP26" s="710" t="e">
        <f t="shared" ca="1" si="42"/>
        <v>#DIV/0!</v>
      </c>
      <c r="EQ26" s="833" t="e">
        <f t="shared" ca="1" si="24"/>
        <v>#DIV/0!</v>
      </c>
      <c r="ER26" s="889" t="e">
        <f t="shared" ca="1" si="25"/>
        <v>#DIV/0!</v>
      </c>
      <c r="ES26" s="619"/>
      <c r="EU26" s="499"/>
      <c r="EV26" s="724"/>
      <c r="EW26" s="499"/>
      <c r="EX26" s="724"/>
      <c r="EY26" s="429"/>
      <c r="FE26" s="499" t="s">
        <v>2022</v>
      </c>
      <c r="FF26" s="1216" t="e">
        <f ca="1">1.3*$FF$5*(3*(1-$FF$15)^2-2*(1-$FF$15)^3)</f>
        <v>#DIV/0!</v>
      </c>
      <c r="FG26" s="569" t="s">
        <v>5</v>
      </c>
      <c r="FH26" s="1223"/>
    </row>
    <row r="27" spans="1:167" ht="15.75" customHeight="1" thickBot="1">
      <c r="A27" s="569"/>
      <c r="B27" s="569"/>
      <c r="C27" s="569"/>
      <c r="D27" s="569"/>
      <c r="E27" s="569"/>
      <c r="F27" s="569"/>
      <c r="G27" s="569"/>
      <c r="J27" s="643"/>
      <c r="K27" s="631" t="str">
        <f>Sprachtexte!A30</f>
        <v>Deckfläche</v>
      </c>
      <c r="L27" s="719">
        <v>1</v>
      </c>
      <c r="O27" s="649"/>
      <c r="P27" s="649"/>
      <c r="Q27" s="649"/>
      <c r="R27" s="649"/>
      <c r="AB27" s="554"/>
      <c r="AC27" s="579"/>
      <c r="AD27" s="607"/>
      <c r="AE27" s="707"/>
      <c r="AG27" s="523"/>
      <c r="AJ27" s="556"/>
      <c r="AK27" s="556"/>
      <c r="AW27" s="525"/>
      <c r="BB27" s="630" t="s">
        <v>417</v>
      </c>
      <c r="BC27" s="631">
        <f>Eingabe!$V$10</f>
        <v>22</v>
      </c>
      <c r="BD27" s="632" t="str">
        <f>Eingabe!$W$10</f>
        <v>Regelfall ohne Anschlusswinkel</v>
      </c>
      <c r="BE27"/>
      <c r="BF27"/>
      <c r="BG27"/>
      <c r="BH27"/>
      <c r="BI27"/>
      <c r="BJ27" s="629"/>
      <c r="BL27" s="700" t="str" cm="1">
        <f t="array" ref="BL27:BL28">TRANSPOSE(_xlfn.UNIQUE(_xlfn._xlws.FILTER(BF4:BK4, BF4:BK4&lt;&gt;""), TRUE, FALSE))</f>
        <v>Nebenträger an Hauptträger</v>
      </c>
      <c r="BR27" s="570" t="e">
        <f t="shared" ca="1" si="26"/>
        <v>#DIV/0!</v>
      </c>
      <c r="BS27" s="570" t="s">
        <v>1039</v>
      </c>
      <c r="BT27" s="571" t="s">
        <v>977</v>
      </c>
      <c r="BU27" s="610">
        <f>IF(OR(B101&lt;&gt;0,C101&lt;&gt;0,D101&lt;&gt;0,E101&lt;&gt;0,G101&lt;&gt;0),1,0)</f>
        <v>0</v>
      </c>
      <c r="BV27" s="619">
        <f>$BU$27*(1.35*B$99+1.5*B$101+1.5*$E$82*B$102)</f>
        <v>0</v>
      </c>
      <c r="BW27" s="619">
        <f>$BU$27*(1.35*C$99+1.5*C$101+1.5*$E$82*C$102)</f>
        <v>0</v>
      </c>
      <c r="BX27" s="619">
        <f>$BU$27*(1.35*D$99+1.5*D$101+1.5*$E$82*D$102)</f>
        <v>0</v>
      </c>
      <c r="BY27" s="619">
        <f>$BU$27*(1.35*E$99+1.5*E$101+1.5*$E$82*E$102)</f>
        <v>0</v>
      </c>
      <c r="BZ27" s="619">
        <f>$BU$27*(1.35*G$99+1.5*G$101+1.5*$E$82*G$102)</f>
        <v>0</v>
      </c>
      <c r="CA27" s="833">
        <f>VLOOKUP($A$81,MKW!$A$50:$E$60,4,FALSE)</f>
        <v>0</v>
      </c>
      <c r="CB27" s="821" t="e">
        <f t="shared" ca="1" si="27"/>
        <v>#DIV/0!</v>
      </c>
      <c r="CC27" s="619" t="str">
        <f t="shared" si="39"/>
        <v>unten</v>
      </c>
      <c r="CD27" s="834" t="e">
        <f ca="1">IF(CC27=_oben,Berechnung_BZoben!$S$7,Berechnung_BZunten!$S$7)</f>
        <v>#DIV/0!</v>
      </c>
      <c r="CE27" s="834" t="e">
        <f ca="1">CD27*2/(3*(1+2*Eingabe!CA27*Eingabe!$D$76))</f>
        <v>#DIV/0!</v>
      </c>
      <c r="CF27" s="710" t="e">
        <f ca="1">IF($C$86=Sprachtexte!$A$87,
-CE27*$C$87^3*BW27/(12*CE27*$C$87+24*$CF$2)+BX27*$BY$1*$CA$1/(6*$CF$2)*(($BY$1-$C$87-2*$CA$1)/(6*$CF$2)-1/CE27-$CA$1/(CE27*$C$87))/(($C$87/(3*$CF$2)+1/CE27)^2-($C$87/(6*$CF$2))^2),
-CE27*$C$87^3*BW27/(8*CE27*$C$87+24*$CF$2)-CE27*$CA$1/$C$87*($C$87^2-$CA$1^2)*BX27/(2*CE27*$C$87+6*$CF$2))</f>
        <v>#DIV/0!</v>
      </c>
      <c r="CG27" s="710" t="e">
        <f t="shared" ca="1" si="28"/>
        <v>#DIV/0!</v>
      </c>
      <c r="CH27" s="835">
        <f t="shared" ca="1" si="1"/>
        <v>0</v>
      </c>
      <c r="CI27" s="821" t="e">
        <f t="shared" ca="1" si="2"/>
        <v>#DIV/0!</v>
      </c>
      <c r="CJ27" s="619" t="str">
        <f t="shared" si="40"/>
        <v>unten</v>
      </c>
      <c r="CK27" s="834" t="e">
        <f ca="1">IF(CJ27=_oben,Berechnung_BZoben!$S$7,Berechnung_BZunten!$S$7)</f>
        <v>#DIV/0!</v>
      </c>
      <c r="CL27" s="834" t="e">
        <f ca="1">CK27*2/(3*(1+2*Eingabe!CA27*Eingabe!$D$76))</f>
        <v>#DIV/0!</v>
      </c>
      <c r="CM27" s="710" t="e">
        <f ca="1">IF($C$86=Sprachtexte!$A$87,
-CL27*$C$87^3*BW27/(12*CE27*$C$87+24*$CF$2)+BX27*$CA$1*$BY$1/(6*$CF$2)*(($CA$1-$C$87-2*$BY$1)/(6*$CF$2)-1/CE27-$BY$1/(CE27*$C$87))/(($C$87/(3*$CF$2)+1/CE27)^2-($C$87/(6*$CF$2))^2),0)</f>
        <v>#DIV/0!</v>
      </c>
      <c r="CN27" s="710" t="e">
        <f t="shared" ca="1" si="4"/>
        <v>#DIV/0!</v>
      </c>
      <c r="CO27" s="835">
        <f t="shared" ca="1" si="5"/>
        <v>0</v>
      </c>
      <c r="CP27" s="849">
        <f t="shared" si="29"/>
        <v>0</v>
      </c>
      <c r="CQ27" s="710" t="e">
        <f t="shared" ca="1" si="6"/>
        <v>#DIV/0!</v>
      </c>
      <c r="CR27" s="710" t="e">
        <f t="shared" ca="1" si="7"/>
        <v>#DIV/0!</v>
      </c>
      <c r="CS27" s="710">
        <f t="shared" si="30"/>
        <v>0</v>
      </c>
      <c r="CT27" s="710" t="e">
        <f t="shared" ca="1" si="41"/>
        <v>#DIV/0!</v>
      </c>
      <c r="CU27" s="710">
        <f t="shared" si="31"/>
        <v>0</v>
      </c>
      <c r="CV27" s="833">
        <f>MAX($C$79,$C$81,$C$82)</f>
        <v>1</v>
      </c>
      <c r="CW27" s="821" t="e">
        <f ca="1">MIN(Ausgabe!$C$173,Ausgabe!$C$186)</f>
        <v>#DIV/0!</v>
      </c>
      <c r="CX27" s="710">
        <f>Ausgabe!$C$187</f>
        <v>1.3</v>
      </c>
      <c r="CY27" s="619">
        <f>Ausgabe!$C$191</f>
        <v>100</v>
      </c>
      <c r="CZ27" s="710">
        <f>Ausgabe!$C$192</f>
        <v>1.25</v>
      </c>
      <c r="DA27" s="619">
        <f>Ausgabe!$C$194</f>
        <v>36.6</v>
      </c>
      <c r="DB27" s="710">
        <f>Ausgabe!$C$195</f>
        <v>1.25</v>
      </c>
      <c r="DC27" s="619" t="e">
        <f t="shared" ca="1" si="9"/>
        <v>#DIV/0!</v>
      </c>
      <c r="DD27" s="619">
        <f t="shared" si="32"/>
        <v>0</v>
      </c>
      <c r="DE27" s="710" t="e">
        <f t="shared" ca="1" si="10"/>
        <v>#DIV/0!</v>
      </c>
      <c r="DF27" s="821">
        <f ca="1">MIN(Ausgabe!$C$221,Ausgabe!$C$239)</f>
        <v>92.436470366395326</v>
      </c>
      <c r="DG27" s="710">
        <f>Ausgabe!$C$240</f>
        <v>1.3</v>
      </c>
      <c r="DH27" s="619">
        <f>Ausgabe!$C$246</f>
        <v>150.4</v>
      </c>
      <c r="DI27" s="710">
        <f>Ausgabe!$C$247</f>
        <v>1.1000000000000001</v>
      </c>
      <c r="DJ27" s="619">
        <f>Ausgabe!$C$254</f>
        <v>176.4</v>
      </c>
      <c r="DK27" s="710">
        <f>Ausgabe!$C$255</f>
        <v>1.25</v>
      </c>
      <c r="DL27" s="619">
        <f>Ausgabe!$C$263</f>
        <v>180.95573684677208</v>
      </c>
      <c r="DM27" s="710">
        <f>Ausgabe!$C$264</f>
        <v>1.1000000000000001</v>
      </c>
      <c r="DN27" s="619">
        <f t="shared" ca="1" si="11"/>
        <v>71.104977204919479</v>
      </c>
      <c r="DO27" s="619" t="e">
        <f t="shared" ca="1" si="12"/>
        <v>#DIV/0!</v>
      </c>
      <c r="DP27" s="833" t="e">
        <f t="shared" ca="1" si="13"/>
        <v>#DIV/0!</v>
      </c>
      <c r="DQ27" s="821" t="e">
        <f ca="1">Ausgabe!$C$369</f>
        <v>#DIV/0!</v>
      </c>
      <c r="DR27" s="710">
        <f>Ausgabe!$C$370</f>
        <v>1.3</v>
      </c>
      <c r="DS27" s="619" t="e">
        <f t="shared" ca="1" si="14"/>
        <v>#DIV/0!</v>
      </c>
      <c r="DT27" s="619" t="e">
        <f t="shared" ca="1" si="15"/>
        <v>#DIV/0!</v>
      </c>
      <c r="DU27" s="833" t="e">
        <f t="shared" ca="1" si="16"/>
        <v>#DIV/0!</v>
      </c>
      <c r="DV27" s="821">
        <f ca="1">Ausgabe!$C$420</f>
        <v>33.607770254588836</v>
      </c>
      <c r="DW27" s="710">
        <f>Ausgabe!$C$421</f>
        <v>1.3</v>
      </c>
      <c r="DX27" s="619">
        <f>Ausgabe!$C$423</f>
        <v>36.9</v>
      </c>
      <c r="DY27" s="710">
        <f>Ausgabe!$C$424</f>
        <v>1.1000000000000001</v>
      </c>
      <c r="DZ27" s="619">
        <f t="shared" ca="1" si="17"/>
        <v>25.852130965068334</v>
      </c>
      <c r="EA27" s="619">
        <f t="shared" si="33"/>
        <v>0</v>
      </c>
      <c r="EB27" s="833">
        <f t="shared" ca="1" si="18"/>
        <v>0</v>
      </c>
      <c r="EC27" s="710" t="e">
        <f ca="1">IF(CJ27=_oben,Berechnung_BZoben!$P$5,Berechnung_BZunten!$P$5)</f>
        <v>#DIV/0!</v>
      </c>
      <c r="ED27" s="710">
        <f>Ausgabe!$C$520</f>
        <v>1.3</v>
      </c>
      <c r="EE27" s="710" t="e">
        <f t="shared" ca="1" si="19"/>
        <v>#DIV/0!</v>
      </c>
      <c r="EF27" s="710" t="e">
        <f t="shared" ca="1" si="20"/>
        <v>#DIV/0!</v>
      </c>
      <c r="EG27" s="833" t="e">
        <f t="shared" ca="1" si="21"/>
        <v>#DIV/0!</v>
      </c>
      <c r="EH27" s="710">
        <f>Ausgabe!$C$592</f>
        <v>2.7</v>
      </c>
      <c r="EI27" s="710">
        <f>Ausgabe!$C$593</f>
        <v>1.3</v>
      </c>
      <c r="EJ27" s="710">
        <f t="shared" si="34"/>
        <v>2.0769230769230771</v>
      </c>
      <c r="EK27" s="710">
        <f t="shared" si="35"/>
        <v>0</v>
      </c>
      <c r="EL27" s="833">
        <f t="shared" si="36"/>
        <v>0</v>
      </c>
      <c r="EM27" s="821">
        <f ca="1">Ausgabe!$C$581</f>
        <v>0</v>
      </c>
      <c r="EN27" s="710" t="e">
        <f t="shared" ca="1" si="22"/>
        <v>#DIV/0!</v>
      </c>
      <c r="EO27" s="1478"/>
      <c r="EP27" s="710" t="e">
        <f t="shared" ca="1" si="42"/>
        <v>#DIV/0!</v>
      </c>
      <c r="EQ27" s="833" t="e">
        <f t="shared" ca="1" si="24"/>
        <v>#DIV/0!</v>
      </c>
      <c r="ER27" s="889" t="e">
        <f t="shared" ca="1" si="25"/>
        <v>#DIV/0!</v>
      </c>
      <c r="ES27" s="619"/>
      <c r="EU27" s="499" t="s">
        <v>786</v>
      </c>
      <c r="EV27" s="724"/>
      <c r="EW27" s="499" t="s">
        <v>786</v>
      </c>
      <c r="EX27" s="724"/>
      <c r="EY27" s="429"/>
      <c r="FE27" s="712" t="s">
        <v>2032</v>
      </c>
      <c r="FF27" s="1230" t="e">
        <f ca="1">FF26/FF25</f>
        <v>#DIV/0!</v>
      </c>
      <c r="FG27" s="1231" t="s">
        <v>370</v>
      </c>
      <c r="FH27" s="1232"/>
    </row>
    <row r="28" spans="1:167" ht="15.75" customHeight="1" thickBot="1">
      <c r="A28" s="569" t="str">
        <f>Sprachtexte!A24</f>
        <v>Ausführung</v>
      </c>
      <c r="C28" s="1362" t="s">
        <v>677</v>
      </c>
      <c r="D28" s="569"/>
      <c r="E28" s="631"/>
      <c r="F28" s="569"/>
      <c r="G28" s="569"/>
      <c r="J28" s="643"/>
      <c r="K28" s="1445" t="str">
        <f>Sprachtexte!A31</f>
        <v>Seitenfläche</v>
      </c>
      <c r="L28" s="720">
        <v>2</v>
      </c>
      <c r="O28" s="649"/>
      <c r="P28" s="649"/>
      <c r="Q28" s="649"/>
      <c r="R28" s="649"/>
      <c r="AB28" s="554"/>
      <c r="AC28" s="579"/>
      <c r="AD28" s="607"/>
      <c r="AE28" s="707"/>
      <c r="AG28" s="523"/>
      <c r="AJ28" s="556"/>
      <c r="AK28" s="556"/>
      <c r="AW28" s="525"/>
      <c r="BB28" s="628"/>
      <c r="BC28"/>
      <c r="BD28" s="1464" t="s">
        <v>474</v>
      </c>
      <c r="BE28" s="1465"/>
      <c r="BF28" s="1465"/>
      <c r="BG28" s="1466"/>
      <c r="BH28"/>
      <c r="BI28"/>
      <c r="BJ28" s="629"/>
      <c r="BL28" s="702" t="str">
        <v>Nebenträger an Stütze</v>
      </c>
      <c r="BR28" s="570" t="e">
        <f t="shared" ca="1" si="26"/>
        <v>#DIV/0!</v>
      </c>
      <c r="BS28" s="570" t="s">
        <v>1040</v>
      </c>
      <c r="BT28" s="571" t="s">
        <v>978</v>
      </c>
      <c r="BU28" s="610">
        <f>IF(OR(B102&lt;&gt;0,C102&lt;&gt;0,D102&lt;&gt;0,E102&lt;&gt;0,G102&lt;&gt;0),1,0)</f>
        <v>0</v>
      </c>
      <c r="BV28" s="619">
        <f>$BU$28*(1.35*B$99+1.5*B$102+1.5*$E$80*B$100)</f>
        <v>0</v>
      </c>
      <c r="BW28" s="619">
        <f>$BU$28*(1.35*C$99+1.5*C$102+1.5*$E$80*C$100)</f>
        <v>0</v>
      </c>
      <c r="BX28" s="619">
        <f>$BU$28*(1.35*D$99+1.5*D$102+1.5*$E$80*D$100)</f>
        <v>0</v>
      </c>
      <c r="BY28" s="619">
        <f>$BU$28*(1.35*E$99+1.5*E$102+1.5*$E$80*E$100)</f>
        <v>0</v>
      </c>
      <c r="BZ28" s="619">
        <f>$BU$28*(1.35*G$99+1.5*G$102+1.5*$E$80*G$100)</f>
        <v>0</v>
      </c>
      <c r="CA28" s="833">
        <f>VLOOKUP($A$82,MKW!$A$50:$E$60,4,FALSE)</f>
        <v>0</v>
      </c>
      <c r="CB28" s="821" t="e">
        <f t="shared" ca="1" si="27"/>
        <v>#DIV/0!</v>
      </c>
      <c r="CC28" s="619" t="str">
        <f t="shared" si="39"/>
        <v>unten</v>
      </c>
      <c r="CD28" s="834" t="e">
        <f ca="1">IF(CC28=_oben,Berechnung_BZoben!$S$7,Berechnung_BZunten!$S$7)</f>
        <v>#DIV/0!</v>
      </c>
      <c r="CE28" s="834" t="e">
        <f ca="1">CD28*2/(3*(1+2*Eingabe!CA28*Eingabe!$D$76))</f>
        <v>#DIV/0!</v>
      </c>
      <c r="CF28" s="710" t="e">
        <f ca="1">IF($C$86=Sprachtexte!$A$87,
-CE28*$C$87^3*BW28/(12*CE28*$C$87+24*$CF$2)+BX28*$BY$1*$CA$1/(6*$CF$2)*(($BY$1-$C$87-2*$CA$1)/(6*$CF$2)-1/CE28-$CA$1/(CE28*$C$87))/(($C$87/(3*$CF$2)+1/CE28)^2-($C$87/(6*$CF$2))^2),
-CE28*$C$87^3*BW28/(8*CE28*$C$87+24*$CF$2)-CE28*$CA$1/$C$87*($C$87^2-$CA$1^2)*BX28/(2*CE28*$C$87+6*$CF$2))</f>
        <v>#DIV/0!</v>
      </c>
      <c r="CG28" s="710" t="e">
        <f t="shared" ca="1" si="28"/>
        <v>#DIV/0!</v>
      </c>
      <c r="CH28" s="835">
        <f t="shared" ca="1" si="1"/>
        <v>0</v>
      </c>
      <c r="CI28" s="821" t="e">
        <f t="shared" ca="1" si="2"/>
        <v>#DIV/0!</v>
      </c>
      <c r="CJ28" s="619" t="str">
        <f t="shared" si="40"/>
        <v>unten</v>
      </c>
      <c r="CK28" s="834" t="e">
        <f ca="1">IF(CJ28=_oben,Berechnung_BZoben!$S$7,Berechnung_BZunten!$S$7)</f>
        <v>#DIV/0!</v>
      </c>
      <c r="CL28" s="834" t="e">
        <f ca="1">CK28*2/(3*(1+2*Eingabe!CA28*Eingabe!$D$76))</f>
        <v>#DIV/0!</v>
      </c>
      <c r="CM28" s="710" t="e">
        <f ca="1">IF($C$86=Sprachtexte!$A$87,
-CL28*$C$87^3*BW28/(12*CE28*$C$87+24*$CF$2)+BX28*$CA$1*$BY$1/(6*$CF$2)*(($CA$1-$C$87-2*$BY$1)/(6*$CF$2)-1/CE28-$BY$1/(CE28*$C$87))/(($C$87/(3*$CF$2)+1/CE28)^2-($C$87/(6*$CF$2))^2),0)</f>
        <v>#DIV/0!</v>
      </c>
      <c r="CN28" s="710" t="e">
        <f t="shared" ca="1" si="4"/>
        <v>#DIV/0!</v>
      </c>
      <c r="CO28" s="835">
        <f t="shared" ca="1" si="5"/>
        <v>0</v>
      </c>
      <c r="CP28" s="849">
        <f t="shared" si="29"/>
        <v>0</v>
      </c>
      <c r="CQ28" s="710" t="e">
        <f t="shared" ca="1" si="6"/>
        <v>#DIV/0!</v>
      </c>
      <c r="CR28" s="710" t="e">
        <f t="shared" ca="1" si="7"/>
        <v>#DIV/0!</v>
      </c>
      <c r="CS28" s="710">
        <f t="shared" si="30"/>
        <v>0</v>
      </c>
      <c r="CT28" s="710" t="e">
        <f t="shared" ca="1" si="41"/>
        <v>#DIV/0!</v>
      </c>
      <c r="CU28" s="710">
        <f t="shared" si="31"/>
        <v>0</v>
      </c>
      <c r="CV28" s="833">
        <f>MAX($C$79,$C$82,$C$80)</f>
        <v>1</v>
      </c>
      <c r="CW28" s="821" t="e">
        <f ca="1">MIN(Ausgabe!$C$173,Ausgabe!$C$186)</f>
        <v>#DIV/0!</v>
      </c>
      <c r="CX28" s="710">
        <f>Ausgabe!$C$187</f>
        <v>1.3</v>
      </c>
      <c r="CY28" s="619">
        <f>Ausgabe!$C$191</f>
        <v>100</v>
      </c>
      <c r="CZ28" s="710">
        <f>Ausgabe!$C$192</f>
        <v>1.25</v>
      </c>
      <c r="DA28" s="619">
        <f>Ausgabe!$C$194</f>
        <v>36.6</v>
      </c>
      <c r="DB28" s="710">
        <f>Ausgabe!$C$195</f>
        <v>1.25</v>
      </c>
      <c r="DC28" s="619" t="e">
        <f t="shared" ca="1" si="9"/>
        <v>#DIV/0!</v>
      </c>
      <c r="DD28" s="619">
        <f t="shared" si="32"/>
        <v>0</v>
      </c>
      <c r="DE28" s="710" t="e">
        <f t="shared" ca="1" si="10"/>
        <v>#DIV/0!</v>
      </c>
      <c r="DF28" s="821">
        <f ca="1">MIN(Ausgabe!$C$221,Ausgabe!$C$239)</f>
        <v>92.436470366395326</v>
      </c>
      <c r="DG28" s="710">
        <f>Ausgabe!$C$240</f>
        <v>1.3</v>
      </c>
      <c r="DH28" s="619">
        <f>Ausgabe!$C$246</f>
        <v>150.4</v>
      </c>
      <c r="DI28" s="710">
        <f>Ausgabe!$C$247</f>
        <v>1.1000000000000001</v>
      </c>
      <c r="DJ28" s="619">
        <f>Ausgabe!$C$254</f>
        <v>176.4</v>
      </c>
      <c r="DK28" s="710">
        <f>Ausgabe!$C$255</f>
        <v>1.25</v>
      </c>
      <c r="DL28" s="619">
        <f>Ausgabe!$C$263</f>
        <v>180.95573684677208</v>
      </c>
      <c r="DM28" s="710">
        <f>Ausgabe!$C$264</f>
        <v>1.1000000000000001</v>
      </c>
      <c r="DN28" s="619">
        <f t="shared" ca="1" si="11"/>
        <v>71.104977204919479</v>
      </c>
      <c r="DO28" s="619" t="e">
        <f t="shared" ca="1" si="12"/>
        <v>#DIV/0!</v>
      </c>
      <c r="DP28" s="833" t="e">
        <f t="shared" ca="1" si="13"/>
        <v>#DIV/0!</v>
      </c>
      <c r="DQ28" s="821" t="e">
        <f ca="1">Ausgabe!$C$369</f>
        <v>#DIV/0!</v>
      </c>
      <c r="DR28" s="710">
        <f>Ausgabe!$C$370</f>
        <v>1.3</v>
      </c>
      <c r="DS28" s="619" t="e">
        <f t="shared" ca="1" si="14"/>
        <v>#DIV/0!</v>
      </c>
      <c r="DT28" s="619" t="e">
        <f t="shared" ca="1" si="15"/>
        <v>#DIV/0!</v>
      </c>
      <c r="DU28" s="833" t="e">
        <f t="shared" ca="1" si="16"/>
        <v>#DIV/0!</v>
      </c>
      <c r="DV28" s="821">
        <f ca="1">Ausgabe!$C$420</f>
        <v>33.607770254588836</v>
      </c>
      <c r="DW28" s="710">
        <f>Ausgabe!$C$421</f>
        <v>1.3</v>
      </c>
      <c r="DX28" s="619">
        <f>Ausgabe!$C$423</f>
        <v>36.9</v>
      </c>
      <c r="DY28" s="710">
        <f>Ausgabe!$C$424</f>
        <v>1.1000000000000001</v>
      </c>
      <c r="DZ28" s="619">
        <f t="shared" ca="1" si="17"/>
        <v>25.852130965068334</v>
      </c>
      <c r="EA28" s="619">
        <f t="shared" si="33"/>
        <v>0</v>
      </c>
      <c r="EB28" s="833">
        <f t="shared" ca="1" si="18"/>
        <v>0</v>
      </c>
      <c r="EC28" s="710" t="e">
        <f ca="1">IF(CJ28=_oben,Berechnung_BZoben!$P$5,Berechnung_BZunten!$P$5)</f>
        <v>#DIV/0!</v>
      </c>
      <c r="ED28" s="710">
        <f>Ausgabe!$C$520</f>
        <v>1.3</v>
      </c>
      <c r="EE28" s="710" t="e">
        <f t="shared" ca="1" si="19"/>
        <v>#DIV/0!</v>
      </c>
      <c r="EF28" s="710" t="e">
        <f t="shared" ca="1" si="20"/>
        <v>#DIV/0!</v>
      </c>
      <c r="EG28" s="833" t="e">
        <f t="shared" ca="1" si="21"/>
        <v>#DIV/0!</v>
      </c>
      <c r="EH28" s="710">
        <f>Ausgabe!$C$592</f>
        <v>2.7</v>
      </c>
      <c r="EI28" s="710">
        <f>Ausgabe!$C$593</f>
        <v>1.3</v>
      </c>
      <c r="EJ28" s="710">
        <f t="shared" si="34"/>
        <v>2.0769230769230771</v>
      </c>
      <c r="EK28" s="710">
        <f t="shared" si="35"/>
        <v>0</v>
      </c>
      <c r="EL28" s="833">
        <f t="shared" si="36"/>
        <v>0</v>
      </c>
      <c r="EM28" s="821">
        <f ca="1">Ausgabe!$C$581</f>
        <v>0</v>
      </c>
      <c r="EN28" s="710" t="e">
        <f t="shared" ca="1" si="22"/>
        <v>#DIV/0!</v>
      </c>
      <c r="EO28" s="1478"/>
      <c r="EP28" s="710" t="e">
        <f t="shared" ca="1" si="42"/>
        <v>#DIV/0!</v>
      </c>
      <c r="EQ28" s="833" t="e">
        <f t="shared" ca="1" si="24"/>
        <v>#DIV/0!</v>
      </c>
      <c r="ER28" s="889" t="e">
        <f t="shared" ca="1" si="25"/>
        <v>#DIV/0!</v>
      </c>
      <c r="ES28" s="619"/>
      <c r="EU28" s="499" t="s">
        <v>1111</v>
      </c>
      <c r="EV28" s="724">
        <f ca="1">IF(AND(EV24&lt;=EV21,EV25&gt;=EV21,EV24&lt;=EV22,EV25&gt;=EV22),1,0)</f>
        <v>0</v>
      </c>
      <c r="EW28" s="499" t="s">
        <v>1111</v>
      </c>
      <c r="EX28" s="724">
        <f ca="1">IF(AND(EX24&lt;=EX21,EX25&gt;=EX21,EX24&lt;=EX22,EX25&gt;=EX22),1,0)</f>
        <v>0</v>
      </c>
      <c r="EY28" s="429"/>
      <c r="FE28" s="499" t="s">
        <v>2324</v>
      </c>
      <c r="FF28" s="859" t="e">
        <f ca="1">FF26/(FF23*FF6/1.3)</f>
        <v>#DIV/0!</v>
      </c>
      <c r="FG28" s="569"/>
      <c r="FH28" s="1223"/>
    </row>
    <row r="29" spans="1:167" ht="16.5" thickBot="1">
      <c r="A29" s="1363" t="s">
        <v>857</v>
      </c>
      <c r="B29" s="743" t="s">
        <v>864</v>
      </c>
      <c r="C29" s="1361">
        <v>0</v>
      </c>
      <c r="D29" s="569" t="s">
        <v>270</v>
      </c>
      <c r="E29" s="1438" t="str">
        <f>IF(A29=Sprachtexte!A33,"-10°",IF(A29=Sprachtexte!A32,"-20°","FEHLER"))</f>
        <v>-20°</v>
      </c>
      <c r="F29" s="1439" t="s">
        <v>2605</v>
      </c>
      <c r="G29" s="1440" t="str">
        <f>IF(A29=Sprachtexte!A33,"+10°",IF(A29=Sprachtexte!A32,"+20°","FEHLER"))</f>
        <v>+20°</v>
      </c>
      <c r="J29" s="643"/>
      <c r="K29" s="527"/>
      <c r="L29" s="527"/>
      <c r="O29" s="649"/>
      <c r="P29" s="649"/>
      <c r="Q29" s="649"/>
      <c r="R29" s="649"/>
      <c r="AB29" s="554"/>
      <c r="AC29" s="579"/>
      <c r="AD29" s="607"/>
      <c r="AE29" s="707"/>
      <c r="AG29" s="523"/>
      <c r="AJ29" s="556"/>
      <c r="AK29" s="556"/>
      <c r="AW29" s="525"/>
      <c r="BB29" s="628"/>
      <c r="BC29"/>
      <c r="BD29" s="1469" t="s">
        <v>95</v>
      </c>
      <c r="BE29" s="1470"/>
      <c r="BF29" s="1469" t="s">
        <v>94</v>
      </c>
      <c r="BG29" s="1470"/>
      <c r="BH29"/>
      <c r="BI29"/>
      <c r="BJ29" s="629"/>
      <c r="BL29" s="701"/>
      <c r="BR29" s="570" t="e">
        <f t="shared" ca="1" si="26"/>
        <v>#DIV/0!</v>
      </c>
      <c r="BS29" s="570" t="s">
        <v>1041</v>
      </c>
      <c r="BT29" s="571" t="s">
        <v>979</v>
      </c>
      <c r="BU29" s="610">
        <f>IF(OR(B102&lt;&gt;0,C102&lt;&gt;0,D102&lt;&gt;0,E102&lt;&gt;0,G102&lt;&gt;0),1,0)</f>
        <v>0</v>
      </c>
      <c r="BV29" s="619">
        <f>$BU$29*(1.35*B$99+1.5*B$102+1.5*$E$81*B$101)</f>
        <v>0</v>
      </c>
      <c r="BW29" s="619">
        <f>$BU$29*(1.35*C$99+1.5*C$102+1.5*$E$81*C$101)</f>
        <v>0</v>
      </c>
      <c r="BX29" s="619">
        <f>$BU$29*(1.35*D$99+1.5*D$102+1.5*$E$81*D$101)</f>
        <v>0</v>
      </c>
      <c r="BY29" s="619">
        <f>$BU$29*(1.35*E$99+1.5*E$102+1.5*$E$81*E$101)</f>
        <v>0</v>
      </c>
      <c r="BZ29" s="619">
        <f>$BU$29*(1.35*G$99+1.5*G$102+1.5*$E$81*G$101)</f>
        <v>0</v>
      </c>
      <c r="CA29" s="833">
        <f>VLOOKUP($A$82,MKW!$A$50:$E$60,4,FALSE)</f>
        <v>0</v>
      </c>
      <c r="CB29" s="821" t="e">
        <f t="shared" ca="1" si="27"/>
        <v>#DIV/0!</v>
      </c>
      <c r="CC29" s="619" t="str">
        <f t="shared" si="39"/>
        <v>unten</v>
      </c>
      <c r="CD29" s="834" t="e">
        <f ca="1">IF(CC29=_oben,Berechnung_BZoben!$S$7,Berechnung_BZunten!$S$7)</f>
        <v>#DIV/0!</v>
      </c>
      <c r="CE29" s="834" t="e">
        <f ca="1">CD29*2/(3*(1+2*Eingabe!CA29*Eingabe!$D$76))</f>
        <v>#DIV/0!</v>
      </c>
      <c r="CF29" s="710" t="e">
        <f ca="1">IF($C$86=Sprachtexte!$A$87,
-CE29*$C$87^3*BW29/(12*CE29*$C$87+24*$CF$2)+BX29*$BY$1*$CA$1/(6*$CF$2)*(($BY$1-$C$87-2*$CA$1)/(6*$CF$2)-1/CE29-$CA$1/(CE29*$C$87))/(($C$87/(3*$CF$2)+1/CE29)^2-($C$87/(6*$CF$2))^2),
-CE29*$C$87^3*BW29/(8*CE29*$C$87+24*$CF$2)-CE29*$CA$1/$C$87*($C$87^2-$CA$1^2)*BX29/(2*CE29*$C$87+6*$CF$2))</f>
        <v>#DIV/0!</v>
      </c>
      <c r="CG29" s="710" t="e">
        <f t="shared" ca="1" si="28"/>
        <v>#DIV/0!</v>
      </c>
      <c r="CH29" s="835">
        <f t="shared" ca="1" si="1"/>
        <v>0</v>
      </c>
      <c r="CI29" s="821" t="e">
        <f t="shared" ca="1" si="2"/>
        <v>#DIV/0!</v>
      </c>
      <c r="CJ29" s="619" t="str">
        <f t="shared" si="40"/>
        <v>unten</v>
      </c>
      <c r="CK29" s="834" t="e">
        <f ca="1">IF(CJ29=_oben,Berechnung_BZoben!$S$7,Berechnung_BZunten!$S$7)</f>
        <v>#DIV/0!</v>
      </c>
      <c r="CL29" s="834" t="e">
        <f ca="1">CK29*2/(3*(1+2*Eingabe!CA29*Eingabe!$D$76))</f>
        <v>#DIV/0!</v>
      </c>
      <c r="CM29" s="710" t="e">
        <f ca="1">IF($C$86=Sprachtexte!$A$87,
-CL29*$C$87^3*BW29/(12*CE29*$C$87+24*$CF$2)+BX29*$CA$1*$BY$1/(6*$CF$2)*(($CA$1-$C$87-2*$BY$1)/(6*$CF$2)-1/CE29-$BY$1/(CE29*$C$87))/(($C$87/(3*$CF$2)+1/CE29)^2-($C$87/(6*$CF$2))^2),0)</f>
        <v>#DIV/0!</v>
      </c>
      <c r="CN29" s="710" t="e">
        <f t="shared" ca="1" si="4"/>
        <v>#DIV/0!</v>
      </c>
      <c r="CO29" s="835">
        <f t="shared" ca="1" si="5"/>
        <v>0</v>
      </c>
      <c r="CP29" s="849">
        <f t="shared" si="29"/>
        <v>0</v>
      </c>
      <c r="CQ29" s="710" t="e">
        <f t="shared" ca="1" si="6"/>
        <v>#DIV/0!</v>
      </c>
      <c r="CR29" s="710" t="e">
        <f t="shared" ca="1" si="7"/>
        <v>#DIV/0!</v>
      </c>
      <c r="CS29" s="710">
        <f t="shared" si="30"/>
        <v>0</v>
      </c>
      <c r="CT29" s="710" t="e">
        <f t="shared" ca="1" si="41"/>
        <v>#DIV/0!</v>
      </c>
      <c r="CU29" s="710">
        <f t="shared" si="31"/>
        <v>0</v>
      </c>
      <c r="CV29" s="833">
        <f>MAX($C$79,$C$82,$C$81)</f>
        <v>1</v>
      </c>
      <c r="CW29" s="821" t="e">
        <f ca="1">MIN(Ausgabe!$C$173,Ausgabe!$C$186)</f>
        <v>#DIV/0!</v>
      </c>
      <c r="CX29" s="710">
        <f>Ausgabe!$C$187</f>
        <v>1.3</v>
      </c>
      <c r="CY29" s="619">
        <f>Ausgabe!$C$191</f>
        <v>100</v>
      </c>
      <c r="CZ29" s="710">
        <f>Ausgabe!$C$192</f>
        <v>1.25</v>
      </c>
      <c r="DA29" s="619">
        <f>Ausgabe!$C$194</f>
        <v>36.6</v>
      </c>
      <c r="DB29" s="710">
        <f>Ausgabe!$C$195</f>
        <v>1.25</v>
      </c>
      <c r="DC29" s="619" t="e">
        <f t="shared" ca="1" si="9"/>
        <v>#DIV/0!</v>
      </c>
      <c r="DD29" s="619">
        <f t="shared" si="32"/>
        <v>0</v>
      </c>
      <c r="DE29" s="710" t="e">
        <f t="shared" ca="1" si="10"/>
        <v>#DIV/0!</v>
      </c>
      <c r="DF29" s="821">
        <f ca="1">MIN(Ausgabe!$C$221,Ausgabe!$C$239)</f>
        <v>92.436470366395326</v>
      </c>
      <c r="DG29" s="710">
        <f>Ausgabe!$C$240</f>
        <v>1.3</v>
      </c>
      <c r="DH29" s="619">
        <f>Ausgabe!$C$246</f>
        <v>150.4</v>
      </c>
      <c r="DI29" s="710">
        <f>Ausgabe!$C$247</f>
        <v>1.1000000000000001</v>
      </c>
      <c r="DJ29" s="619">
        <f>Ausgabe!$C$254</f>
        <v>176.4</v>
      </c>
      <c r="DK29" s="710">
        <f>Ausgabe!$C$255</f>
        <v>1.25</v>
      </c>
      <c r="DL29" s="619">
        <f>Ausgabe!$C$263</f>
        <v>180.95573684677208</v>
      </c>
      <c r="DM29" s="710">
        <f>Ausgabe!$C$264</f>
        <v>1.1000000000000001</v>
      </c>
      <c r="DN29" s="619">
        <f t="shared" ca="1" si="11"/>
        <v>71.104977204919479</v>
      </c>
      <c r="DO29" s="619" t="e">
        <f t="shared" ca="1" si="12"/>
        <v>#DIV/0!</v>
      </c>
      <c r="DP29" s="833" t="e">
        <f t="shared" ca="1" si="13"/>
        <v>#DIV/0!</v>
      </c>
      <c r="DQ29" s="821" t="e">
        <f ca="1">Ausgabe!$C$369</f>
        <v>#DIV/0!</v>
      </c>
      <c r="DR29" s="710">
        <f>Ausgabe!$C$370</f>
        <v>1.3</v>
      </c>
      <c r="DS29" s="619" t="e">
        <f t="shared" ca="1" si="14"/>
        <v>#DIV/0!</v>
      </c>
      <c r="DT29" s="619" t="e">
        <f t="shared" ca="1" si="15"/>
        <v>#DIV/0!</v>
      </c>
      <c r="DU29" s="833" t="e">
        <f t="shared" ca="1" si="16"/>
        <v>#DIV/0!</v>
      </c>
      <c r="DV29" s="821">
        <f ca="1">Ausgabe!$C$420</f>
        <v>33.607770254588836</v>
      </c>
      <c r="DW29" s="710">
        <f>Ausgabe!$C$421</f>
        <v>1.3</v>
      </c>
      <c r="DX29" s="619">
        <f>Ausgabe!$C$423</f>
        <v>36.9</v>
      </c>
      <c r="DY29" s="710">
        <f>Ausgabe!$C$424</f>
        <v>1.1000000000000001</v>
      </c>
      <c r="DZ29" s="619">
        <f t="shared" ca="1" si="17"/>
        <v>25.852130965068334</v>
      </c>
      <c r="EA29" s="619">
        <f t="shared" si="33"/>
        <v>0</v>
      </c>
      <c r="EB29" s="833">
        <f t="shared" ca="1" si="18"/>
        <v>0</v>
      </c>
      <c r="EC29" s="710" t="e">
        <f ca="1">IF(CJ29=_oben,Berechnung_BZoben!$P$5,Berechnung_BZunten!$P$5)</f>
        <v>#DIV/0!</v>
      </c>
      <c r="ED29" s="710">
        <f>Ausgabe!$C$520</f>
        <v>1.3</v>
      </c>
      <c r="EE29" s="710" t="e">
        <f t="shared" ca="1" si="19"/>
        <v>#DIV/0!</v>
      </c>
      <c r="EF29" s="710" t="e">
        <f t="shared" ca="1" si="20"/>
        <v>#DIV/0!</v>
      </c>
      <c r="EG29" s="833" t="e">
        <f t="shared" ca="1" si="21"/>
        <v>#DIV/0!</v>
      </c>
      <c r="EH29" s="710">
        <f>Ausgabe!$C$592</f>
        <v>2.7</v>
      </c>
      <c r="EI29" s="710">
        <f>Ausgabe!$C$593</f>
        <v>1.3</v>
      </c>
      <c r="EJ29" s="710">
        <f t="shared" si="34"/>
        <v>2.0769230769230771</v>
      </c>
      <c r="EK29" s="710">
        <f t="shared" si="35"/>
        <v>0</v>
      </c>
      <c r="EL29" s="833">
        <f t="shared" si="36"/>
        <v>0</v>
      </c>
      <c r="EM29" s="821">
        <f ca="1">Ausgabe!$C$581</f>
        <v>0</v>
      </c>
      <c r="EN29" s="710" t="e">
        <f t="shared" ca="1" si="22"/>
        <v>#DIV/0!</v>
      </c>
      <c r="EO29" s="1478"/>
      <c r="EP29" s="710" t="e">
        <f t="shared" ca="1" si="42"/>
        <v>#DIV/0!</v>
      </c>
      <c r="EQ29" s="833" t="e">
        <f t="shared" ca="1" si="24"/>
        <v>#DIV/0!</v>
      </c>
      <c r="ER29" s="889" t="e">
        <f t="shared" ca="1" si="25"/>
        <v>#DIV/0!</v>
      </c>
      <c r="ES29" s="619"/>
      <c r="EU29" s="499" t="s">
        <v>1112</v>
      </c>
      <c r="EV29" s="724">
        <f ca="1">IF(AND(EV24&lt;=EV21,EV25-Ausgabe!F685&gt;=EV21,EV24&lt;=EV22,EV25-Ausgabe!F685&gt;=EV22),1,0)</f>
        <v>0</v>
      </c>
      <c r="EW29" s="499" t="s">
        <v>1112</v>
      </c>
      <c r="EX29" s="724">
        <f ca="1">IF(AND(EX24+Ausgabe!F684&lt;=EX21,EX25-Ausgabe!F684&gt;=EX21,EX24+Ausgabe!F684&lt;=EX22,EX25-Ausgabe!F684&gt;=EX22),1,0)</f>
        <v>0</v>
      </c>
      <c r="EY29" s="429"/>
      <c r="FE29" s="621"/>
      <c r="FG29" s="569"/>
      <c r="FH29" s="1223"/>
    </row>
    <row r="30" spans="1:167" ht="16.5" thickBot="1">
      <c r="A30" s="569" t="str">
        <f>Sprachtexte!A35</f>
        <v>Abstand OK Nebenträger zu OK MEGANT-Verbinder</v>
      </c>
      <c r="B30" s="743"/>
      <c r="C30" s="743"/>
      <c r="D30" s="569"/>
      <c r="E30" s="703"/>
      <c r="F30" s="508"/>
      <c r="J30" s="643"/>
      <c r="K30" s="527"/>
      <c r="L30" s="527"/>
      <c r="O30" s="649"/>
      <c r="P30" s="649"/>
      <c r="Q30" s="649"/>
      <c r="R30" s="649"/>
      <c r="AB30" s="554"/>
      <c r="AC30" s="579"/>
      <c r="AD30" s="607"/>
      <c r="AE30" s="707"/>
      <c r="AG30" s="523"/>
      <c r="AJ30" s="556"/>
      <c r="AK30" s="556"/>
      <c r="AW30" s="525"/>
      <c r="BB30" s="544" t="s">
        <v>264</v>
      </c>
      <c r="BC30" s="545" t="s">
        <v>424</v>
      </c>
      <c r="BD30" s="547" t="s">
        <v>425</v>
      </c>
      <c r="BE30" s="517" t="s">
        <v>426</v>
      </c>
      <c r="BF30" s="547" t="s">
        <v>427</v>
      </c>
      <c r="BG30" s="548" t="s">
        <v>426</v>
      </c>
      <c r="BH30"/>
      <c r="BI30"/>
      <c r="BJ30" s="629"/>
      <c r="BR30" s="570" t="e">
        <f t="shared" ca="1" si="26"/>
        <v>#DIV/0!</v>
      </c>
      <c r="BS30" s="570" t="s">
        <v>1042</v>
      </c>
      <c r="BT30" s="571" t="s">
        <v>980</v>
      </c>
      <c r="BU30" s="610">
        <f>IF(OR(B100&lt;&gt;0,C100&lt;&gt;0,D100&lt;&gt;0,E100&lt;&gt;0,G100&lt;&gt;0),1,0)</f>
        <v>0</v>
      </c>
      <c r="BV30" s="619">
        <f>$BU$30*(1.35*B$99+1.5*B$100+1.5*$E$81*B$101+1.5*$E$82*B$102)</f>
        <v>0</v>
      </c>
      <c r="BW30" s="619">
        <f>$BU$30*(1.35*C$99+1.5*C$100+1.5*$E$81*C$101+1.5*$E$82*C$102)</f>
        <v>0</v>
      </c>
      <c r="BX30" s="619">
        <f>$BU$30*(1.35*D$99+1.5*D$100+1.5*$E$81*D$101+1.5*$E$82*D$102)</f>
        <v>0</v>
      </c>
      <c r="BY30" s="619">
        <f>$BU$30*(1.35*E$99+1.5*E$100+1.5*$E$81*E$101+1.5*$E$82*E$102)</f>
        <v>0</v>
      </c>
      <c r="BZ30" s="619">
        <f>$BU$30*(1.35*G$99+1.5*G$100+1.5*$E$81*G$101+1.5*$E$82*G$102)</f>
        <v>0</v>
      </c>
      <c r="CA30" s="833">
        <f>VLOOKUP($A$80,MKW!$A$50:$E$60,4,FALSE)</f>
        <v>0.3</v>
      </c>
      <c r="CB30" s="821" t="e">
        <f t="shared" ca="1" si="27"/>
        <v>#DIV/0!</v>
      </c>
      <c r="CC30" s="619" t="str">
        <f t="shared" si="39"/>
        <v>unten</v>
      </c>
      <c r="CD30" s="834" t="e">
        <f ca="1">IF(CC30=_oben,Berechnung_BZoben!$S$7,Berechnung_BZunten!$S$7)</f>
        <v>#DIV/0!</v>
      </c>
      <c r="CE30" s="834" t="e">
        <f ca="1">CD30*2/(3*(1+2*Eingabe!CA30*Eingabe!$D$76))</f>
        <v>#DIV/0!</v>
      </c>
      <c r="CF30" s="710" t="e">
        <f ca="1">IF($C$86=Sprachtexte!$A$87,
-CE30*$C$87^3*BW30/(12*CE30*$C$87+24*$CF$2)+BX30*$BY$1*$CA$1/(6*$CF$2)*(($BY$1-$C$87-2*$CA$1)/(6*$CF$2)-1/CE30-$CA$1/(CE30*$C$87))/(($C$87/(3*$CF$2)+1/CE30)^2-($C$87/(6*$CF$2))^2),
-CE30*$C$87^3*BW30/(8*CE30*$C$87+24*$CF$2)-CE30*$CA$1/$C$87*($C$87^2-$CA$1^2)*BX30/(2*CE30*$C$87+6*$CF$2))</f>
        <v>#DIV/0!</v>
      </c>
      <c r="CG30" s="710" t="e">
        <f t="shared" ca="1" si="28"/>
        <v>#DIV/0!</v>
      </c>
      <c r="CH30" s="835">
        <f t="shared" ca="1" si="1"/>
        <v>0</v>
      </c>
      <c r="CI30" s="821" t="e">
        <f t="shared" ca="1" si="2"/>
        <v>#DIV/0!</v>
      </c>
      <c r="CJ30" s="619" t="str">
        <f t="shared" si="40"/>
        <v>unten</v>
      </c>
      <c r="CK30" s="834" t="e">
        <f ca="1">IF(CJ30=_oben,Berechnung_BZoben!$S$7,Berechnung_BZunten!$S$7)</f>
        <v>#DIV/0!</v>
      </c>
      <c r="CL30" s="834" t="e">
        <f ca="1">CK30*2/(3*(1+2*Eingabe!CA30*Eingabe!$D$76))</f>
        <v>#DIV/0!</v>
      </c>
      <c r="CM30" s="710" t="e">
        <f ca="1">IF($C$86=Sprachtexte!$A$87,
-CL30*$C$87^3*BW30/(12*CE30*$C$87+24*$CF$2)+BX30*$CA$1*$BY$1/(6*$CF$2)*(($CA$1-$C$87-2*$BY$1)/(6*$CF$2)-1/CE30-$BY$1/(CE30*$C$87))/(($C$87/(3*$CF$2)+1/CE30)^2-($C$87/(6*$CF$2))^2),0)</f>
        <v>#DIV/0!</v>
      </c>
      <c r="CN30" s="710" t="e">
        <f t="shared" ca="1" si="4"/>
        <v>#DIV/0!</v>
      </c>
      <c r="CO30" s="835">
        <f t="shared" ca="1" si="5"/>
        <v>0</v>
      </c>
      <c r="CP30" s="849">
        <f t="shared" si="29"/>
        <v>0</v>
      </c>
      <c r="CQ30" s="710" t="e">
        <f t="shared" ca="1" si="6"/>
        <v>#DIV/0!</v>
      </c>
      <c r="CR30" s="710" t="e">
        <f t="shared" ca="1" si="7"/>
        <v>#DIV/0!</v>
      </c>
      <c r="CS30" s="710">
        <f t="shared" si="30"/>
        <v>0</v>
      </c>
      <c r="CT30" s="710" t="e">
        <f t="shared" ca="1" si="41"/>
        <v>#DIV/0!</v>
      </c>
      <c r="CU30" s="710">
        <f t="shared" si="31"/>
        <v>0</v>
      </c>
      <c r="CV30" s="833">
        <f>MAX($C$79,$C$80,$C$81,$C$82)</f>
        <v>1</v>
      </c>
      <c r="CW30" s="821" t="e">
        <f ca="1">MIN(Ausgabe!$C$173,Ausgabe!$C$186)</f>
        <v>#DIV/0!</v>
      </c>
      <c r="CX30" s="710">
        <f>Ausgabe!$C$187</f>
        <v>1.3</v>
      </c>
      <c r="CY30" s="619">
        <f>Ausgabe!$C$191</f>
        <v>100</v>
      </c>
      <c r="CZ30" s="710">
        <f>Ausgabe!$C$192</f>
        <v>1.25</v>
      </c>
      <c r="DA30" s="619">
        <f>Ausgabe!$C$194</f>
        <v>36.6</v>
      </c>
      <c r="DB30" s="710">
        <f>Ausgabe!$C$195</f>
        <v>1.25</v>
      </c>
      <c r="DC30" s="619" t="e">
        <f t="shared" ca="1" si="9"/>
        <v>#DIV/0!</v>
      </c>
      <c r="DD30" s="619">
        <f t="shared" si="32"/>
        <v>0</v>
      </c>
      <c r="DE30" s="710" t="e">
        <f t="shared" ca="1" si="10"/>
        <v>#DIV/0!</v>
      </c>
      <c r="DF30" s="821">
        <f ca="1">MIN(Ausgabe!$C$221,Ausgabe!$C$239)</f>
        <v>92.436470366395326</v>
      </c>
      <c r="DG30" s="710">
        <f>Ausgabe!$C$240</f>
        <v>1.3</v>
      </c>
      <c r="DH30" s="619">
        <f>Ausgabe!$C$246</f>
        <v>150.4</v>
      </c>
      <c r="DI30" s="710">
        <f>Ausgabe!$C$247</f>
        <v>1.1000000000000001</v>
      </c>
      <c r="DJ30" s="619">
        <f>Ausgabe!$C$254</f>
        <v>176.4</v>
      </c>
      <c r="DK30" s="710">
        <f>Ausgabe!$C$255</f>
        <v>1.25</v>
      </c>
      <c r="DL30" s="619">
        <f>Ausgabe!$C$263</f>
        <v>180.95573684677208</v>
      </c>
      <c r="DM30" s="710">
        <f>Ausgabe!$C$264</f>
        <v>1.1000000000000001</v>
      </c>
      <c r="DN30" s="619">
        <f t="shared" ca="1" si="11"/>
        <v>71.104977204919479</v>
      </c>
      <c r="DO30" s="619" t="e">
        <f t="shared" ca="1" si="12"/>
        <v>#DIV/0!</v>
      </c>
      <c r="DP30" s="833" t="e">
        <f t="shared" ca="1" si="13"/>
        <v>#DIV/0!</v>
      </c>
      <c r="DQ30" s="821" t="e">
        <f ca="1">Ausgabe!$C$369</f>
        <v>#DIV/0!</v>
      </c>
      <c r="DR30" s="710">
        <f>Ausgabe!$C$370</f>
        <v>1.3</v>
      </c>
      <c r="DS30" s="619" t="e">
        <f t="shared" ca="1" si="14"/>
        <v>#DIV/0!</v>
      </c>
      <c r="DT30" s="619" t="e">
        <f t="shared" ca="1" si="15"/>
        <v>#DIV/0!</v>
      </c>
      <c r="DU30" s="833" t="e">
        <f t="shared" ca="1" si="16"/>
        <v>#DIV/0!</v>
      </c>
      <c r="DV30" s="821">
        <f ca="1">Ausgabe!$C$420</f>
        <v>33.607770254588836</v>
      </c>
      <c r="DW30" s="710">
        <f>Ausgabe!$C$421</f>
        <v>1.3</v>
      </c>
      <c r="DX30" s="619">
        <f>Ausgabe!$C$423</f>
        <v>36.9</v>
      </c>
      <c r="DY30" s="710">
        <f>Ausgabe!$C$424</f>
        <v>1.1000000000000001</v>
      </c>
      <c r="DZ30" s="619">
        <f t="shared" ca="1" si="17"/>
        <v>25.852130965068334</v>
      </c>
      <c r="EA30" s="619">
        <f t="shared" si="33"/>
        <v>0</v>
      </c>
      <c r="EB30" s="833">
        <f t="shared" ca="1" si="18"/>
        <v>0</v>
      </c>
      <c r="EC30" s="710" t="e">
        <f ca="1">IF(CJ30=_oben,Berechnung_BZoben!$P$5,Berechnung_BZunten!$P$5)</f>
        <v>#DIV/0!</v>
      </c>
      <c r="ED30" s="710">
        <f>Ausgabe!$C$520</f>
        <v>1.3</v>
      </c>
      <c r="EE30" s="710" t="e">
        <f t="shared" ca="1" si="19"/>
        <v>#DIV/0!</v>
      </c>
      <c r="EF30" s="710" t="e">
        <f t="shared" ca="1" si="20"/>
        <v>#DIV/0!</v>
      </c>
      <c r="EG30" s="833" t="e">
        <f t="shared" ca="1" si="21"/>
        <v>#DIV/0!</v>
      </c>
      <c r="EH30" s="710">
        <f>Ausgabe!$C$592</f>
        <v>2.7</v>
      </c>
      <c r="EI30" s="710">
        <f>Ausgabe!$C$593</f>
        <v>1.3</v>
      </c>
      <c r="EJ30" s="710">
        <f t="shared" si="34"/>
        <v>2.0769230769230771</v>
      </c>
      <c r="EK30" s="710">
        <f t="shared" si="35"/>
        <v>0</v>
      </c>
      <c r="EL30" s="833">
        <f t="shared" si="36"/>
        <v>0</v>
      </c>
      <c r="EM30" s="821">
        <f ca="1">Ausgabe!$C$581</f>
        <v>0</v>
      </c>
      <c r="EN30" s="710" t="e">
        <f t="shared" ca="1" si="22"/>
        <v>#DIV/0!</v>
      </c>
      <c r="EO30" s="1478"/>
      <c r="EP30" s="710" t="e">
        <f t="shared" ca="1" si="42"/>
        <v>#DIV/0!</v>
      </c>
      <c r="EQ30" s="833" t="e">
        <f t="shared" ca="1" si="24"/>
        <v>#DIV/0!</v>
      </c>
      <c r="ER30" s="889" t="e">
        <f t="shared" ca="1" si="25"/>
        <v>#DIV/0!</v>
      </c>
      <c r="ES30" s="619"/>
      <c r="EU30" s="499"/>
      <c r="EV30" s="724"/>
      <c r="EW30" s="499"/>
      <c r="EX30" s="724"/>
      <c r="EY30" s="429"/>
      <c r="FE30" s="1300"/>
      <c r="FF30" s="1301"/>
      <c r="FG30" s="1302"/>
      <c r="FH30" s="1303"/>
      <c r="FJ30" s="569"/>
      <c r="FK30" s="859"/>
    </row>
    <row r="31" spans="1:167" ht="16.5" customHeight="1">
      <c r="A31" s="895"/>
      <c r="B31" s="631" t="s">
        <v>1129</v>
      </c>
      <c r="C31" s="1361"/>
      <c r="D31" s="569" t="s">
        <v>2</v>
      </c>
      <c r="E31" s="508"/>
      <c r="F31" s="508"/>
      <c r="J31" s="643"/>
      <c r="K31" s="953"/>
      <c r="L31" s="527"/>
      <c r="O31" s="649"/>
      <c r="P31" s="649"/>
      <c r="Q31" s="649"/>
      <c r="R31" s="649"/>
      <c r="AB31" s="554"/>
      <c r="AC31" s="579"/>
      <c r="AD31" s="607"/>
      <c r="AE31" s="707"/>
      <c r="AG31" s="523"/>
      <c r="AJ31" s="556"/>
      <c r="AK31" s="556"/>
      <c r="AW31" s="525"/>
      <c r="BB31" s="564">
        <v>0</v>
      </c>
      <c r="BC31" s="640" t="s">
        <v>9</v>
      </c>
      <c r="BD31" s="568">
        <f>IF(OR($BC$27=20,$BC$27=22),Eingabe!BD6,IF($BC$27=21,Eingabe!BD16))</f>
        <v>0</v>
      </c>
      <c r="BE31" s="567">
        <f>IF(OR($BC$27=20,$BC$27=22),Eingabe!BE6,IF($BC$27=21,Eingabe!BE16))</f>
        <v>45</v>
      </c>
      <c r="BF31" s="568">
        <f>IF(OR($BC$27=20,$BC$27=22),HLOOKUP(Eingabe!$BC$26&amp;"_90",Eingabe!$BF$3:$BK$22,Eingabe!$BA6,FALSE),IF($BC$27=21,HLOOKUP(Eingabe!$BC$26&amp;"_90",Eingabe!$BF$3:$BK$22,Eingabe!$BA16,FALSE)))</f>
        <v>90</v>
      </c>
      <c r="BG31" s="567">
        <f>IF(OR($BC$27=20,$BC$27=22),HLOOKUP(Eingabe!$BC$26&amp;"_45",Eingabe!$BF$3:$BK$22,Eingabe!$BA6,FALSE),IF($BC$27=21,HLOOKUP(Eingabe!$BC$26&amp;"_45",Eingabe!$BF$3:$BK$22,Eingabe!$BA16,FALSE)))</f>
        <v>90</v>
      </c>
      <c r="BH31" s="569" t="s">
        <v>430</v>
      </c>
      <c r="BI31"/>
      <c r="BJ31" s="629"/>
      <c r="BL31" s="711" t="s">
        <v>726</v>
      </c>
      <c r="BM31" s="714" t="s">
        <v>742</v>
      </c>
      <c r="BR31" s="570" t="e">
        <f t="shared" ca="1" si="26"/>
        <v>#DIV/0!</v>
      </c>
      <c r="BS31" s="570" t="s">
        <v>1043</v>
      </c>
      <c r="BT31" s="571" t="s">
        <v>981</v>
      </c>
      <c r="BU31" s="610">
        <f>IF(OR(B101&lt;&gt;0,C101&lt;&gt;0,D101&lt;&gt;0,E101&lt;&gt;0,G101&lt;&gt;0),1,0)</f>
        <v>0</v>
      </c>
      <c r="BV31" s="619">
        <f>$BU$31*(1.35*B$99+1.5*B$101+1.5*$E$80*B$100+1.5*$E$82*B$102)</f>
        <v>0</v>
      </c>
      <c r="BW31" s="619">
        <f>$BU$31*(1.35*C$99+1.5*C$101+1.5*$E$80*C$100+1.5*$E$82*C$102)</f>
        <v>0</v>
      </c>
      <c r="BX31" s="619">
        <f>$BU$31*(1.35*D$99+1.5*D$101+1.5*$E$80*D$100+1.5*$E$82*D$102)</f>
        <v>0</v>
      </c>
      <c r="BY31" s="619">
        <f>$BU$31*(1.35*E$99+1.5*E$101+1.5*$E$80*E$100+1.5*$E$82*E$102)</f>
        <v>0</v>
      </c>
      <c r="BZ31" s="619">
        <f>$BU$31*(1.35*G$99+1.5*G$101+1.5*$E$80*G$100+1.5*$E$82*G$102)</f>
        <v>0</v>
      </c>
      <c r="CA31" s="833">
        <f>VLOOKUP($A$81,MKW!$A$50:$E$60,4,FALSE)</f>
        <v>0</v>
      </c>
      <c r="CB31" s="821" t="e">
        <f t="shared" ca="1" si="27"/>
        <v>#DIV/0!</v>
      </c>
      <c r="CC31" s="619" t="str">
        <f t="shared" si="39"/>
        <v>unten</v>
      </c>
      <c r="CD31" s="834" t="e">
        <f ca="1">IF(CC31=_oben,Berechnung_BZoben!$S$7,Berechnung_BZunten!$S$7)</f>
        <v>#DIV/0!</v>
      </c>
      <c r="CE31" s="834" t="e">
        <f ca="1">CD31*2/(3*(1+2*Eingabe!CA31*Eingabe!$D$76))</f>
        <v>#DIV/0!</v>
      </c>
      <c r="CF31" s="710" t="e">
        <f ca="1">IF($C$86=Sprachtexte!$A$87,
-CE31*$C$87^3*BW31/(12*CE31*$C$87+24*$CF$2)+BX31*$BY$1*$CA$1/(6*$CF$2)*(($BY$1-$C$87-2*$CA$1)/(6*$CF$2)-1/CE31-$CA$1/(CE31*$C$87))/(($C$87/(3*$CF$2)+1/CE31)^2-($C$87/(6*$CF$2))^2),
-CE31*$C$87^3*BW31/(8*CE31*$C$87+24*$CF$2)-CE31*$CA$1/$C$87*($C$87^2-$CA$1^2)*BX31/(2*CE31*$C$87+6*$CF$2))</f>
        <v>#DIV/0!</v>
      </c>
      <c r="CG31" s="710" t="e">
        <f t="shared" ca="1" si="28"/>
        <v>#DIV/0!</v>
      </c>
      <c r="CH31" s="835">
        <f t="shared" ca="1" si="1"/>
        <v>0</v>
      </c>
      <c r="CI31" s="821" t="e">
        <f t="shared" ca="1" si="2"/>
        <v>#DIV/0!</v>
      </c>
      <c r="CJ31" s="619" t="str">
        <f t="shared" si="40"/>
        <v>unten</v>
      </c>
      <c r="CK31" s="834" t="e">
        <f ca="1">IF(CJ31=_oben,Berechnung_BZoben!$S$7,Berechnung_BZunten!$S$7)</f>
        <v>#DIV/0!</v>
      </c>
      <c r="CL31" s="834" t="e">
        <f ca="1">CK31*2/(3*(1+2*Eingabe!CA31*Eingabe!$D$76))</f>
        <v>#DIV/0!</v>
      </c>
      <c r="CM31" s="710" t="e">
        <f ca="1">IF($C$86=Sprachtexte!$A$87,
-CL31*$C$87^3*BW31/(12*CE31*$C$87+24*$CF$2)+BX31*$CA$1*$BY$1/(6*$CF$2)*(($CA$1-$C$87-2*$BY$1)/(6*$CF$2)-1/CE31-$BY$1/(CE31*$C$87))/(($C$87/(3*$CF$2)+1/CE31)^2-($C$87/(6*$CF$2))^2),0)</f>
        <v>#DIV/0!</v>
      </c>
      <c r="CN31" s="710" t="e">
        <f t="shared" ca="1" si="4"/>
        <v>#DIV/0!</v>
      </c>
      <c r="CO31" s="835">
        <f t="shared" ca="1" si="5"/>
        <v>0</v>
      </c>
      <c r="CP31" s="849">
        <f t="shared" si="29"/>
        <v>0</v>
      </c>
      <c r="CQ31" s="710" t="e">
        <f t="shared" ca="1" si="6"/>
        <v>#DIV/0!</v>
      </c>
      <c r="CR31" s="710" t="e">
        <f t="shared" ca="1" si="7"/>
        <v>#DIV/0!</v>
      </c>
      <c r="CS31" s="710">
        <f t="shared" si="30"/>
        <v>0</v>
      </c>
      <c r="CT31" s="710" t="e">
        <f t="shared" ca="1" si="41"/>
        <v>#DIV/0!</v>
      </c>
      <c r="CU31" s="710">
        <f t="shared" si="31"/>
        <v>0</v>
      </c>
      <c r="CV31" s="833">
        <f>MAX($C$79,$C$81,$C$80,$C$82)</f>
        <v>1</v>
      </c>
      <c r="CW31" s="821" t="e">
        <f ca="1">MIN(Ausgabe!$C$173,Ausgabe!$C$186)</f>
        <v>#DIV/0!</v>
      </c>
      <c r="CX31" s="710">
        <f>Ausgabe!$C$187</f>
        <v>1.3</v>
      </c>
      <c r="CY31" s="619">
        <f>Ausgabe!$C$191</f>
        <v>100</v>
      </c>
      <c r="CZ31" s="710">
        <f>Ausgabe!$C$192</f>
        <v>1.25</v>
      </c>
      <c r="DA31" s="619">
        <f>Ausgabe!$C$194</f>
        <v>36.6</v>
      </c>
      <c r="DB31" s="710">
        <f>Ausgabe!$C$195</f>
        <v>1.25</v>
      </c>
      <c r="DC31" s="619" t="e">
        <f t="shared" ca="1" si="9"/>
        <v>#DIV/0!</v>
      </c>
      <c r="DD31" s="619">
        <f t="shared" si="32"/>
        <v>0</v>
      </c>
      <c r="DE31" s="710" t="e">
        <f t="shared" ca="1" si="10"/>
        <v>#DIV/0!</v>
      </c>
      <c r="DF31" s="821">
        <f ca="1">MIN(Ausgabe!$C$221,Ausgabe!$C$239)</f>
        <v>92.436470366395326</v>
      </c>
      <c r="DG31" s="710">
        <f>Ausgabe!$C$240</f>
        <v>1.3</v>
      </c>
      <c r="DH31" s="619">
        <f>Ausgabe!$C$246</f>
        <v>150.4</v>
      </c>
      <c r="DI31" s="710">
        <f>Ausgabe!$C$247</f>
        <v>1.1000000000000001</v>
      </c>
      <c r="DJ31" s="619">
        <f>Ausgabe!$C$254</f>
        <v>176.4</v>
      </c>
      <c r="DK31" s="710">
        <f>Ausgabe!$C$255</f>
        <v>1.25</v>
      </c>
      <c r="DL31" s="619">
        <f>Ausgabe!$C$263</f>
        <v>180.95573684677208</v>
      </c>
      <c r="DM31" s="710">
        <f>Ausgabe!$C$264</f>
        <v>1.1000000000000001</v>
      </c>
      <c r="DN31" s="619">
        <f t="shared" ca="1" si="11"/>
        <v>71.104977204919479</v>
      </c>
      <c r="DO31" s="619" t="e">
        <f t="shared" ca="1" si="12"/>
        <v>#DIV/0!</v>
      </c>
      <c r="DP31" s="833" t="e">
        <f t="shared" ca="1" si="13"/>
        <v>#DIV/0!</v>
      </c>
      <c r="DQ31" s="821" t="e">
        <f ca="1">Ausgabe!$C$369</f>
        <v>#DIV/0!</v>
      </c>
      <c r="DR31" s="710">
        <f>Ausgabe!$C$370</f>
        <v>1.3</v>
      </c>
      <c r="DS31" s="619" t="e">
        <f t="shared" ca="1" si="14"/>
        <v>#DIV/0!</v>
      </c>
      <c r="DT31" s="619" t="e">
        <f t="shared" ca="1" si="15"/>
        <v>#DIV/0!</v>
      </c>
      <c r="DU31" s="833" t="e">
        <f t="shared" ca="1" si="16"/>
        <v>#DIV/0!</v>
      </c>
      <c r="DV31" s="821">
        <f ca="1">Ausgabe!$C$420</f>
        <v>33.607770254588836</v>
      </c>
      <c r="DW31" s="710">
        <f>Ausgabe!$C$421</f>
        <v>1.3</v>
      </c>
      <c r="DX31" s="619">
        <f>Ausgabe!$C$423</f>
        <v>36.9</v>
      </c>
      <c r="DY31" s="710">
        <f>Ausgabe!$C$424</f>
        <v>1.1000000000000001</v>
      </c>
      <c r="DZ31" s="619">
        <f t="shared" ca="1" si="17"/>
        <v>25.852130965068334</v>
      </c>
      <c r="EA31" s="619">
        <f t="shared" si="33"/>
        <v>0</v>
      </c>
      <c r="EB31" s="833">
        <f t="shared" ca="1" si="18"/>
        <v>0</v>
      </c>
      <c r="EC31" s="710" t="e">
        <f ca="1">IF(CJ31=_oben,Berechnung_BZoben!$P$5,Berechnung_BZunten!$P$5)</f>
        <v>#DIV/0!</v>
      </c>
      <c r="ED31" s="710">
        <f>Ausgabe!$C$520</f>
        <v>1.3</v>
      </c>
      <c r="EE31" s="710" t="e">
        <f t="shared" ca="1" si="19"/>
        <v>#DIV/0!</v>
      </c>
      <c r="EF31" s="710" t="e">
        <f t="shared" ca="1" si="20"/>
        <v>#DIV/0!</v>
      </c>
      <c r="EG31" s="833" t="e">
        <f t="shared" ca="1" si="21"/>
        <v>#DIV/0!</v>
      </c>
      <c r="EH31" s="710">
        <f>Ausgabe!$C$592</f>
        <v>2.7</v>
      </c>
      <c r="EI31" s="710">
        <f>Ausgabe!$C$593</f>
        <v>1.3</v>
      </c>
      <c r="EJ31" s="710">
        <f t="shared" si="34"/>
        <v>2.0769230769230771</v>
      </c>
      <c r="EK31" s="710">
        <f t="shared" si="35"/>
        <v>0</v>
      </c>
      <c r="EL31" s="833">
        <f t="shared" si="36"/>
        <v>0</v>
      </c>
      <c r="EM31" s="821">
        <f ca="1">Ausgabe!$C$581</f>
        <v>0</v>
      </c>
      <c r="EN31" s="710" t="e">
        <f t="shared" ca="1" si="22"/>
        <v>#DIV/0!</v>
      </c>
      <c r="EO31" s="1478"/>
      <c r="EP31" s="710" t="e">
        <f t="shared" ca="1" si="42"/>
        <v>#DIV/0!</v>
      </c>
      <c r="EQ31" s="833" t="e">
        <f t="shared" ca="1" si="24"/>
        <v>#DIV/0!</v>
      </c>
      <c r="ER31" s="889" t="e">
        <f t="shared" ca="1" si="25"/>
        <v>#DIV/0!</v>
      </c>
      <c r="ES31" s="619"/>
      <c r="EU31" s="499" t="s">
        <v>798</v>
      </c>
      <c r="EV31" s="723">
        <f ca="1">EV12+EV15+(EV19+EV17)/SQRT(2)</f>
        <v>170.19774516162744</v>
      </c>
      <c r="EW31" s="499" t="s">
        <v>810</v>
      </c>
      <c r="EX31" s="723">
        <f ca="1">EX12+EX15</f>
        <v>-20.25</v>
      </c>
      <c r="EY31" s="429"/>
      <c r="FE31" s="1300"/>
      <c r="FF31" s="1301"/>
      <c r="FG31" s="1302"/>
      <c r="FH31" s="1303"/>
      <c r="FJ31" s="569"/>
      <c r="FK31" s="859"/>
    </row>
    <row r="32" spans="1:167" ht="15.75">
      <c r="E32" s="703"/>
      <c r="F32" s="508"/>
      <c r="J32" s="643"/>
      <c r="K32" s="527"/>
      <c r="L32" s="527"/>
      <c r="O32" s="649"/>
      <c r="P32" s="649"/>
      <c r="Q32" s="649"/>
      <c r="R32" s="649"/>
      <c r="AB32" s="554"/>
      <c r="AC32" s="579"/>
      <c r="AD32" s="607"/>
      <c r="AE32" s="707"/>
      <c r="AG32" s="523"/>
      <c r="AJ32" s="556"/>
      <c r="AK32" s="556"/>
      <c r="AW32" s="525"/>
      <c r="BB32" s="564">
        <v>1</v>
      </c>
      <c r="BC32" s="640" t="s">
        <v>9</v>
      </c>
      <c r="BD32" s="575">
        <f>IF(OR($BC$27=20,$BC$27=22),Eingabe!BD7,IF($BC$27=21,Eingabe!BD17))</f>
        <v>0</v>
      </c>
      <c r="BE32" s="574">
        <f>IF(OR($BC$27=20,$BC$27=22),Eingabe!BE7,IF($BC$27=21,Eingabe!BE17))</f>
        <v>45</v>
      </c>
      <c r="BF32" s="575">
        <f>IF(OR($BC$27=20,$BC$27=22),HLOOKUP(Eingabe!$BC$26&amp;"_90",Eingabe!$BF$3:$BK$22,Eingabe!$BA7,FALSE),IF($BC$27=21,HLOOKUP(Eingabe!$BC$26&amp;"_90",Eingabe!$BF$3:$BK$22,Eingabe!$BA17,FALSE)))</f>
        <v>90</v>
      </c>
      <c r="BG32" s="574">
        <f>IF(OR($BC$27=20,$BC$27=22),HLOOKUP(Eingabe!$BC$26&amp;"_45",Eingabe!$BF$3:$BK$22,Eingabe!$BA7,FALSE),IF($BC$27=21,HLOOKUP(Eingabe!$BC$26&amp;"_45",Eingabe!$BF$3:$BK$22,Eingabe!$BA17,FALSE)))</f>
        <v>90</v>
      </c>
      <c r="BH32" s="569" t="s">
        <v>430</v>
      </c>
      <c r="BI32"/>
      <c r="BJ32" s="629"/>
      <c r="BL32" s="711" t="str">
        <f>Sprachtexte!A25</f>
        <v>Nebenträger an Hauptträger</v>
      </c>
      <c r="BM32" s="715" t="e" vm="2">
        <v>#VALUE!</v>
      </c>
      <c r="BP32" s="700" t="str">
        <f>Sprachtexte!$A$43</f>
        <v>Hauptträger/Stütze</v>
      </c>
      <c r="BR32" s="824" t="e">
        <f t="shared" ca="1" si="26"/>
        <v>#DIV/0!</v>
      </c>
      <c r="BS32" s="824" t="s">
        <v>1044</v>
      </c>
      <c r="BT32" s="825" t="s">
        <v>982</v>
      </c>
      <c r="BU32" s="608">
        <f>IF(OR(B102&lt;&gt;0,C102&lt;&gt;0,D102&lt;&gt;0,E102&lt;&gt;0,G102&lt;&gt;0),1,0)</f>
        <v>0</v>
      </c>
      <c r="BV32" s="679">
        <f>$BU$32*(1.35*B$99+1.5*B$102+1.5*$E$80*B$100+1.5*$E$81*B$101)</f>
        <v>0</v>
      </c>
      <c r="BW32" s="679">
        <f>$BU$32*(1.35*C$99+1.5*C$102+1.5*$E$80*C$100+1.5*$E$81*C$101)</f>
        <v>0</v>
      </c>
      <c r="BX32" s="679">
        <f>$BU$32*(1.35*D$99+1.5*D$102+1.5*$E$80*D$100+1.5*$E$81*D$101)</f>
        <v>0</v>
      </c>
      <c r="BY32" s="679">
        <f>$BU$32*(1.35*E$99+1.5*E$102+1.5*$E$80*E$100+1.5*$E$81*E$101)</f>
        <v>0</v>
      </c>
      <c r="BZ32" s="679">
        <f>$BU$32*(1.35*G$99+1.5*G$102+1.5*$E$80*G$100+1.5*$E$81*G$101)</f>
        <v>0</v>
      </c>
      <c r="CA32" s="837">
        <f>VLOOKUP($A$82,MKW!$A$50:$E$60,4,FALSE)</f>
        <v>0</v>
      </c>
      <c r="CB32" s="823" t="e">
        <f t="shared" ca="1" si="27"/>
        <v>#DIV/0!</v>
      </c>
      <c r="CC32" s="679" t="str">
        <f t="shared" si="39"/>
        <v>unten</v>
      </c>
      <c r="CD32" s="838" t="e">
        <f ca="1">IF(CC32=_oben,Berechnung_BZoben!$S$7,Berechnung_BZunten!$S$7)</f>
        <v>#DIV/0!</v>
      </c>
      <c r="CE32" s="838" t="e">
        <f ca="1">CD32*2/(3*(1+2*Eingabe!CA32*Eingabe!$D$76))</f>
        <v>#DIV/0!</v>
      </c>
      <c r="CF32" s="836" t="e">
        <f ca="1">IF($C$86=Sprachtexte!$A$87,
-CE32*$C$87^3*BW32/(12*CE32*$C$87+24*$CF$2)+BX32*$BY$1*$CA$1/(6*$CF$2)*(($BY$1-$C$87-2*$CA$1)/(6*$CF$2)-1/CE32-$CA$1/(CE32*$C$87))/(($C$87/(3*$CF$2)+1/CE32)^2-($C$87/(6*$CF$2))^2),
-CE32*$C$87^3*BW32/(8*CE32*$C$87+24*$CF$2)-CE32*$CA$1/$C$87*($C$87^2-$CA$1^2)*BX32/(2*CE32*$C$87+6*$CF$2))</f>
        <v>#DIV/0!</v>
      </c>
      <c r="CG32" s="836" t="e">
        <f t="shared" ca="1" si="28"/>
        <v>#DIV/0!</v>
      </c>
      <c r="CH32" s="839">
        <f t="shared" ca="1" si="1"/>
        <v>0</v>
      </c>
      <c r="CI32" s="823" t="e">
        <f t="shared" ca="1" si="2"/>
        <v>#DIV/0!</v>
      </c>
      <c r="CJ32" s="679" t="str">
        <f t="shared" si="40"/>
        <v>unten</v>
      </c>
      <c r="CK32" s="838" t="e">
        <f ca="1">IF(CJ32=_oben,Berechnung_BZoben!$S$7,Berechnung_BZunten!$S$7)</f>
        <v>#DIV/0!</v>
      </c>
      <c r="CL32" s="838" t="e">
        <f ca="1">CK32*2/(3*(1+2*Eingabe!CA32*Eingabe!$D$76))</f>
        <v>#DIV/0!</v>
      </c>
      <c r="CM32" s="836" t="e">
        <f ca="1">IF($C$86=Sprachtexte!$A$87,
-CL32*$C$87^3*BW32/(12*CE32*$C$87+24*$CF$2)+BX32*$CA$1*$BY$1/(6*$CF$2)*(($CA$1-$C$87-2*$BY$1)/(6*$CF$2)-1/CE32-$BY$1/(CE32*$C$87))/(($C$87/(3*$CF$2)+1/CE32)^2-($C$87/(6*$CF$2))^2),0)</f>
        <v>#DIV/0!</v>
      </c>
      <c r="CN32" s="836" t="e">
        <f t="shared" ca="1" si="4"/>
        <v>#DIV/0!</v>
      </c>
      <c r="CO32" s="839">
        <f t="shared" ca="1" si="5"/>
        <v>0</v>
      </c>
      <c r="CP32" s="850">
        <f t="shared" si="29"/>
        <v>0</v>
      </c>
      <c r="CQ32" s="836" t="e">
        <f t="shared" ca="1" si="6"/>
        <v>#DIV/0!</v>
      </c>
      <c r="CR32" s="836" t="e">
        <f t="shared" ca="1" si="7"/>
        <v>#DIV/0!</v>
      </c>
      <c r="CS32" s="836">
        <f t="shared" si="30"/>
        <v>0</v>
      </c>
      <c r="CT32" s="836" t="e">
        <f t="shared" ca="1" si="41"/>
        <v>#DIV/0!</v>
      </c>
      <c r="CU32" s="836">
        <f t="shared" si="31"/>
        <v>0</v>
      </c>
      <c r="CV32" s="837">
        <f>MAX($C$79,$C$82,$C$80,$C$81)</f>
        <v>1</v>
      </c>
      <c r="CW32" s="823" t="e">
        <f ca="1">MIN(Ausgabe!$C$173,Ausgabe!$C$186)</f>
        <v>#DIV/0!</v>
      </c>
      <c r="CX32" s="836">
        <f>Ausgabe!$C$187</f>
        <v>1.3</v>
      </c>
      <c r="CY32" s="679">
        <f>Ausgabe!$C$191</f>
        <v>100</v>
      </c>
      <c r="CZ32" s="836">
        <f>Ausgabe!$C$192</f>
        <v>1.25</v>
      </c>
      <c r="DA32" s="679">
        <f>Ausgabe!$C$194</f>
        <v>36.6</v>
      </c>
      <c r="DB32" s="836">
        <f>Ausgabe!$C$195</f>
        <v>1.25</v>
      </c>
      <c r="DC32" s="679" t="e">
        <f t="shared" ca="1" si="9"/>
        <v>#DIV/0!</v>
      </c>
      <c r="DD32" s="679">
        <f t="shared" si="32"/>
        <v>0</v>
      </c>
      <c r="DE32" s="836" t="e">
        <f t="shared" ca="1" si="10"/>
        <v>#DIV/0!</v>
      </c>
      <c r="DF32" s="823">
        <f ca="1">MIN(Ausgabe!$C$221,Ausgabe!$C$239)</f>
        <v>92.436470366395326</v>
      </c>
      <c r="DG32" s="836">
        <f>Ausgabe!$C$240</f>
        <v>1.3</v>
      </c>
      <c r="DH32" s="679">
        <f>Ausgabe!$C$246</f>
        <v>150.4</v>
      </c>
      <c r="DI32" s="836">
        <f>Ausgabe!$C$247</f>
        <v>1.1000000000000001</v>
      </c>
      <c r="DJ32" s="679">
        <f>Ausgabe!$C$254</f>
        <v>176.4</v>
      </c>
      <c r="DK32" s="836">
        <f>Ausgabe!$C$255</f>
        <v>1.25</v>
      </c>
      <c r="DL32" s="679">
        <f>Ausgabe!$C$263</f>
        <v>180.95573684677208</v>
      </c>
      <c r="DM32" s="836">
        <f>Ausgabe!$C$264</f>
        <v>1.1000000000000001</v>
      </c>
      <c r="DN32" s="679">
        <f t="shared" ca="1" si="11"/>
        <v>71.104977204919479</v>
      </c>
      <c r="DO32" s="679" t="e">
        <f t="shared" ca="1" si="12"/>
        <v>#DIV/0!</v>
      </c>
      <c r="DP32" s="837" t="e">
        <f t="shared" ca="1" si="13"/>
        <v>#DIV/0!</v>
      </c>
      <c r="DQ32" s="823" t="e">
        <f ca="1">Ausgabe!$C$369</f>
        <v>#DIV/0!</v>
      </c>
      <c r="DR32" s="836">
        <f>Ausgabe!$C$370</f>
        <v>1.3</v>
      </c>
      <c r="DS32" s="679" t="e">
        <f t="shared" ca="1" si="14"/>
        <v>#DIV/0!</v>
      </c>
      <c r="DT32" s="679" t="e">
        <f t="shared" ca="1" si="15"/>
        <v>#DIV/0!</v>
      </c>
      <c r="DU32" s="837" t="e">
        <f t="shared" ca="1" si="16"/>
        <v>#DIV/0!</v>
      </c>
      <c r="DV32" s="823">
        <f ca="1">Ausgabe!$C$420</f>
        <v>33.607770254588836</v>
      </c>
      <c r="DW32" s="836">
        <f>Ausgabe!$C$421</f>
        <v>1.3</v>
      </c>
      <c r="DX32" s="679">
        <f>Ausgabe!$C$423</f>
        <v>36.9</v>
      </c>
      <c r="DY32" s="836">
        <f>Ausgabe!$C$424</f>
        <v>1.1000000000000001</v>
      </c>
      <c r="DZ32" s="679">
        <f t="shared" ca="1" si="17"/>
        <v>25.852130965068334</v>
      </c>
      <c r="EA32" s="679">
        <f t="shared" si="33"/>
        <v>0</v>
      </c>
      <c r="EB32" s="837">
        <f t="shared" ca="1" si="18"/>
        <v>0</v>
      </c>
      <c r="EC32" s="836" t="e">
        <f ca="1">IF(CJ32=_oben,Berechnung_BZoben!$P$5,Berechnung_BZunten!$P$5)</f>
        <v>#DIV/0!</v>
      </c>
      <c r="ED32" s="836">
        <f>Ausgabe!$C$520</f>
        <v>1.3</v>
      </c>
      <c r="EE32" s="836" t="e">
        <f t="shared" ca="1" si="19"/>
        <v>#DIV/0!</v>
      </c>
      <c r="EF32" s="836" t="e">
        <f t="shared" ca="1" si="20"/>
        <v>#DIV/0!</v>
      </c>
      <c r="EG32" s="837" t="e">
        <f t="shared" ca="1" si="21"/>
        <v>#DIV/0!</v>
      </c>
      <c r="EH32" s="836">
        <f>Ausgabe!$C$592</f>
        <v>2.7</v>
      </c>
      <c r="EI32" s="836">
        <f>Ausgabe!$C$593</f>
        <v>1.3</v>
      </c>
      <c r="EJ32" s="836">
        <f t="shared" si="34"/>
        <v>2.0769230769230771</v>
      </c>
      <c r="EK32" s="836">
        <f t="shared" si="35"/>
        <v>0</v>
      </c>
      <c r="EL32" s="837">
        <f t="shared" si="36"/>
        <v>0</v>
      </c>
      <c r="EM32" s="823">
        <f ca="1">Ausgabe!$C$581</f>
        <v>0</v>
      </c>
      <c r="EN32" s="836" t="e">
        <f t="shared" ca="1" si="22"/>
        <v>#DIV/0!</v>
      </c>
      <c r="EO32" s="1479"/>
      <c r="EP32" s="836" t="e">
        <f t="shared" ca="1" si="42"/>
        <v>#DIV/0!</v>
      </c>
      <c r="EQ32" s="837" t="e">
        <f t="shared" ca="1" si="24"/>
        <v>#DIV/0!</v>
      </c>
      <c r="ER32" s="890" t="e">
        <f t="shared" ca="1" si="25"/>
        <v>#DIV/0!</v>
      </c>
      <c r="ES32" s="619"/>
      <c r="EU32" s="499" t="s">
        <v>799</v>
      </c>
      <c r="EV32" s="723">
        <f ca="1">EV12+EV16+(EV19+EV17)/SQRT(2)</f>
        <v>344.19774516162744</v>
      </c>
      <c r="EW32" s="499" t="s">
        <v>811</v>
      </c>
      <c r="EX32" s="723">
        <f ca="1">EX12+EX16</f>
        <v>20.25</v>
      </c>
      <c r="EY32" s="429"/>
      <c r="FE32" s="1300"/>
      <c r="FF32" s="1301"/>
      <c r="FG32" s="1302"/>
      <c r="FH32" s="1303"/>
      <c r="FJ32" s="569"/>
      <c r="FK32" s="859"/>
    </row>
    <row r="33" spans="1:167" ht="15.75">
      <c r="A33" s="569" t="str">
        <f>Sprachtexte!A37</f>
        <v>Teilsicherheitsbeiwerte</v>
      </c>
      <c r="B33" s="862" t="s">
        <v>1064</v>
      </c>
      <c r="C33" s="1364">
        <v>1.3</v>
      </c>
      <c r="D33" s="609" t="str">
        <f>Sprachtexte!A38</f>
        <v>Holz</v>
      </c>
      <c r="E33" s="703"/>
      <c r="F33" s="508"/>
      <c r="J33" s="643"/>
      <c r="K33" s="527"/>
      <c r="L33" s="527"/>
      <c r="O33" s="649"/>
      <c r="P33" s="649"/>
      <c r="Q33" s="649"/>
      <c r="R33" s="649"/>
      <c r="AB33" s="554"/>
      <c r="AC33" s="579"/>
      <c r="AD33" s="607"/>
      <c r="AE33" s="707"/>
      <c r="AG33" s="523"/>
      <c r="AJ33" s="556"/>
      <c r="AK33" s="556"/>
      <c r="AW33" s="525"/>
      <c r="BB33" s="564">
        <v>2</v>
      </c>
      <c r="BC33" s="640" t="s">
        <v>9</v>
      </c>
      <c r="BD33" s="575">
        <f>IF(OR($BC$27=20,$BC$27=22),Eingabe!BD8,IF($BC$27=21,Eingabe!BD18))</f>
        <v>0</v>
      </c>
      <c r="BE33" s="574">
        <f>IF(OR($BC$27=20,$BC$27=22),Eingabe!BE8,IF($BC$27=21,Eingabe!BE18))</f>
        <v>45</v>
      </c>
      <c r="BF33" s="575">
        <f>IF(OR($BC$27=20,$BC$27=22),HLOOKUP(Eingabe!$BC$26&amp;"_90",Eingabe!$BF$3:$BK$22,Eingabe!$BA8,FALSE),IF($BC$27=21,HLOOKUP(Eingabe!$BC$26&amp;"_90",Eingabe!$BF$3:$BK$22,Eingabe!$BA18,FALSE)))</f>
        <v>90</v>
      </c>
      <c r="BG33" s="574">
        <f>IF(OR($BC$27=20,$BC$27=22),HLOOKUP(Eingabe!$BC$26&amp;"_45",Eingabe!$BF$3:$BK$22,Eingabe!$BA8,FALSE),IF($BC$27=21,HLOOKUP(Eingabe!$BC$26&amp;"_45",Eingabe!$BF$3:$BK$22,Eingabe!$BA18,FALSE)))</f>
        <v>90</v>
      </c>
      <c r="BH33" s="569" t="s">
        <v>430</v>
      </c>
      <c r="BI33"/>
      <c r="BJ33" s="629"/>
      <c r="BL33" s="499" t="str">
        <f>Sprachtexte!A26</f>
        <v>Nebenträger an Stütze</v>
      </c>
      <c r="BM33" s="643" t="e" vm="3">
        <v>#VALUE!</v>
      </c>
      <c r="BP33" s="701" t="str">
        <f>Sprachtexte!$A$44</f>
        <v>Nebenträger</v>
      </c>
      <c r="BR33" s="609"/>
      <c r="BS33" s="609"/>
      <c r="BT33" s="609"/>
      <c r="BU33" s="610"/>
      <c r="BV33" s="552"/>
      <c r="BW33" s="618"/>
      <c r="BX33" s="618"/>
      <c r="BY33" s="618"/>
      <c r="BZ33" s="618"/>
      <c r="CA33" s="618"/>
      <c r="CB33" s="619"/>
      <c r="CC33" s="618"/>
      <c r="CD33" s="618"/>
      <c r="CE33" s="644"/>
      <c r="CF33" s="644"/>
      <c r="CG33" s="551"/>
      <c r="CH33" s="551"/>
      <c r="CI33" s="619"/>
      <c r="CJ33" s="618"/>
      <c r="CK33" s="618"/>
      <c r="CL33" s="644"/>
      <c r="CM33" s="644"/>
      <c r="CN33" s="551"/>
      <c r="CO33" s="551"/>
      <c r="CP33" s="551"/>
      <c r="CQ33" s="551"/>
      <c r="CR33" s="551"/>
      <c r="CS33" s="551"/>
      <c r="CT33" s="551"/>
      <c r="CU33" s="551"/>
      <c r="CV33" s="551"/>
      <c r="CW33" s="552"/>
      <c r="CX33" s="552"/>
      <c r="CY33" s="552"/>
      <c r="CZ33" s="552"/>
      <c r="DA33" s="552"/>
      <c r="DB33" s="552"/>
      <c r="DC33" s="552"/>
      <c r="DD33" s="552"/>
      <c r="DE33" s="552"/>
      <c r="DF33" s="552"/>
      <c r="DG33" s="552"/>
      <c r="DH33" s="552"/>
      <c r="DI33" s="552"/>
      <c r="DJ33" s="552"/>
      <c r="DK33" s="552"/>
      <c r="DL33" s="552"/>
      <c r="DM33" s="552"/>
      <c r="DN33" s="552"/>
      <c r="DO33" s="552"/>
      <c r="DP33" s="552"/>
      <c r="DQ33" s="552"/>
      <c r="DR33" s="552"/>
      <c r="DS33" s="552"/>
      <c r="DT33" s="552"/>
      <c r="DU33" s="552"/>
      <c r="DV33" s="552"/>
      <c r="DW33" s="552"/>
      <c r="DX33" s="552"/>
      <c r="DY33" s="552"/>
      <c r="DZ33" s="552"/>
      <c r="EA33" s="552"/>
      <c r="EB33" s="552"/>
      <c r="EC33" s="552"/>
      <c r="ED33" s="552"/>
      <c r="EE33" s="552"/>
      <c r="EF33" s="552"/>
      <c r="EG33" s="552"/>
      <c r="EH33" s="552"/>
      <c r="EI33" s="552"/>
      <c r="EJ33" s="552"/>
      <c r="EK33" s="552"/>
      <c r="EL33" s="552"/>
      <c r="EM33" s="552"/>
      <c r="EN33" s="552"/>
      <c r="EO33" s="552"/>
      <c r="EP33" s="552"/>
      <c r="EQ33" s="552"/>
      <c r="ER33" s="552"/>
      <c r="ES33" s="619"/>
      <c r="EU33" s="499" t="s">
        <v>787</v>
      </c>
      <c r="EV33" s="723">
        <f ca="1">EV9+EV17/SQRT(2)</f>
        <v>140.76271631908301</v>
      </c>
      <c r="EW33" s="499" t="s">
        <v>787</v>
      </c>
      <c r="EX33" s="723">
        <f ca="1">EX9+EX17/SQRT(2)</f>
        <v>140.76271631908301</v>
      </c>
      <c r="EY33" s="429"/>
      <c r="FE33" s="1300"/>
      <c r="FF33" s="1301"/>
      <c r="FG33" s="1302"/>
      <c r="FH33" s="1303"/>
      <c r="FJ33" s="569"/>
      <c r="FK33" s="859"/>
    </row>
    <row r="34" spans="1:167" ht="15.75">
      <c r="B34" s="862" t="s">
        <v>1065</v>
      </c>
      <c r="C34" s="1364">
        <v>1.1000000000000001</v>
      </c>
      <c r="D34" s="609" t="str">
        <f>Sprachtexte!A39</f>
        <v>Stahl</v>
      </c>
      <c r="E34" s="703"/>
      <c r="F34" s="508"/>
      <c r="J34" s="643"/>
      <c r="K34" s="527"/>
      <c r="L34" s="527"/>
      <c r="O34" s="649"/>
      <c r="P34" s="649"/>
      <c r="Q34" s="649"/>
      <c r="R34" s="649"/>
      <c r="AB34" s="554"/>
      <c r="AC34" s="579"/>
      <c r="AD34" s="607"/>
      <c r="AE34" s="707"/>
      <c r="AG34" s="523"/>
      <c r="AJ34" s="556"/>
      <c r="AK34" s="556"/>
      <c r="AW34" s="525"/>
      <c r="BB34" s="564">
        <v>2</v>
      </c>
      <c r="BC34" s="640" t="s">
        <v>436</v>
      </c>
      <c r="BD34" s="575">
        <f>IF(OR($BC$27=20,$BC$27=22),Eingabe!BD9,IF($BC$27=21,Eingabe!BD19))</f>
        <v>90</v>
      </c>
      <c r="BE34" s="574">
        <f>IF(OR($BC$27=20,$BC$27=22),Eingabe!BE9,IF($BC$27=21,Eingabe!BE19))</f>
        <v>90</v>
      </c>
      <c r="BF34" s="575">
        <f>IF(OR($BC$27=20,$BC$27=22),HLOOKUP(Eingabe!$BC$26&amp;"_90",Eingabe!$BF$3:$BK$22,Eingabe!$BA9,FALSE),IF($BC$27=21,HLOOKUP(Eingabe!$BC$26&amp;"_90",Eingabe!$BF$3:$BK$22,Eingabe!$BA19,FALSE)))</f>
        <v>90</v>
      </c>
      <c r="BG34" s="574">
        <f>IF(OR($BC$27=20,$BC$27=22),HLOOKUP(Eingabe!$BC$26&amp;"_45",Eingabe!$BF$3:$BK$22,Eingabe!$BA9,FALSE),IF($BC$27=21,HLOOKUP(Eingabe!$BC$26&amp;"_45",Eingabe!$BF$3:$BK$22,Eingabe!$BA19,FALSE)))</f>
        <v>90</v>
      </c>
      <c r="BH34" s="569" t="s">
        <v>437</v>
      </c>
      <c r="BI34"/>
      <c r="BJ34" s="629"/>
      <c r="BL34" s="499" t="str">
        <f>Sprachtexte!A27</f>
        <v>Nebenträger an Hauptträger-Seitenfläche</v>
      </c>
      <c r="BM34" s="643" t="e" vm="4">
        <v>#VALUE!</v>
      </c>
      <c r="BR34" s="609" t="s">
        <v>1959</v>
      </c>
      <c r="BS34" s="609"/>
      <c r="BT34" s="609"/>
      <c r="BU34" s="610"/>
      <c r="BV34" s="552"/>
      <c r="BW34" s="618"/>
      <c r="BX34" s="618"/>
      <c r="BY34" s="618"/>
      <c r="BZ34" s="618"/>
      <c r="CA34" s="618"/>
      <c r="CB34" s="619"/>
      <c r="CC34" s="618"/>
      <c r="CD34" s="618"/>
      <c r="CE34" s="644"/>
      <c r="CF34" s="644"/>
      <c r="CG34" s="551"/>
      <c r="CH34" s="551"/>
      <c r="CI34" s="619"/>
      <c r="CJ34" s="618"/>
      <c r="CK34" s="618"/>
      <c r="CL34" s="644"/>
      <c r="CM34" s="644"/>
      <c r="CN34" s="551"/>
      <c r="CO34" s="551"/>
      <c r="CP34" s="551"/>
      <c r="CQ34" s="551"/>
      <c r="CR34" s="551"/>
      <c r="CS34" s="551"/>
      <c r="CT34" s="551"/>
      <c r="CU34" s="551"/>
      <c r="CV34" s="551"/>
      <c r="CW34" s="552"/>
      <c r="CX34" s="552"/>
      <c r="CY34" s="552"/>
      <c r="CZ34" s="552"/>
      <c r="DA34" s="552"/>
      <c r="DB34" s="552"/>
      <c r="DC34" s="552"/>
      <c r="DD34" s="552"/>
      <c r="DE34" s="552"/>
      <c r="DF34" s="552"/>
      <c r="DG34" s="552"/>
      <c r="DH34" s="552"/>
      <c r="DI34" s="552"/>
      <c r="DJ34" s="552"/>
      <c r="DK34" s="552"/>
      <c r="DL34" s="552"/>
      <c r="DM34" s="552"/>
      <c r="DN34" s="552"/>
      <c r="DO34" s="552"/>
      <c r="DP34" s="552"/>
      <c r="DQ34" s="552"/>
      <c r="DR34" s="552"/>
      <c r="DS34" s="552"/>
      <c r="DT34" s="552"/>
      <c r="DU34" s="552"/>
      <c r="DV34" s="552"/>
      <c r="DW34" s="552"/>
      <c r="DX34" s="552"/>
      <c r="DY34" s="552"/>
      <c r="DZ34" s="552"/>
      <c r="EA34" s="552"/>
      <c r="EB34" s="552"/>
      <c r="EC34" s="552"/>
      <c r="ED34" s="552"/>
      <c r="EE34" s="552"/>
      <c r="EF34" s="552"/>
      <c r="EG34" s="552"/>
      <c r="EH34" s="552"/>
      <c r="EI34" s="552"/>
      <c r="EJ34" s="552"/>
      <c r="EK34" s="552"/>
      <c r="EL34" s="552"/>
      <c r="EM34" s="552"/>
      <c r="EN34" s="552"/>
      <c r="EO34" s="552"/>
      <c r="EP34" s="552"/>
      <c r="EQ34" s="552"/>
      <c r="ER34" s="552"/>
      <c r="ES34" s="552"/>
      <c r="EU34" s="499" t="s">
        <v>805</v>
      </c>
      <c r="EV34" s="723">
        <f ca="1">EV33*TAN(RADIANS(EV10))</f>
        <v>0</v>
      </c>
      <c r="EW34" s="499" t="s">
        <v>808</v>
      </c>
      <c r="EX34" s="723">
        <f ca="1">EX33*TAN(RADIANS(EX10))</f>
        <v>0</v>
      </c>
      <c r="EY34" s="429"/>
      <c r="FE34" s="1304"/>
      <c r="FF34" s="1301"/>
      <c r="FG34" s="1302"/>
      <c r="FH34" s="1303"/>
      <c r="FJ34" s="631"/>
      <c r="FK34" s="859"/>
    </row>
    <row r="35" spans="1:167" ht="15.75">
      <c r="B35" s="862" t="s">
        <v>1066</v>
      </c>
      <c r="C35" s="1364">
        <v>1.25</v>
      </c>
      <c r="D35" s="609" t="str">
        <f>Sprachtexte!A39</f>
        <v>Stahl</v>
      </c>
      <c r="E35" s="703"/>
      <c r="F35" s="508"/>
      <c r="J35" s="643"/>
      <c r="K35" s="569"/>
      <c r="O35" s="649"/>
      <c r="P35" s="649"/>
      <c r="Q35" s="649"/>
      <c r="R35" s="649"/>
      <c r="AB35" s="554"/>
      <c r="AC35" s="579"/>
      <c r="AD35" s="607"/>
      <c r="AE35" s="707"/>
      <c r="AG35" s="523"/>
      <c r="AJ35" s="556"/>
      <c r="AK35" s="556"/>
      <c r="AW35" s="525"/>
      <c r="BB35" s="564">
        <v>2</v>
      </c>
      <c r="BC35" s="640" t="s">
        <v>440</v>
      </c>
      <c r="BD35" s="575">
        <f>IF(OR($BC$27=20,$BC$27=22),Eingabe!BD10,IF($BC$27=21,Eingabe!BD20))</f>
        <v>90</v>
      </c>
      <c r="BE35" s="574">
        <f>IF(OR($BC$27=20,$BC$27=22),Eingabe!BE10,IF($BC$27=21,Eingabe!BE20))</f>
        <v>90</v>
      </c>
      <c r="BF35" s="575">
        <f>IF(OR($BC$27=20,$BC$27=22),HLOOKUP(Eingabe!$BC$26&amp;"_90",Eingabe!$BF$3:$BK$22,Eingabe!$BA10,FALSE),IF($BC$27=21,HLOOKUP(Eingabe!$BC$26&amp;"_90",Eingabe!$BF$3:$BK$22,Eingabe!$BA20,FALSE)))</f>
        <v>0</v>
      </c>
      <c r="BG35" s="574">
        <f>IF(OR($BC$27=20,$BC$27=22),HLOOKUP(Eingabe!$BC$26&amp;"_45",Eingabe!$BF$3:$BK$22,Eingabe!$BA10,FALSE),IF($BC$27=21,HLOOKUP(Eingabe!$BC$26&amp;"_45",Eingabe!$BF$3:$BK$22,Eingabe!$BA20,FALSE)))</f>
        <v>0</v>
      </c>
      <c r="BH35" s="569" t="s">
        <v>437</v>
      </c>
      <c r="BI35"/>
      <c r="BJ35" s="629"/>
      <c r="BL35" s="499" t="str">
        <f>Sprachtexte!A28</f>
        <v>Nebenträger an Stützen-Deckfläche</v>
      </c>
      <c r="BM35" s="643" t="e" vm="5">
        <v>#VALUE!</v>
      </c>
      <c r="BR35" s="1511" t="s">
        <v>988</v>
      </c>
      <c r="BS35" s="1511" t="s">
        <v>1016</v>
      </c>
      <c r="BT35" s="538" t="s">
        <v>1856</v>
      </c>
      <c r="BU35" s="1203"/>
      <c r="BV35" s="1187"/>
      <c r="BW35" s="1187"/>
      <c r="BX35" s="1187"/>
      <c r="BY35" s="1187"/>
      <c r="BZ35" s="1187"/>
      <c r="CA35" s="1187"/>
      <c r="CB35" s="1513" t="s">
        <v>1002</v>
      </c>
      <c r="CC35" s="1514"/>
      <c r="CD35" s="1514"/>
      <c r="CE35" s="1514"/>
      <c r="CF35" s="1514"/>
      <c r="CG35" s="1514"/>
      <c r="CH35" s="1515"/>
      <c r="CI35" s="1513" t="s">
        <v>1003</v>
      </c>
      <c r="CJ35" s="1514"/>
      <c r="CK35" s="1514"/>
      <c r="CL35" s="1514"/>
      <c r="CM35" s="1514"/>
      <c r="CN35" s="1514"/>
      <c r="CO35" s="1515"/>
      <c r="CP35" s="1513" t="s">
        <v>1006</v>
      </c>
      <c r="CQ35" s="1514"/>
      <c r="CR35" s="1514"/>
      <c r="CS35" s="1514"/>
      <c r="CT35" s="1514"/>
      <c r="CU35" s="1514"/>
      <c r="CV35" s="1515"/>
      <c r="CW35" s="1498" t="s">
        <v>2191</v>
      </c>
      <c r="CX35" s="1499"/>
      <c r="CY35" s="1499"/>
      <c r="CZ35" s="1499"/>
      <c r="DA35" s="1499"/>
      <c r="DB35" s="1499"/>
      <c r="DC35" s="1499"/>
      <c r="DD35" s="1499"/>
      <c r="DE35" s="1500"/>
      <c r="DF35" s="1498" t="s">
        <v>2192</v>
      </c>
      <c r="DG35" s="1499"/>
      <c r="DH35" s="1499"/>
      <c r="DI35" s="1499"/>
      <c r="DJ35" s="1499"/>
      <c r="DK35" s="1499"/>
      <c r="DL35" s="1499"/>
      <c r="DM35" s="1499"/>
      <c r="DN35" s="1499"/>
      <c r="DO35" s="1499"/>
      <c r="DP35" s="1500"/>
      <c r="DQ35" s="1498" t="s">
        <v>2193</v>
      </c>
      <c r="DR35" s="1499"/>
      <c r="DS35" s="1499"/>
      <c r="DT35" s="1499"/>
      <c r="DU35" s="1500"/>
      <c r="DV35" s="1498" t="s">
        <v>2187</v>
      </c>
      <c r="DW35" s="1499"/>
      <c r="DX35" s="1499"/>
      <c r="DY35" s="1499"/>
      <c r="DZ35" s="1499"/>
      <c r="EA35" s="1499"/>
      <c r="EB35" s="1500"/>
      <c r="EC35" s="1498" t="s">
        <v>1957</v>
      </c>
      <c r="ED35" s="1499"/>
      <c r="EE35" s="1499"/>
      <c r="EF35" s="1499"/>
      <c r="EG35" s="1500"/>
      <c r="EH35" s="1498" t="s">
        <v>2185</v>
      </c>
      <c r="EI35" s="1499"/>
      <c r="EJ35" s="1499"/>
      <c r="EK35" s="1499"/>
      <c r="EL35" s="1500"/>
      <c r="EM35" s="1498" t="s">
        <v>1955</v>
      </c>
      <c r="EN35" s="1499"/>
      <c r="EO35" s="1499"/>
      <c r="EP35" s="1499"/>
      <c r="EQ35" s="1500"/>
      <c r="ER35" s="1199" t="s">
        <v>1956</v>
      </c>
      <c r="ES35" s="552"/>
      <c r="EU35" s="499" t="s">
        <v>806</v>
      </c>
      <c r="EV35" s="723">
        <f ca="1">EV11+EV33*TAN(RADIANS(EV10))</f>
        <v>0</v>
      </c>
      <c r="EW35" s="499" t="s">
        <v>809</v>
      </c>
      <c r="EX35" s="723">
        <f ca="1">EX11+EX33*TAN(RADIANS(EX10))</f>
        <v>0</v>
      </c>
      <c r="EY35" s="429"/>
      <c r="FE35" s="1304"/>
      <c r="FF35" s="1301"/>
      <c r="FG35" s="1302"/>
      <c r="FH35" s="1303"/>
      <c r="FJ35" s="631"/>
      <c r="FK35" s="859"/>
    </row>
    <row r="36" spans="1:167" ht="15.75">
      <c r="D36" s="569"/>
      <c r="F36" s="508"/>
      <c r="H36" s="508"/>
      <c r="J36" s="643"/>
      <c r="K36" s="569"/>
      <c r="O36" s="649"/>
      <c r="P36" s="649"/>
      <c r="Q36" s="649"/>
      <c r="R36" s="649"/>
      <c r="AB36" s="554"/>
      <c r="AC36" s="579"/>
      <c r="AD36" s="607"/>
      <c r="AE36" s="707"/>
      <c r="AG36" s="523"/>
      <c r="AJ36" s="556"/>
      <c r="AK36" s="556"/>
      <c r="AW36" s="525"/>
      <c r="BB36" s="564">
        <v>2</v>
      </c>
      <c r="BC36" s="640" t="s">
        <v>443</v>
      </c>
      <c r="BD36" s="575">
        <f>IF(OR($BC$27=20,$BC$27=22),Eingabe!BD11,IF($BC$27=21,Eingabe!BD21))</f>
        <v>0</v>
      </c>
      <c r="BE36" s="574">
        <f>IF(OR($BC$27=20,$BC$27=22),Eingabe!BE11,IF($BC$27=21,Eingabe!BE21))</f>
        <v>45</v>
      </c>
      <c r="BF36" s="575">
        <f>IF(OR($BC$27=20,$BC$27=22),HLOOKUP(Eingabe!$BC$26&amp;"_90",Eingabe!$BF$3:$BK$22,Eingabe!$BA11,FALSE),IF($BC$27=21,HLOOKUP(Eingabe!$BC$26&amp;"_90",Eingabe!$BF$3:$BK$22,Eingabe!$BA21,FALSE)))</f>
        <v>0</v>
      </c>
      <c r="BG36" s="574">
        <f>IF(OR($BC$27=20,$BC$27=22),HLOOKUP(Eingabe!$BC$26&amp;"_45",Eingabe!$BF$3:$BK$22,Eingabe!$BA11,FALSE),IF($BC$27=21,HLOOKUP(Eingabe!$BC$26&amp;"_45",Eingabe!$BF$3:$BK$22,Eingabe!$BA21,FALSE)))</f>
        <v>45</v>
      </c>
      <c r="BH36" s="569" t="s">
        <v>444</v>
      </c>
      <c r="BI36"/>
      <c r="BJ36" s="629"/>
      <c r="BL36" s="712" t="str">
        <f>Sprachtexte!A29</f>
        <v>Nebenträger an Stützen-Seitenfläche</v>
      </c>
      <c r="BM36" s="600" t="e" vm="6">
        <v>#VALUE!</v>
      </c>
      <c r="BR36" s="1512"/>
      <c r="BS36" s="1512"/>
      <c r="BT36" s="1204" t="s">
        <v>985</v>
      </c>
      <c r="BU36" s="838" t="s">
        <v>1127</v>
      </c>
      <c r="BV36" s="530" t="s">
        <v>986</v>
      </c>
      <c r="BW36" s="530" t="s">
        <v>1000</v>
      </c>
      <c r="BX36" s="530" t="s">
        <v>1001</v>
      </c>
      <c r="BY36" s="530" t="s">
        <v>987</v>
      </c>
      <c r="BZ36" s="530" t="s">
        <v>1010</v>
      </c>
      <c r="CA36" s="814" t="s">
        <v>466</v>
      </c>
      <c r="CB36" s="816" t="s">
        <v>418</v>
      </c>
      <c r="CC36" s="530" t="s">
        <v>118</v>
      </c>
      <c r="CD36" s="530" t="s">
        <v>1088</v>
      </c>
      <c r="CE36" s="530" t="s">
        <v>1089</v>
      </c>
      <c r="CF36" s="530" t="s">
        <v>1004</v>
      </c>
      <c r="CG36" s="530" t="s">
        <v>420</v>
      </c>
      <c r="CH36" s="1201" t="s">
        <v>569</v>
      </c>
      <c r="CI36" s="530" t="s">
        <v>419</v>
      </c>
      <c r="CJ36" s="530" t="s">
        <v>118</v>
      </c>
      <c r="CK36" s="530" t="s">
        <v>1088</v>
      </c>
      <c r="CL36" s="530" t="s">
        <v>1005</v>
      </c>
      <c r="CM36" s="530" t="s">
        <v>1004</v>
      </c>
      <c r="CN36" s="530" t="s">
        <v>421</v>
      </c>
      <c r="CO36" s="1202" t="s">
        <v>569</v>
      </c>
      <c r="CP36" s="816" t="s">
        <v>986</v>
      </c>
      <c r="CQ36" s="530" t="s">
        <v>1008</v>
      </c>
      <c r="CR36" s="530" t="s">
        <v>1009</v>
      </c>
      <c r="CS36" s="530" t="s">
        <v>987</v>
      </c>
      <c r="CT36" s="530" t="s">
        <v>1007</v>
      </c>
      <c r="CU36" s="530" t="s">
        <v>1099</v>
      </c>
      <c r="CV36" s="531" t="s">
        <v>422</v>
      </c>
      <c r="CW36" s="1188" t="s">
        <v>2194</v>
      </c>
      <c r="CX36" s="1200" t="s">
        <v>713</v>
      </c>
      <c r="CY36" s="1200" t="s">
        <v>2195</v>
      </c>
      <c r="CZ36" s="1200" t="s">
        <v>2190</v>
      </c>
      <c r="DA36" s="1200" t="s">
        <v>2196</v>
      </c>
      <c r="DB36" s="1200" t="s">
        <v>2190</v>
      </c>
      <c r="DC36" s="530" t="s">
        <v>1071</v>
      </c>
      <c r="DD36" s="530" t="s">
        <v>1102</v>
      </c>
      <c r="DE36" s="868" t="s">
        <v>1072</v>
      </c>
      <c r="DF36" s="1213" t="s">
        <v>2197</v>
      </c>
      <c r="DG36" s="1255" t="s">
        <v>713</v>
      </c>
      <c r="DH36" s="1255" t="s">
        <v>2198</v>
      </c>
      <c r="DI36" s="1255" t="s">
        <v>2190</v>
      </c>
      <c r="DJ36" s="1255" t="s">
        <v>2195</v>
      </c>
      <c r="DK36" s="1255" t="s">
        <v>2190</v>
      </c>
      <c r="DL36" s="1255" t="s">
        <v>2199</v>
      </c>
      <c r="DM36" s="1255" t="s">
        <v>2200</v>
      </c>
      <c r="DN36" s="869" t="s">
        <v>1075</v>
      </c>
      <c r="DO36" s="869" t="s">
        <v>1107</v>
      </c>
      <c r="DP36" s="870" t="s">
        <v>1072</v>
      </c>
      <c r="DQ36" s="1188" t="s">
        <v>2201</v>
      </c>
      <c r="DR36" s="1200" t="s">
        <v>713</v>
      </c>
      <c r="DS36" s="530" t="s">
        <v>1082</v>
      </c>
      <c r="DT36" s="530" t="s">
        <v>1106</v>
      </c>
      <c r="DU36" s="868" t="s">
        <v>1072</v>
      </c>
      <c r="DV36" s="1188" t="s">
        <v>2188</v>
      </c>
      <c r="DW36" s="1200" t="s">
        <v>713</v>
      </c>
      <c r="DX36" s="1200" t="s">
        <v>2189</v>
      </c>
      <c r="DY36" s="1200" t="s">
        <v>2190</v>
      </c>
      <c r="DZ36" s="530" t="s">
        <v>1085</v>
      </c>
      <c r="EA36" s="530" t="s">
        <v>1105</v>
      </c>
      <c r="EB36" s="868" t="s">
        <v>1072</v>
      </c>
      <c r="EC36" s="1188" t="s">
        <v>1857</v>
      </c>
      <c r="ED36" s="1200" t="s">
        <v>713</v>
      </c>
      <c r="EE36" s="530" t="s">
        <v>1090</v>
      </c>
      <c r="EF36" s="530" t="s">
        <v>1104</v>
      </c>
      <c r="EG36" s="868" t="s">
        <v>1072</v>
      </c>
      <c r="EH36" s="1188" t="s">
        <v>2186</v>
      </c>
      <c r="EI36" s="1200" t="s">
        <v>713</v>
      </c>
      <c r="EJ36" s="530" t="s">
        <v>1098</v>
      </c>
      <c r="EK36" s="530" t="s">
        <v>1103</v>
      </c>
      <c r="EL36" s="868" t="s">
        <v>1072</v>
      </c>
      <c r="EM36" s="816" t="s">
        <v>680</v>
      </c>
      <c r="EN36" s="530" t="s">
        <v>1104</v>
      </c>
      <c r="EO36" s="530" t="s">
        <v>1108</v>
      </c>
      <c r="EP36" s="530" t="s">
        <v>1110</v>
      </c>
      <c r="EQ36" s="868" t="s">
        <v>1072</v>
      </c>
      <c r="ER36" s="888" t="s">
        <v>1072</v>
      </c>
      <c r="ES36" s="552"/>
      <c r="EU36" s="499"/>
      <c r="EV36" s="724"/>
      <c r="EW36" s="499"/>
      <c r="EX36" s="724"/>
      <c r="EY36" s="429"/>
      <c r="FE36" s="1304"/>
      <c r="FF36" s="1301"/>
      <c r="FG36" s="1302"/>
      <c r="FH36" s="1303"/>
      <c r="FJ36" s="631"/>
      <c r="FK36" s="859"/>
    </row>
    <row r="37" spans="1:167" ht="15.75" thickBot="1">
      <c r="A37" s="591" t="str">
        <f>Sprachtexte!A24</f>
        <v>Ausführung</v>
      </c>
      <c r="C37" s="717"/>
      <c r="D37" s="591" t="str">
        <f>A29</f>
        <v>Anschlusswinkel vertikal</v>
      </c>
      <c r="F37" s="508"/>
      <c r="H37" s="508"/>
      <c r="J37" s="643"/>
      <c r="O37" s="649"/>
      <c r="P37" s="649"/>
      <c r="Q37" s="649"/>
      <c r="R37" s="649"/>
      <c r="AB37" s="554"/>
      <c r="AC37" s="579"/>
      <c r="AD37" s="607"/>
      <c r="AE37" s="707"/>
      <c r="AG37" s="523"/>
      <c r="AJ37" s="556"/>
      <c r="AK37" s="556"/>
      <c r="AW37" s="525"/>
      <c r="BB37" s="580">
        <v>2</v>
      </c>
      <c r="BC37" s="641" t="s">
        <v>475</v>
      </c>
      <c r="BD37" s="584">
        <f>IF(OR($BC$27=20,$BC$27=22),Eingabe!BD12,IF($BC$27=21,Eingabe!BD22))</f>
        <v>0</v>
      </c>
      <c r="BE37" s="583">
        <f>IF(OR($BC$27=20,$BC$27=22),Eingabe!BE12,IF($BC$27=21,Eingabe!BE22))</f>
        <v>45</v>
      </c>
      <c r="BF37" s="584">
        <f>IF(OR($BC$27=20,$BC$27=22),HLOOKUP(Eingabe!$BC$26&amp;"_90",Eingabe!$BF$3:$BK$22,Eingabe!$BA12,FALSE),IF($BC$27=21,HLOOKUP(Eingabe!$BC$26&amp;"_90",Eingabe!$BF$3:$BK$22,Eingabe!$BA22,FALSE)))</f>
        <v>90</v>
      </c>
      <c r="BG37" s="583">
        <f>IF(OR($BC$27=20,$BC$27=22),HLOOKUP(Eingabe!$BC$26&amp;"_45",Eingabe!$BF$3:$BK$22,Eingabe!$BA12,FALSE),IF($BC$27=21,HLOOKUP(Eingabe!$BC$26&amp;"_45",Eingabe!$BF$3:$BK$22,Eingabe!$BA22,FALSE)))</f>
        <v>90</v>
      </c>
      <c r="BH37" s="569" t="s">
        <v>430</v>
      </c>
      <c r="BI37"/>
      <c r="BJ37" s="629"/>
      <c r="BR37" s="1205" t="e">
        <f t="shared" ref="BR37:BR64" ca="1" si="43">CB37+CI37</f>
        <v>#DIV/0!</v>
      </c>
      <c r="BS37" s="1205" t="s">
        <v>1017</v>
      </c>
      <c r="BT37" s="550" t="s">
        <v>733</v>
      </c>
      <c r="BU37" s="869" t="e">
        <f ca="1">IF(OR(B238&lt;&gt;0,C238&lt;&gt;0,D238&lt;&gt;0,E238&lt;&gt;0,G238&lt;&gt;0),1,0)</f>
        <v>#DIV/0!</v>
      </c>
      <c r="BV37" s="829">
        <f>$BU$5*1.35*B$99</f>
        <v>0</v>
      </c>
      <c r="BW37" s="829">
        <f>$BU$5*1.35*C$99</f>
        <v>0</v>
      </c>
      <c r="BX37" s="829">
        <f>$BU$5*1.35*D$99</f>
        <v>0</v>
      </c>
      <c r="BY37" s="829">
        <f>$BU$5*1.35*E$99</f>
        <v>0</v>
      </c>
      <c r="BZ37" s="829">
        <f>$BU$5*1.35*G$99</f>
        <v>0</v>
      </c>
      <c r="CA37" s="830">
        <v>1</v>
      </c>
      <c r="CB37" s="822" t="e">
        <f t="shared" ref="CB37:CB64" ca="1" si="44">IF(CG37=0,0,(-CG37+BX37*$CA$1+BW37/2*$C$87^2+CN37)/$C$87)</f>
        <v>#DIV/0!</v>
      </c>
      <c r="CC37" s="829" t="str">
        <f t="shared" ref="CC37:CC50" si="45">_oben</f>
        <v>oben</v>
      </c>
      <c r="CD37" s="831" t="e">
        <f ca="1">IF(CC37=_oben,Berechnung_BZoben!$AQ$8,Berechnung_BZunten!$AQ$8)</f>
        <v>#DIV/0!</v>
      </c>
      <c r="CE37" s="831" t="e">
        <f ca="1">CD37*2/(3*(1+2*Eingabe!CA37*Eingabe!$D$76))</f>
        <v>#DIV/0!</v>
      </c>
      <c r="CF37" s="828" t="e">
        <f ca="1">IF($C$86=Sprachtexte!$A$87,
-CE37*$C$87^3*BW37/(12*CE37*$C$87+24*$CF$2)+BX37*$BY$1*$CA$1/(6*$CF$2)*(($BY$1-$C$87-2*$CA$1)/(6*$CF$2)-1/CE37-$CA$1/(CE37*$C$87))/(($C$87/(3*$CF$2)+1/CE37)^2-($C$87/(6*$CF$2))^2),
-CE37*$C$87^3*BW37/(8*CE37*$C$87+24*$CF$2)-CE37*$CA$1/$C$87*($C$87^2-$CA$1^2)*BX37/(2*CE37*$C$87+6*$CF$2))</f>
        <v>#DIV/0!</v>
      </c>
      <c r="CG37" s="828" t="e">
        <f ca="1">IF(OR(AND($CC37=_oben,CF37&lt;0),AND($CC37=_unten,CF37&gt;0)),CF37,0)</f>
        <v>#DIV/0!</v>
      </c>
      <c r="CH37" s="832">
        <f t="shared" ref="CH37:CH64" ca="1" si="46">IFERROR(CG37/(-1/12*BW37*$C$87^2-$BY$2*$CA$2^2*BX37*$C$87),0)</f>
        <v>0</v>
      </c>
      <c r="CI37" s="822" t="e">
        <f t="shared" ref="CI37:CI64" ca="1" si="47">IF(CG37=0,0,(-CG37+BX37*$BY$1+BW37/2*$C$87^2+CN37)/$C$87)</f>
        <v>#DIV/0!</v>
      </c>
      <c r="CJ37" s="829" t="str">
        <f t="shared" ref="CJ37:CJ50" si="48">_oben</f>
        <v>oben</v>
      </c>
      <c r="CK37" s="831" t="e">
        <f ca="1">IF(CJ37=_oben,Berechnung_BZoben!$AQ$8,Berechnung_BZunten!$AQ$8)</f>
        <v>#DIV/0!</v>
      </c>
      <c r="CL37" s="831" t="e">
        <f ca="1">CK37*2/(3*(1+2*Eingabe!CA37*Eingabe!$D$76))</f>
        <v>#DIV/0!</v>
      </c>
      <c r="CM37" s="828" t="e">
        <f ca="1">IF($C$86=Sprachtexte!$A$87,
-CL37*$C$87^3*BW37/(12*CE37*$C$87+24*$CF$2)+BX37*$CA$1*$BY$1/(6*$CF$2)*(($CA$1-$C$87-2*$BY$1)/(6*$CF$2)-1/CE37-$BY$1/(CE37*$C$87))/(($C$87/(3*$CF$2)+1/CE37)^2-($C$87/(6*$CF$2))^2),0)</f>
        <v>#DIV/0!</v>
      </c>
      <c r="CN37" s="828" t="e">
        <f t="shared" ref="CN37:CN64" ca="1" si="49">IF(OR(AND(CJ37=_oben,CM37&lt;0),AND(CJ37=_unten,CM37&gt;0)),CM37,0)</f>
        <v>#DIV/0!</v>
      </c>
      <c r="CO37" s="832">
        <f t="shared" ref="CO37:CO64" ca="1" si="50">IFERROR(CN37/(-1/12*BW37*$C$87^2-$BY$2^2*$CA$2*BX37*$C$87),0)</f>
        <v>0</v>
      </c>
      <c r="CP37" s="848">
        <f>$BV37</f>
        <v>0</v>
      </c>
      <c r="CQ37" s="828" t="e">
        <f t="shared" ref="CQ37:CQ64" ca="1" si="51">MAX($CB37,$CI37,0)</f>
        <v>#DIV/0!</v>
      </c>
      <c r="CR37" s="828" t="e">
        <f t="shared" ref="CR37:CR64" ca="1" si="52">MIN($CB37,$CI37,0)</f>
        <v>#DIV/0!</v>
      </c>
      <c r="CS37" s="828">
        <f>$BY37</f>
        <v>0</v>
      </c>
      <c r="CT37" s="828" t="e">
        <f t="shared" ref="CT37:CT50" ca="1" si="53">MIN($CG37,$CN37)</f>
        <v>#DIV/0!</v>
      </c>
      <c r="CU37" s="828">
        <f>$BZ37</f>
        <v>0</v>
      </c>
      <c r="CV37" s="830">
        <f>$C$79</f>
        <v>0.6</v>
      </c>
      <c r="CW37" s="821" t="e">
        <f ca="1">MIN(Ausgabe!$C$173,Ausgabe!$C$186)</f>
        <v>#DIV/0!</v>
      </c>
      <c r="CX37" s="710">
        <f>Ausgabe!$C$187</f>
        <v>1.3</v>
      </c>
      <c r="CY37" s="619">
        <f>Ausgabe!$C$191</f>
        <v>100</v>
      </c>
      <c r="CZ37" s="710">
        <f>Ausgabe!$C$192</f>
        <v>1.25</v>
      </c>
      <c r="DA37" s="619">
        <f>Ausgabe!$C$194</f>
        <v>36.6</v>
      </c>
      <c r="DB37" s="710">
        <f>Ausgabe!$C$195</f>
        <v>1.25</v>
      </c>
      <c r="DC37" s="619" t="e">
        <f t="shared" ref="DC37:DC64" ca="1" si="54">MIN(CW37*$CV37/CX37,CY37/CZ37,DA37/DB37)</f>
        <v>#DIV/0!</v>
      </c>
      <c r="DD37" s="619">
        <f>$CP37</f>
        <v>0</v>
      </c>
      <c r="DE37" s="710" t="e">
        <f t="shared" ref="DE37:DE64" ca="1" si="55">DD37/DC37</f>
        <v>#DIV/0!</v>
      </c>
      <c r="DF37" s="822">
        <f ca="1">MIN(Ausgabe!$C$221,Ausgabe!$C$239)</f>
        <v>92.436470366395326</v>
      </c>
      <c r="DG37" s="828">
        <f>Ausgabe!$C$240</f>
        <v>1.3</v>
      </c>
      <c r="DH37" s="829">
        <f>Ausgabe!$C$246</f>
        <v>150.4</v>
      </c>
      <c r="DI37" s="828">
        <f>Ausgabe!$C$247</f>
        <v>1.1000000000000001</v>
      </c>
      <c r="DJ37" s="829">
        <f>Ausgabe!$C$254</f>
        <v>176.4</v>
      </c>
      <c r="DK37" s="828">
        <f>Ausgabe!$C$255</f>
        <v>1.25</v>
      </c>
      <c r="DL37" s="829">
        <f>Ausgabe!$C$263</f>
        <v>180.95573684677208</v>
      </c>
      <c r="DM37" s="828">
        <f>Ausgabe!$C$264</f>
        <v>1.1000000000000001</v>
      </c>
      <c r="DN37" s="829">
        <f t="shared" ref="DN37:DN64" ca="1" si="56">MIN(DF37*$CV37/DG37,DH37/DI37,DJ37/DK37,DL37/DM37)</f>
        <v>42.662986322951689</v>
      </c>
      <c r="DO37" s="829" t="e">
        <f t="shared" ref="DO37:DO64" ca="1" si="57">$CQ37</f>
        <v>#DIV/0!</v>
      </c>
      <c r="DP37" s="830" t="e">
        <f t="shared" ref="DP37:DP64" ca="1" si="58">DO37/DN37</f>
        <v>#DIV/0!</v>
      </c>
      <c r="DQ37" s="821" t="e">
        <f ca="1">Ausgabe!$C$369</f>
        <v>#DIV/0!</v>
      </c>
      <c r="DR37" s="710">
        <f>Ausgabe!$C$370</f>
        <v>1.3</v>
      </c>
      <c r="DS37" s="619" t="e">
        <f t="shared" ref="DS37:DS64" ca="1" si="59">MIN(DQ37*$CV37/DR37)</f>
        <v>#DIV/0!</v>
      </c>
      <c r="DT37" s="619" t="e">
        <f t="shared" ref="DT37:DT64" ca="1" si="60">$CR37</f>
        <v>#DIV/0!</v>
      </c>
      <c r="DU37" s="833" t="e">
        <f t="shared" ref="DU37:DU64" ca="1" si="61">ABS(DT37)/DS37</f>
        <v>#DIV/0!</v>
      </c>
      <c r="DV37" s="821">
        <f ca="1">Ausgabe!$C$420</f>
        <v>33.607770254588836</v>
      </c>
      <c r="DW37" s="710">
        <f>Ausgabe!$C$421</f>
        <v>1.3</v>
      </c>
      <c r="DX37" s="619">
        <f>Ausgabe!$C$423</f>
        <v>36.9</v>
      </c>
      <c r="DY37" s="710">
        <f>Ausgabe!$C$424</f>
        <v>1.1000000000000001</v>
      </c>
      <c r="DZ37" s="619">
        <f t="shared" ref="DZ37:DZ64" ca="1" si="62">MIN(DV37*$CV37/DW37,DX37/DY37)</f>
        <v>15.511278579041001</v>
      </c>
      <c r="EA37" s="619">
        <f>$CS37</f>
        <v>0</v>
      </c>
      <c r="EB37" s="833">
        <f t="shared" ref="EB37:EB64" ca="1" si="63">EA37/DZ37</f>
        <v>0</v>
      </c>
      <c r="EC37" s="710">
        <f ca="1">IF(CJ37=_oben,Berechnung_BZoben!$AN$5,Berechnung_BZunten!$AN$5)</f>
        <v>4.8472430481713564</v>
      </c>
      <c r="ED37" s="710">
        <f>Ausgabe!$C$520</f>
        <v>1.3</v>
      </c>
      <c r="EE37" s="710">
        <f t="shared" ref="EE37:EE64" ca="1" si="64">MIN(EC37*$CV37/ED37)</f>
        <v>2.2371890991560104</v>
      </c>
      <c r="EF37" s="710" t="e">
        <f t="shared" ref="EF37:EF64" ca="1" si="65">$CT37</f>
        <v>#DIV/0!</v>
      </c>
      <c r="EG37" s="833" t="e">
        <f t="shared" ref="EG37:EG64" ca="1" si="66">ABS(EF37)/EE37</f>
        <v>#DIV/0!</v>
      </c>
      <c r="EH37" s="710">
        <f>Ausgabe!$C$592</f>
        <v>2.7</v>
      </c>
      <c r="EI37" s="710">
        <f>Ausgabe!$C$593</f>
        <v>1.3</v>
      </c>
      <c r="EJ37" s="710">
        <f>MIN(EH37*$CV37/EI37)</f>
        <v>1.2461538461538462</v>
      </c>
      <c r="EK37" s="710">
        <f>$CU37</f>
        <v>0</v>
      </c>
      <c r="EL37" s="833">
        <f>IF(EH37=0,0,EK37/EJ37)</f>
        <v>0</v>
      </c>
      <c r="EM37" s="821">
        <f ca="1">Ausgabe!$C$581</f>
        <v>0</v>
      </c>
      <c r="EN37" s="710" t="e">
        <f t="shared" ref="EN37:EN64" ca="1" si="67">EF37</f>
        <v>#DIV/0!</v>
      </c>
      <c r="EO37" s="710" t="e">
        <f t="shared" ref="EO37:EO50" ca="1" si="68">-IF(CJ37=_oben,MAX(ABS(EF37)-EM37/1000*MAX(DO37-DD37,0),0),0)</f>
        <v>#DIV/0!</v>
      </c>
      <c r="EP37" s="710" t="e">
        <f t="shared" ref="EP37:EP50" ca="1" si="69">EO37</f>
        <v>#DIV/0!</v>
      </c>
      <c r="EQ37" s="833" t="e">
        <f t="shared" ref="EQ37:EQ64" ca="1" si="70">IF(EN37=0,0,(DE37+ABS(EP37)/EE37)^2+DP37^2+EB37^2+EL37^2)</f>
        <v>#DIV/0!</v>
      </c>
      <c r="ER37" s="889" t="e">
        <f t="shared" ref="ER37:ER64" ca="1" si="71">IF(EN37=0,0,(DE37+EG37)^2+DU37^2+EB37^2+EL37^2)</f>
        <v>#DIV/0!</v>
      </c>
      <c r="EU37" s="499" t="s">
        <v>786</v>
      </c>
      <c r="EV37" s="429"/>
      <c r="EW37" s="499" t="s">
        <v>786</v>
      </c>
      <c r="EX37" s="897"/>
      <c r="FE37" s="1304"/>
      <c r="FF37" s="1301"/>
      <c r="FG37" s="1302"/>
      <c r="FH37" s="1303"/>
      <c r="FJ37" s="631"/>
      <c r="FK37" s="859"/>
    </row>
    <row r="38" spans="1:167" ht="15.75">
      <c r="A38" s="1536" t="e" vm="7">
        <f>VLOOKUP(C28,BL32:BM36,2,0)</f>
        <v>#VALUE!</v>
      </c>
      <c r="B38" s="1536"/>
      <c r="C38" s="717"/>
      <c r="D38" s="1536" t="e" vm="8">
        <f>IF(A29=BL39,BM39,IF(A29=BL40,BM40,""))</f>
        <v>#VALUE!</v>
      </c>
      <c r="E38" s="1536"/>
      <c r="F38" s="1536"/>
      <c r="G38" s="1536"/>
      <c r="H38" s="508"/>
      <c r="O38" s="649"/>
      <c r="P38" s="649"/>
      <c r="Q38" s="649"/>
      <c r="R38" s="649"/>
      <c r="AB38" s="554"/>
      <c r="AC38" s="579"/>
      <c r="AD38" s="607"/>
      <c r="AE38" s="707"/>
      <c r="AG38" s="523"/>
      <c r="AJ38" s="556"/>
      <c r="AK38" s="556"/>
      <c r="AW38" s="525"/>
      <c r="BB38" s="628"/>
      <c r="BC38"/>
      <c r="BD38"/>
      <c r="BE38"/>
      <c r="BF38"/>
      <c r="BG38"/>
      <c r="BH38"/>
      <c r="BI38"/>
      <c r="BJ38" s="629"/>
      <c r="BL38" s="640" t="s">
        <v>434</v>
      </c>
      <c r="BM38" s="713" t="s">
        <v>742</v>
      </c>
      <c r="BP38" s="733">
        <v>0</v>
      </c>
      <c r="BR38" s="1205" t="e">
        <f t="shared" ca="1" si="43"/>
        <v>#DIV/0!</v>
      </c>
      <c r="BS38" s="1205" t="s">
        <v>1018</v>
      </c>
      <c r="BT38" s="571" t="s">
        <v>970</v>
      </c>
      <c r="BU38" s="649">
        <f>IF(OR(B239&lt;&gt;0,C239&lt;&gt;0,D239&lt;&gt;0,E239&lt;&gt;0,G239&lt;&gt;0),1,0)</f>
        <v>1</v>
      </c>
      <c r="BV38" s="619">
        <f>$BU$6*(1.35*B$99+1.5*B$100)</f>
        <v>0</v>
      </c>
      <c r="BW38" s="619">
        <f>$BU$6*(1.35*C$99+1.5*C$100)</f>
        <v>0</v>
      </c>
      <c r="BX38" s="619">
        <f>$BU$6*(1.35*D$99+1.5*D$100)</f>
        <v>0</v>
      </c>
      <c r="BY38" s="619">
        <f>$BU$6*(1.35*E$99+1.5*E$100)</f>
        <v>0</v>
      </c>
      <c r="BZ38" s="619">
        <f>$BU$6*(1.35*G$99+1.5*G$100)</f>
        <v>0</v>
      </c>
      <c r="CA38" s="833">
        <f>VLOOKUP($A$80,MKW!$A$50:$E$60,4,FALSE)</f>
        <v>0.3</v>
      </c>
      <c r="CB38" s="821" t="e">
        <f t="shared" ca="1" si="44"/>
        <v>#DIV/0!</v>
      </c>
      <c r="CC38" s="619" t="str">
        <f t="shared" si="45"/>
        <v>oben</v>
      </c>
      <c r="CD38" s="834" t="e">
        <f ca="1">IF(CC38=_oben,Berechnung_BZoben!$AQ$8,Berechnung_BZunten!$AQ$8)</f>
        <v>#DIV/0!</v>
      </c>
      <c r="CE38" s="834" t="e">
        <f ca="1">CD38*2/(3*(1+2*Eingabe!CA38*Eingabe!$D$76))</f>
        <v>#DIV/0!</v>
      </c>
      <c r="CF38" s="710" t="e">
        <f ca="1">IF($C$86=Sprachtexte!$A$87,
-CE38*$C$87^3*BW38/(12*CE38*$C$87+24*$CF$2)+BX38*$BY$1*$CA$1/(6*$CF$2)*(($BY$1-$C$87-2*$CA$1)/(6*$CF$2)-1/CE38-$CA$1/(CE38*$C$87))/(($C$87/(3*$CF$2)+1/CE38)^2-($C$87/(6*$CF$2))^2),
-CE38*$C$87^3*BW38/(8*CE38*$C$87+24*$CF$2)-CE38*$CA$1/$C$87*($C$87^2-$CA$1^2)*BX38/(2*CE38*$C$87+6*$CF$2))</f>
        <v>#DIV/0!</v>
      </c>
      <c r="CG38" s="710" t="e">
        <f t="shared" ref="CG38:CG64" ca="1" si="72">IF(OR(AND(CC38=_oben,CF38&lt;0),AND(CC38=_unten,CF38&gt;0)),CF38,0)</f>
        <v>#DIV/0!</v>
      </c>
      <c r="CH38" s="835">
        <f t="shared" ca="1" si="46"/>
        <v>0</v>
      </c>
      <c r="CI38" s="821" t="e">
        <f t="shared" ca="1" si="47"/>
        <v>#DIV/0!</v>
      </c>
      <c r="CJ38" s="619" t="str">
        <f t="shared" si="48"/>
        <v>oben</v>
      </c>
      <c r="CK38" s="834" t="e">
        <f ca="1">IF(CJ38=_oben,Berechnung_BZoben!$AQ$8,Berechnung_BZunten!$AQ$8)</f>
        <v>#DIV/0!</v>
      </c>
      <c r="CL38" s="834" t="e">
        <f ca="1">CK38*2/(3*(1+2*Eingabe!CA38*Eingabe!$D$76))</f>
        <v>#DIV/0!</v>
      </c>
      <c r="CM38" s="710" t="e">
        <f ca="1">IF($C$86=Sprachtexte!$A$87,
-CL38*$C$87^3*BW38/(12*CE38*$C$87+24*$CF$2)+BX38*$CA$1*$BY$1/(6*$CF$2)*(($CA$1-$C$87-2*$BY$1)/(6*$CF$2)-1/CE38-$BY$1/(CE38*$C$87))/(($C$87/(3*$CF$2)+1/CE38)^2-($C$87/(6*$CF$2))^2),0)</f>
        <v>#DIV/0!</v>
      </c>
      <c r="CN38" s="710" t="e">
        <f t="shared" ca="1" si="49"/>
        <v>#DIV/0!</v>
      </c>
      <c r="CO38" s="835">
        <f t="shared" ca="1" si="50"/>
        <v>0</v>
      </c>
      <c r="CP38" s="849">
        <f t="shared" ref="CP38:CP64" si="73">$BV38</f>
        <v>0</v>
      </c>
      <c r="CQ38" s="710" t="e">
        <f t="shared" ca="1" si="51"/>
        <v>#DIV/0!</v>
      </c>
      <c r="CR38" s="710" t="e">
        <f t="shared" ca="1" si="52"/>
        <v>#DIV/0!</v>
      </c>
      <c r="CS38" s="710">
        <f t="shared" ref="CS38:CS64" si="74">$BY38</f>
        <v>0</v>
      </c>
      <c r="CT38" s="710" t="e">
        <f t="shared" ca="1" si="53"/>
        <v>#DIV/0!</v>
      </c>
      <c r="CU38" s="710">
        <f t="shared" ref="CU38:CU64" si="75">$BZ38</f>
        <v>0</v>
      </c>
      <c r="CV38" s="833">
        <f>MAX($C$79,$C$80)</f>
        <v>0.8</v>
      </c>
      <c r="CW38" s="821" t="e">
        <f ca="1">MIN(Ausgabe!$C$173,Ausgabe!$C$186)</f>
        <v>#DIV/0!</v>
      </c>
      <c r="CX38" s="710">
        <f>Ausgabe!$C$187</f>
        <v>1.3</v>
      </c>
      <c r="CY38" s="619">
        <f>Ausgabe!$C$191</f>
        <v>100</v>
      </c>
      <c r="CZ38" s="710">
        <f>Ausgabe!$C$192</f>
        <v>1.25</v>
      </c>
      <c r="DA38" s="619">
        <f>Ausgabe!$C$194</f>
        <v>36.6</v>
      </c>
      <c r="DB38" s="710">
        <f>Ausgabe!$C$195</f>
        <v>1.25</v>
      </c>
      <c r="DC38" s="619" t="e">
        <f t="shared" ca="1" si="54"/>
        <v>#DIV/0!</v>
      </c>
      <c r="DD38" s="619">
        <f t="shared" ref="DD38:DD64" si="76">$CP38</f>
        <v>0</v>
      </c>
      <c r="DE38" s="710" t="e">
        <f t="shared" ca="1" si="55"/>
        <v>#DIV/0!</v>
      </c>
      <c r="DF38" s="821">
        <f ca="1">MIN(Ausgabe!$C$221,Ausgabe!$C$239)</f>
        <v>92.436470366395326</v>
      </c>
      <c r="DG38" s="710">
        <f>Ausgabe!$C$240</f>
        <v>1.3</v>
      </c>
      <c r="DH38" s="619">
        <f>Ausgabe!$C$246</f>
        <v>150.4</v>
      </c>
      <c r="DI38" s="710">
        <f>Ausgabe!$C$247</f>
        <v>1.1000000000000001</v>
      </c>
      <c r="DJ38" s="619">
        <f>Ausgabe!$C$254</f>
        <v>176.4</v>
      </c>
      <c r="DK38" s="710">
        <f>Ausgabe!$C$255</f>
        <v>1.25</v>
      </c>
      <c r="DL38" s="619">
        <f>Ausgabe!$C$263</f>
        <v>180.95573684677208</v>
      </c>
      <c r="DM38" s="710">
        <f>Ausgabe!$C$264</f>
        <v>1.1000000000000001</v>
      </c>
      <c r="DN38" s="619">
        <f t="shared" ca="1" si="56"/>
        <v>56.883981763935587</v>
      </c>
      <c r="DO38" s="619" t="e">
        <f t="shared" ca="1" si="57"/>
        <v>#DIV/0!</v>
      </c>
      <c r="DP38" s="833" t="e">
        <f t="shared" ca="1" si="58"/>
        <v>#DIV/0!</v>
      </c>
      <c r="DQ38" s="821" t="e">
        <f ca="1">Ausgabe!$C$369</f>
        <v>#DIV/0!</v>
      </c>
      <c r="DR38" s="710">
        <f>Ausgabe!$C$370</f>
        <v>1.3</v>
      </c>
      <c r="DS38" s="619" t="e">
        <f t="shared" ca="1" si="59"/>
        <v>#DIV/0!</v>
      </c>
      <c r="DT38" s="619" t="e">
        <f t="shared" ca="1" si="60"/>
        <v>#DIV/0!</v>
      </c>
      <c r="DU38" s="833" t="e">
        <f t="shared" ca="1" si="61"/>
        <v>#DIV/0!</v>
      </c>
      <c r="DV38" s="821">
        <f ca="1">Ausgabe!$C$420</f>
        <v>33.607770254588836</v>
      </c>
      <c r="DW38" s="710">
        <f>Ausgabe!$C$421</f>
        <v>1.3</v>
      </c>
      <c r="DX38" s="619">
        <f>Ausgabe!$C$423</f>
        <v>36.9</v>
      </c>
      <c r="DY38" s="710">
        <f>Ausgabe!$C$424</f>
        <v>1.1000000000000001</v>
      </c>
      <c r="DZ38" s="619">
        <f t="shared" ca="1" si="62"/>
        <v>20.681704772054669</v>
      </c>
      <c r="EA38" s="619">
        <f t="shared" ref="EA38:EA64" si="77">$CS38</f>
        <v>0</v>
      </c>
      <c r="EB38" s="833">
        <f t="shared" ca="1" si="63"/>
        <v>0</v>
      </c>
      <c r="EC38" s="710">
        <f ca="1">IF(CJ38=_oben,Berechnung_BZoben!$AN$5,Berechnung_BZunten!$AN$5)</f>
        <v>4.8472430481713564</v>
      </c>
      <c r="ED38" s="710">
        <f>Ausgabe!$C$520</f>
        <v>1.3</v>
      </c>
      <c r="EE38" s="710">
        <f t="shared" ca="1" si="64"/>
        <v>2.9829187988746813</v>
      </c>
      <c r="EF38" s="710" t="e">
        <f t="shared" ca="1" si="65"/>
        <v>#DIV/0!</v>
      </c>
      <c r="EG38" s="833" t="e">
        <f t="shared" ca="1" si="66"/>
        <v>#DIV/0!</v>
      </c>
      <c r="EH38" s="710">
        <f>Ausgabe!$C$592</f>
        <v>2.7</v>
      </c>
      <c r="EI38" s="710">
        <f>Ausgabe!$C$593</f>
        <v>1.3</v>
      </c>
      <c r="EJ38" s="710">
        <f t="shared" ref="EJ38:EJ64" si="78">MIN(EH38*$CV38/EI38)</f>
        <v>1.6615384615384616</v>
      </c>
      <c r="EK38" s="710">
        <f t="shared" ref="EK38:EK64" si="79">$CU38</f>
        <v>0</v>
      </c>
      <c r="EL38" s="833">
        <f t="shared" ref="EL38:EL64" si="80">IF(EH38=0,0,EK38/EJ38)</f>
        <v>0</v>
      </c>
      <c r="EM38" s="821">
        <f ca="1">Ausgabe!$C$581</f>
        <v>0</v>
      </c>
      <c r="EN38" s="710" t="e">
        <f t="shared" ca="1" si="67"/>
        <v>#DIV/0!</v>
      </c>
      <c r="EO38" s="710" t="e">
        <f t="shared" ca="1" si="68"/>
        <v>#DIV/0!</v>
      </c>
      <c r="EP38" s="710" t="e">
        <f t="shared" ca="1" si="69"/>
        <v>#DIV/0!</v>
      </c>
      <c r="EQ38" s="833" t="e">
        <f t="shared" ca="1" si="70"/>
        <v>#DIV/0!</v>
      </c>
      <c r="ER38" s="889" t="e">
        <f t="shared" ca="1" si="71"/>
        <v>#DIV/0!</v>
      </c>
      <c r="EU38" s="499" t="s">
        <v>1111</v>
      </c>
      <c r="EV38" s="724">
        <f ca="1">IF(AND(EV34&lt;=EV31,EV35&gt;=EV31,EV34&lt;=EV32,EV35&gt;=EV32),1,0)</f>
        <v>0</v>
      </c>
      <c r="EW38" s="499" t="s">
        <v>1111</v>
      </c>
      <c r="EX38" s="724">
        <f ca="1">IF(AND(EX34&lt;=EX31,EX35&gt;=EX31,EX34&lt;=EX32,EX35&gt;=EX32),1,0)</f>
        <v>0</v>
      </c>
      <c r="FE38" s="1304"/>
      <c r="FF38" s="1301"/>
      <c r="FG38" s="1302"/>
      <c r="FH38" s="1303"/>
      <c r="FJ38" s="631"/>
      <c r="FK38" s="859"/>
    </row>
    <row r="39" spans="1:167" ht="15.75">
      <c r="A39" s="1536"/>
      <c r="B39" s="1536"/>
      <c r="C39" s="717"/>
      <c r="D39" s="1536"/>
      <c r="E39" s="1536"/>
      <c r="F39" s="1536"/>
      <c r="G39" s="1536"/>
      <c r="H39" s="508"/>
      <c r="O39" s="649"/>
      <c r="P39" s="649"/>
      <c r="Q39" s="649"/>
      <c r="R39" s="649"/>
      <c r="AB39" s="554"/>
      <c r="AC39" s="579"/>
      <c r="AD39" s="607"/>
      <c r="AE39" s="707"/>
      <c r="AG39" s="523"/>
      <c r="AJ39" s="556"/>
      <c r="AK39" s="556"/>
      <c r="AW39" s="525"/>
      <c r="BB39" s="628"/>
      <c r="BC39"/>
      <c r="BD39"/>
      <c r="BE39"/>
      <c r="BF39"/>
      <c r="BG39"/>
      <c r="BH39"/>
      <c r="BI39"/>
      <c r="BJ39" s="629"/>
      <c r="BL39" s="499" t="str">
        <f>Sprachtexte!A32</f>
        <v>Anschlusswinkel vertikal</v>
      </c>
      <c r="BM39" s="715" t="e" vm="9">
        <v>#VALUE!</v>
      </c>
      <c r="BP39" s="735">
        <v>30</v>
      </c>
      <c r="BR39" s="1205" t="e">
        <f t="shared" ca="1" si="43"/>
        <v>#DIV/0!</v>
      </c>
      <c r="BS39" s="1205" t="s">
        <v>1019</v>
      </c>
      <c r="BT39" s="571" t="s">
        <v>971</v>
      </c>
      <c r="BU39" s="649">
        <f>IF(OR(B240&lt;&gt;0,C240&lt;&gt;0,D240&lt;&gt;0,E240&lt;&gt;0,G240&lt;&gt;0),1,0)</f>
        <v>0</v>
      </c>
      <c r="BV39" s="619">
        <f>$BU$7*(1.35*B$99+1.5*B$101)</f>
        <v>0</v>
      </c>
      <c r="BW39" s="619">
        <f>$BU$7*(1.35*C$99+1.5*C$101)</f>
        <v>0</v>
      </c>
      <c r="BX39" s="619">
        <f>$BU$7*(1.35*D$99+1.5*D$101)</f>
        <v>0</v>
      </c>
      <c r="BY39" s="619">
        <f>$BU$7*(1.35*E$99+1.5*E$101)</f>
        <v>0</v>
      </c>
      <c r="BZ39" s="619">
        <f>$BU$7*(1.35*G$99+1.5*G$101)</f>
        <v>0</v>
      </c>
      <c r="CA39" s="833">
        <f>VLOOKUP($A$81,MKW!$A$50:$E$60,4,FALSE)</f>
        <v>0</v>
      </c>
      <c r="CB39" s="821" t="e">
        <f t="shared" ca="1" si="44"/>
        <v>#DIV/0!</v>
      </c>
      <c r="CC39" s="619" t="str">
        <f t="shared" si="45"/>
        <v>oben</v>
      </c>
      <c r="CD39" s="834" t="e">
        <f ca="1">IF(CC39=_oben,Berechnung_BZoben!$AQ$8,Berechnung_BZunten!$AQ$8)</f>
        <v>#DIV/0!</v>
      </c>
      <c r="CE39" s="834" t="e">
        <f ca="1">CD39*2/(3*(1+2*Eingabe!CA39*Eingabe!$D$76))</f>
        <v>#DIV/0!</v>
      </c>
      <c r="CF39" s="710" t="e">
        <f ca="1">IF($C$86=Sprachtexte!$A$87,
-CE39*$C$87^3*BW39/(12*CE39*$C$87+24*$CF$2)+BX39*$BY$1*$CA$1/(6*$CF$2)*(($BY$1-$C$87-2*$CA$1)/(6*$CF$2)-1/CE39-$CA$1/(CE39*$C$87))/(($C$87/(3*$CF$2)+1/CE39)^2-($C$87/(6*$CF$2))^2),
-CE39*$C$87^3*BW39/(8*CE39*$C$87+24*$CF$2)-CE39*$CA$1/$C$87*($C$87^2-$CA$1^2)*BX39/(2*CE39*$C$87+6*$CF$2))</f>
        <v>#DIV/0!</v>
      </c>
      <c r="CG39" s="710" t="e">
        <f t="shared" ca="1" si="72"/>
        <v>#DIV/0!</v>
      </c>
      <c r="CH39" s="835">
        <f t="shared" ca="1" si="46"/>
        <v>0</v>
      </c>
      <c r="CI39" s="821" t="e">
        <f t="shared" ca="1" si="47"/>
        <v>#DIV/0!</v>
      </c>
      <c r="CJ39" s="619" t="str">
        <f t="shared" si="48"/>
        <v>oben</v>
      </c>
      <c r="CK39" s="834" t="e">
        <f ca="1">IF(CJ39=_oben,Berechnung_BZoben!$AQ$8,Berechnung_BZunten!$AQ$8)</f>
        <v>#DIV/0!</v>
      </c>
      <c r="CL39" s="834" t="e">
        <f ca="1">CK39*2/(3*(1+2*Eingabe!CA39*Eingabe!$D$76))</f>
        <v>#DIV/0!</v>
      </c>
      <c r="CM39" s="710" t="e">
        <f ca="1">IF($C$86=Sprachtexte!$A$87,
-CL39*$C$87^3*BW39/(12*CE39*$C$87+24*$CF$2)+BX39*$CA$1*$BY$1/(6*$CF$2)*(($CA$1-$C$87-2*$BY$1)/(6*$CF$2)-1/CE39-$BY$1/(CE39*$C$87))/(($C$87/(3*$CF$2)+1/CE39)^2-($C$87/(6*$CF$2))^2),0)</f>
        <v>#DIV/0!</v>
      </c>
      <c r="CN39" s="710" t="e">
        <f t="shared" ca="1" si="49"/>
        <v>#DIV/0!</v>
      </c>
      <c r="CO39" s="835">
        <f t="shared" ca="1" si="50"/>
        <v>0</v>
      </c>
      <c r="CP39" s="849">
        <f t="shared" si="73"/>
        <v>0</v>
      </c>
      <c r="CQ39" s="710" t="e">
        <f t="shared" ca="1" si="51"/>
        <v>#DIV/0!</v>
      </c>
      <c r="CR39" s="710" t="e">
        <f t="shared" ca="1" si="52"/>
        <v>#DIV/0!</v>
      </c>
      <c r="CS39" s="710">
        <f t="shared" si="74"/>
        <v>0</v>
      </c>
      <c r="CT39" s="710" t="e">
        <f t="shared" ca="1" si="53"/>
        <v>#DIV/0!</v>
      </c>
      <c r="CU39" s="710">
        <f t="shared" si="75"/>
        <v>0</v>
      </c>
      <c r="CV39" s="833">
        <f>MAX($C$79,$C$81)</f>
        <v>0.9</v>
      </c>
      <c r="CW39" s="821" t="e">
        <f ca="1">MIN(Ausgabe!$C$173,Ausgabe!$C$186)</f>
        <v>#DIV/0!</v>
      </c>
      <c r="CX39" s="710">
        <f>Ausgabe!$C$187</f>
        <v>1.3</v>
      </c>
      <c r="CY39" s="619">
        <f>Ausgabe!$C$191</f>
        <v>100</v>
      </c>
      <c r="CZ39" s="710">
        <f>Ausgabe!$C$192</f>
        <v>1.25</v>
      </c>
      <c r="DA39" s="619">
        <f>Ausgabe!$C$194</f>
        <v>36.6</v>
      </c>
      <c r="DB39" s="710">
        <f>Ausgabe!$C$195</f>
        <v>1.25</v>
      </c>
      <c r="DC39" s="619" t="e">
        <f t="shared" ca="1" si="54"/>
        <v>#DIV/0!</v>
      </c>
      <c r="DD39" s="619">
        <f t="shared" si="76"/>
        <v>0</v>
      </c>
      <c r="DE39" s="710" t="e">
        <f t="shared" ca="1" si="55"/>
        <v>#DIV/0!</v>
      </c>
      <c r="DF39" s="821">
        <f ca="1">MIN(Ausgabe!$C$221,Ausgabe!$C$239)</f>
        <v>92.436470366395326</v>
      </c>
      <c r="DG39" s="710">
        <f>Ausgabe!$C$240</f>
        <v>1.3</v>
      </c>
      <c r="DH39" s="619">
        <f>Ausgabe!$C$246</f>
        <v>150.4</v>
      </c>
      <c r="DI39" s="710">
        <f>Ausgabe!$C$247</f>
        <v>1.1000000000000001</v>
      </c>
      <c r="DJ39" s="619">
        <f>Ausgabe!$C$254</f>
        <v>176.4</v>
      </c>
      <c r="DK39" s="710">
        <f>Ausgabe!$C$255</f>
        <v>1.25</v>
      </c>
      <c r="DL39" s="619">
        <f>Ausgabe!$C$263</f>
        <v>180.95573684677208</v>
      </c>
      <c r="DM39" s="710">
        <f>Ausgabe!$C$264</f>
        <v>1.1000000000000001</v>
      </c>
      <c r="DN39" s="619">
        <f t="shared" ca="1" si="56"/>
        <v>63.994479484427536</v>
      </c>
      <c r="DO39" s="619" t="e">
        <f t="shared" ca="1" si="57"/>
        <v>#DIV/0!</v>
      </c>
      <c r="DP39" s="833" t="e">
        <f t="shared" ca="1" si="58"/>
        <v>#DIV/0!</v>
      </c>
      <c r="DQ39" s="821" t="e">
        <f ca="1">Ausgabe!$C$369</f>
        <v>#DIV/0!</v>
      </c>
      <c r="DR39" s="710">
        <f>Ausgabe!$C$370</f>
        <v>1.3</v>
      </c>
      <c r="DS39" s="619" t="e">
        <f t="shared" ca="1" si="59"/>
        <v>#DIV/0!</v>
      </c>
      <c r="DT39" s="619" t="e">
        <f t="shared" ca="1" si="60"/>
        <v>#DIV/0!</v>
      </c>
      <c r="DU39" s="833" t="e">
        <f t="shared" ca="1" si="61"/>
        <v>#DIV/0!</v>
      </c>
      <c r="DV39" s="821">
        <f ca="1">Ausgabe!$C$420</f>
        <v>33.607770254588836</v>
      </c>
      <c r="DW39" s="710">
        <f>Ausgabe!$C$421</f>
        <v>1.3</v>
      </c>
      <c r="DX39" s="619">
        <f>Ausgabe!$C$423</f>
        <v>36.9</v>
      </c>
      <c r="DY39" s="710">
        <f>Ausgabe!$C$424</f>
        <v>1.1000000000000001</v>
      </c>
      <c r="DZ39" s="619">
        <f t="shared" ca="1" si="62"/>
        <v>23.266917868561499</v>
      </c>
      <c r="EA39" s="619">
        <f t="shared" si="77"/>
        <v>0</v>
      </c>
      <c r="EB39" s="833">
        <f t="shared" ca="1" si="63"/>
        <v>0</v>
      </c>
      <c r="EC39" s="710">
        <f ca="1">IF(CJ39=_oben,Berechnung_BZoben!$AN$5,Berechnung_BZunten!$AN$5)</f>
        <v>4.8472430481713564</v>
      </c>
      <c r="ED39" s="710">
        <f>Ausgabe!$C$520</f>
        <v>1.3</v>
      </c>
      <c r="EE39" s="710">
        <f t="shared" ca="1" si="64"/>
        <v>3.3557836487340156</v>
      </c>
      <c r="EF39" s="710" t="e">
        <f t="shared" ca="1" si="65"/>
        <v>#DIV/0!</v>
      </c>
      <c r="EG39" s="833" t="e">
        <f t="shared" ca="1" si="66"/>
        <v>#DIV/0!</v>
      </c>
      <c r="EH39" s="710">
        <f>Ausgabe!$C$592</f>
        <v>2.7</v>
      </c>
      <c r="EI39" s="710">
        <f>Ausgabe!$C$593</f>
        <v>1.3</v>
      </c>
      <c r="EJ39" s="710">
        <f t="shared" si="78"/>
        <v>1.8692307692307693</v>
      </c>
      <c r="EK39" s="710">
        <f t="shared" si="79"/>
        <v>0</v>
      </c>
      <c r="EL39" s="833">
        <f t="shared" si="80"/>
        <v>0</v>
      </c>
      <c r="EM39" s="821">
        <f ca="1">Ausgabe!$C$581</f>
        <v>0</v>
      </c>
      <c r="EN39" s="710" t="e">
        <f t="shared" ca="1" si="67"/>
        <v>#DIV/0!</v>
      </c>
      <c r="EO39" s="710" t="e">
        <f t="shared" ca="1" si="68"/>
        <v>#DIV/0!</v>
      </c>
      <c r="EP39" s="710" t="e">
        <f t="shared" ca="1" si="69"/>
        <v>#DIV/0!</v>
      </c>
      <c r="EQ39" s="833" t="e">
        <f t="shared" ca="1" si="70"/>
        <v>#DIV/0!</v>
      </c>
      <c r="ER39" s="889" t="e">
        <f t="shared" ca="1" si="71"/>
        <v>#DIV/0!</v>
      </c>
      <c r="EU39" s="499" t="s">
        <v>1112</v>
      </c>
      <c r="EV39" s="724">
        <f ca="1">IF(AND(EV34&lt;=EV31,EV35-Ausgabe!F685&gt;=EV31,EV34&lt;=EV32,EV35-Ausgabe!F685&gt;=EV32),1,0)</f>
        <v>0</v>
      </c>
      <c r="EW39" s="499" t="s">
        <v>1112</v>
      </c>
      <c r="EX39" s="724">
        <f ca="1">IF(AND(EX34+Ausgabe!F684&lt;=EX31,EX35-Ausgabe!F684&gt;=EX31,EX34+Ausgabe!F684&lt;=EX32,EX35-Ausgabe!F684&gt;=EX32),1,0)</f>
        <v>0</v>
      </c>
      <c r="FE39" s="1304"/>
      <c r="FF39" s="1301"/>
      <c r="FG39" s="1302"/>
      <c r="FH39" s="1303"/>
    </row>
    <row r="40" spans="1:167" ht="15.75">
      <c r="A40" s="1536"/>
      <c r="B40" s="1536"/>
      <c r="C40" s="717"/>
      <c r="D40" s="1536"/>
      <c r="E40" s="1536"/>
      <c r="F40" s="1536"/>
      <c r="G40" s="1536"/>
      <c r="H40" s="508"/>
      <c r="O40" s="649"/>
      <c r="P40" s="649"/>
      <c r="Q40" s="649"/>
      <c r="R40" s="649"/>
      <c r="AB40" s="554"/>
      <c r="AC40" s="579"/>
      <c r="AD40" s="607"/>
      <c r="AE40" s="707"/>
      <c r="AG40" s="523"/>
      <c r="AJ40" s="556"/>
      <c r="AK40" s="556"/>
      <c r="AW40" s="525"/>
      <c r="BB40" s="628"/>
      <c r="BC40"/>
      <c r="BD40"/>
      <c r="BE40"/>
      <c r="BF40"/>
      <c r="BG40"/>
      <c r="BH40"/>
      <c r="BI40"/>
      <c r="BJ40" s="629"/>
      <c r="BL40" s="499" t="str">
        <f>Sprachtexte!A33</f>
        <v>Anschlusswinkel horizontal</v>
      </c>
      <c r="BM40" s="643" t="e" vm="10">
        <v>#VALUE!</v>
      </c>
      <c r="BP40" s="735">
        <v>60</v>
      </c>
      <c r="BR40" s="1205" t="e">
        <f t="shared" ca="1" si="43"/>
        <v>#DIV/0!</v>
      </c>
      <c r="BS40" s="1205" t="s">
        <v>1020</v>
      </c>
      <c r="BT40" s="571" t="s">
        <v>972</v>
      </c>
      <c r="BU40" s="649">
        <f>IF(OR(B241&lt;&gt;0,C241&lt;&gt;0,D241&lt;&gt;0,E241&lt;&gt;0,G241&lt;&gt;0),1,0)</f>
        <v>0</v>
      </c>
      <c r="BV40" s="619">
        <f>$BU$8*(1*B$99+1.5*B$102)</f>
        <v>0</v>
      </c>
      <c r="BW40" s="619">
        <f>$BU$8*(1*C$99+1.5*C$102)</f>
        <v>0</v>
      </c>
      <c r="BX40" s="619">
        <f>$BU$8*(1*D$99+1.5*D$102)</f>
        <v>0</v>
      </c>
      <c r="BY40" s="619">
        <f>$BU$8*(1*E$99+1.5*E$102)</f>
        <v>0</v>
      </c>
      <c r="BZ40" s="619">
        <f>$BU$8*(1*G$99+1.5*G$102)</f>
        <v>0</v>
      </c>
      <c r="CA40" s="833">
        <f>VLOOKUP($A$82,MKW!$A$50:$E$60,4,FALSE)</f>
        <v>0</v>
      </c>
      <c r="CB40" s="821" t="e">
        <f t="shared" ca="1" si="44"/>
        <v>#DIV/0!</v>
      </c>
      <c r="CC40" s="619" t="str">
        <f t="shared" si="45"/>
        <v>oben</v>
      </c>
      <c r="CD40" s="834" t="e">
        <f ca="1">IF(CC40=_oben,Berechnung_BZoben!$AQ$8,Berechnung_BZunten!$AQ$8)</f>
        <v>#DIV/0!</v>
      </c>
      <c r="CE40" s="834" t="e">
        <f ca="1">CD40*2/(3*(1+2*Eingabe!CA40*Eingabe!$D$76))</f>
        <v>#DIV/0!</v>
      </c>
      <c r="CF40" s="710" t="e">
        <f ca="1">IF($C$86=Sprachtexte!$A$87,
-CE40*$C$87^3*BW40/(12*CE40*$C$87+24*$CF$2)+BX40*$BY$1*$CA$1/(6*$CF$2)*(($BY$1-$C$87-2*$CA$1)/(6*$CF$2)-1/CE40-$CA$1/(CE40*$C$87))/(($C$87/(3*$CF$2)+1/CE40)^2-($C$87/(6*$CF$2))^2),
-CE40*$C$87^3*BW40/(8*CE40*$C$87+24*$CF$2)-CE40*$CA$1/$C$87*($C$87^2-$CA$1^2)*BX40/(2*CE40*$C$87+6*$CF$2))</f>
        <v>#DIV/0!</v>
      </c>
      <c r="CG40" s="710" t="e">
        <f t="shared" ca="1" si="72"/>
        <v>#DIV/0!</v>
      </c>
      <c r="CH40" s="835">
        <f t="shared" ca="1" si="46"/>
        <v>0</v>
      </c>
      <c r="CI40" s="821" t="e">
        <f t="shared" ca="1" si="47"/>
        <v>#DIV/0!</v>
      </c>
      <c r="CJ40" s="619" t="str">
        <f t="shared" si="48"/>
        <v>oben</v>
      </c>
      <c r="CK40" s="834" t="e">
        <f ca="1">IF(CJ40=_oben,Berechnung_BZoben!$AQ$8,Berechnung_BZunten!$AQ$8)</f>
        <v>#DIV/0!</v>
      </c>
      <c r="CL40" s="834" t="e">
        <f ca="1">CK40*2/(3*(1+2*Eingabe!CA40*Eingabe!$D$76))</f>
        <v>#DIV/0!</v>
      </c>
      <c r="CM40" s="710" t="e">
        <f ca="1">IF($C$86=Sprachtexte!$A$87,
-CL40*$C$87^3*BW40/(12*CE40*$C$87+24*$CF$2)+BX40*$CA$1*$BY$1/(6*$CF$2)*(($CA$1-$C$87-2*$BY$1)/(6*$CF$2)-1/CE40-$BY$1/(CE40*$C$87))/(($C$87/(3*$CF$2)+1/CE40)^2-($C$87/(6*$CF$2))^2),0)</f>
        <v>#DIV/0!</v>
      </c>
      <c r="CN40" s="710" t="e">
        <f t="shared" ca="1" si="49"/>
        <v>#DIV/0!</v>
      </c>
      <c r="CO40" s="835">
        <f t="shared" ca="1" si="50"/>
        <v>0</v>
      </c>
      <c r="CP40" s="849">
        <f t="shared" si="73"/>
        <v>0</v>
      </c>
      <c r="CQ40" s="710" t="e">
        <f t="shared" ca="1" si="51"/>
        <v>#DIV/0!</v>
      </c>
      <c r="CR40" s="710" t="e">
        <f t="shared" ca="1" si="52"/>
        <v>#DIV/0!</v>
      </c>
      <c r="CS40" s="710">
        <f t="shared" si="74"/>
        <v>0</v>
      </c>
      <c r="CT40" s="710" t="e">
        <f t="shared" ca="1" si="53"/>
        <v>#DIV/0!</v>
      </c>
      <c r="CU40" s="710">
        <f t="shared" si="75"/>
        <v>0</v>
      </c>
      <c r="CV40" s="833">
        <f>MAX($C$79,$C$82)</f>
        <v>1</v>
      </c>
      <c r="CW40" s="821" t="e">
        <f ca="1">MIN(Ausgabe!$C$173,Ausgabe!$C$186)</f>
        <v>#DIV/0!</v>
      </c>
      <c r="CX40" s="710">
        <f>Ausgabe!$C$187</f>
        <v>1.3</v>
      </c>
      <c r="CY40" s="619">
        <f>Ausgabe!$C$191</f>
        <v>100</v>
      </c>
      <c r="CZ40" s="710">
        <f>Ausgabe!$C$192</f>
        <v>1.25</v>
      </c>
      <c r="DA40" s="619">
        <f>Ausgabe!$C$194</f>
        <v>36.6</v>
      </c>
      <c r="DB40" s="710">
        <f>Ausgabe!$C$195</f>
        <v>1.25</v>
      </c>
      <c r="DC40" s="619" t="e">
        <f t="shared" ca="1" si="54"/>
        <v>#DIV/0!</v>
      </c>
      <c r="DD40" s="619">
        <f t="shared" si="76"/>
        <v>0</v>
      </c>
      <c r="DE40" s="710" t="e">
        <f t="shared" ca="1" si="55"/>
        <v>#DIV/0!</v>
      </c>
      <c r="DF40" s="821">
        <f ca="1">MIN(Ausgabe!$C$221,Ausgabe!$C$239)</f>
        <v>92.436470366395326</v>
      </c>
      <c r="DG40" s="710">
        <f>Ausgabe!$C$240</f>
        <v>1.3</v>
      </c>
      <c r="DH40" s="619">
        <f>Ausgabe!$C$246</f>
        <v>150.4</v>
      </c>
      <c r="DI40" s="710">
        <f>Ausgabe!$C$247</f>
        <v>1.1000000000000001</v>
      </c>
      <c r="DJ40" s="619">
        <f>Ausgabe!$C$254</f>
        <v>176.4</v>
      </c>
      <c r="DK40" s="710">
        <f>Ausgabe!$C$255</f>
        <v>1.25</v>
      </c>
      <c r="DL40" s="619">
        <f>Ausgabe!$C$263</f>
        <v>180.95573684677208</v>
      </c>
      <c r="DM40" s="710">
        <f>Ausgabe!$C$264</f>
        <v>1.1000000000000001</v>
      </c>
      <c r="DN40" s="619">
        <f t="shared" ca="1" si="56"/>
        <v>71.104977204919479</v>
      </c>
      <c r="DO40" s="619" t="e">
        <f t="shared" ca="1" si="57"/>
        <v>#DIV/0!</v>
      </c>
      <c r="DP40" s="833" t="e">
        <f t="shared" ca="1" si="58"/>
        <v>#DIV/0!</v>
      </c>
      <c r="DQ40" s="821" t="e">
        <f ca="1">Ausgabe!$C$369</f>
        <v>#DIV/0!</v>
      </c>
      <c r="DR40" s="710">
        <f>Ausgabe!$C$370</f>
        <v>1.3</v>
      </c>
      <c r="DS40" s="619" t="e">
        <f t="shared" ca="1" si="59"/>
        <v>#DIV/0!</v>
      </c>
      <c r="DT40" s="619" t="e">
        <f t="shared" ca="1" si="60"/>
        <v>#DIV/0!</v>
      </c>
      <c r="DU40" s="833" t="e">
        <f t="shared" ca="1" si="61"/>
        <v>#DIV/0!</v>
      </c>
      <c r="DV40" s="821">
        <f ca="1">Ausgabe!$C$420</f>
        <v>33.607770254588836</v>
      </c>
      <c r="DW40" s="710">
        <f>Ausgabe!$C$421</f>
        <v>1.3</v>
      </c>
      <c r="DX40" s="619">
        <f>Ausgabe!$C$423</f>
        <v>36.9</v>
      </c>
      <c r="DY40" s="710">
        <f>Ausgabe!$C$424</f>
        <v>1.1000000000000001</v>
      </c>
      <c r="DZ40" s="619">
        <f t="shared" ca="1" si="62"/>
        <v>25.852130965068334</v>
      </c>
      <c r="EA40" s="619">
        <f t="shared" si="77"/>
        <v>0</v>
      </c>
      <c r="EB40" s="833">
        <f t="shared" ca="1" si="63"/>
        <v>0</v>
      </c>
      <c r="EC40" s="710">
        <f ca="1">IF(CJ40=_oben,Berechnung_BZoben!$AN$5,Berechnung_BZunten!$AN$5)</f>
        <v>4.8472430481713564</v>
      </c>
      <c r="ED40" s="710">
        <f>Ausgabe!$C$520</f>
        <v>1.3</v>
      </c>
      <c r="EE40" s="710">
        <f t="shared" ca="1" si="64"/>
        <v>3.7286484985933508</v>
      </c>
      <c r="EF40" s="710" t="e">
        <f t="shared" ca="1" si="65"/>
        <v>#DIV/0!</v>
      </c>
      <c r="EG40" s="833" t="e">
        <f t="shared" ca="1" si="66"/>
        <v>#DIV/0!</v>
      </c>
      <c r="EH40" s="710">
        <f>Ausgabe!$C$592</f>
        <v>2.7</v>
      </c>
      <c r="EI40" s="710">
        <f>Ausgabe!$C$593</f>
        <v>1.3</v>
      </c>
      <c r="EJ40" s="710">
        <f t="shared" si="78"/>
        <v>2.0769230769230771</v>
      </c>
      <c r="EK40" s="710">
        <f t="shared" si="79"/>
        <v>0</v>
      </c>
      <c r="EL40" s="833">
        <f t="shared" si="80"/>
        <v>0</v>
      </c>
      <c r="EM40" s="821">
        <f ca="1">Ausgabe!$C$581</f>
        <v>0</v>
      </c>
      <c r="EN40" s="710" t="e">
        <f t="shared" ca="1" si="67"/>
        <v>#DIV/0!</v>
      </c>
      <c r="EO40" s="710" t="e">
        <f t="shared" ca="1" si="68"/>
        <v>#DIV/0!</v>
      </c>
      <c r="EP40" s="710" t="e">
        <f t="shared" ca="1" si="69"/>
        <v>#DIV/0!</v>
      </c>
      <c r="EQ40" s="833" t="e">
        <f t="shared" ca="1" si="70"/>
        <v>#DIV/0!</v>
      </c>
      <c r="ER40" s="889" t="e">
        <f t="shared" ca="1" si="71"/>
        <v>#DIV/0!</v>
      </c>
      <c r="EU40" s="499"/>
      <c r="EV40" s="724"/>
      <c r="EW40" s="499"/>
      <c r="EX40" s="724"/>
      <c r="FE40" s="1304"/>
      <c r="FF40" s="1301"/>
      <c r="FG40" s="1302"/>
      <c r="FH40" s="1303"/>
    </row>
    <row r="41" spans="1:167" ht="15.75" thickBot="1">
      <c r="A41" s="1536"/>
      <c r="B41" s="1536"/>
      <c r="C41" s="717"/>
      <c r="D41" s="1536"/>
      <c r="E41" s="1536"/>
      <c r="F41" s="1536"/>
      <c r="G41" s="1536"/>
      <c r="H41" s="508"/>
      <c r="O41" s="649"/>
      <c r="P41" s="649"/>
      <c r="Q41" s="649"/>
      <c r="R41" s="649"/>
      <c r="AB41" s="554"/>
      <c r="AC41" s="579"/>
      <c r="AD41" s="607"/>
      <c r="AE41" s="707"/>
      <c r="AG41" s="523"/>
      <c r="AJ41" s="556"/>
      <c r="AK41" s="556"/>
      <c r="AW41" s="525"/>
      <c r="BB41" s="633"/>
      <c r="BC41" s="527"/>
      <c r="BD41" s="527"/>
      <c r="BE41" s="527"/>
      <c r="BF41"/>
      <c r="BG41"/>
      <c r="BH41"/>
      <c r="BI41"/>
      <c r="BJ41" s="629"/>
      <c r="BL41" s="712" t="str">
        <f>Sprachtexte!A34</f>
        <v>Regelfall ohne Anschlusswinkel</v>
      </c>
      <c r="BM41" s="600"/>
      <c r="BP41" s="735">
        <v>90</v>
      </c>
      <c r="BR41" s="1205" t="e">
        <f t="shared" ca="1" si="43"/>
        <v>#DIV/0!</v>
      </c>
      <c r="BS41" s="1205" t="s">
        <v>1021</v>
      </c>
      <c r="BT41" s="571" t="s">
        <v>973</v>
      </c>
      <c r="BU41" s="649">
        <f>IF(OR(B241&lt;&gt;0,C241&lt;&gt;0,D241&lt;&gt;0,E241&lt;&gt;0,G241&lt;&gt;0),1,0)</f>
        <v>0</v>
      </c>
      <c r="BV41" s="619">
        <f>$BU$9*(1.35*B$99+1.5*B$102)</f>
        <v>0</v>
      </c>
      <c r="BW41" s="619">
        <f>$BU$9*(1.35*C$99+1.5*C$102)</f>
        <v>0</v>
      </c>
      <c r="BX41" s="619">
        <f>$BU$9*(1.35*D$99+1.5*D$102)</f>
        <v>0</v>
      </c>
      <c r="BY41" s="619">
        <f>$BU$9*(1.35*E$99+1.5*E$102)</f>
        <v>0</v>
      </c>
      <c r="BZ41" s="619">
        <f>$BU$9*(1.35*G$99+1.5*G$102)</f>
        <v>0</v>
      </c>
      <c r="CA41" s="833">
        <f>VLOOKUP($A$82,MKW!$A$50:$E$60,4,FALSE)</f>
        <v>0</v>
      </c>
      <c r="CB41" s="821" t="e">
        <f t="shared" ca="1" si="44"/>
        <v>#DIV/0!</v>
      </c>
      <c r="CC41" s="619" t="str">
        <f t="shared" si="45"/>
        <v>oben</v>
      </c>
      <c r="CD41" s="834" t="e">
        <f ca="1">IF(CC41=_oben,Berechnung_BZoben!$AQ$8,Berechnung_BZunten!$AQ$8)</f>
        <v>#DIV/0!</v>
      </c>
      <c r="CE41" s="834" t="e">
        <f ca="1">CD41*2/(3*(1+2*Eingabe!CA41*Eingabe!$D$76))</f>
        <v>#DIV/0!</v>
      </c>
      <c r="CF41" s="710" t="e">
        <f ca="1">IF($C$86=Sprachtexte!$A$87,
-CE41*$C$87^3*BW41/(12*CE41*$C$87+24*$CF$2)+BX41*$BY$1*$CA$1/(6*$CF$2)*(($BY$1-$C$87-2*$CA$1)/(6*$CF$2)-1/CE41-$CA$1/(CE41*$C$87))/(($C$87/(3*$CF$2)+1/CE41)^2-($C$87/(6*$CF$2))^2),
-CE41*$C$87^3*BW41/(8*CE41*$C$87+24*$CF$2)-CE41*$CA$1/$C$87*($C$87^2-$CA$1^2)*BX41/(2*CE41*$C$87+6*$CF$2))</f>
        <v>#DIV/0!</v>
      </c>
      <c r="CG41" s="710" t="e">
        <f t="shared" ca="1" si="72"/>
        <v>#DIV/0!</v>
      </c>
      <c r="CH41" s="835">
        <f t="shared" ca="1" si="46"/>
        <v>0</v>
      </c>
      <c r="CI41" s="821" t="e">
        <f t="shared" ca="1" si="47"/>
        <v>#DIV/0!</v>
      </c>
      <c r="CJ41" s="619" t="str">
        <f t="shared" si="48"/>
        <v>oben</v>
      </c>
      <c r="CK41" s="834" t="e">
        <f ca="1">IF(CJ41=_oben,Berechnung_BZoben!$AQ$8,Berechnung_BZunten!$AQ$8)</f>
        <v>#DIV/0!</v>
      </c>
      <c r="CL41" s="834" t="e">
        <f ca="1">CK41*2/(3*(1+2*Eingabe!CA41*Eingabe!$D$76))</f>
        <v>#DIV/0!</v>
      </c>
      <c r="CM41" s="710" t="e">
        <f ca="1">IF($C$86=Sprachtexte!$A$87,
-CL41*$C$87^3*BW41/(12*CE41*$C$87+24*$CF$2)+BX41*$CA$1*$BY$1/(6*$CF$2)*(($CA$1-$C$87-2*$BY$1)/(6*$CF$2)-1/CE41-$BY$1/(CE41*$C$87))/(($C$87/(3*$CF$2)+1/CE41)^2-($C$87/(6*$CF$2))^2),0)</f>
        <v>#DIV/0!</v>
      </c>
      <c r="CN41" s="710" t="e">
        <f t="shared" ca="1" si="49"/>
        <v>#DIV/0!</v>
      </c>
      <c r="CO41" s="835">
        <f t="shared" ca="1" si="50"/>
        <v>0</v>
      </c>
      <c r="CP41" s="849">
        <f t="shared" si="73"/>
        <v>0</v>
      </c>
      <c r="CQ41" s="710" t="e">
        <f t="shared" ca="1" si="51"/>
        <v>#DIV/0!</v>
      </c>
      <c r="CR41" s="710" t="e">
        <f t="shared" ca="1" si="52"/>
        <v>#DIV/0!</v>
      </c>
      <c r="CS41" s="710">
        <f t="shared" si="74"/>
        <v>0</v>
      </c>
      <c r="CT41" s="710" t="e">
        <f t="shared" ca="1" si="53"/>
        <v>#DIV/0!</v>
      </c>
      <c r="CU41" s="710">
        <f t="shared" si="75"/>
        <v>0</v>
      </c>
      <c r="CV41" s="833">
        <f>MAX($C$79,$C$82)</f>
        <v>1</v>
      </c>
      <c r="CW41" s="821" t="e">
        <f ca="1">MIN(Ausgabe!$C$173,Ausgabe!$C$186)</f>
        <v>#DIV/0!</v>
      </c>
      <c r="CX41" s="710">
        <f>Ausgabe!$C$187</f>
        <v>1.3</v>
      </c>
      <c r="CY41" s="619">
        <f>Ausgabe!$C$191</f>
        <v>100</v>
      </c>
      <c r="CZ41" s="710">
        <f>Ausgabe!$C$192</f>
        <v>1.25</v>
      </c>
      <c r="DA41" s="619">
        <f>Ausgabe!$C$194</f>
        <v>36.6</v>
      </c>
      <c r="DB41" s="710">
        <f>Ausgabe!$C$195</f>
        <v>1.25</v>
      </c>
      <c r="DC41" s="619" t="e">
        <f t="shared" ca="1" si="54"/>
        <v>#DIV/0!</v>
      </c>
      <c r="DD41" s="619">
        <f t="shared" si="76"/>
        <v>0</v>
      </c>
      <c r="DE41" s="710" t="e">
        <f t="shared" ca="1" si="55"/>
        <v>#DIV/0!</v>
      </c>
      <c r="DF41" s="821">
        <f ca="1">MIN(Ausgabe!$C$221,Ausgabe!$C$239)</f>
        <v>92.436470366395326</v>
      </c>
      <c r="DG41" s="710">
        <f>Ausgabe!$C$240</f>
        <v>1.3</v>
      </c>
      <c r="DH41" s="619">
        <f>Ausgabe!$C$246</f>
        <v>150.4</v>
      </c>
      <c r="DI41" s="710">
        <f>Ausgabe!$C$247</f>
        <v>1.1000000000000001</v>
      </c>
      <c r="DJ41" s="619">
        <f>Ausgabe!$C$254</f>
        <v>176.4</v>
      </c>
      <c r="DK41" s="710">
        <f>Ausgabe!$C$255</f>
        <v>1.25</v>
      </c>
      <c r="DL41" s="619">
        <f>Ausgabe!$C$263</f>
        <v>180.95573684677208</v>
      </c>
      <c r="DM41" s="710">
        <f>Ausgabe!$C$264</f>
        <v>1.1000000000000001</v>
      </c>
      <c r="DN41" s="619">
        <f t="shared" ca="1" si="56"/>
        <v>71.104977204919479</v>
      </c>
      <c r="DO41" s="619" t="e">
        <f t="shared" ca="1" si="57"/>
        <v>#DIV/0!</v>
      </c>
      <c r="DP41" s="833" t="e">
        <f t="shared" ca="1" si="58"/>
        <v>#DIV/0!</v>
      </c>
      <c r="DQ41" s="821" t="e">
        <f ca="1">Ausgabe!$C$369</f>
        <v>#DIV/0!</v>
      </c>
      <c r="DR41" s="710">
        <f>Ausgabe!$C$370</f>
        <v>1.3</v>
      </c>
      <c r="DS41" s="619" t="e">
        <f t="shared" ca="1" si="59"/>
        <v>#DIV/0!</v>
      </c>
      <c r="DT41" s="619" t="e">
        <f t="shared" ca="1" si="60"/>
        <v>#DIV/0!</v>
      </c>
      <c r="DU41" s="833" t="e">
        <f t="shared" ca="1" si="61"/>
        <v>#DIV/0!</v>
      </c>
      <c r="DV41" s="821">
        <f ca="1">Ausgabe!$C$420</f>
        <v>33.607770254588836</v>
      </c>
      <c r="DW41" s="710">
        <f>Ausgabe!$C$421</f>
        <v>1.3</v>
      </c>
      <c r="DX41" s="619">
        <f>Ausgabe!$C$423</f>
        <v>36.9</v>
      </c>
      <c r="DY41" s="710">
        <f>Ausgabe!$C$424</f>
        <v>1.1000000000000001</v>
      </c>
      <c r="DZ41" s="619">
        <f t="shared" ca="1" si="62"/>
        <v>25.852130965068334</v>
      </c>
      <c r="EA41" s="619">
        <f t="shared" si="77"/>
        <v>0</v>
      </c>
      <c r="EB41" s="833">
        <f t="shared" ca="1" si="63"/>
        <v>0</v>
      </c>
      <c r="EC41" s="710">
        <f ca="1">IF(CJ41=_oben,Berechnung_BZoben!$AN$5,Berechnung_BZunten!$AN$5)</f>
        <v>4.8472430481713564</v>
      </c>
      <c r="ED41" s="710">
        <f>Ausgabe!$C$520</f>
        <v>1.3</v>
      </c>
      <c r="EE41" s="710">
        <f t="shared" ca="1" si="64"/>
        <v>3.7286484985933508</v>
      </c>
      <c r="EF41" s="710" t="e">
        <f t="shared" ca="1" si="65"/>
        <v>#DIV/0!</v>
      </c>
      <c r="EG41" s="833" t="e">
        <f t="shared" ca="1" si="66"/>
        <v>#DIV/0!</v>
      </c>
      <c r="EH41" s="710">
        <f>Ausgabe!$C$592</f>
        <v>2.7</v>
      </c>
      <c r="EI41" s="710">
        <f>Ausgabe!$C$593</f>
        <v>1.3</v>
      </c>
      <c r="EJ41" s="710">
        <f t="shared" si="78"/>
        <v>2.0769230769230771</v>
      </c>
      <c r="EK41" s="710">
        <f t="shared" si="79"/>
        <v>0</v>
      </c>
      <c r="EL41" s="833">
        <f t="shared" si="80"/>
        <v>0</v>
      </c>
      <c r="EM41" s="821">
        <f ca="1">Ausgabe!$C$581</f>
        <v>0</v>
      </c>
      <c r="EN41" s="710" t="e">
        <f t="shared" ca="1" si="67"/>
        <v>#DIV/0!</v>
      </c>
      <c r="EO41" s="710" t="e">
        <f t="shared" ca="1" si="68"/>
        <v>#DIV/0!</v>
      </c>
      <c r="EP41" s="710" t="e">
        <f t="shared" ca="1" si="69"/>
        <v>#DIV/0!</v>
      </c>
      <c r="EQ41" s="833" t="e">
        <f t="shared" ca="1" si="70"/>
        <v>#DIV/0!</v>
      </c>
      <c r="ER41" s="889" t="e">
        <f t="shared" ca="1" si="71"/>
        <v>#DIV/0!</v>
      </c>
      <c r="EU41" s="499" t="s">
        <v>788</v>
      </c>
      <c r="EW41" s="499" t="s">
        <v>788</v>
      </c>
      <c r="EX41" s="643"/>
      <c r="FE41" s="1304"/>
      <c r="FF41" s="1301"/>
      <c r="FG41" s="1302"/>
      <c r="FH41" s="1303"/>
    </row>
    <row r="42" spans="1:167" ht="16.5" thickBot="1">
      <c r="A42" s="1536"/>
      <c r="B42" s="1536"/>
      <c r="C42" s="717"/>
      <c r="D42" s="1536"/>
      <c r="E42" s="1536"/>
      <c r="F42" s="1536"/>
      <c r="G42" s="1536"/>
      <c r="H42" s="508"/>
      <c r="O42" s="649"/>
      <c r="P42" s="649"/>
      <c r="Q42" s="649"/>
      <c r="R42" s="649"/>
      <c r="AB42" s="607"/>
      <c r="AC42" s="579"/>
      <c r="AD42" s="607"/>
      <c r="AE42" s="707"/>
      <c r="AG42" s="523"/>
      <c r="AJ42" s="556"/>
      <c r="AK42" s="556"/>
      <c r="AW42" s="525"/>
      <c r="BB42" s="1464" t="s">
        <v>407</v>
      </c>
      <c r="BC42" s="1465"/>
      <c r="BD42" s="1465"/>
      <c r="BE42" s="1465"/>
      <c r="BF42" s="1465"/>
      <c r="BG42" s="1466"/>
      <c r="BH42" s="622"/>
      <c r="BI42"/>
      <c r="BJ42" s="629"/>
      <c r="BP42" s="734">
        <v>120</v>
      </c>
      <c r="BR42" s="1205" t="e">
        <f t="shared" ca="1" si="43"/>
        <v>#DIV/0!</v>
      </c>
      <c r="BS42" s="1205" t="s">
        <v>1022</v>
      </c>
      <c r="BT42" s="571" t="s">
        <v>974</v>
      </c>
      <c r="BU42" s="649">
        <f>IF(OR(B239&lt;&gt;0,C239&lt;&gt;0,D239&lt;&gt;0,E239&lt;&gt;0,G239&lt;&gt;0),1,0)</f>
        <v>1</v>
      </c>
      <c r="BV42" s="619">
        <f>$BU$10*(1.35*B$99+1.5*B$100+1.5*$E$81*B$101)</f>
        <v>0</v>
      </c>
      <c r="BW42" s="619">
        <f>$BU$10*(1.35*C$99+1.5*C$100+1.5*$E$81*C$101)</f>
        <v>0</v>
      </c>
      <c r="BX42" s="619">
        <f>$BU$10*(1.35*D$99+1.5*D$100+1.5*$E$81*D$101)</f>
        <v>0</v>
      </c>
      <c r="BY42" s="619">
        <f>$BU$10*(1.35*E$99+1.5*E$100+1.5*$E$81*E$101)</f>
        <v>0</v>
      </c>
      <c r="BZ42" s="619">
        <f>$BU$10*(1.35*G$99+1.5*G$100+1.5*$E$81*G$101)</f>
        <v>0</v>
      </c>
      <c r="CA42" s="833">
        <f>VLOOKUP($A$80,MKW!$A$50:$E$60,4,FALSE)</f>
        <v>0.3</v>
      </c>
      <c r="CB42" s="821" t="e">
        <f t="shared" ca="1" si="44"/>
        <v>#DIV/0!</v>
      </c>
      <c r="CC42" s="619" t="str">
        <f t="shared" si="45"/>
        <v>oben</v>
      </c>
      <c r="CD42" s="834" t="e">
        <f ca="1">IF(CC42=_oben,Berechnung_BZoben!$AQ$8,Berechnung_BZunten!$AQ$8)</f>
        <v>#DIV/0!</v>
      </c>
      <c r="CE42" s="834" t="e">
        <f ca="1">CD42*2/(3*(1+2*Eingabe!CA42*Eingabe!$D$76))</f>
        <v>#DIV/0!</v>
      </c>
      <c r="CF42" s="710" t="e">
        <f ca="1">IF($C$86=Sprachtexte!$A$87,
-CE42*$C$87^3*BW42/(12*CE42*$C$87+24*$CF$2)+BX42*$BY$1*$CA$1/(6*$CF$2)*(($BY$1-$C$87-2*$CA$1)/(6*$CF$2)-1/CE42-$CA$1/(CE42*$C$87))/(($C$87/(3*$CF$2)+1/CE42)^2-($C$87/(6*$CF$2))^2),
-CE42*$C$87^3*BW42/(8*CE42*$C$87+24*$CF$2)-CE42*$CA$1/$C$87*($C$87^2-$CA$1^2)*BX42/(2*CE42*$C$87+6*$CF$2))</f>
        <v>#DIV/0!</v>
      </c>
      <c r="CG42" s="710" t="e">
        <f t="shared" ca="1" si="72"/>
        <v>#DIV/0!</v>
      </c>
      <c r="CH42" s="835">
        <f t="shared" ca="1" si="46"/>
        <v>0</v>
      </c>
      <c r="CI42" s="821" t="e">
        <f t="shared" ca="1" si="47"/>
        <v>#DIV/0!</v>
      </c>
      <c r="CJ42" s="619" t="str">
        <f t="shared" si="48"/>
        <v>oben</v>
      </c>
      <c r="CK42" s="834" t="e">
        <f ca="1">IF(CJ42=_oben,Berechnung_BZoben!$AQ$8,Berechnung_BZunten!$AQ$8)</f>
        <v>#DIV/0!</v>
      </c>
      <c r="CL42" s="834" t="e">
        <f ca="1">CK42*2/(3*(1+2*Eingabe!CA42*Eingabe!$D$76))</f>
        <v>#DIV/0!</v>
      </c>
      <c r="CM42" s="710" t="e">
        <f ca="1">IF($C$86=Sprachtexte!$A$87,
-CL42*$C$87^3*BW42/(12*CE42*$C$87+24*$CF$2)+BX42*$CA$1*$BY$1/(6*$CF$2)*(($CA$1-$C$87-2*$BY$1)/(6*$CF$2)-1/CE42-$BY$1/(CE42*$C$87))/(($C$87/(3*$CF$2)+1/CE42)^2-($C$87/(6*$CF$2))^2),0)</f>
        <v>#DIV/0!</v>
      </c>
      <c r="CN42" s="710" t="e">
        <f t="shared" ca="1" si="49"/>
        <v>#DIV/0!</v>
      </c>
      <c r="CO42" s="835">
        <f t="shared" ca="1" si="50"/>
        <v>0</v>
      </c>
      <c r="CP42" s="849">
        <f t="shared" si="73"/>
        <v>0</v>
      </c>
      <c r="CQ42" s="710" t="e">
        <f t="shared" ca="1" si="51"/>
        <v>#DIV/0!</v>
      </c>
      <c r="CR42" s="710" t="e">
        <f t="shared" ca="1" si="52"/>
        <v>#DIV/0!</v>
      </c>
      <c r="CS42" s="710">
        <f t="shared" si="74"/>
        <v>0</v>
      </c>
      <c r="CT42" s="710" t="e">
        <f t="shared" ca="1" si="53"/>
        <v>#DIV/0!</v>
      </c>
      <c r="CU42" s="710">
        <f t="shared" si="75"/>
        <v>0</v>
      </c>
      <c r="CV42" s="833">
        <f>MAX($C$79,$C$80,$C$81)</f>
        <v>0.9</v>
      </c>
      <c r="CW42" s="821" t="e">
        <f ca="1">MIN(Ausgabe!$C$173,Ausgabe!$C$186)</f>
        <v>#DIV/0!</v>
      </c>
      <c r="CX42" s="710">
        <f>Ausgabe!$C$187</f>
        <v>1.3</v>
      </c>
      <c r="CY42" s="619">
        <f>Ausgabe!$C$191</f>
        <v>100</v>
      </c>
      <c r="CZ42" s="710">
        <f>Ausgabe!$C$192</f>
        <v>1.25</v>
      </c>
      <c r="DA42" s="619">
        <f>Ausgabe!$C$194</f>
        <v>36.6</v>
      </c>
      <c r="DB42" s="710">
        <f>Ausgabe!$C$195</f>
        <v>1.25</v>
      </c>
      <c r="DC42" s="619" t="e">
        <f t="shared" ca="1" si="54"/>
        <v>#DIV/0!</v>
      </c>
      <c r="DD42" s="619">
        <f t="shared" si="76"/>
        <v>0</v>
      </c>
      <c r="DE42" s="710" t="e">
        <f t="shared" ca="1" si="55"/>
        <v>#DIV/0!</v>
      </c>
      <c r="DF42" s="821">
        <f ca="1">MIN(Ausgabe!$C$221,Ausgabe!$C$239)</f>
        <v>92.436470366395326</v>
      </c>
      <c r="DG42" s="710">
        <f>Ausgabe!$C$240</f>
        <v>1.3</v>
      </c>
      <c r="DH42" s="619">
        <f>Ausgabe!$C$246</f>
        <v>150.4</v>
      </c>
      <c r="DI42" s="710">
        <f>Ausgabe!$C$247</f>
        <v>1.1000000000000001</v>
      </c>
      <c r="DJ42" s="619">
        <f>Ausgabe!$C$254</f>
        <v>176.4</v>
      </c>
      <c r="DK42" s="710">
        <f>Ausgabe!$C$255</f>
        <v>1.25</v>
      </c>
      <c r="DL42" s="619">
        <f>Ausgabe!$C$263</f>
        <v>180.95573684677208</v>
      </c>
      <c r="DM42" s="710">
        <f>Ausgabe!$C$264</f>
        <v>1.1000000000000001</v>
      </c>
      <c r="DN42" s="619">
        <f t="shared" ca="1" si="56"/>
        <v>63.994479484427536</v>
      </c>
      <c r="DO42" s="619" t="e">
        <f t="shared" ca="1" si="57"/>
        <v>#DIV/0!</v>
      </c>
      <c r="DP42" s="833" t="e">
        <f t="shared" ca="1" si="58"/>
        <v>#DIV/0!</v>
      </c>
      <c r="DQ42" s="821" t="e">
        <f ca="1">Ausgabe!$C$369</f>
        <v>#DIV/0!</v>
      </c>
      <c r="DR42" s="710">
        <f>Ausgabe!$C$370</f>
        <v>1.3</v>
      </c>
      <c r="DS42" s="619" t="e">
        <f t="shared" ca="1" si="59"/>
        <v>#DIV/0!</v>
      </c>
      <c r="DT42" s="619" t="e">
        <f t="shared" ca="1" si="60"/>
        <v>#DIV/0!</v>
      </c>
      <c r="DU42" s="833" t="e">
        <f t="shared" ca="1" si="61"/>
        <v>#DIV/0!</v>
      </c>
      <c r="DV42" s="821">
        <f ca="1">Ausgabe!$C$420</f>
        <v>33.607770254588836</v>
      </c>
      <c r="DW42" s="710">
        <f>Ausgabe!$C$421</f>
        <v>1.3</v>
      </c>
      <c r="DX42" s="619">
        <f>Ausgabe!$C$423</f>
        <v>36.9</v>
      </c>
      <c r="DY42" s="710">
        <f>Ausgabe!$C$424</f>
        <v>1.1000000000000001</v>
      </c>
      <c r="DZ42" s="619">
        <f t="shared" ca="1" si="62"/>
        <v>23.266917868561499</v>
      </c>
      <c r="EA42" s="619">
        <f t="shared" si="77"/>
        <v>0</v>
      </c>
      <c r="EB42" s="833">
        <f t="shared" ca="1" si="63"/>
        <v>0</v>
      </c>
      <c r="EC42" s="710">
        <f ca="1">IF(CJ42=_oben,Berechnung_BZoben!$AN$5,Berechnung_BZunten!$AN$5)</f>
        <v>4.8472430481713564</v>
      </c>
      <c r="ED42" s="710">
        <f>Ausgabe!$C$520</f>
        <v>1.3</v>
      </c>
      <c r="EE42" s="710">
        <f t="shared" ca="1" si="64"/>
        <v>3.3557836487340156</v>
      </c>
      <c r="EF42" s="710" t="e">
        <f t="shared" ca="1" si="65"/>
        <v>#DIV/0!</v>
      </c>
      <c r="EG42" s="833" t="e">
        <f t="shared" ca="1" si="66"/>
        <v>#DIV/0!</v>
      </c>
      <c r="EH42" s="710">
        <f>Ausgabe!$C$592</f>
        <v>2.7</v>
      </c>
      <c r="EI42" s="710">
        <f>Ausgabe!$C$593</f>
        <v>1.3</v>
      </c>
      <c r="EJ42" s="710">
        <f t="shared" si="78"/>
        <v>1.8692307692307693</v>
      </c>
      <c r="EK42" s="710">
        <f t="shared" si="79"/>
        <v>0</v>
      </c>
      <c r="EL42" s="833">
        <f t="shared" si="80"/>
        <v>0</v>
      </c>
      <c r="EM42" s="821">
        <f ca="1">Ausgabe!$C$581</f>
        <v>0</v>
      </c>
      <c r="EN42" s="710" t="e">
        <f t="shared" ca="1" si="67"/>
        <v>#DIV/0!</v>
      </c>
      <c r="EO42" s="710" t="e">
        <f t="shared" ca="1" si="68"/>
        <v>#DIV/0!</v>
      </c>
      <c r="EP42" s="710" t="e">
        <f t="shared" ca="1" si="69"/>
        <v>#DIV/0!</v>
      </c>
      <c r="EQ42" s="833" t="e">
        <f t="shared" ca="1" si="70"/>
        <v>#DIV/0!</v>
      </c>
      <c r="ER42" s="889" t="e">
        <f t="shared" ca="1" si="71"/>
        <v>#DIV/0!</v>
      </c>
      <c r="EU42" s="499" t="s">
        <v>1111</v>
      </c>
      <c r="EV42" s="724">
        <f ca="1">MIN(EV28,EV38)</f>
        <v>0</v>
      </c>
      <c r="EW42" s="499" t="s">
        <v>1111</v>
      </c>
      <c r="EX42" s="724">
        <f ca="1">MIN(EX28,EX38)</f>
        <v>0</v>
      </c>
      <c r="FE42" s="1304"/>
      <c r="FF42" s="1301"/>
      <c r="FG42" s="1302"/>
      <c r="FH42" s="1303"/>
    </row>
    <row r="43" spans="1:167" ht="15.75">
      <c r="A43" s="1536"/>
      <c r="B43" s="1536"/>
      <c r="C43" s="717"/>
      <c r="D43" s="1536"/>
      <c r="E43" s="1536"/>
      <c r="F43" s="1536"/>
      <c r="G43" s="1536"/>
      <c r="H43" s="508"/>
      <c r="O43" s="649"/>
      <c r="P43" s="649"/>
      <c r="Q43" s="649"/>
      <c r="R43" s="649"/>
      <c r="AB43" s="607"/>
      <c r="AC43" s="579"/>
      <c r="AD43" s="607"/>
      <c r="AE43" s="707"/>
      <c r="AG43" s="523"/>
      <c r="AJ43" s="595"/>
      <c r="AK43" s="595"/>
      <c r="AW43" s="525"/>
      <c r="BB43" s="516" t="s">
        <v>94</v>
      </c>
      <c r="BC43" s="517">
        <f>Eingabe!V4</f>
        <v>0</v>
      </c>
      <c r="BD43" s="518" t="str">
        <f>Eingabe!W4</f>
        <v>Brettschichtholz nach DIN EN 14080:2013-09, Tab. 5</v>
      </c>
      <c r="BE43" s="519"/>
      <c r="BF43" s="520"/>
      <c r="BG43" s="519"/>
      <c r="BH43" s="527"/>
      <c r="BI43"/>
      <c r="BJ43" s="629"/>
      <c r="BL43" s="640" t="s">
        <v>1117</v>
      </c>
      <c r="BM43" s="713" t="s">
        <v>742</v>
      </c>
      <c r="BR43" s="1205" t="e">
        <f t="shared" ca="1" si="43"/>
        <v>#DIV/0!</v>
      </c>
      <c r="BS43" s="1205" t="s">
        <v>1023</v>
      </c>
      <c r="BT43" s="571" t="s">
        <v>975</v>
      </c>
      <c r="BU43" s="649">
        <f>IF(OR(B239&lt;&gt;0,C239&lt;&gt;0,D239&lt;&gt;0,E239&lt;&gt;0,G239&lt;&gt;0),1,0)</f>
        <v>1</v>
      </c>
      <c r="BV43" s="619">
        <f>$BU$11*(1.35*B$99+1.5*B$100+1.5*$E$82*B$102)</f>
        <v>0</v>
      </c>
      <c r="BW43" s="619">
        <f>$BU$11*(1.35*C$99+1.5*C$100+1.5*$E$82*C$102)</f>
        <v>0</v>
      </c>
      <c r="BX43" s="619">
        <f>$BU$11*(1.35*D$99+1.5*D$100+1.5*$E$82*D$102)</f>
        <v>0</v>
      </c>
      <c r="BY43" s="619">
        <f>$BU$11*(1.35*E$99+1.5*E$100+1.5*$E$82*E$102)</f>
        <v>0</v>
      </c>
      <c r="BZ43" s="619">
        <f>$BU$11*(1.35*G$99+1.5*G$100+1.5*$E$82*G$102)</f>
        <v>0</v>
      </c>
      <c r="CA43" s="833">
        <f>VLOOKUP($A$80,MKW!$A$50:$E$60,4,FALSE)</f>
        <v>0.3</v>
      </c>
      <c r="CB43" s="821" t="e">
        <f t="shared" ca="1" si="44"/>
        <v>#DIV/0!</v>
      </c>
      <c r="CC43" s="619" t="str">
        <f t="shared" si="45"/>
        <v>oben</v>
      </c>
      <c r="CD43" s="834" t="e">
        <f ca="1">IF(CC43=_oben,Berechnung_BZoben!$AQ$8,Berechnung_BZunten!$AQ$8)</f>
        <v>#DIV/0!</v>
      </c>
      <c r="CE43" s="834" t="e">
        <f ca="1">CD43*2/(3*(1+2*Eingabe!CA43*Eingabe!$D$76))</f>
        <v>#DIV/0!</v>
      </c>
      <c r="CF43" s="710" t="e">
        <f ca="1">IF($C$86=Sprachtexte!$A$87,
-CE43*$C$87^3*BW43/(12*CE43*$C$87+24*$CF$2)+BX43*$BY$1*$CA$1/(6*$CF$2)*(($BY$1-$C$87-2*$CA$1)/(6*$CF$2)-1/CE43-$CA$1/(CE43*$C$87))/(($C$87/(3*$CF$2)+1/CE43)^2-($C$87/(6*$CF$2))^2),
-CE43*$C$87^3*BW43/(8*CE43*$C$87+24*$CF$2)-CE43*$CA$1/$C$87*($C$87^2-$CA$1^2)*BX43/(2*CE43*$C$87+6*$CF$2))</f>
        <v>#DIV/0!</v>
      </c>
      <c r="CG43" s="710" t="e">
        <f t="shared" ca="1" si="72"/>
        <v>#DIV/0!</v>
      </c>
      <c r="CH43" s="835">
        <f t="shared" ca="1" si="46"/>
        <v>0</v>
      </c>
      <c r="CI43" s="821" t="e">
        <f t="shared" ca="1" si="47"/>
        <v>#DIV/0!</v>
      </c>
      <c r="CJ43" s="619" t="str">
        <f t="shared" si="48"/>
        <v>oben</v>
      </c>
      <c r="CK43" s="834" t="e">
        <f ca="1">IF(CJ43=_oben,Berechnung_BZoben!$AQ$8,Berechnung_BZunten!$AQ$8)</f>
        <v>#DIV/0!</v>
      </c>
      <c r="CL43" s="834" t="e">
        <f ca="1">CK43*2/(3*(1+2*Eingabe!CA43*Eingabe!$D$76))</f>
        <v>#DIV/0!</v>
      </c>
      <c r="CM43" s="710" t="e">
        <f ca="1">IF($C$86=Sprachtexte!$A$87,
-CL43*$C$87^3*BW43/(12*CE43*$C$87+24*$CF$2)+BX43*$CA$1*$BY$1/(6*$CF$2)*(($CA$1-$C$87-2*$BY$1)/(6*$CF$2)-1/CE43-$BY$1/(CE43*$C$87))/(($C$87/(3*$CF$2)+1/CE43)^2-($C$87/(6*$CF$2))^2),0)</f>
        <v>#DIV/0!</v>
      </c>
      <c r="CN43" s="710" t="e">
        <f t="shared" ca="1" si="49"/>
        <v>#DIV/0!</v>
      </c>
      <c r="CO43" s="835">
        <f t="shared" ca="1" si="50"/>
        <v>0</v>
      </c>
      <c r="CP43" s="849">
        <f t="shared" si="73"/>
        <v>0</v>
      </c>
      <c r="CQ43" s="710" t="e">
        <f t="shared" ca="1" si="51"/>
        <v>#DIV/0!</v>
      </c>
      <c r="CR43" s="710" t="e">
        <f t="shared" ca="1" si="52"/>
        <v>#DIV/0!</v>
      </c>
      <c r="CS43" s="710">
        <f t="shared" si="74"/>
        <v>0</v>
      </c>
      <c r="CT43" s="710" t="e">
        <f t="shared" ca="1" si="53"/>
        <v>#DIV/0!</v>
      </c>
      <c r="CU43" s="710">
        <f t="shared" si="75"/>
        <v>0</v>
      </c>
      <c r="CV43" s="833">
        <f>MAX($C$79,$C$80,$C$82)</f>
        <v>1</v>
      </c>
      <c r="CW43" s="821" t="e">
        <f ca="1">MIN(Ausgabe!$C$173,Ausgabe!$C$186)</f>
        <v>#DIV/0!</v>
      </c>
      <c r="CX43" s="710">
        <f>Ausgabe!$C$187</f>
        <v>1.3</v>
      </c>
      <c r="CY43" s="619">
        <f>Ausgabe!$C$191</f>
        <v>100</v>
      </c>
      <c r="CZ43" s="710">
        <f>Ausgabe!$C$192</f>
        <v>1.25</v>
      </c>
      <c r="DA43" s="619">
        <f>Ausgabe!$C$194</f>
        <v>36.6</v>
      </c>
      <c r="DB43" s="710">
        <f>Ausgabe!$C$195</f>
        <v>1.25</v>
      </c>
      <c r="DC43" s="619" t="e">
        <f t="shared" ca="1" si="54"/>
        <v>#DIV/0!</v>
      </c>
      <c r="DD43" s="619">
        <f t="shared" si="76"/>
        <v>0</v>
      </c>
      <c r="DE43" s="710" t="e">
        <f t="shared" ca="1" si="55"/>
        <v>#DIV/0!</v>
      </c>
      <c r="DF43" s="821">
        <f ca="1">MIN(Ausgabe!$C$221,Ausgabe!$C$239)</f>
        <v>92.436470366395326</v>
      </c>
      <c r="DG43" s="710">
        <f>Ausgabe!$C$240</f>
        <v>1.3</v>
      </c>
      <c r="DH43" s="619">
        <f>Ausgabe!$C$246</f>
        <v>150.4</v>
      </c>
      <c r="DI43" s="710">
        <f>Ausgabe!$C$247</f>
        <v>1.1000000000000001</v>
      </c>
      <c r="DJ43" s="619">
        <f>Ausgabe!$C$254</f>
        <v>176.4</v>
      </c>
      <c r="DK43" s="710">
        <f>Ausgabe!$C$255</f>
        <v>1.25</v>
      </c>
      <c r="DL43" s="619">
        <f>Ausgabe!$C$263</f>
        <v>180.95573684677208</v>
      </c>
      <c r="DM43" s="710">
        <f>Ausgabe!$C$264</f>
        <v>1.1000000000000001</v>
      </c>
      <c r="DN43" s="619">
        <f t="shared" ca="1" si="56"/>
        <v>71.104977204919479</v>
      </c>
      <c r="DO43" s="619" t="e">
        <f t="shared" ca="1" si="57"/>
        <v>#DIV/0!</v>
      </c>
      <c r="DP43" s="833" t="e">
        <f t="shared" ca="1" si="58"/>
        <v>#DIV/0!</v>
      </c>
      <c r="DQ43" s="821" t="e">
        <f ca="1">Ausgabe!$C$369</f>
        <v>#DIV/0!</v>
      </c>
      <c r="DR43" s="710">
        <f>Ausgabe!$C$370</f>
        <v>1.3</v>
      </c>
      <c r="DS43" s="619" t="e">
        <f t="shared" ca="1" si="59"/>
        <v>#DIV/0!</v>
      </c>
      <c r="DT43" s="619" t="e">
        <f t="shared" ca="1" si="60"/>
        <v>#DIV/0!</v>
      </c>
      <c r="DU43" s="833" t="e">
        <f t="shared" ca="1" si="61"/>
        <v>#DIV/0!</v>
      </c>
      <c r="DV43" s="821">
        <f ca="1">Ausgabe!$C$420</f>
        <v>33.607770254588836</v>
      </c>
      <c r="DW43" s="710">
        <f>Ausgabe!$C$421</f>
        <v>1.3</v>
      </c>
      <c r="DX43" s="619">
        <f>Ausgabe!$C$423</f>
        <v>36.9</v>
      </c>
      <c r="DY43" s="710">
        <f>Ausgabe!$C$424</f>
        <v>1.1000000000000001</v>
      </c>
      <c r="DZ43" s="619">
        <f t="shared" ca="1" si="62"/>
        <v>25.852130965068334</v>
      </c>
      <c r="EA43" s="619">
        <f t="shared" si="77"/>
        <v>0</v>
      </c>
      <c r="EB43" s="833">
        <f t="shared" ca="1" si="63"/>
        <v>0</v>
      </c>
      <c r="EC43" s="710">
        <f ca="1">IF(CJ43=_oben,Berechnung_BZoben!$AN$5,Berechnung_BZunten!$AN$5)</f>
        <v>4.8472430481713564</v>
      </c>
      <c r="ED43" s="710">
        <f>Ausgabe!$C$520</f>
        <v>1.3</v>
      </c>
      <c r="EE43" s="710">
        <f t="shared" ca="1" si="64"/>
        <v>3.7286484985933508</v>
      </c>
      <c r="EF43" s="710" t="e">
        <f t="shared" ca="1" si="65"/>
        <v>#DIV/0!</v>
      </c>
      <c r="EG43" s="833" t="e">
        <f t="shared" ca="1" si="66"/>
        <v>#DIV/0!</v>
      </c>
      <c r="EH43" s="710">
        <f>Ausgabe!$C$592</f>
        <v>2.7</v>
      </c>
      <c r="EI43" s="710">
        <f>Ausgabe!$C$593</f>
        <v>1.3</v>
      </c>
      <c r="EJ43" s="710">
        <f t="shared" si="78"/>
        <v>2.0769230769230771</v>
      </c>
      <c r="EK43" s="710">
        <f t="shared" si="79"/>
        <v>0</v>
      </c>
      <c r="EL43" s="833">
        <f t="shared" si="80"/>
        <v>0</v>
      </c>
      <c r="EM43" s="821">
        <f ca="1">Ausgabe!$C$581</f>
        <v>0</v>
      </c>
      <c r="EN43" s="710" t="e">
        <f t="shared" ca="1" si="67"/>
        <v>#DIV/0!</v>
      </c>
      <c r="EO43" s="710" t="e">
        <f t="shared" ca="1" si="68"/>
        <v>#DIV/0!</v>
      </c>
      <c r="EP43" s="710" t="e">
        <f t="shared" ca="1" si="69"/>
        <v>#DIV/0!</v>
      </c>
      <c r="EQ43" s="833" t="e">
        <f t="shared" ca="1" si="70"/>
        <v>#DIV/0!</v>
      </c>
      <c r="ER43" s="889" t="e">
        <f t="shared" ca="1" si="71"/>
        <v>#DIV/0!</v>
      </c>
      <c r="EU43" s="712" t="s">
        <v>1112</v>
      </c>
      <c r="EV43" s="725">
        <f ca="1">MIN(EV29,EV39)</f>
        <v>0</v>
      </c>
      <c r="EW43" s="712" t="s">
        <v>1112</v>
      </c>
      <c r="EX43" s="725">
        <f ca="1">MIN(EX29,EX39)</f>
        <v>0</v>
      </c>
      <c r="FE43" s="499"/>
      <c r="FF43" s="859"/>
      <c r="FG43" s="569"/>
      <c r="FH43" s="1223"/>
    </row>
    <row r="44" spans="1:167" ht="15.75" thickBot="1">
      <c r="A44" s="1536"/>
      <c r="B44" s="1536"/>
      <c r="C44" s="717"/>
      <c r="D44" s="1536"/>
      <c r="E44" s="1536"/>
      <c r="F44" s="1536"/>
      <c r="G44" s="1536"/>
      <c r="H44" s="508"/>
      <c r="O44" s="649"/>
      <c r="P44" s="649"/>
      <c r="Q44" s="649"/>
      <c r="R44" s="649"/>
      <c r="AB44" s="611"/>
      <c r="AC44" s="612"/>
      <c r="AD44" s="611"/>
      <c r="AE44" s="709"/>
      <c r="AG44" s="613"/>
      <c r="AH44" s="614"/>
      <c r="AI44" s="614"/>
      <c r="AJ44" s="614"/>
      <c r="AK44" s="614"/>
      <c r="AL44" s="614"/>
      <c r="AM44" s="614"/>
      <c r="AN44" s="614"/>
      <c r="AO44" s="614"/>
      <c r="AP44" s="614"/>
      <c r="AQ44" s="614"/>
      <c r="AR44" s="614"/>
      <c r="AS44" s="614"/>
      <c r="AT44" s="577"/>
      <c r="AU44" s="577"/>
      <c r="AV44" s="577"/>
      <c r="AW44" s="615"/>
      <c r="BB44" s="532" t="s">
        <v>95</v>
      </c>
      <c r="BC44" s="533">
        <f>Eingabe!V5</f>
        <v>0</v>
      </c>
      <c r="BD44" s="534" t="str">
        <f>Eingabe!W5</f>
        <v>Brettschichtholz nach DIN EN 14080:2013-09, Tab. 5</v>
      </c>
      <c r="BE44" s="535"/>
      <c r="BF44" s="536"/>
      <c r="BG44" s="535"/>
      <c r="BH44" s="637"/>
      <c r="BI44" s="638"/>
      <c r="BJ44" s="639"/>
      <c r="BL44" s="499" t="str">
        <f>Sprachtexte!A86</f>
        <v>einseitig</v>
      </c>
      <c r="BM44" s="643" t="e" vm="11">
        <v>#VALUE!</v>
      </c>
      <c r="BR44" s="1205" t="e">
        <f t="shared" ca="1" si="43"/>
        <v>#DIV/0!</v>
      </c>
      <c r="BS44" s="1205" t="s">
        <v>1024</v>
      </c>
      <c r="BT44" s="571" t="s">
        <v>976</v>
      </c>
      <c r="BU44" s="649">
        <f>IF(OR(B240&lt;&gt;0,C240&lt;&gt;0,D240&lt;&gt;0,E240&lt;&gt;0,G240&lt;&gt;0),1,0)</f>
        <v>0</v>
      </c>
      <c r="BV44" s="619">
        <f>$BU$12*(1.35*B$99+1.5*B$101+1.5*$E$80*B$100)</f>
        <v>0</v>
      </c>
      <c r="BW44" s="619">
        <f>$BU$12*(1.35*C$99+1.5*C$101+1.5*$E$80*C$100)</f>
        <v>0</v>
      </c>
      <c r="BX44" s="619">
        <f>$BU$12*(1.35*D$99+1.5*D$101+1.5*$E$80*D$100)</f>
        <v>0</v>
      </c>
      <c r="BY44" s="619">
        <f>$BU$12*(1.35*E$99+1.5*E$101+1.5*$E$80*E$100)</f>
        <v>0</v>
      </c>
      <c r="BZ44" s="619">
        <f>$BU$12*(1.35*G$99+1.5*G$101+1.5*$E$80*G$100)</f>
        <v>0</v>
      </c>
      <c r="CA44" s="833">
        <f>VLOOKUP($A$81,MKW!$A$50:$E$60,4,FALSE)</f>
        <v>0</v>
      </c>
      <c r="CB44" s="821" t="e">
        <f t="shared" ca="1" si="44"/>
        <v>#DIV/0!</v>
      </c>
      <c r="CC44" s="619" t="str">
        <f t="shared" si="45"/>
        <v>oben</v>
      </c>
      <c r="CD44" s="834" t="e">
        <f ca="1">IF(CC44=_oben,Berechnung_BZoben!$AQ$8,Berechnung_BZunten!$AQ$8)</f>
        <v>#DIV/0!</v>
      </c>
      <c r="CE44" s="834" t="e">
        <f ca="1">CD44*2/(3*(1+2*Eingabe!CA44*Eingabe!$D$76))</f>
        <v>#DIV/0!</v>
      </c>
      <c r="CF44" s="710" t="e">
        <f ca="1">IF($C$86=Sprachtexte!$A$87,
-CE44*$C$87^3*BW44/(12*CE44*$C$87+24*$CF$2)+BX44*$BY$1*$CA$1/(6*$CF$2)*(($BY$1-$C$87-2*$CA$1)/(6*$CF$2)-1/CE44-$CA$1/(CE44*$C$87))/(($C$87/(3*$CF$2)+1/CE44)^2-($C$87/(6*$CF$2))^2),
-CE44*$C$87^3*BW44/(8*CE44*$C$87+24*$CF$2)-CE44*$CA$1/$C$87*($C$87^2-$CA$1^2)*BX44/(2*CE44*$C$87+6*$CF$2))</f>
        <v>#DIV/0!</v>
      </c>
      <c r="CG44" s="710" t="e">
        <f t="shared" ca="1" si="72"/>
        <v>#DIV/0!</v>
      </c>
      <c r="CH44" s="835">
        <f t="shared" ca="1" si="46"/>
        <v>0</v>
      </c>
      <c r="CI44" s="821" t="e">
        <f t="shared" ca="1" si="47"/>
        <v>#DIV/0!</v>
      </c>
      <c r="CJ44" s="619" t="str">
        <f t="shared" si="48"/>
        <v>oben</v>
      </c>
      <c r="CK44" s="834" t="e">
        <f ca="1">IF(CJ44=_oben,Berechnung_BZoben!$AQ$8,Berechnung_BZunten!$AQ$8)</f>
        <v>#DIV/0!</v>
      </c>
      <c r="CL44" s="834" t="e">
        <f ca="1">CK44*2/(3*(1+2*Eingabe!CA44*Eingabe!$D$76))</f>
        <v>#DIV/0!</v>
      </c>
      <c r="CM44" s="710" t="e">
        <f ca="1">IF($C$86=Sprachtexte!$A$87,
-CL44*$C$87^3*BW44/(12*CE44*$C$87+24*$CF$2)+BX44*$CA$1*$BY$1/(6*$CF$2)*(($CA$1-$C$87-2*$BY$1)/(6*$CF$2)-1/CE44-$BY$1/(CE44*$C$87))/(($C$87/(3*$CF$2)+1/CE44)^2-($C$87/(6*$CF$2))^2),0)</f>
        <v>#DIV/0!</v>
      </c>
      <c r="CN44" s="710" t="e">
        <f t="shared" ca="1" si="49"/>
        <v>#DIV/0!</v>
      </c>
      <c r="CO44" s="835">
        <f t="shared" ca="1" si="50"/>
        <v>0</v>
      </c>
      <c r="CP44" s="849">
        <f t="shared" si="73"/>
        <v>0</v>
      </c>
      <c r="CQ44" s="710" t="e">
        <f t="shared" ca="1" si="51"/>
        <v>#DIV/0!</v>
      </c>
      <c r="CR44" s="710" t="e">
        <f t="shared" ca="1" si="52"/>
        <v>#DIV/0!</v>
      </c>
      <c r="CS44" s="710">
        <f t="shared" si="74"/>
        <v>0</v>
      </c>
      <c r="CT44" s="710" t="e">
        <f t="shared" ca="1" si="53"/>
        <v>#DIV/0!</v>
      </c>
      <c r="CU44" s="710">
        <f t="shared" si="75"/>
        <v>0</v>
      </c>
      <c r="CV44" s="833">
        <f>MAX($C$79,$C$81,$C$80)</f>
        <v>0.9</v>
      </c>
      <c r="CW44" s="821" t="e">
        <f ca="1">MIN(Ausgabe!$C$173,Ausgabe!$C$186)</f>
        <v>#DIV/0!</v>
      </c>
      <c r="CX44" s="710">
        <f>Ausgabe!$C$187</f>
        <v>1.3</v>
      </c>
      <c r="CY44" s="619">
        <f>Ausgabe!$C$191</f>
        <v>100</v>
      </c>
      <c r="CZ44" s="710">
        <f>Ausgabe!$C$192</f>
        <v>1.25</v>
      </c>
      <c r="DA44" s="619">
        <f>Ausgabe!$C$194</f>
        <v>36.6</v>
      </c>
      <c r="DB44" s="710">
        <f>Ausgabe!$C$195</f>
        <v>1.25</v>
      </c>
      <c r="DC44" s="619" t="e">
        <f t="shared" ca="1" si="54"/>
        <v>#DIV/0!</v>
      </c>
      <c r="DD44" s="619">
        <f t="shared" si="76"/>
        <v>0</v>
      </c>
      <c r="DE44" s="710" t="e">
        <f t="shared" ca="1" si="55"/>
        <v>#DIV/0!</v>
      </c>
      <c r="DF44" s="821">
        <f ca="1">MIN(Ausgabe!$C$221,Ausgabe!$C$239)</f>
        <v>92.436470366395326</v>
      </c>
      <c r="DG44" s="710">
        <f>Ausgabe!$C$240</f>
        <v>1.3</v>
      </c>
      <c r="DH44" s="619">
        <f>Ausgabe!$C$246</f>
        <v>150.4</v>
      </c>
      <c r="DI44" s="710">
        <f>Ausgabe!$C$247</f>
        <v>1.1000000000000001</v>
      </c>
      <c r="DJ44" s="619">
        <f>Ausgabe!$C$254</f>
        <v>176.4</v>
      </c>
      <c r="DK44" s="710">
        <f>Ausgabe!$C$255</f>
        <v>1.25</v>
      </c>
      <c r="DL44" s="619">
        <f>Ausgabe!$C$263</f>
        <v>180.95573684677208</v>
      </c>
      <c r="DM44" s="710">
        <f>Ausgabe!$C$264</f>
        <v>1.1000000000000001</v>
      </c>
      <c r="DN44" s="619">
        <f t="shared" ca="1" si="56"/>
        <v>63.994479484427536</v>
      </c>
      <c r="DO44" s="619" t="e">
        <f t="shared" ca="1" si="57"/>
        <v>#DIV/0!</v>
      </c>
      <c r="DP44" s="833" t="e">
        <f t="shared" ca="1" si="58"/>
        <v>#DIV/0!</v>
      </c>
      <c r="DQ44" s="821" t="e">
        <f ca="1">Ausgabe!$C$369</f>
        <v>#DIV/0!</v>
      </c>
      <c r="DR44" s="710">
        <f>Ausgabe!$C$370</f>
        <v>1.3</v>
      </c>
      <c r="DS44" s="619" t="e">
        <f t="shared" ca="1" si="59"/>
        <v>#DIV/0!</v>
      </c>
      <c r="DT44" s="619" t="e">
        <f t="shared" ca="1" si="60"/>
        <v>#DIV/0!</v>
      </c>
      <c r="DU44" s="833" t="e">
        <f t="shared" ca="1" si="61"/>
        <v>#DIV/0!</v>
      </c>
      <c r="DV44" s="821">
        <f ca="1">Ausgabe!$C$420</f>
        <v>33.607770254588836</v>
      </c>
      <c r="DW44" s="710">
        <f>Ausgabe!$C$421</f>
        <v>1.3</v>
      </c>
      <c r="DX44" s="619">
        <f>Ausgabe!$C$423</f>
        <v>36.9</v>
      </c>
      <c r="DY44" s="710">
        <f>Ausgabe!$C$424</f>
        <v>1.1000000000000001</v>
      </c>
      <c r="DZ44" s="619">
        <f t="shared" ca="1" si="62"/>
        <v>23.266917868561499</v>
      </c>
      <c r="EA44" s="619">
        <f t="shared" si="77"/>
        <v>0</v>
      </c>
      <c r="EB44" s="833">
        <f t="shared" ca="1" si="63"/>
        <v>0</v>
      </c>
      <c r="EC44" s="710">
        <f ca="1">IF(CJ44=_oben,Berechnung_BZoben!$AN$5,Berechnung_BZunten!$AN$5)</f>
        <v>4.8472430481713564</v>
      </c>
      <c r="ED44" s="710">
        <f>Ausgabe!$C$520</f>
        <v>1.3</v>
      </c>
      <c r="EE44" s="710">
        <f t="shared" ca="1" si="64"/>
        <v>3.3557836487340156</v>
      </c>
      <c r="EF44" s="710" t="e">
        <f t="shared" ca="1" si="65"/>
        <v>#DIV/0!</v>
      </c>
      <c r="EG44" s="833" t="e">
        <f ca="1">ABS(EF44)/EE44</f>
        <v>#DIV/0!</v>
      </c>
      <c r="EH44" s="710">
        <f>Ausgabe!$C$592</f>
        <v>2.7</v>
      </c>
      <c r="EI44" s="710">
        <f>Ausgabe!$C$593</f>
        <v>1.3</v>
      </c>
      <c r="EJ44" s="710">
        <f t="shared" si="78"/>
        <v>1.8692307692307693</v>
      </c>
      <c r="EK44" s="710">
        <f t="shared" si="79"/>
        <v>0</v>
      </c>
      <c r="EL44" s="833">
        <f t="shared" si="80"/>
        <v>0</v>
      </c>
      <c r="EM44" s="821">
        <f ca="1">Ausgabe!$C$581</f>
        <v>0</v>
      </c>
      <c r="EN44" s="710" t="e">
        <f t="shared" ca="1" si="67"/>
        <v>#DIV/0!</v>
      </c>
      <c r="EO44" s="710" t="e">
        <f t="shared" ca="1" si="68"/>
        <v>#DIV/0!</v>
      </c>
      <c r="EP44" s="710" t="e">
        <f t="shared" ca="1" si="69"/>
        <v>#DIV/0!</v>
      </c>
      <c r="EQ44" s="833" t="e">
        <f t="shared" ca="1" si="70"/>
        <v>#DIV/0!</v>
      </c>
      <c r="ER44" s="889" t="e">
        <f t="shared" ca="1" si="71"/>
        <v>#DIV/0!</v>
      </c>
      <c r="FE44" s="499"/>
      <c r="FF44" s="859"/>
      <c r="FG44" s="569"/>
      <c r="FH44" s="1223"/>
    </row>
    <row r="45" spans="1:167">
      <c r="A45" s="1536"/>
      <c r="B45" s="1536"/>
      <c r="C45" s="717"/>
      <c r="D45" s="1536"/>
      <c r="E45" s="1536"/>
      <c r="F45" s="1536"/>
      <c r="G45" s="1536"/>
      <c r="H45" s="508"/>
      <c r="O45" s="649"/>
      <c r="P45" s="649"/>
      <c r="Q45" s="649"/>
      <c r="R45" s="649"/>
      <c r="AT45" s="500"/>
      <c r="AU45" s="500"/>
      <c r="AV45" s="500"/>
      <c r="BL45" s="712" t="str">
        <f>Sprachtexte!A87</f>
        <v>beidseitig</v>
      </c>
      <c r="BM45" s="600" t="e" vm="12">
        <v>#VALUE!</v>
      </c>
      <c r="BR45" s="1205" t="e">
        <f t="shared" ca="1" si="43"/>
        <v>#DIV/0!</v>
      </c>
      <c r="BS45" s="1205" t="s">
        <v>1025</v>
      </c>
      <c r="BT45" s="571" t="s">
        <v>977</v>
      </c>
      <c r="BU45" s="649">
        <f>IF(OR(B240&lt;&gt;0,C240&lt;&gt;0,D240&lt;&gt;0,E240&lt;&gt;0,G240&lt;&gt;0),1,0)</f>
        <v>0</v>
      </c>
      <c r="BV45" s="619">
        <f>$BU$13*(1.35*B$99+1.5*B$101+1.5*$E$82*B$102)</f>
        <v>0</v>
      </c>
      <c r="BW45" s="619">
        <f>$BU$13*(1.35*C$99+1.5*C$101+1.5*$E$82*C$102)</f>
        <v>0</v>
      </c>
      <c r="BX45" s="619">
        <f>$BU$13*(1.35*D$99+1.5*D$101+1.5*$E$82*D$102)</f>
        <v>0</v>
      </c>
      <c r="BY45" s="619">
        <f>$BU$13*(1.35*E$99+1.5*E$101+1.5*$E$82*E$102)</f>
        <v>0</v>
      </c>
      <c r="BZ45" s="619">
        <f>$BU$13*(1.35*G$99+1.5*G$101+1.5*$E$82*G$102)</f>
        <v>0</v>
      </c>
      <c r="CA45" s="833">
        <f>VLOOKUP($A$81,MKW!$A$50:$E$60,4,FALSE)</f>
        <v>0</v>
      </c>
      <c r="CB45" s="821" t="e">
        <f t="shared" ca="1" si="44"/>
        <v>#DIV/0!</v>
      </c>
      <c r="CC45" s="619" t="str">
        <f t="shared" si="45"/>
        <v>oben</v>
      </c>
      <c r="CD45" s="834" t="e">
        <f ca="1">IF(CC45=_oben,Berechnung_BZoben!$AQ$8,Berechnung_BZunten!$AQ$8)</f>
        <v>#DIV/0!</v>
      </c>
      <c r="CE45" s="834" t="e">
        <f ca="1">CD45*2/(3*(1+2*Eingabe!CA45*Eingabe!$D$76))</f>
        <v>#DIV/0!</v>
      </c>
      <c r="CF45" s="710" t="e">
        <f ca="1">IF($C$86=Sprachtexte!$A$87,
-CE45*$C$87^3*BW45/(12*CE45*$C$87+24*$CF$2)+BX45*$BY$1*$CA$1/(6*$CF$2)*(($BY$1-$C$87-2*$CA$1)/(6*$CF$2)-1/CE45-$CA$1/(CE45*$C$87))/(($C$87/(3*$CF$2)+1/CE45)^2-($C$87/(6*$CF$2))^2),
-CE45*$C$87^3*BW45/(8*CE45*$C$87+24*$CF$2)-CE45*$CA$1/$C$87*($C$87^2-$CA$1^2)*BX45/(2*CE45*$C$87+6*$CF$2))</f>
        <v>#DIV/0!</v>
      </c>
      <c r="CG45" s="710" t="e">
        <f t="shared" ca="1" si="72"/>
        <v>#DIV/0!</v>
      </c>
      <c r="CH45" s="835">
        <f t="shared" ca="1" si="46"/>
        <v>0</v>
      </c>
      <c r="CI45" s="821" t="e">
        <f t="shared" ca="1" si="47"/>
        <v>#DIV/0!</v>
      </c>
      <c r="CJ45" s="619" t="str">
        <f t="shared" si="48"/>
        <v>oben</v>
      </c>
      <c r="CK45" s="834" t="e">
        <f ca="1">IF(CJ45=_oben,Berechnung_BZoben!$AQ$8,Berechnung_BZunten!$AQ$8)</f>
        <v>#DIV/0!</v>
      </c>
      <c r="CL45" s="834" t="e">
        <f ca="1">CK45*2/(3*(1+2*Eingabe!CA45*Eingabe!$D$76))</f>
        <v>#DIV/0!</v>
      </c>
      <c r="CM45" s="710" t="e">
        <f ca="1">IF($C$86=Sprachtexte!$A$87,
-CL45*$C$87^3*BW45/(12*CE45*$C$87+24*$CF$2)+BX45*$CA$1*$BY$1/(6*$CF$2)*(($CA$1-$C$87-2*$BY$1)/(6*$CF$2)-1/CE45-$BY$1/(CE45*$C$87))/(($C$87/(3*$CF$2)+1/CE45)^2-($C$87/(6*$CF$2))^2),0)</f>
        <v>#DIV/0!</v>
      </c>
      <c r="CN45" s="710" t="e">
        <f t="shared" ca="1" si="49"/>
        <v>#DIV/0!</v>
      </c>
      <c r="CO45" s="835">
        <f t="shared" ca="1" si="50"/>
        <v>0</v>
      </c>
      <c r="CP45" s="849">
        <f t="shared" si="73"/>
        <v>0</v>
      </c>
      <c r="CQ45" s="710" t="e">
        <f t="shared" ca="1" si="51"/>
        <v>#DIV/0!</v>
      </c>
      <c r="CR45" s="710" t="e">
        <f t="shared" ca="1" si="52"/>
        <v>#DIV/0!</v>
      </c>
      <c r="CS45" s="710">
        <f t="shared" si="74"/>
        <v>0</v>
      </c>
      <c r="CT45" s="710" t="e">
        <f t="shared" ca="1" si="53"/>
        <v>#DIV/0!</v>
      </c>
      <c r="CU45" s="710">
        <f t="shared" si="75"/>
        <v>0</v>
      </c>
      <c r="CV45" s="833">
        <f>MAX($C$79,$C$81,$C$82)</f>
        <v>1</v>
      </c>
      <c r="CW45" s="821" t="e">
        <f ca="1">MIN(Ausgabe!$C$173,Ausgabe!$C$186)</f>
        <v>#DIV/0!</v>
      </c>
      <c r="CX45" s="710">
        <f>Ausgabe!$C$187</f>
        <v>1.3</v>
      </c>
      <c r="CY45" s="619">
        <f>Ausgabe!$C$191</f>
        <v>100</v>
      </c>
      <c r="CZ45" s="710">
        <f>Ausgabe!$C$192</f>
        <v>1.25</v>
      </c>
      <c r="DA45" s="619">
        <f>Ausgabe!$C$194</f>
        <v>36.6</v>
      </c>
      <c r="DB45" s="710">
        <f>Ausgabe!$C$195</f>
        <v>1.25</v>
      </c>
      <c r="DC45" s="619" t="e">
        <f t="shared" ca="1" si="54"/>
        <v>#DIV/0!</v>
      </c>
      <c r="DD45" s="619">
        <f t="shared" si="76"/>
        <v>0</v>
      </c>
      <c r="DE45" s="710" t="e">
        <f t="shared" ca="1" si="55"/>
        <v>#DIV/0!</v>
      </c>
      <c r="DF45" s="821">
        <f ca="1">MIN(Ausgabe!$C$221,Ausgabe!$C$239)</f>
        <v>92.436470366395326</v>
      </c>
      <c r="DG45" s="710">
        <f>Ausgabe!$C$240</f>
        <v>1.3</v>
      </c>
      <c r="DH45" s="619">
        <f>Ausgabe!$C$246</f>
        <v>150.4</v>
      </c>
      <c r="DI45" s="710">
        <f>Ausgabe!$C$247</f>
        <v>1.1000000000000001</v>
      </c>
      <c r="DJ45" s="619">
        <f>Ausgabe!$C$254</f>
        <v>176.4</v>
      </c>
      <c r="DK45" s="710">
        <f>Ausgabe!$C$255</f>
        <v>1.25</v>
      </c>
      <c r="DL45" s="619">
        <f>Ausgabe!$C$263</f>
        <v>180.95573684677208</v>
      </c>
      <c r="DM45" s="710">
        <f>Ausgabe!$C$264</f>
        <v>1.1000000000000001</v>
      </c>
      <c r="DN45" s="619">
        <f t="shared" ca="1" si="56"/>
        <v>71.104977204919479</v>
      </c>
      <c r="DO45" s="619" t="e">
        <f t="shared" ca="1" si="57"/>
        <v>#DIV/0!</v>
      </c>
      <c r="DP45" s="833" t="e">
        <f t="shared" ca="1" si="58"/>
        <v>#DIV/0!</v>
      </c>
      <c r="DQ45" s="821" t="e">
        <f ca="1">Ausgabe!$C$369</f>
        <v>#DIV/0!</v>
      </c>
      <c r="DR45" s="710">
        <f>Ausgabe!$C$370</f>
        <v>1.3</v>
      </c>
      <c r="DS45" s="619" t="e">
        <f t="shared" ca="1" si="59"/>
        <v>#DIV/0!</v>
      </c>
      <c r="DT45" s="619" t="e">
        <f t="shared" ca="1" si="60"/>
        <v>#DIV/0!</v>
      </c>
      <c r="DU45" s="833" t="e">
        <f t="shared" ca="1" si="61"/>
        <v>#DIV/0!</v>
      </c>
      <c r="DV45" s="821">
        <f ca="1">Ausgabe!$C$420</f>
        <v>33.607770254588836</v>
      </c>
      <c r="DW45" s="710">
        <f>Ausgabe!$C$421</f>
        <v>1.3</v>
      </c>
      <c r="DX45" s="619">
        <f>Ausgabe!$C$423</f>
        <v>36.9</v>
      </c>
      <c r="DY45" s="710">
        <f>Ausgabe!$C$424</f>
        <v>1.1000000000000001</v>
      </c>
      <c r="DZ45" s="619">
        <f t="shared" ca="1" si="62"/>
        <v>25.852130965068334</v>
      </c>
      <c r="EA45" s="619">
        <f t="shared" si="77"/>
        <v>0</v>
      </c>
      <c r="EB45" s="833">
        <f t="shared" ca="1" si="63"/>
        <v>0</v>
      </c>
      <c r="EC45" s="710">
        <f ca="1">IF(CJ45=_oben,Berechnung_BZoben!$AN$5,Berechnung_BZunten!$AN$5)</f>
        <v>4.8472430481713564</v>
      </c>
      <c r="ED45" s="710">
        <f>Ausgabe!$C$520</f>
        <v>1.3</v>
      </c>
      <c r="EE45" s="710">
        <f t="shared" ca="1" si="64"/>
        <v>3.7286484985933508</v>
      </c>
      <c r="EF45" s="710" t="e">
        <f t="shared" ca="1" si="65"/>
        <v>#DIV/0!</v>
      </c>
      <c r="EG45" s="833" t="e">
        <f t="shared" ca="1" si="66"/>
        <v>#DIV/0!</v>
      </c>
      <c r="EH45" s="710">
        <f>Ausgabe!$C$592</f>
        <v>2.7</v>
      </c>
      <c r="EI45" s="710">
        <f>Ausgabe!$C$593</f>
        <v>1.3</v>
      </c>
      <c r="EJ45" s="710">
        <f t="shared" si="78"/>
        <v>2.0769230769230771</v>
      </c>
      <c r="EK45" s="710">
        <f t="shared" si="79"/>
        <v>0</v>
      </c>
      <c r="EL45" s="833">
        <f t="shared" si="80"/>
        <v>0</v>
      </c>
      <c r="EM45" s="821">
        <f ca="1">Ausgabe!$C$581</f>
        <v>0</v>
      </c>
      <c r="EN45" s="710" t="e">
        <f t="shared" ca="1" si="67"/>
        <v>#DIV/0!</v>
      </c>
      <c r="EO45" s="710" t="e">
        <f t="shared" ca="1" si="68"/>
        <v>#DIV/0!</v>
      </c>
      <c r="EP45" s="710" t="e">
        <f t="shared" ca="1" si="69"/>
        <v>#DIV/0!</v>
      </c>
      <c r="EQ45" s="833" t="e">
        <f t="shared" ca="1" si="70"/>
        <v>#DIV/0!</v>
      </c>
      <c r="ER45" s="889" t="e">
        <f t="shared" ca="1" si="71"/>
        <v>#DIV/0!</v>
      </c>
    </row>
    <row r="46" spans="1:167">
      <c r="A46" s="1536"/>
      <c r="B46" s="1536"/>
      <c r="C46" s="717"/>
      <c r="D46" s="1536"/>
      <c r="E46" s="1536"/>
      <c r="F46" s="1536"/>
      <c r="G46" s="1536"/>
      <c r="H46" s="508"/>
      <c r="O46" s="649"/>
      <c r="P46" s="649"/>
      <c r="Q46" s="649"/>
      <c r="R46" s="649"/>
      <c r="AT46" s="500"/>
      <c r="AU46" s="500"/>
      <c r="AV46" s="500"/>
      <c r="BR46" s="1205" t="e">
        <f t="shared" ca="1" si="43"/>
        <v>#DIV/0!</v>
      </c>
      <c r="BS46" s="1205" t="s">
        <v>1026</v>
      </c>
      <c r="BT46" s="571" t="s">
        <v>978</v>
      </c>
      <c r="BU46" s="649">
        <f>IF(OR(B241&lt;&gt;0,C241&lt;&gt;0,D241&lt;&gt;0,E241&lt;&gt;0,G241&lt;&gt;0),1,0)</f>
        <v>0</v>
      </c>
      <c r="BV46" s="619">
        <f>$BU$14*(1.35*B$99+1.5*B$102+1.5*$E$80*B$100)</f>
        <v>0</v>
      </c>
      <c r="BW46" s="619">
        <f>$BU$14*(1.35*C$99+1.5*C$102+1.5*$E$80*C$100)</f>
        <v>0</v>
      </c>
      <c r="BX46" s="619">
        <f>$BU$14*(1.35*D$99+1.5*D$102+1.5*$E$80*D$100)</f>
        <v>0</v>
      </c>
      <c r="BY46" s="619">
        <f>$BU$14*(1.35*E$99+1.5*E$102+1.5*$E$80*E$100)</f>
        <v>0</v>
      </c>
      <c r="BZ46" s="619">
        <f>$BU$14*(1.35*G$99+1.5*G$102+1.5*$E$80*G$100)</f>
        <v>0</v>
      </c>
      <c r="CA46" s="833">
        <f>VLOOKUP($A$82,MKW!$A$50:$E$60,4,FALSE)</f>
        <v>0</v>
      </c>
      <c r="CB46" s="821" t="e">
        <f t="shared" ca="1" si="44"/>
        <v>#DIV/0!</v>
      </c>
      <c r="CC46" s="619" t="str">
        <f t="shared" si="45"/>
        <v>oben</v>
      </c>
      <c r="CD46" s="834" t="e">
        <f ca="1">IF(CC46=_oben,Berechnung_BZoben!$AQ$8,Berechnung_BZunten!$AQ$8)</f>
        <v>#DIV/0!</v>
      </c>
      <c r="CE46" s="834" t="e">
        <f ca="1">CD46*2/(3*(1+2*Eingabe!CA46*Eingabe!$D$76))</f>
        <v>#DIV/0!</v>
      </c>
      <c r="CF46" s="710" t="e">
        <f ca="1">IF($C$86=Sprachtexte!$A$87,
-CE46*$C$87^3*BW46/(12*CE46*$C$87+24*$CF$2)+BX46*$BY$1*$CA$1/(6*$CF$2)*(($BY$1-$C$87-2*$CA$1)/(6*$CF$2)-1/CE46-$CA$1/(CE46*$C$87))/(($C$87/(3*$CF$2)+1/CE46)^2-($C$87/(6*$CF$2))^2),
-CE46*$C$87^3*BW46/(8*CE46*$C$87+24*$CF$2)-CE46*$CA$1/$C$87*($C$87^2-$CA$1^2)*BX46/(2*CE46*$C$87+6*$CF$2))</f>
        <v>#DIV/0!</v>
      </c>
      <c r="CG46" s="710" t="e">
        <f t="shared" ca="1" si="72"/>
        <v>#DIV/0!</v>
      </c>
      <c r="CH46" s="835">
        <f t="shared" ca="1" si="46"/>
        <v>0</v>
      </c>
      <c r="CI46" s="821" t="e">
        <f t="shared" ca="1" si="47"/>
        <v>#DIV/0!</v>
      </c>
      <c r="CJ46" s="619" t="str">
        <f t="shared" si="48"/>
        <v>oben</v>
      </c>
      <c r="CK46" s="834" t="e">
        <f ca="1">IF(CJ46=_oben,Berechnung_BZoben!$AQ$8,Berechnung_BZunten!$AQ$8)</f>
        <v>#DIV/0!</v>
      </c>
      <c r="CL46" s="834" t="e">
        <f ca="1">CK46*2/(3*(1+2*Eingabe!CA46*Eingabe!$D$76))</f>
        <v>#DIV/0!</v>
      </c>
      <c r="CM46" s="710" t="e">
        <f ca="1">IF($C$86=Sprachtexte!$A$87,
-CL46*$C$87^3*BW46/(12*CE46*$C$87+24*$CF$2)+BX46*$CA$1*$BY$1/(6*$CF$2)*(($CA$1-$C$87-2*$BY$1)/(6*$CF$2)-1/CE46-$BY$1/(CE46*$C$87))/(($C$87/(3*$CF$2)+1/CE46)^2-($C$87/(6*$CF$2))^2),0)</f>
        <v>#DIV/0!</v>
      </c>
      <c r="CN46" s="710" t="e">
        <f t="shared" ca="1" si="49"/>
        <v>#DIV/0!</v>
      </c>
      <c r="CO46" s="835">
        <f t="shared" ca="1" si="50"/>
        <v>0</v>
      </c>
      <c r="CP46" s="849">
        <f t="shared" si="73"/>
        <v>0</v>
      </c>
      <c r="CQ46" s="710" t="e">
        <f t="shared" ca="1" si="51"/>
        <v>#DIV/0!</v>
      </c>
      <c r="CR46" s="710" t="e">
        <f t="shared" ca="1" si="52"/>
        <v>#DIV/0!</v>
      </c>
      <c r="CS46" s="710">
        <f t="shared" si="74"/>
        <v>0</v>
      </c>
      <c r="CT46" s="710" t="e">
        <f t="shared" ca="1" si="53"/>
        <v>#DIV/0!</v>
      </c>
      <c r="CU46" s="710">
        <f t="shared" si="75"/>
        <v>0</v>
      </c>
      <c r="CV46" s="833">
        <f>MAX($C$79,$C$82,$C$80)</f>
        <v>1</v>
      </c>
      <c r="CW46" s="821" t="e">
        <f ca="1">MIN(Ausgabe!$C$173,Ausgabe!$C$186)</f>
        <v>#DIV/0!</v>
      </c>
      <c r="CX46" s="710">
        <f>Ausgabe!$C$187</f>
        <v>1.3</v>
      </c>
      <c r="CY46" s="619">
        <f>Ausgabe!$C$191</f>
        <v>100</v>
      </c>
      <c r="CZ46" s="710">
        <f>Ausgabe!$C$192</f>
        <v>1.25</v>
      </c>
      <c r="DA46" s="619">
        <f>Ausgabe!$C$194</f>
        <v>36.6</v>
      </c>
      <c r="DB46" s="710">
        <f>Ausgabe!$C$195</f>
        <v>1.25</v>
      </c>
      <c r="DC46" s="619" t="e">
        <f t="shared" ca="1" si="54"/>
        <v>#DIV/0!</v>
      </c>
      <c r="DD46" s="619">
        <f t="shared" si="76"/>
        <v>0</v>
      </c>
      <c r="DE46" s="710" t="e">
        <f t="shared" ca="1" si="55"/>
        <v>#DIV/0!</v>
      </c>
      <c r="DF46" s="821">
        <f ca="1">MIN(Ausgabe!$C$221,Ausgabe!$C$239)</f>
        <v>92.436470366395326</v>
      </c>
      <c r="DG46" s="710">
        <f>Ausgabe!$C$240</f>
        <v>1.3</v>
      </c>
      <c r="DH46" s="619">
        <f>Ausgabe!$C$246</f>
        <v>150.4</v>
      </c>
      <c r="DI46" s="710">
        <f>Ausgabe!$C$247</f>
        <v>1.1000000000000001</v>
      </c>
      <c r="DJ46" s="619">
        <f>Ausgabe!$C$254</f>
        <v>176.4</v>
      </c>
      <c r="DK46" s="710">
        <f>Ausgabe!$C$255</f>
        <v>1.25</v>
      </c>
      <c r="DL46" s="619">
        <f>Ausgabe!$C$263</f>
        <v>180.95573684677208</v>
      </c>
      <c r="DM46" s="710">
        <f>Ausgabe!$C$264</f>
        <v>1.1000000000000001</v>
      </c>
      <c r="DN46" s="619">
        <f t="shared" ca="1" si="56"/>
        <v>71.104977204919479</v>
      </c>
      <c r="DO46" s="619" t="e">
        <f t="shared" ca="1" si="57"/>
        <v>#DIV/0!</v>
      </c>
      <c r="DP46" s="833" t="e">
        <f t="shared" ca="1" si="58"/>
        <v>#DIV/0!</v>
      </c>
      <c r="DQ46" s="821" t="e">
        <f ca="1">Ausgabe!$C$369</f>
        <v>#DIV/0!</v>
      </c>
      <c r="DR46" s="710">
        <f>Ausgabe!$C$370</f>
        <v>1.3</v>
      </c>
      <c r="DS46" s="619" t="e">
        <f t="shared" ca="1" si="59"/>
        <v>#DIV/0!</v>
      </c>
      <c r="DT46" s="619" t="e">
        <f t="shared" ca="1" si="60"/>
        <v>#DIV/0!</v>
      </c>
      <c r="DU46" s="833" t="e">
        <f t="shared" ca="1" si="61"/>
        <v>#DIV/0!</v>
      </c>
      <c r="DV46" s="821">
        <f ca="1">Ausgabe!$C$420</f>
        <v>33.607770254588836</v>
      </c>
      <c r="DW46" s="710">
        <f>Ausgabe!$C$421</f>
        <v>1.3</v>
      </c>
      <c r="DX46" s="619">
        <f>Ausgabe!$C$423</f>
        <v>36.9</v>
      </c>
      <c r="DY46" s="710">
        <f>Ausgabe!$C$424</f>
        <v>1.1000000000000001</v>
      </c>
      <c r="DZ46" s="619">
        <f t="shared" ca="1" si="62"/>
        <v>25.852130965068334</v>
      </c>
      <c r="EA46" s="619">
        <f t="shared" si="77"/>
        <v>0</v>
      </c>
      <c r="EB46" s="833">
        <f t="shared" ca="1" si="63"/>
        <v>0</v>
      </c>
      <c r="EC46" s="710">
        <f ca="1">IF(CJ46=_oben,Berechnung_BZoben!$AN$5,Berechnung_BZunten!$AN$5)</f>
        <v>4.8472430481713564</v>
      </c>
      <c r="ED46" s="710">
        <f>Ausgabe!$C$520</f>
        <v>1.3</v>
      </c>
      <c r="EE46" s="710">
        <f t="shared" ca="1" si="64"/>
        <v>3.7286484985933508</v>
      </c>
      <c r="EF46" s="710" t="e">
        <f t="shared" ca="1" si="65"/>
        <v>#DIV/0!</v>
      </c>
      <c r="EG46" s="833" t="e">
        <f t="shared" ca="1" si="66"/>
        <v>#DIV/0!</v>
      </c>
      <c r="EH46" s="710">
        <f>Ausgabe!$C$592</f>
        <v>2.7</v>
      </c>
      <c r="EI46" s="710">
        <f>Ausgabe!$C$593</f>
        <v>1.3</v>
      </c>
      <c r="EJ46" s="710">
        <f t="shared" si="78"/>
        <v>2.0769230769230771</v>
      </c>
      <c r="EK46" s="710">
        <f t="shared" si="79"/>
        <v>0</v>
      </c>
      <c r="EL46" s="833">
        <f t="shared" si="80"/>
        <v>0</v>
      </c>
      <c r="EM46" s="821">
        <f ca="1">Ausgabe!$C$581</f>
        <v>0</v>
      </c>
      <c r="EN46" s="710" t="e">
        <f t="shared" ca="1" si="67"/>
        <v>#DIV/0!</v>
      </c>
      <c r="EO46" s="710" t="e">
        <f t="shared" ca="1" si="68"/>
        <v>#DIV/0!</v>
      </c>
      <c r="EP46" s="710" t="e">
        <f t="shared" ca="1" si="69"/>
        <v>#DIV/0!</v>
      </c>
      <c r="EQ46" s="833" t="e">
        <f t="shared" ca="1" si="70"/>
        <v>#DIV/0!</v>
      </c>
      <c r="ER46" s="889" t="e">
        <f t="shared" ca="1" si="71"/>
        <v>#DIV/0!</v>
      </c>
    </row>
    <row r="47" spans="1:167">
      <c r="A47" s="1536"/>
      <c r="B47" s="1536"/>
      <c r="C47" s="717"/>
      <c r="D47" s="1536"/>
      <c r="E47" s="1536"/>
      <c r="F47" s="1536"/>
      <c r="G47" s="1536"/>
      <c r="H47" s="508"/>
      <c r="O47" s="649"/>
      <c r="P47" s="649"/>
      <c r="Q47" s="649"/>
      <c r="R47" s="649"/>
      <c r="AT47" s="500"/>
      <c r="AU47" s="500"/>
      <c r="AV47" s="500"/>
      <c r="BL47" s="711" t="s">
        <v>2372</v>
      </c>
      <c r="BM47" s="714" t="s">
        <v>742</v>
      </c>
      <c r="BR47" s="1205" t="e">
        <f t="shared" ca="1" si="43"/>
        <v>#DIV/0!</v>
      </c>
      <c r="BS47" s="1205" t="s">
        <v>1027</v>
      </c>
      <c r="BT47" s="571" t="s">
        <v>979</v>
      </c>
      <c r="BU47" s="649">
        <f>IF(OR(B241&lt;&gt;0,C241&lt;&gt;0,D241&lt;&gt;0,E241&lt;&gt;0,G241&lt;&gt;0),1,0)</f>
        <v>0</v>
      </c>
      <c r="BV47" s="619">
        <f>$BU$15*(1.35*B$99+1.5*B$102+1.5*$E$81*B$101)</f>
        <v>0</v>
      </c>
      <c r="BW47" s="619">
        <f>$BU$15*(1.35*C$99+1.5*C$102+1.5*$E$81*C$101)</f>
        <v>0</v>
      </c>
      <c r="BX47" s="619">
        <f>$BU$15*(1.35*D$99+1.5*D$102+1.5*$E$81*D$101)</f>
        <v>0</v>
      </c>
      <c r="BY47" s="619">
        <f>$BU$15*(1.35*E$99+1.5*E$102+1.5*$E$81*E$101)</f>
        <v>0</v>
      </c>
      <c r="BZ47" s="619">
        <f>$BU$15*(1.35*G$99+1.5*G$102+1.5*$E$81*G$101)</f>
        <v>0</v>
      </c>
      <c r="CA47" s="833">
        <f>VLOOKUP($A$82,MKW!$A$50:$E$60,4,FALSE)</f>
        <v>0</v>
      </c>
      <c r="CB47" s="821" t="e">
        <f t="shared" ca="1" si="44"/>
        <v>#DIV/0!</v>
      </c>
      <c r="CC47" s="619" t="str">
        <f t="shared" si="45"/>
        <v>oben</v>
      </c>
      <c r="CD47" s="834" t="e">
        <f ca="1">IF(CC47=_oben,Berechnung_BZoben!$AQ$8,Berechnung_BZunten!$AQ$8)</f>
        <v>#DIV/0!</v>
      </c>
      <c r="CE47" s="834" t="e">
        <f ca="1">CD47*2/(3*(1+2*Eingabe!CA47*Eingabe!$D$76))</f>
        <v>#DIV/0!</v>
      </c>
      <c r="CF47" s="710" t="e">
        <f ca="1">IF($C$86=Sprachtexte!$A$87,
-CE47*$C$87^3*BW47/(12*CE47*$C$87+24*$CF$2)+BX47*$BY$1*$CA$1/(6*$CF$2)*(($BY$1-$C$87-2*$CA$1)/(6*$CF$2)-1/CE47-$CA$1/(CE47*$C$87))/(($C$87/(3*$CF$2)+1/CE47)^2-($C$87/(6*$CF$2))^2),
-CE47*$C$87^3*BW47/(8*CE47*$C$87+24*$CF$2)-CE47*$CA$1/$C$87*($C$87^2-$CA$1^2)*BX47/(2*CE47*$C$87+6*$CF$2))</f>
        <v>#DIV/0!</v>
      </c>
      <c r="CG47" s="710" t="e">
        <f t="shared" ca="1" si="72"/>
        <v>#DIV/0!</v>
      </c>
      <c r="CH47" s="835">
        <f t="shared" ca="1" si="46"/>
        <v>0</v>
      </c>
      <c r="CI47" s="821" t="e">
        <f t="shared" ca="1" si="47"/>
        <v>#DIV/0!</v>
      </c>
      <c r="CJ47" s="619" t="str">
        <f t="shared" si="48"/>
        <v>oben</v>
      </c>
      <c r="CK47" s="834" t="e">
        <f ca="1">IF(CJ47=_oben,Berechnung_BZoben!$AQ$8,Berechnung_BZunten!$AQ$8)</f>
        <v>#DIV/0!</v>
      </c>
      <c r="CL47" s="834" t="e">
        <f ca="1">CK47*2/(3*(1+2*Eingabe!CA47*Eingabe!$D$76))</f>
        <v>#DIV/0!</v>
      </c>
      <c r="CM47" s="710" t="e">
        <f ca="1">IF($C$86=Sprachtexte!$A$87,
-CL47*$C$87^3*BW47/(12*CE47*$C$87+24*$CF$2)+BX47*$CA$1*$BY$1/(6*$CF$2)*(($CA$1-$C$87-2*$BY$1)/(6*$CF$2)-1/CE47-$BY$1/(CE47*$C$87))/(($C$87/(3*$CF$2)+1/CE47)^2-($C$87/(6*$CF$2))^2),0)</f>
        <v>#DIV/0!</v>
      </c>
      <c r="CN47" s="710" t="e">
        <f t="shared" ca="1" si="49"/>
        <v>#DIV/0!</v>
      </c>
      <c r="CO47" s="835">
        <f t="shared" ca="1" si="50"/>
        <v>0</v>
      </c>
      <c r="CP47" s="849">
        <f t="shared" si="73"/>
        <v>0</v>
      </c>
      <c r="CQ47" s="710" t="e">
        <f t="shared" ca="1" si="51"/>
        <v>#DIV/0!</v>
      </c>
      <c r="CR47" s="710" t="e">
        <f t="shared" ca="1" si="52"/>
        <v>#DIV/0!</v>
      </c>
      <c r="CS47" s="710">
        <f t="shared" si="74"/>
        <v>0</v>
      </c>
      <c r="CT47" s="710" t="e">
        <f t="shared" ca="1" si="53"/>
        <v>#DIV/0!</v>
      </c>
      <c r="CU47" s="710">
        <f t="shared" si="75"/>
        <v>0</v>
      </c>
      <c r="CV47" s="833">
        <f>MAX($C$79,$C$82,$C$81)</f>
        <v>1</v>
      </c>
      <c r="CW47" s="821" t="e">
        <f ca="1">MIN(Ausgabe!$C$173,Ausgabe!$C$186)</f>
        <v>#DIV/0!</v>
      </c>
      <c r="CX47" s="710">
        <f>Ausgabe!$C$187</f>
        <v>1.3</v>
      </c>
      <c r="CY47" s="619">
        <f>Ausgabe!$C$191</f>
        <v>100</v>
      </c>
      <c r="CZ47" s="710">
        <f>Ausgabe!$C$192</f>
        <v>1.25</v>
      </c>
      <c r="DA47" s="619">
        <f>Ausgabe!$C$194</f>
        <v>36.6</v>
      </c>
      <c r="DB47" s="710">
        <f>Ausgabe!$C$195</f>
        <v>1.25</v>
      </c>
      <c r="DC47" s="619" t="e">
        <f t="shared" ca="1" si="54"/>
        <v>#DIV/0!</v>
      </c>
      <c r="DD47" s="619">
        <f t="shared" si="76"/>
        <v>0</v>
      </c>
      <c r="DE47" s="710" t="e">
        <f t="shared" ca="1" si="55"/>
        <v>#DIV/0!</v>
      </c>
      <c r="DF47" s="821">
        <f ca="1">MIN(Ausgabe!$C$221,Ausgabe!$C$239)</f>
        <v>92.436470366395326</v>
      </c>
      <c r="DG47" s="710">
        <f>Ausgabe!$C$240</f>
        <v>1.3</v>
      </c>
      <c r="DH47" s="619">
        <f>Ausgabe!$C$246</f>
        <v>150.4</v>
      </c>
      <c r="DI47" s="710">
        <f>Ausgabe!$C$247</f>
        <v>1.1000000000000001</v>
      </c>
      <c r="DJ47" s="619">
        <f>Ausgabe!$C$254</f>
        <v>176.4</v>
      </c>
      <c r="DK47" s="710">
        <f>Ausgabe!$C$255</f>
        <v>1.25</v>
      </c>
      <c r="DL47" s="619">
        <f>Ausgabe!$C$263</f>
        <v>180.95573684677208</v>
      </c>
      <c r="DM47" s="710">
        <f>Ausgabe!$C$264</f>
        <v>1.1000000000000001</v>
      </c>
      <c r="DN47" s="619">
        <f t="shared" ca="1" si="56"/>
        <v>71.104977204919479</v>
      </c>
      <c r="DO47" s="619" t="e">
        <f t="shared" ca="1" si="57"/>
        <v>#DIV/0!</v>
      </c>
      <c r="DP47" s="833" t="e">
        <f t="shared" ca="1" si="58"/>
        <v>#DIV/0!</v>
      </c>
      <c r="DQ47" s="821" t="e">
        <f ca="1">Ausgabe!$C$369</f>
        <v>#DIV/0!</v>
      </c>
      <c r="DR47" s="710">
        <f>Ausgabe!$C$370</f>
        <v>1.3</v>
      </c>
      <c r="DS47" s="619" t="e">
        <f t="shared" ca="1" si="59"/>
        <v>#DIV/0!</v>
      </c>
      <c r="DT47" s="619" t="e">
        <f t="shared" ca="1" si="60"/>
        <v>#DIV/0!</v>
      </c>
      <c r="DU47" s="833" t="e">
        <f t="shared" ca="1" si="61"/>
        <v>#DIV/0!</v>
      </c>
      <c r="DV47" s="821">
        <f ca="1">Ausgabe!$C$420</f>
        <v>33.607770254588836</v>
      </c>
      <c r="DW47" s="710">
        <f>Ausgabe!$C$421</f>
        <v>1.3</v>
      </c>
      <c r="DX47" s="619">
        <f>Ausgabe!$C$423</f>
        <v>36.9</v>
      </c>
      <c r="DY47" s="710">
        <f>Ausgabe!$C$424</f>
        <v>1.1000000000000001</v>
      </c>
      <c r="DZ47" s="619">
        <f t="shared" ca="1" si="62"/>
        <v>25.852130965068334</v>
      </c>
      <c r="EA47" s="619">
        <f t="shared" si="77"/>
        <v>0</v>
      </c>
      <c r="EB47" s="833">
        <f t="shared" ca="1" si="63"/>
        <v>0</v>
      </c>
      <c r="EC47" s="710">
        <f ca="1">IF(CJ47=_oben,Berechnung_BZoben!$AN$5,Berechnung_BZunten!$AN$5)</f>
        <v>4.8472430481713564</v>
      </c>
      <c r="ED47" s="710">
        <f>Ausgabe!$C$520</f>
        <v>1.3</v>
      </c>
      <c r="EE47" s="710">
        <f t="shared" ca="1" si="64"/>
        <v>3.7286484985933508</v>
      </c>
      <c r="EF47" s="710" t="e">
        <f t="shared" ca="1" si="65"/>
        <v>#DIV/0!</v>
      </c>
      <c r="EG47" s="833" t="e">
        <f t="shared" ca="1" si="66"/>
        <v>#DIV/0!</v>
      </c>
      <c r="EH47" s="710">
        <f>Ausgabe!$C$592</f>
        <v>2.7</v>
      </c>
      <c r="EI47" s="710">
        <f>Ausgabe!$C$593</f>
        <v>1.3</v>
      </c>
      <c r="EJ47" s="710">
        <f t="shared" si="78"/>
        <v>2.0769230769230771</v>
      </c>
      <c r="EK47" s="710">
        <f t="shared" si="79"/>
        <v>0</v>
      </c>
      <c r="EL47" s="833">
        <f t="shared" si="80"/>
        <v>0</v>
      </c>
      <c r="EM47" s="821">
        <f ca="1">Ausgabe!$C$581</f>
        <v>0</v>
      </c>
      <c r="EN47" s="710" t="e">
        <f t="shared" ca="1" si="67"/>
        <v>#DIV/0!</v>
      </c>
      <c r="EO47" s="710" t="e">
        <f t="shared" ca="1" si="68"/>
        <v>#DIV/0!</v>
      </c>
      <c r="EP47" s="710" t="e">
        <f t="shared" ca="1" si="69"/>
        <v>#DIV/0!</v>
      </c>
      <c r="EQ47" s="833" t="e">
        <f t="shared" ca="1" si="70"/>
        <v>#DIV/0!</v>
      </c>
      <c r="ER47" s="889" t="e">
        <f t="shared" ca="1" si="71"/>
        <v>#DIV/0!</v>
      </c>
    </row>
    <row r="48" spans="1:167">
      <c r="A48" s="1536"/>
      <c r="B48" s="1536"/>
      <c r="C48" s="717"/>
      <c r="D48" s="1536"/>
      <c r="E48" s="1536"/>
      <c r="F48" s="1536"/>
      <c r="G48" s="1536"/>
      <c r="H48" s="508"/>
      <c r="O48" s="649"/>
      <c r="P48" s="649"/>
      <c r="Q48" s="649"/>
      <c r="R48" s="649"/>
      <c r="AT48" s="500"/>
      <c r="AU48" s="500"/>
      <c r="AV48" s="500"/>
      <c r="BH48" s="524"/>
      <c r="BI48" s="524"/>
      <c r="BJ48" s="553"/>
      <c r="BL48" s="711" t="str">
        <f>Sprachtexte!A227</f>
        <v>Schraubenkreuz</v>
      </c>
      <c r="BM48" s="715" t="e" vm="13">
        <v>#VALUE!</v>
      </c>
      <c r="BR48" s="1205" t="e">
        <f t="shared" ca="1" si="43"/>
        <v>#DIV/0!</v>
      </c>
      <c r="BS48" s="1205" t="s">
        <v>1028</v>
      </c>
      <c r="BT48" s="571" t="s">
        <v>980</v>
      </c>
      <c r="BU48" s="649">
        <f>IF(OR(B239&lt;&gt;0,C239&lt;&gt;0,D239&lt;&gt;0,E239&lt;&gt;0,G239&lt;&gt;0),1,0)</f>
        <v>1</v>
      </c>
      <c r="BV48" s="619">
        <f>$BU$16*(1.35*B$99+1.5*B$100+1.5*$E$81*B$101+1.5*$E$82*B$102)</f>
        <v>0</v>
      </c>
      <c r="BW48" s="619">
        <f>$BU$16*(1.35*C$99+1.5*C$100+1.5*$E$81*C$101+1.5*$E$82*C$102)</f>
        <v>0</v>
      </c>
      <c r="BX48" s="619">
        <f>$BU$16*(1.35*D$99+1.5*D$100+1.5*$E$81*D$101+1.5*$E$82*D$102)</f>
        <v>0</v>
      </c>
      <c r="BY48" s="619">
        <f>$BU$16*(1.35*E$99+1.5*E$100+1.5*$E$81*E$101+1.5*$E$82*E$102)</f>
        <v>0</v>
      </c>
      <c r="BZ48" s="619">
        <f>$BU$16*(1.35*G$99+1.5*G$100+1.5*$E$81*G$101+1.5*$E$82*G$102)</f>
        <v>0</v>
      </c>
      <c r="CA48" s="833">
        <f>VLOOKUP($A$80,MKW!$A$50:$E$60,4,FALSE)</f>
        <v>0.3</v>
      </c>
      <c r="CB48" s="821" t="e">
        <f t="shared" ca="1" si="44"/>
        <v>#DIV/0!</v>
      </c>
      <c r="CC48" s="619" t="str">
        <f t="shared" si="45"/>
        <v>oben</v>
      </c>
      <c r="CD48" s="834" t="e">
        <f ca="1">IF(CC48=_oben,Berechnung_BZoben!$AQ$8,Berechnung_BZunten!$AQ$8)</f>
        <v>#DIV/0!</v>
      </c>
      <c r="CE48" s="834" t="e">
        <f ca="1">CD48*2/(3*(1+2*Eingabe!CA48*Eingabe!$D$76))</f>
        <v>#DIV/0!</v>
      </c>
      <c r="CF48" s="710" t="e">
        <f ca="1">IF($C$86=Sprachtexte!$A$87,
-CE48*$C$87^3*BW48/(12*CE48*$C$87+24*$CF$2)+BX48*$BY$1*$CA$1/(6*$CF$2)*(($BY$1-$C$87-2*$CA$1)/(6*$CF$2)-1/CE48-$CA$1/(CE48*$C$87))/(($C$87/(3*$CF$2)+1/CE48)^2-($C$87/(6*$CF$2))^2),
-CE48*$C$87^3*BW48/(8*CE48*$C$87+24*$CF$2)-CE48*$CA$1/$C$87*($C$87^2-$CA$1^2)*BX48/(2*CE48*$C$87+6*$CF$2))</f>
        <v>#DIV/0!</v>
      </c>
      <c r="CG48" s="710" t="e">
        <f t="shared" ca="1" si="72"/>
        <v>#DIV/0!</v>
      </c>
      <c r="CH48" s="835">
        <f t="shared" ca="1" si="46"/>
        <v>0</v>
      </c>
      <c r="CI48" s="821" t="e">
        <f t="shared" ca="1" si="47"/>
        <v>#DIV/0!</v>
      </c>
      <c r="CJ48" s="619" t="str">
        <f t="shared" si="48"/>
        <v>oben</v>
      </c>
      <c r="CK48" s="834" t="e">
        <f ca="1">IF(CJ48=_oben,Berechnung_BZoben!$AQ$8,Berechnung_BZunten!$AQ$8)</f>
        <v>#DIV/0!</v>
      </c>
      <c r="CL48" s="834" t="e">
        <f ca="1">CK48*2/(3*(1+2*Eingabe!CA48*Eingabe!$D$76))</f>
        <v>#DIV/0!</v>
      </c>
      <c r="CM48" s="710" t="e">
        <f ca="1">IF($C$86=Sprachtexte!$A$87,
-CL48*$C$87^3*BW48/(12*CE48*$C$87+24*$CF$2)+BX48*$CA$1*$BY$1/(6*$CF$2)*(($CA$1-$C$87-2*$BY$1)/(6*$CF$2)-1/CE48-$BY$1/(CE48*$C$87))/(($C$87/(3*$CF$2)+1/CE48)^2-($C$87/(6*$CF$2))^2),0)</f>
        <v>#DIV/0!</v>
      </c>
      <c r="CN48" s="710" t="e">
        <f t="shared" ca="1" si="49"/>
        <v>#DIV/0!</v>
      </c>
      <c r="CO48" s="835">
        <f t="shared" ca="1" si="50"/>
        <v>0</v>
      </c>
      <c r="CP48" s="849">
        <f t="shared" si="73"/>
        <v>0</v>
      </c>
      <c r="CQ48" s="710" t="e">
        <f t="shared" ca="1" si="51"/>
        <v>#DIV/0!</v>
      </c>
      <c r="CR48" s="710" t="e">
        <f t="shared" ca="1" si="52"/>
        <v>#DIV/0!</v>
      </c>
      <c r="CS48" s="710">
        <f t="shared" si="74"/>
        <v>0</v>
      </c>
      <c r="CT48" s="710" t="e">
        <f t="shared" ca="1" si="53"/>
        <v>#DIV/0!</v>
      </c>
      <c r="CU48" s="710">
        <f t="shared" si="75"/>
        <v>0</v>
      </c>
      <c r="CV48" s="833">
        <f>MAX($C$79,$C$80,$C$81,$C$82)</f>
        <v>1</v>
      </c>
      <c r="CW48" s="821" t="e">
        <f ca="1">MIN(Ausgabe!$C$173,Ausgabe!$C$186)</f>
        <v>#DIV/0!</v>
      </c>
      <c r="CX48" s="710">
        <f>Ausgabe!$C$187</f>
        <v>1.3</v>
      </c>
      <c r="CY48" s="619">
        <f>Ausgabe!$C$191</f>
        <v>100</v>
      </c>
      <c r="CZ48" s="710">
        <f>Ausgabe!$C$192</f>
        <v>1.25</v>
      </c>
      <c r="DA48" s="619">
        <f>Ausgabe!$C$194</f>
        <v>36.6</v>
      </c>
      <c r="DB48" s="710">
        <f>Ausgabe!$C$195</f>
        <v>1.25</v>
      </c>
      <c r="DC48" s="619" t="e">
        <f t="shared" ca="1" si="54"/>
        <v>#DIV/0!</v>
      </c>
      <c r="DD48" s="619">
        <f t="shared" si="76"/>
        <v>0</v>
      </c>
      <c r="DE48" s="710" t="e">
        <f t="shared" ca="1" si="55"/>
        <v>#DIV/0!</v>
      </c>
      <c r="DF48" s="821">
        <f ca="1">MIN(Ausgabe!$C$221,Ausgabe!$C$239)</f>
        <v>92.436470366395326</v>
      </c>
      <c r="DG48" s="710">
        <f>Ausgabe!$C$240</f>
        <v>1.3</v>
      </c>
      <c r="DH48" s="619">
        <f>Ausgabe!$C$246</f>
        <v>150.4</v>
      </c>
      <c r="DI48" s="710">
        <f>Ausgabe!$C$247</f>
        <v>1.1000000000000001</v>
      </c>
      <c r="DJ48" s="619">
        <f>Ausgabe!$C$254</f>
        <v>176.4</v>
      </c>
      <c r="DK48" s="710">
        <f>Ausgabe!$C$255</f>
        <v>1.25</v>
      </c>
      <c r="DL48" s="619">
        <f>Ausgabe!$C$263</f>
        <v>180.95573684677208</v>
      </c>
      <c r="DM48" s="710">
        <f>Ausgabe!$C$264</f>
        <v>1.1000000000000001</v>
      </c>
      <c r="DN48" s="619">
        <f t="shared" ca="1" si="56"/>
        <v>71.104977204919479</v>
      </c>
      <c r="DO48" s="619" t="e">
        <f t="shared" ca="1" si="57"/>
        <v>#DIV/0!</v>
      </c>
      <c r="DP48" s="833" t="e">
        <f t="shared" ca="1" si="58"/>
        <v>#DIV/0!</v>
      </c>
      <c r="DQ48" s="821" t="e">
        <f ca="1">Ausgabe!$C$369</f>
        <v>#DIV/0!</v>
      </c>
      <c r="DR48" s="710">
        <f>Ausgabe!$C$370</f>
        <v>1.3</v>
      </c>
      <c r="DS48" s="619" t="e">
        <f t="shared" ca="1" si="59"/>
        <v>#DIV/0!</v>
      </c>
      <c r="DT48" s="619" t="e">
        <f t="shared" ca="1" si="60"/>
        <v>#DIV/0!</v>
      </c>
      <c r="DU48" s="833" t="e">
        <f t="shared" ca="1" si="61"/>
        <v>#DIV/0!</v>
      </c>
      <c r="DV48" s="821">
        <f ca="1">Ausgabe!$C$420</f>
        <v>33.607770254588836</v>
      </c>
      <c r="DW48" s="710">
        <f>Ausgabe!$C$421</f>
        <v>1.3</v>
      </c>
      <c r="DX48" s="619">
        <f>Ausgabe!$C$423</f>
        <v>36.9</v>
      </c>
      <c r="DY48" s="710">
        <f>Ausgabe!$C$424</f>
        <v>1.1000000000000001</v>
      </c>
      <c r="DZ48" s="619">
        <f t="shared" ca="1" si="62"/>
        <v>25.852130965068334</v>
      </c>
      <c r="EA48" s="619">
        <f t="shared" si="77"/>
        <v>0</v>
      </c>
      <c r="EB48" s="833">
        <f t="shared" ca="1" si="63"/>
        <v>0</v>
      </c>
      <c r="EC48" s="710">
        <f ca="1">IF(CJ48=_oben,Berechnung_BZoben!$AN$5,Berechnung_BZunten!$AN$5)</f>
        <v>4.8472430481713564</v>
      </c>
      <c r="ED48" s="710">
        <f>Ausgabe!$C$520</f>
        <v>1.3</v>
      </c>
      <c r="EE48" s="710">
        <f t="shared" ca="1" si="64"/>
        <v>3.7286484985933508</v>
      </c>
      <c r="EF48" s="710" t="e">
        <f t="shared" ca="1" si="65"/>
        <v>#DIV/0!</v>
      </c>
      <c r="EG48" s="833" t="e">
        <f t="shared" ca="1" si="66"/>
        <v>#DIV/0!</v>
      </c>
      <c r="EH48" s="710">
        <f>Ausgabe!$C$592</f>
        <v>2.7</v>
      </c>
      <c r="EI48" s="710">
        <f>Ausgabe!$C$593</f>
        <v>1.3</v>
      </c>
      <c r="EJ48" s="710">
        <f t="shared" si="78"/>
        <v>2.0769230769230771</v>
      </c>
      <c r="EK48" s="710">
        <f t="shared" si="79"/>
        <v>0</v>
      </c>
      <c r="EL48" s="833">
        <f t="shared" si="80"/>
        <v>0</v>
      </c>
      <c r="EM48" s="821">
        <f ca="1">Ausgabe!$C$581</f>
        <v>0</v>
      </c>
      <c r="EN48" s="710" t="e">
        <f t="shared" ca="1" si="67"/>
        <v>#DIV/0!</v>
      </c>
      <c r="EO48" s="710" t="e">
        <f t="shared" ca="1" si="68"/>
        <v>#DIV/0!</v>
      </c>
      <c r="EP48" s="710" t="e">
        <f t="shared" ca="1" si="69"/>
        <v>#DIV/0!</v>
      </c>
      <c r="EQ48" s="833" t="e">
        <f t="shared" ca="1" si="70"/>
        <v>#DIV/0!</v>
      </c>
      <c r="ER48" s="889" t="e">
        <f t="shared" ca="1" si="71"/>
        <v>#DIV/0!</v>
      </c>
    </row>
    <row r="49" spans="1:148">
      <c r="A49" s="1536"/>
      <c r="B49" s="1536"/>
      <c r="C49" s="569"/>
      <c r="D49" s="1536"/>
      <c r="E49" s="1536"/>
      <c r="F49" s="1536"/>
      <c r="G49" s="1536"/>
      <c r="H49" s="508"/>
      <c r="O49" s="649"/>
      <c r="P49" s="649"/>
      <c r="Q49" s="649"/>
      <c r="R49" s="649"/>
      <c r="AT49" s="500"/>
      <c r="AU49" s="500"/>
      <c r="AV49" s="500"/>
      <c r="BH49" s="507"/>
      <c r="BJ49" s="500"/>
      <c r="BL49" s="499" t="str">
        <f>Sprachtexte!A228</f>
        <v>Einbauteil Hauptträger-Nebenträger</v>
      </c>
      <c r="BM49" s="643" t="e" vm="14">
        <v>#VALUE!</v>
      </c>
      <c r="BR49" s="1205" t="e">
        <f t="shared" ca="1" si="43"/>
        <v>#DIV/0!</v>
      </c>
      <c r="BS49" s="1205" t="s">
        <v>1029</v>
      </c>
      <c r="BT49" s="571" t="s">
        <v>981</v>
      </c>
      <c r="BU49" s="649">
        <f>IF(OR(B240&lt;&gt;0,C240&lt;&gt;0,D240&lt;&gt;0,E240&lt;&gt;0,G240&lt;&gt;0),1,0)</f>
        <v>0</v>
      </c>
      <c r="BV49" s="619">
        <f>$BU$17*(1.35*B$99+1.5*B$101+1.5*$E$80*B$100+1.5*$E$82*B$102)</f>
        <v>0</v>
      </c>
      <c r="BW49" s="619">
        <f>$BU$17*(1.35*C$99+1.5*C$101+1.5*$E$80*C$100+1.5*$E$82*C$102)</f>
        <v>0</v>
      </c>
      <c r="BX49" s="619">
        <f>$BU$17*(1.35*D$99+1.5*D$101+1.5*$E$80*D$100+1.5*$E$82*D$102)</f>
        <v>0</v>
      </c>
      <c r="BY49" s="619">
        <f>$BU$17*(1.35*E$99+1.5*E$101+1.5*$E$80*E$100+1.5*$E$82*E$102)</f>
        <v>0</v>
      </c>
      <c r="BZ49" s="619">
        <f>$BU$17*(1.35*G$99+1.5*G$101+1.5*$E$80*G$100+1.5*$E$82*G$102)</f>
        <v>0</v>
      </c>
      <c r="CA49" s="833">
        <f>VLOOKUP($A$81,MKW!$A$50:$E$60,4,FALSE)</f>
        <v>0</v>
      </c>
      <c r="CB49" s="821" t="e">
        <f t="shared" ca="1" si="44"/>
        <v>#DIV/0!</v>
      </c>
      <c r="CC49" s="619" t="str">
        <f t="shared" si="45"/>
        <v>oben</v>
      </c>
      <c r="CD49" s="834" t="e">
        <f ca="1">IF(CC49=_oben,Berechnung_BZoben!$AQ$8,Berechnung_BZunten!$AQ$8)</f>
        <v>#DIV/0!</v>
      </c>
      <c r="CE49" s="834" t="e">
        <f ca="1">CD49*2/(3*(1+2*Eingabe!CA49*Eingabe!$D$76))</f>
        <v>#DIV/0!</v>
      </c>
      <c r="CF49" s="710" t="e">
        <f ca="1">IF($C$86=Sprachtexte!$A$87,
-CE49*$C$87^3*BW49/(12*CE49*$C$87+24*$CF$2)+BX49*$BY$1*$CA$1/(6*$CF$2)*(($BY$1-$C$87-2*$CA$1)/(6*$CF$2)-1/CE49-$CA$1/(CE49*$C$87))/(($C$87/(3*$CF$2)+1/CE49)^2-($C$87/(6*$CF$2))^2),
-CE49*$C$87^3*BW49/(8*CE49*$C$87+24*$CF$2)-CE49*$CA$1/$C$87*($C$87^2-$CA$1^2)*BX49/(2*CE49*$C$87+6*$CF$2))</f>
        <v>#DIV/0!</v>
      </c>
      <c r="CG49" s="710" t="e">
        <f t="shared" ca="1" si="72"/>
        <v>#DIV/0!</v>
      </c>
      <c r="CH49" s="835">
        <f t="shared" ca="1" si="46"/>
        <v>0</v>
      </c>
      <c r="CI49" s="821" t="e">
        <f t="shared" ca="1" si="47"/>
        <v>#DIV/0!</v>
      </c>
      <c r="CJ49" s="619" t="str">
        <f t="shared" si="48"/>
        <v>oben</v>
      </c>
      <c r="CK49" s="834" t="e">
        <f ca="1">IF(CJ49=_oben,Berechnung_BZoben!$AQ$8,Berechnung_BZunten!$AQ$8)</f>
        <v>#DIV/0!</v>
      </c>
      <c r="CL49" s="834" t="e">
        <f ca="1">CK49*2/(3*(1+2*Eingabe!CA49*Eingabe!$D$76))</f>
        <v>#DIV/0!</v>
      </c>
      <c r="CM49" s="710" t="e">
        <f ca="1">IF($C$86=Sprachtexte!$A$87,
-CL49*$C$87^3*BW49/(12*CE49*$C$87+24*$CF$2)+BX49*$CA$1*$BY$1/(6*$CF$2)*(($CA$1-$C$87-2*$BY$1)/(6*$CF$2)-1/CE49-$BY$1/(CE49*$C$87))/(($C$87/(3*$CF$2)+1/CE49)^2-($C$87/(6*$CF$2))^2),0)</f>
        <v>#DIV/0!</v>
      </c>
      <c r="CN49" s="710" t="e">
        <f t="shared" ca="1" si="49"/>
        <v>#DIV/0!</v>
      </c>
      <c r="CO49" s="835">
        <f t="shared" ca="1" si="50"/>
        <v>0</v>
      </c>
      <c r="CP49" s="849">
        <f t="shared" si="73"/>
        <v>0</v>
      </c>
      <c r="CQ49" s="710" t="e">
        <f t="shared" ca="1" si="51"/>
        <v>#DIV/0!</v>
      </c>
      <c r="CR49" s="710" t="e">
        <f t="shared" ca="1" si="52"/>
        <v>#DIV/0!</v>
      </c>
      <c r="CS49" s="710">
        <f t="shared" si="74"/>
        <v>0</v>
      </c>
      <c r="CT49" s="710" t="e">
        <f t="shared" ca="1" si="53"/>
        <v>#DIV/0!</v>
      </c>
      <c r="CU49" s="710">
        <f t="shared" si="75"/>
        <v>0</v>
      </c>
      <c r="CV49" s="833">
        <f>MAX($C$79,$C$81,$C$80,$C$82)</f>
        <v>1</v>
      </c>
      <c r="CW49" s="821" t="e">
        <f ca="1">MIN(Ausgabe!$C$173,Ausgabe!$C$186)</f>
        <v>#DIV/0!</v>
      </c>
      <c r="CX49" s="710">
        <f>Ausgabe!$C$187</f>
        <v>1.3</v>
      </c>
      <c r="CY49" s="619">
        <f>Ausgabe!$C$191</f>
        <v>100</v>
      </c>
      <c r="CZ49" s="710">
        <f>Ausgabe!$C$192</f>
        <v>1.25</v>
      </c>
      <c r="DA49" s="619">
        <f>Ausgabe!$C$194</f>
        <v>36.6</v>
      </c>
      <c r="DB49" s="710">
        <f>Ausgabe!$C$195</f>
        <v>1.25</v>
      </c>
      <c r="DC49" s="619" t="e">
        <f t="shared" ca="1" si="54"/>
        <v>#DIV/0!</v>
      </c>
      <c r="DD49" s="619">
        <f t="shared" si="76"/>
        <v>0</v>
      </c>
      <c r="DE49" s="710" t="e">
        <f t="shared" ca="1" si="55"/>
        <v>#DIV/0!</v>
      </c>
      <c r="DF49" s="821">
        <f ca="1">MIN(Ausgabe!$C$221,Ausgabe!$C$239)</f>
        <v>92.436470366395326</v>
      </c>
      <c r="DG49" s="710">
        <f>Ausgabe!$C$240</f>
        <v>1.3</v>
      </c>
      <c r="DH49" s="619">
        <f>Ausgabe!$C$246</f>
        <v>150.4</v>
      </c>
      <c r="DI49" s="710">
        <f>Ausgabe!$C$247</f>
        <v>1.1000000000000001</v>
      </c>
      <c r="DJ49" s="619">
        <f>Ausgabe!$C$254</f>
        <v>176.4</v>
      </c>
      <c r="DK49" s="710">
        <f>Ausgabe!$C$255</f>
        <v>1.25</v>
      </c>
      <c r="DL49" s="619">
        <f>Ausgabe!$C$263</f>
        <v>180.95573684677208</v>
      </c>
      <c r="DM49" s="710">
        <f>Ausgabe!$C$264</f>
        <v>1.1000000000000001</v>
      </c>
      <c r="DN49" s="619">
        <f t="shared" ca="1" si="56"/>
        <v>71.104977204919479</v>
      </c>
      <c r="DO49" s="619" t="e">
        <f t="shared" ca="1" si="57"/>
        <v>#DIV/0!</v>
      </c>
      <c r="DP49" s="833" t="e">
        <f t="shared" ca="1" si="58"/>
        <v>#DIV/0!</v>
      </c>
      <c r="DQ49" s="821" t="e">
        <f ca="1">Ausgabe!$C$369</f>
        <v>#DIV/0!</v>
      </c>
      <c r="DR49" s="710">
        <f>Ausgabe!$C$370</f>
        <v>1.3</v>
      </c>
      <c r="DS49" s="619" t="e">
        <f t="shared" ca="1" si="59"/>
        <v>#DIV/0!</v>
      </c>
      <c r="DT49" s="619" t="e">
        <f t="shared" ca="1" si="60"/>
        <v>#DIV/0!</v>
      </c>
      <c r="DU49" s="833" t="e">
        <f t="shared" ca="1" si="61"/>
        <v>#DIV/0!</v>
      </c>
      <c r="DV49" s="821">
        <f ca="1">Ausgabe!$C$420</f>
        <v>33.607770254588836</v>
      </c>
      <c r="DW49" s="710">
        <f>Ausgabe!$C$421</f>
        <v>1.3</v>
      </c>
      <c r="DX49" s="619">
        <f>Ausgabe!$C$423</f>
        <v>36.9</v>
      </c>
      <c r="DY49" s="710">
        <f>Ausgabe!$C$424</f>
        <v>1.1000000000000001</v>
      </c>
      <c r="DZ49" s="619">
        <f t="shared" ca="1" si="62"/>
        <v>25.852130965068334</v>
      </c>
      <c r="EA49" s="619">
        <f t="shared" si="77"/>
        <v>0</v>
      </c>
      <c r="EB49" s="833">
        <f t="shared" ca="1" si="63"/>
        <v>0</v>
      </c>
      <c r="EC49" s="710">
        <f ca="1">IF(CJ49=_oben,Berechnung_BZoben!$AN$5,Berechnung_BZunten!$AN$5)</f>
        <v>4.8472430481713564</v>
      </c>
      <c r="ED49" s="710">
        <f>Ausgabe!$C$520</f>
        <v>1.3</v>
      </c>
      <c r="EE49" s="710">
        <f t="shared" ca="1" si="64"/>
        <v>3.7286484985933508</v>
      </c>
      <c r="EF49" s="710" t="e">
        <f t="shared" ca="1" si="65"/>
        <v>#DIV/0!</v>
      </c>
      <c r="EG49" s="833" t="e">
        <f t="shared" ca="1" si="66"/>
        <v>#DIV/0!</v>
      </c>
      <c r="EH49" s="710">
        <f>Ausgabe!$C$592</f>
        <v>2.7</v>
      </c>
      <c r="EI49" s="710">
        <f>Ausgabe!$C$593</f>
        <v>1.3</v>
      </c>
      <c r="EJ49" s="710">
        <f t="shared" si="78"/>
        <v>2.0769230769230771</v>
      </c>
      <c r="EK49" s="710">
        <f t="shared" si="79"/>
        <v>0</v>
      </c>
      <c r="EL49" s="833">
        <f t="shared" si="80"/>
        <v>0</v>
      </c>
      <c r="EM49" s="821">
        <f ca="1">Ausgabe!$C$581</f>
        <v>0</v>
      </c>
      <c r="EN49" s="710" t="e">
        <f t="shared" ca="1" si="67"/>
        <v>#DIV/0!</v>
      </c>
      <c r="EO49" s="710" t="e">
        <f t="shared" ca="1" si="68"/>
        <v>#DIV/0!</v>
      </c>
      <c r="EP49" s="710" t="e">
        <f t="shared" ca="1" si="69"/>
        <v>#DIV/0!</v>
      </c>
      <c r="EQ49" s="833" t="e">
        <f t="shared" ca="1" si="70"/>
        <v>#DIV/0!</v>
      </c>
      <c r="ER49" s="889" t="e">
        <f t="shared" ca="1" si="71"/>
        <v>#DIV/0!</v>
      </c>
    </row>
    <row r="50" spans="1:148" ht="15.75">
      <c r="A50" s="514"/>
      <c r="B50" s="429"/>
      <c r="C50"/>
      <c r="G50" s="508"/>
      <c r="H50" s="508"/>
      <c r="O50" s="649"/>
      <c r="P50" s="649"/>
      <c r="Q50" s="649"/>
      <c r="R50" s="649"/>
      <c r="AT50" s="500"/>
      <c r="AU50" s="500"/>
      <c r="AV50" s="500"/>
      <c r="BJ50" s="649"/>
      <c r="BL50" s="499" t="str">
        <f>Sprachtexte!A229</f>
        <v>Zuglasche NT-HT-NT</v>
      </c>
      <c r="BM50" s="643" t="e" vm="15">
        <v>#VALUE!</v>
      </c>
      <c r="BR50" s="1206" t="e">
        <f t="shared" ca="1" si="43"/>
        <v>#DIV/0!</v>
      </c>
      <c r="BS50" s="1206" t="s">
        <v>1030</v>
      </c>
      <c r="BT50" s="825" t="s">
        <v>982</v>
      </c>
      <c r="BU50" s="840">
        <f>IF(OR(B241&lt;&gt;0,C241&lt;&gt;0,D241&lt;&gt;0,E241&lt;&gt;0,G241&lt;&gt;0),1,0)</f>
        <v>0</v>
      </c>
      <c r="BV50" s="679">
        <f>$BU$18*(1.35*B$99+1.5*B$102+1.5*$E$80*B$100+1.5*$E$81*B$101)</f>
        <v>0</v>
      </c>
      <c r="BW50" s="679">
        <f>$BU$18*(1.35*C$99+1.5*C$102+1.5*$E$80*C$100+1.5*$E$81*C$101)</f>
        <v>0</v>
      </c>
      <c r="BX50" s="679">
        <f>$BU$18*(1.35*D$99+1.5*D$102+1.5*$E$80*D$100+1.5*$E$81*D$101)</f>
        <v>0</v>
      </c>
      <c r="BY50" s="679">
        <f>$BU$18*(1.35*E$99+1.5*E$102+1.5*$E$80*E$100+1.5*$E$81*E$101)</f>
        <v>0</v>
      </c>
      <c r="BZ50" s="679">
        <f>$BU$18*(1.35*G$99+1.5*G$102+1.5*$E$80*G$100+1.5*$E$81*G$101)</f>
        <v>0</v>
      </c>
      <c r="CA50" s="837">
        <f>VLOOKUP($A$82,MKW!$A$50:$E$60,4,FALSE)</f>
        <v>0</v>
      </c>
      <c r="CB50" s="823" t="e">
        <f t="shared" ca="1" si="44"/>
        <v>#DIV/0!</v>
      </c>
      <c r="CC50" s="679" t="str">
        <f t="shared" si="45"/>
        <v>oben</v>
      </c>
      <c r="CD50" s="838" t="e">
        <f ca="1">IF(CC50=_oben,Berechnung_BZoben!$AQ$8,Berechnung_BZunten!$AQ$8)</f>
        <v>#DIV/0!</v>
      </c>
      <c r="CE50" s="838" t="e">
        <f ca="1">CD50*2/(3*(1+2*Eingabe!CA50*Eingabe!$D$76))</f>
        <v>#DIV/0!</v>
      </c>
      <c r="CF50" s="836" t="e">
        <f ca="1">IF($C$86=Sprachtexte!$A$87,
-CE50*$C$87^3*BW50/(12*CE50*$C$87+24*$CF$2)+BX50*$BY$1*$CA$1/(6*$CF$2)*(($BY$1-$C$87-2*$CA$1)/(6*$CF$2)-1/CE50-$CA$1/(CE50*$C$87))/(($C$87/(3*$CF$2)+1/CE50)^2-($C$87/(6*$CF$2))^2),
-CE50*$C$87^3*BW50/(8*CE50*$C$87+24*$CF$2)-CE50*$CA$1/$C$87*($C$87^2-$CA$1^2)*BX50/(2*CE50*$C$87+6*$CF$2))</f>
        <v>#DIV/0!</v>
      </c>
      <c r="CG50" s="836" t="e">
        <f t="shared" ca="1" si="72"/>
        <v>#DIV/0!</v>
      </c>
      <c r="CH50" s="839">
        <f t="shared" ca="1" si="46"/>
        <v>0</v>
      </c>
      <c r="CI50" s="823" t="e">
        <f t="shared" ca="1" si="47"/>
        <v>#DIV/0!</v>
      </c>
      <c r="CJ50" s="679" t="str">
        <f t="shared" si="48"/>
        <v>oben</v>
      </c>
      <c r="CK50" s="838" t="e">
        <f ca="1">IF(CJ50=_oben,Berechnung_BZoben!$AQ$8,Berechnung_BZunten!$AQ$8)</f>
        <v>#DIV/0!</v>
      </c>
      <c r="CL50" s="838" t="e">
        <f ca="1">CK50*2/(3*(1+2*Eingabe!CA50*Eingabe!$D$76))</f>
        <v>#DIV/0!</v>
      </c>
      <c r="CM50" s="836" t="e">
        <f ca="1">IF($C$86=Sprachtexte!$A$87,
-CL50*$C$87^3*BW50/(12*CE50*$C$87+24*$CF$2)+BX50*$CA$1*$BY$1/(6*$CF$2)*(($CA$1-$C$87-2*$BY$1)/(6*$CF$2)-1/CE50-$BY$1/(CE50*$C$87))/(($C$87/(3*$CF$2)+1/CE50)^2-($C$87/(6*$CF$2))^2),0)</f>
        <v>#DIV/0!</v>
      </c>
      <c r="CN50" s="836" t="e">
        <f t="shared" ca="1" si="49"/>
        <v>#DIV/0!</v>
      </c>
      <c r="CO50" s="839">
        <f t="shared" ca="1" si="50"/>
        <v>0</v>
      </c>
      <c r="CP50" s="850">
        <f t="shared" si="73"/>
        <v>0</v>
      </c>
      <c r="CQ50" s="836" t="e">
        <f t="shared" ca="1" si="51"/>
        <v>#DIV/0!</v>
      </c>
      <c r="CR50" s="836" t="e">
        <f t="shared" ca="1" si="52"/>
        <v>#DIV/0!</v>
      </c>
      <c r="CS50" s="836">
        <f t="shared" si="74"/>
        <v>0</v>
      </c>
      <c r="CT50" s="836" t="e">
        <f t="shared" ca="1" si="53"/>
        <v>#DIV/0!</v>
      </c>
      <c r="CU50" s="836">
        <f t="shared" si="75"/>
        <v>0</v>
      </c>
      <c r="CV50" s="837">
        <f>MAX($C$79,$C$82,$C$80,$C$81)</f>
        <v>1</v>
      </c>
      <c r="CW50" s="821" t="e">
        <f ca="1">MIN(Ausgabe!$C$173,Ausgabe!$C$186)</f>
        <v>#DIV/0!</v>
      </c>
      <c r="CX50" s="710">
        <f>Ausgabe!$C$187</f>
        <v>1.3</v>
      </c>
      <c r="CY50" s="619">
        <f>Ausgabe!$C$191</f>
        <v>100</v>
      </c>
      <c r="CZ50" s="710">
        <f>Ausgabe!$C$192</f>
        <v>1.25</v>
      </c>
      <c r="DA50" s="619">
        <f>Ausgabe!$C$194</f>
        <v>36.6</v>
      </c>
      <c r="DB50" s="710">
        <f>Ausgabe!$C$195</f>
        <v>1.25</v>
      </c>
      <c r="DC50" s="679" t="e">
        <f t="shared" ca="1" si="54"/>
        <v>#DIV/0!</v>
      </c>
      <c r="DD50" s="679">
        <f t="shared" si="76"/>
        <v>0</v>
      </c>
      <c r="DE50" s="836" t="e">
        <f t="shared" ca="1" si="55"/>
        <v>#DIV/0!</v>
      </c>
      <c r="DF50" s="823">
        <f ca="1">MIN(Ausgabe!$C$221,Ausgabe!$C$239)</f>
        <v>92.436470366395326</v>
      </c>
      <c r="DG50" s="836">
        <f>Ausgabe!$C$240</f>
        <v>1.3</v>
      </c>
      <c r="DH50" s="679">
        <f>Ausgabe!$C$246</f>
        <v>150.4</v>
      </c>
      <c r="DI50" s="836">
        <f>Ausgabe!$C$247</f>
        <v>1.1000000000000001</v>
      </c>
      <c r="DJ50" s="679">
        <f>Ausgabe!$C$254</f>
        <v>176.4</v>
      </c>
      <c r="DK50" s="836">
        <f>Ausgabe!$C$255</f>
        <v>1.25</v>
      </c>
      <c r="DL50" s="679">
        <f>Ausgabe!$C$263</f>
        <v>180.95573684677208</v>
      </c>
      <c r="DM50" s="836">
        <f>Ausgabe!$C$264</f>
        <v>1.1000000000000001</v>
      </c>
      <c r="DN50" s="679">
        <f t="shared" ca="1" si="56"/>
        <v>71.104977204919479</v>
      </c>
      <c r="DO50" s="679" t="e">
        <f t="shared" ca="1" si="57"/>
        <v>#DIV/0!</v>
      </c>
      <c r="DP50" s="837" t="e">
        <f t="shared" ca="1" si="58"/>
        <v>#DIV/0!</v>
      </c>
      <c r="DQ50" s="821" t="e">
        <f ca="1">Ausgabe!$C$369</f>
        <v>#DIV/0!</v>
      </c>
      <c r="DR50" s="710">
        <f>Ausgabe!$C$370</f>
        <v>1.3</v>
      </c>
      <c r="DS50" s="679" t="e">
        <f t="shared" ca="1" si="59"/>
        <v>#DIV/0!</v>
      </c>
      <c r="DT50" s="679" t="e">
        <f t="shared" ca="1" si="60"/>
        <v>#DIV/0!</v>
      </c>
      <c r="DU50" s="837" t="e">
        <f t="shared" ca="1" si="61"/>
        <v>#DIV/0!</v>
      </c>
      <c r="DV50" s="821">
        <f ca="1">Ausgabe!$C$420</f>
        <v>33.607770254588836</v>
      </c>
      <c r="DW50" s="710">
        <f>Ausgabe!$C$421</f>
        <v>1.3</v>
      </c>
      <c r="DX50" s="619">
        <f>Ausgabe!$C$423</f>
        <v>36.9</v>
      </c>
      <c r="DY50" s="710">
        <f>Ausgabe!$C$424</f>
        <v>1.1000000000000001</v>
      </c>
      <c r="DZ50" s="679">
        <f t="shared" ca="1" si="62"/>
        <v>25.852130965068334</v>
      </c>
      <c r="EA50" s="679">
        <f t="shared" si="77"/>
        <v>0</v>
      </c>
      <c r="EB50" s="837">
        <f t="shared" ca="1" si="63"/>
        <v>0</v>
      </c>
      <c r="EC50" s="836">
        <f ca="1">IF(CJ50=_oben,Berechnung_BZoben!$AN$5,Berechnung_BZunten!$AN$5)</f>
        <v>4.8472430481713564</v>
      </c>
      <c r="ED50" s="836">
        <f>Ausgabe!$C$520</f>
        <v>1.3</v>
      </c>
      <c r="EE50" s="836">
        <f t="shared" ca="1" si="64"/>
        <v>3.7286484985933508</v>
      </c>
      <c r="EF50" s="836" t="e">
        <f t="shared" ca="1" si="65"/>
        <v>#DIV/0!</v>
      </c>
      <c r="EG50" s="837" t="e">
        <f t="shared" ca="1" si="66"/>
        <v>#DIV/0!</v>
      </c>
      <c r="EH50" s="836">
        <f>Ausgabe!$C$592</f>
        <v>2.7</v>
      </c>
      <c r="EI50" s="836">
        <f>Ausgabe!$C$593</f>
        <v>1.3</v>
      </c>
      <c r="EJ50" s="836">
        <f t="shared" si="78"/>
        <v>2.0769230769230771</v>
      </c>
      <c r="EK50" s="836">
        <f t="shared" si="79"/>
        <v>0</v>
      </c>
      <c r="EL50" s="837">
        <f t="shared" si="80"/>
        <v>0</v>
      </c>
      <c r="EM50" s="823">
        <f ca="1">Ausgabe!$C$581</f>
        <v>0</v>
      </c>
      <c r="EN50" s="836" t="e">
        <f t="shared" ca="1" si="67"/>
        <v>#DIV/0!</v>
      </c>
      <c r="EO50" s="710" t="e">
        <f t="shared" ca="1" si="68"/>
        <v>#DIV/0!</v>
      </c>
      <c r="EP50" s="836" t="e">
        <f t="shared" ca="1" si="69"/>
        <v>#DIV/0!</v>
      </c>
      <c r="EQ50" s="833" t="e">
        <f t="shared" ca="1" si="70"/>
        <v>#DIV/0!</v>
      </c>
      <c r="ER50" s="890" t="e">
        <f t="shared" ca="1" si="71"/>
        <v>#DIV/0!</v>
      </c>
    </row>
    <row r="51" spans="1:148" ht="18.75">
      <c r="A51" s="585" t="str">
        <f>Sprachtexte!A40</f>
        <v>Auswahl MEGANT-Verbinder und Schrauben</v>
      </c>
      <c r="B51" s="586"/>
      <c r="C51" s="587"/>
      <c r="D51" s="588"/>
      <c r="E51" s="586"/>
      <c r="F51" s="586"/>
      <c r="G51" s="586"/>
      <c r="H51" s="508"/>
      <c r="O51" s="649"/>
      <c r="P51" s="649"/>
      <c r="Q51" s="649"/>
      <c r="R51" s="649"/>
      <c r="AT51" s="500"/>
      <c r="AU51" s="500"/>
      <c r="AV51" s="500"/>
      <c r="BJ51" s="649"/>
      <c r="BL51" s="499" t="str">
        <f>Sprachtexte!A230</f>
        <v>Querzugverstärkung</v>
      </c>
      <c r="BM51" s="643" t="e" vm="16">
        <v>#VALUE!</v>
      </c>
      <c r="BR51" s="1207" t="e">
        <f t="shared" ca="1" si="43"/>
        <v>#DIV/0!</v>
      </c>
      <c r="BS51" s="1207" t="s">
        <v>1031</v>
      </c>
      <c r="BT51" s="550" t="s">
        <v>733</v>
      </c>
      <c r="BU51" s="869" t="e">
        <f ca="1">IF(OR(B238&lt;&gt;0,C238&lt;&gt;0,D238&lt;&gt;0,E238&lt;&gt;0,G238&lt;&gt;0),1,0)</f>
        <v>#DIV/0!</v>
      </c>
      <c r="BV51" s="829">
        <f>$BU$19*1.35*B$99</f>
        <v>0</v>
      </c>
      <c r="BW51" s="829">
        <f>$BU$19*1.35*C$99</f>
        <v>0</v>
      </c>
      <c r="BX51" s="829">
        <f>$BU$19*1.35*D$99</f>
        <v>0</v>
      </c>
      <c r="BY51" s="829">
        <f>$BU$19*1.35*E$99</f>
        <v>0</v>
      </c>
      <c r="BZ51" s="829">
        <f>$BU$19*1.35*G$99</f>
        <v>0</v>
      </c>
      <c r="CA51" s="830">
        <v>1</v>
      </c>
      <c r="CB51" s="821" t="e">
        <f t="shared" ca="1" si="44"/>
        <v>#DIV/0!</v>
      </c>
      <c r="CC51" s="619" t="str">
        <f t="shared" ref="CC51:CC64" si="81">_unten</f>
        <v>unten</v>
      </c>
      <c r="CD51" s="834" t="e">
        <f ca="1">IF(CC51=_oben,Berechnung_BZoben!$AQ$8,Berechnung_BZunten!$AQ$8)</f>
        <v>#DIV/0!</v>
      </c>
      <c r="CE51" s="831" t="e">
        <f ca="1">CD51*2/(3*(1+2*Eingabe!CA51*Eingabe!$D$76))</f>
        <v>#DIV/0!</v>
      </c>
      <c r="CF51" s="710" t="e">
        <f ca="1">IF($C$86=Sprachtexte!$A$87,
-CE51*$C$87^3*BW51/(12*CE51*$C$87+24*$CF$2)+BX51*$BY$1*$CA$1/(6*$CF$2)*(($BY$1-$C$87-2*$CA$1)/(6*$CF$2)-1/CE51-$CA$1/(CE51*$C$87))/(($C$87/(3*$CF$2)+1/CE51)^2-($C$87/(6*$CF$2))^2),
-CE51*$C$87^3*BW51/(8*CE51*$C$87+24*$CF$2)-CE51*$CA$1/$C$87*($C$87^2-$CA$1^2)*BX51/(2*CE51*$C$87+6*$CF$2))</f>
        <v>#DIV/0!</v>
      </c>
      <c r="CG51" s="710" t="e">
        <f t="shared" ca="1" si="72"/>
        <v>#DIV/0!</v>
      </c>
      <c r="CH51" s="835">
        <f t="shared" ca="1" si="46"/>
        <v>0</v>
      </c>
      <c r="CI51" s="821" t="e">
        <f t="shared" ca="1" si="47"/>
        <v>#DIV/0!</v>
      </c>
      <c r="CJ51" s="619" t="str">
        <f t="shared" ref="CJ51:CJ64" si="82">_unten</f>
        <v>unten</v>
      </c>
      <c r="CK51" s="834" t="e">
        <f ca="1">IF(CJ51=_oben,Berechnung_BZoben!$AQ$8,Berechnung_BZunten!$AQ$8)</f>
        <v>#DIV/0!</v>
      </c>
      <c r="CL51" s="831" t="e">
        <f ca="1">CK51*2/(3*(1+2*Eingabe!CA51*Eingabe!$D$76))</f>
        <v>#DIV/0!</v>
      </c>
      <c r="CM51" s="710" t="e">
        <f ca="1">IF($C$86=Sprachtexte!$A$87,
-CL51*$C$87^3*BW51/(12*CE51*$C$87+24*$CF$2)+BX51*$CA$1*$BY$1/(6*$CF$2)*(($CA$1-$C$87-2*$BY$1)/(6*$CF$2)-1/CE51-$BY$1/(CE51*$C$87))/(($C$87/(3*$CF$2)+1/CE51)^2-($C$87/(6*$CF$2))^2),0)</f>
        <v>#DIV/0!</v>
      </c>
      <c r="CN51" s="710" t="e">
        <f t="shared" ca="1" si="49"/>
        <v>#DIV/0!</v>
      </c>
      <c r="CO51" s="835">
        <f t="shared" ca="1" si="50"/>
        <v>0</v>
      </c>
      <c r="CP51" s="849">
        <f t="shared" si="73"/>
        <v>0</v>
      </c>
      <c r="CQ51" s="710" t="e">
        <f t="shared" ca="1" si="51"/>
        <v>#DIV/0!</v>
      </c>
      <c r="CR51" s="710" t="e">
        <f t="shared" ca="1" si="52"/>
        <v>#DIV/0!</v>
      </c>
      <c r="CS51" s="710">
        <f t="shared" si="74"/>
        <v>0</v>
      </c>
      <c r="CT51" s="710" t="e">
        <f t="shared" ref="CT51:CT64" ca="1" si="83">MAX($CG51,$CN51)</f>
        <v>#DIV/0!</v>
      </c>
      <c r="CU51" s="710">
        <f t="shared" si="75"/>
        <v>0</v>
      </c>
      <c r="CV51" s="830">
        <f>$C$79</f>
        <v>0.6</v>
      </c>
      <c r="CW51" s="822" t="e">
        <f ca="1">MIN(Ausgabe!$C$173,Ausgabe!$C$186)</f>
        <v>#DIV/0!</v>
      </c>
      <c r="CX51" s="828">
        <f>Ausgabe!$C$187</f>
        <v>1.3</v>
      </c>
      <c r="CY51" s="829">
        <f>Ausgabe!$C$191</f>
        <v>100</v>
      </c>
      <c r="CZ51" s="828">
        <f>Ausgabe!$C$192</f>
        <v>1.25</v>
      </c>
      <c r="DA51" s="829">
        <f>Ausgabe!$C$194</f>
        <v>36.6</v>
      </c>
      <c r="DB51" s="828">
        <f>Ausgabe!$C$195</f>
        <v>1.25</v>
      </c>
      <c r="DC51" s="829" t="e">
        <f t="shared" ca="1" si="54"/>
        <v>#DIV/0!</v>
      </c>
      <c r="DD51" s="829">
        <f t="shared" si="76"/>
        <v>0</v>
      </c>
      <c r="DE51" s="828" t="e">
        <f t="shared" ca="1" si="55"/>
        <v>#DIV/0!</v>
      </c>
      <c r="DF51" s="821">
        <f ca="1">MIN(Ausgabe!$C$221,Ausgabe!$C$239)</f>
        <v>92.436470366395326</v>
      </c>
      <c r="DG51" s="710">
        <f>Ausgabe!$C$240</f>
        <v>1.3</v>
      </c>
      <c r="DH51" s="619">
        <f>Ausgabe!$C$246</f>
        <v>150.4</v>
      </c>
      <c r="DI51" s="710">
        <f>Ausgabe!$C$247</f>
        <v>1.1000000000000001</v>
      </c>
      <c r="DJ51" s="619">
        <f>Ausgabe!$C$254</f>
        <v>176.4</v>
      </c>
      <c r="DK51" s="710">
        <f>Ausgabe!$C$255</f>
        <v>1.25</v>
      </c>
      <c r="DL51" s="619">
        <f>Ausgabe!$C$263</f>
        <v>180.95573684677208</v>
      </c>
      <c r="DM51" s="710">
        <f>Ausgabe!$C$264</f>
        <v>1.1000000000000001</v>
      </c>
      <c r="DN51" s="619">
        <f t="shared" ca="1" si="56"/>
        <v>42.662986322951689</v>
      </c>
      <c r="DO51" s="619" t="e">
        <f t="shared" ca="1" si="57"/>
        <v>#DIV/0!</v>
      </c>
      <c r="DP51" s="833" t="e">
        <f t="shared" ca="1" si="58"/>
        <v>#DIV/0!</v>
      </c>
      <c r="DQ51" s="822" t="e">
        <f ca="1">Ausgabe!$C$369</f>
        <v>#DIV/0!</v>
      </c>
      <c r="DR51" s="828">
        <f>Ausgabe!$C$370</f>
        <v>1.3</v>
      </c>
      <c r="DS51" s="829" t="e">
        <f t="shared" ca="1" si="59"/>
        <v>#DIV/0!</v>
      </c>
      <c r="DT51" s="829" t="e">
        <f t="shared" ca="1" si="60"/>
        <v>#DIV/0!</v>
      </c>
      <c r="DU51" s="830" t="e">
        <f t="shared" ca="1" si="61"/>
        <v>#DIV/0!</v>
      </c>
      <c r="DV51" s="822">
        <f ca="1">Ausgabe!$C$420</f>
        <v>33.607770254588836</v>
      </c>
      <c r="DW51" s="828">
        <f>Ausgabe!$C$421</f>
        <v>1.3</v>
      </c>
      <c r="DX51" s="829">
        <f>Ausgabe!$C$423</f>
        <v>36.9</v>
      </c>
      <c r="DY51" s="828">
        <f>Ausgabe!$C$424</f>
        <v>1.1000000000000001</v>
      </c>
      <c r="DZ51" s="829">
        <f t="shared" ca="1" si="62"/>
        <v>15.511278579041001</v>
      </c>
      <c r="EA51" s="829">
        <f t="shared" si="77"/>
        <v>0</v>
      </c>
      <c r="EB51" s="830">
        <f t="shared" ca="1" si="63"/>
        <v>0</v>
      </c>
      <c r="EC51" s="828" t="e">
        <f ca="1">IF(CJ51=_oben,Berechnung_BZoben!$AN$5,Berechnung_BZunten!$AN$5)</f>
        <v>#DIV/0!</v>
      </c>
      <c r="ED51" s="828">
        <f>Ausgabe!$C$520</f>
        <v>1.3</v>
      </c>
      <c r="EE51" s="828" t="e">
        <f t="shared" ca="1" si="64"/>
        <v>#DIV/0!</v>
      </c>
      <c r="EF51" s="828" t="e">
        <f t="shared" ca="1" si="65"/>
        <v>#DIV/0!</v>
      </c>
      <c r="EG51" s="830" t="e">
        <f t="shared" ca="1" si="66"/>
        <v>#DIV/0!</v>
      </c>
      <c r="EH51" s="828">
        <f>Ausgabe!$C$592</f>
        <v>2.7</v>
      </c>
      <c r="EI51" s="828">
        <f>Ausgabe!$C$593</f>
        <v>1.3</v>
      </c>
      <c r="EJ51" s="828">
        <f t="shared" si="78"/>
        <v>1.2461538461538462</v>
      </c>
      <c r="EK51" s="828">
        <f t="shared" si="79"/>
        <v>0</v>
      </c>
      <c r="EL51" s="830">
        <f t="shared" si="80"/>
        <v>0</v>
      </c>
      <c r="EM51" s="822">
        <f ca="1">Ausgabe!$C$581</f>
        <v>0</v>
      </c>
      <c r="EN51" s="828" t="e">
        <f t="shared" ca="1" si="67"/>
        <v>#DIV/0!</v>
      </c>
      <c r="EO51" s="1477"/>
      <c r="EP51" s="828" t="e">
        <f t="shared" ref="EP51:EP64" ca="1" si="84">EN51</f>
        <v>#DIV/0!</v>
      </c>
      <c r="EQ51" s="830" t="e">
        <f t="shared" ca="1" si="70"/>
        <v>#DIV/0!</v>
      </c>
      <c r="ER51" s="891" t="e">
        <f t="shared" ca="1" si="71"/>
        <v>#DIV/0!</v>
      </c>
    </row>
    <row r="52" spans="1:148">
      <c r="H52" s="508"/>
      <c r="O52" s="649"/>
      <c r="P52" s="649"/>
      <c r="Q52" s="649"/>
      <c r="R52" s="649"/>
      <c r="AT52" s="500"/>
      <c r="AU52" s="500"/>
      <c r="AV52" s="500"/>
      <c r="BJ52" s="649"/>
      <c r="BL52" s="712" t="str">
        <f>Sprachtexte!A231</f>
        <v>Druckzonenverstärkung</v>
      </c>
      <c r="BM52" s="600" t="e" vm="17">
        <v>#VALUE!</v>
      </c>
      <c r="BR52" s="1205" t="e">
        <f t="shared" ca="1" si="43"/>
        <v>#DIV/0!</v>
      </c>
      <c r="BS52" s="1205" t="s">
        <v>1032</v>
      </c>
      <c r="BT52" s="571" t="s">
        <v>970</v>
      </c>
      <c r="BU52" s="649">
        <f>IF(OR(B239&lt;&gt;0,C239&lt;&gt;0,D239&lt;&gt;0,E239&lt;&gt;0,G239&lt;&gt;0),1,0)</f>
        <v>1</v>
      </c>
      <c r="BV52" s="619">
        <f>$BU$20*(1.35*B$99+1.5*B$100)</f>
        <v>0</v>
      </c>
      <c r="BW52" s="619">
        <f>$BU$20*(1.35*C$99+1.5*C$100)</f>
        <v>0</v>
      </c>
      <c r="BX52" s="619">
        <f>$BU$20*(1.35*D$99+1.5*D$100)</f>
        <v>0</v>
      </c>
      <c r="BY52" s="619">
        <f>$BU$20*(1.35*E$99+1.5*E$100)</f>
        <v>0</v>
      </c>
      <c r="BZ52" s="619">
        <f>$BU$20*(1.35*G$99+1.5*G$100)</f>
        <v>0</v>
      </c>
      <c r="CA52" s="833">
        <f>VLOOKUP($A$80,MKW!$A$50:$E$60,4,FALSE)</f>
        <v>0.3</v>
      </c>
      <c r="CB52" s="821" t="e">
        <f t="shared" ca="1" si="44"/>
        <v>#DIV/0!</v>
      </c>
      <c r="CC52" s="619" t="str">
        <f t="shared" si="81"/>
        <v>unten</v>
      </c>
      <c r="CD52" s="834" t="e">
        <f ca="1">IF(CC52=_oben,Berechnung_BZoben!$AQ$8,Berechnung_BZunten!$AQ$8)</f>
        <v>#DIV/0!</v>
      </c>
      <c r="CE52" s="834" t="e">
        <f ca="1">CD52*2/(3*(1+2*Eingabe!CA52*Eingabe!$D$76))</f>
        <v>#DIV/0!</v>
      </c>
      <c r="CF52" s="710" t="e">
        <f ca="1">IF($C$86=Sprachtexte!$A$87,
-CE52*$C$87^3*BW52/(12*CE52*$C$87+24*$CF$2)+BX52*$BY$1*$CA$1/(6*$CF$2)*(($BY$1-$C$87-2*$CA$1)/(6*$CF$2)-1/CE52-$CA$1/(CE52*$C$87))/(($C$87/(3*$CF$2)+1/CE52)^2-($C$87/(6*$CF$2))^2),
-CE52*$C$87^3*BW52/(8*CE52*$C$87+24*$CF$2)-CE52*$CA$1/$C$87*($C$87^2-$CA$1^2)*BX52/(2*CE52*$C$87+6*$CF$2))</f>
        <v>#DIV/0!</v>
      </c>
      <c r="CG52" s="710" t="e">
        <f t="shared" ca="1" si="72"/>
        <v>#DIV/0!</v>
      </c>
      <c r="CH52" s="835">
        <f t="shared" ca="1" si="46"/>
        <v>0</v>
      </c>
      <c r="CI52" s="821" t="e">
        <f t="shared" ca="1" si="47"/>
        <v>#DIV/0!</v>
      </c>
      <c r="CJ52" s="619" t="str">
        <f t="shared" si="82"/>
        <v>unten</v>
      </c>
      <c r="CK52" s="834" t="e">
        <f ca="1">IF(CJ52=_oben,Berechnung_BZoben!$AQ$8,Berechnung_BZunten!$AQ$8)</f>
        <v>#DIV/0!</v>
      </c>
      <c r="CL52" s="834" t="e">
        <f ca="1">CK52*2/(3*(1+2*Eingabe!CA52*Eingabe!$D$76))</f>
        <v>#DIV/0!</v>
      </c>
      <c r="CM52" s="710" t="e">
        <f ca="1">IF($C$86=Sprachtexte!$A$87,
-CL52*$C$87^3*BW52/(12*CE52*$C$87+24*$CF$2)+BX52*$CA$1*$BY$1/(6*$CF$2)*(($CA$1-$C$87-2*$BY$1)/(6*$CF$2)-1/CE52-$BY$1/(CE52*$C$87))/(($C$87/(3*$CF$2)+1/CE52)^2-($C$87/(6*$CF$2))^2),0)</f>
        <v>#DIV/0!</v>
      </c>
      <c r="CN52" s="710" t="e">
        <f t="shared" ca="1" si="49"/>
        <v>#DIV/0!</v>
      </c>
      <c r="CO52" s="835">
        <f t="shared" ca="1" si="50"/>
        <v>0</v>
      </c>
      <c r="CP52" s="849">
        <f t="shared" si="73"/>
        <v>0</v>
      </c>
      <c r="CQ52" s="710" t="e">
        <f t="shared" ca="1" si="51"/>
        <v>#DIV/0!</v>
      </c>
      <c r="CR52" s="710" t="e">
        <f t="shared" ca="1" si="52"/>
        <v>#DIV/0!</v>
      </c>
      <c r="CS52" s="710">
        <f t="shared" si="74"/>
        <v>0</v>
      </c>
      <c r="CT52" s="710" t="e">
        <f t="shared" ca="1" si="83"/>
        <v>#DIV/0!</v>
      </c>
      <c r="CU52" s="710">
        <f t="shared" si="75"/>
        <v>0</v>
      </c>
      <c r="CV52" s="833">
        <f>MAX($C$79,$C$80)</f>
        <v>0.8</v>
      </c>
      <c r="CW52" s="821" t="e">
        <f ca="1">MIN(Ausgabe!$C$173,Ausgabe!$C$186)</f>
        <v>#DIV/0!</v>
      </c>
      <c r="CX52" s="710">
        <f>Ausgabe!$C$187</f>
        <v>1.3</v>
      </c>
      <c r="CY52" s="619">
        <f>Ausgabe!$C$191</f>
        <v>100</v>
      </c>
      <c r="CZ52" s="710">
        <f>Ausgabe!$C$192</f>
        <v>1.25</v>
      </c>
      <c r="DA52" s="619">
        <f>Ausgabe!$C$194</f>
        <v>36.6</v>
      </c>
      <c r="DB52" s="710">
        <f>Ausgabe!$C$195</f>
        <v>1.25</v>
      </c>
      <c r="DC52" s="619" t="e">
        <f t="shared" ca="1" si="54"/>
        <v>#DIV/0!</v>
      </c>
      <c r="DD52" s="619">
        <f t="shared" si="76"/>
        <v>0</v>
      </c>
      <c r="DE52" s="710" t="e">
        <f t="shared" ca="1" si="55"/>
        <v>#DIV/0!</v>
      </c>
      <c r="DF52" s="821">
        <f ca="1">MIN(Ausgabe!$C$221,Ausgabe!$C$239)</f>
        <v>92.436470366395326</v>
      </c>
      <c r="DG52" s="710">
        <f>Ausgabe!$C$240</f>
        <v>1.3</v>
      </c>
      <c r="DH52" s="619">
        <f>Ausgabe!$C$246</f>
        <v>150.4</v>
      </c>
      <c r="DI52" s="710">
        <f>Ausgabe!$C$247</f>
        <v>1.1000000000000001</v>
      </c>
      <c r="DJ52" s="619">
        <f>Ausgabe!$C$254</f>
        <v>176.4</v>
      </c>
      <c r="DK52" s="710">
        <f>Ausgabe!$C$255</f>
        <v>1.25</v>
      </c>
      <c r="DL52" s="619">
        <f>Ausgabe!$C$263</f>
        <v>180.95573684677208</v>
      </c>
      <c r="DM52" s="710">
        <f>Ausgabe!$C$264</f>
        <v>1.1000000000000001</v>
      </c>
      <c r="DN52" s="619">
        <f t="shared" ca="1" si="56"/>
        <v>56.883981763935587</v>
      </c>
      <c r="DO52" s="619" t="e">
        <f t="shared" ca="1" si="57"/>
        <v>#DIV/0!</v>
      </c>
      <c r="DP52" s="833" t="e">
        <f t="shared" ca="1" si="58"/>
        <v>#DIV/0!</v>
      </c>
      <c r="DQ52" s="821" t="e">
        <f ca="1">Ausgabe!$C$369</f>
        <v>#DIV/0!</v>
      </c>
      <c r="DR52" s="710">
        <f>Ausgabe!$C$370</f>
        <v>1.3</v>
      </c>
      <c r="DS52" s="619" t="e">
        <f t="shared" ca="1" si="59"/>
        <v>#DIV/0!</v>
      </c>
      <c r="DT52" s="619" t="e">
        <f t="shared" ca="1" si="60"/>
        <v>#DIV/0!</v>
      </c>
      <c r="DU52" s="833" t="e">
        <f t="shared" ca="1" si="61"/>
        <v>#DIV/0!</v>
      </c>
      <c r="DV52" s="821">
        <f ca="1">Ausgabe!$C$420</f>
        <v>33.607770254588836</v>
      </c>
      <c r="DW52" s="710">
        <f>Ausgabe!$C$421</f>
        <v>1.3</v>
      </c>
      <c r="DX52" s="619">
        <f>Ausgabe!$C$423</f>
        <v>36.9</v>
      </c>
      <c r="DY52" s="710">
        <f>Ausgabe!$C$424</f>
        <v>1.1000000000000001</v>
      </c>
      <c r="DZ52" s="619">
        <f t="shared" ca="1" si="62"/>
        <v>20.681704772054669</v>
      </c>
      <c r="EA52" s="619">
        <f t="shared" si="77"/>
        <v>0</v>
      </c>
      <c r="EB52" s="833">
        <f t="shared" ca="1" si="63"/>
        <v>0</v>
      </c>
      <c r="EC52" s="710" t="e">
        <f ca="1">IF(CJ52=_oben,Berechnung_BZoben!$AN$5,Berechnung_BZunten!$AN$5)</f>
        <v>#DIV/0!</v>
      </c>
      <c r="ED52" s="710">
        <f>Ausgabe!$C$520</f>
        <v>1.3</v>
      </c>
      <c r="EE52" s="710" t="e">
        <f t="shared" ca="1" si="64"/>
        <v>#DIV/0!</v>
      </c>
      <c r="EF52" s="710" t="e">
        <f t="shared" ca="1" si="65"/>
        <v>#DIV/0!</v>
      </c>
      <c r="EG52" s="833" t="e">
        <f t="shared" ca="1" si="66"/>
        <v>#DIV/0!</v>
      </c>
      <c r="EH52" s="710">
        <f>Ausgabe!$C$592</f>
        <v>2.7</v>
      </c>
      <c r="EI52" s="710">
        <f>Ausgabe!$C$593</f>
        <v>1.3</v>
      </c>
      <c r="EJ52" s="710">
        <f t="shared" si="78"/>
        <v>1.6615384615384616</v>
      </c>
      <c r="EK52" s="710">
        <f t="shared" si="79"/>
        <v>0</v>
      </c>
      <c r="EL52" s="833">
        <f t="shared" si="80"/>
        <v>0</v>
      </c>
      <c r="EM52" s="821">
        <f ca="1">Ausgabe!$C$581</f>
        <v>0</v>
      </c>
      <c r="EN52" s="710" t="e">
        <f t="shared" ca="1" si="67"/>
        <v>#DIV/0!</v>
      </c>
      <c r="EO52" s="1478"/>
      <c r="EP52" s="710" t="e">
        <f t="shared" ca="1" si="84"/>
        <v>#DIV/0!</v>
      </c>
      <c r="EQ52" s="833" t="e">
        <f t="shared" ca="1" si="70"/>
        <v>#DIV/0!</v>
      </c>
      <c r="ER52" s="889" t="e">
        <f t="shared" ca="1" si="71"/>
        <v>#DIV/0!</v>
      </c>
    </row>
    <row r="53" spans="1:148">
      <c r="A53" s="609" t="str">
        <f>Sprachtexte!A41</f>
        <v>MEGANT-Verbinder</v>
      </c>
      <c r="C53" s="1361" t="s">
        <v>333</v>
      </c>
      <c r="D53" s="507" t="s">
        <v>879</v>
      </c>
      <c r="E53" s="610"/>
      <c r="H53" s="508"/>
      <c r="O53" s="649"/>
      <c r="P53" s="649"/>
      <c r="Q53" s="649"/>
      <c r="R53" s="649"/>
      <c r="AT53" s="500"/>
      <c r="AU53" s="500"/>
      <c r="AV53" s="500"/>
      <c r="BJ53" s="649"/>
      <c r="BL53" s="631"/>
      <c r="BR53" s="1205" t="e">
        <f t="shared" ca="1" si="43"/>
        <v>#DIV/0!</v>
      </c>
      <c r="BS53" s="1205" t="s">
        <v>1033</v>
      </c>
      <c r="BT53" s="571" t="s">
        <v>971</v>
      </c>
      <c r="BU53" s="649">
        <f>IF(OR(B240&lt;&gt;0,C240&lt;&gt;0,D240&lt;&gt;0,E240&lt;&gt;0,G240&lt;&gt;0),1,0)</f>
        <v>0</v>
      </c>
      <c r="BV53" s="619">
        <f>$BU$21*(1.35*B$99+1.5*B$101)</f>
        <v>0</v>
      </c>
      <c r="BW53" s="619">
        <f>$BU$21*(1.35*C$99+1.5*C$101)</f>
        <v>0</v>
      </c>
      <c r="BX53" s="619">
        <f>$BU$21*(1.35*D$99+1.5*D$101)</f>
        <v>0</v>
      </c>
      <c r="BY53" s="619">
        <f>$BU$21*(1.35*E$99+1.5*E$101)</f>
        <v>0</v>
      </c>
      <c r="BZ53" s="619">
        <f>$BU$21*(1.35*G$99+1.5*G$101)</f>
        <v>0</v>
      </c>
      <c r="CA53" s="833">
        <f>VLOOKUP($A$81,MKW!$A$50:$E$60,4,FALSE)</f>
        <v>0</v>
      </c>
      <c r="CB53" s="821" t="e">
        <f t="shared" ca="1" si="44"/>
        <v>#DIV/0!</v>
      </c>
      <c r="CC53" s="619" t="str">
        <f t="shared" si="81"/>
        <v>unten</v>
      </c>
      <c r="CD53" s="834" t="e">
        <f ca="1">IF(CC53=_oben,Berechnung_BZoben!$AQ$8,Berechnung_BZunten!$AQ$8)</f>
        <v>#DIV/0!</v>
      </c>
      <c r="CE53" s="834" t="e">
        <f ca="1">CD53*2/(3*(1+2*Eingabe!CA53*Eingabe!$D$76))</f>
        <v>#DIV/0!</v>
      </c>
      <c r="CF53" s="710" t="e">
        <f ca="1">IF($C$86=Sprachtexte!$A$87,
-CE53*$C$87^3*BW53/(12*CE53*$C$87+24*$CF$2)+BX53*$BY$1*$CA$1/(6*$CF$2)*(($BY$1-$C$87-2*$CA$1)/(6*$CF$2)-1/CE53-$CA$1/(CE53*$C$87))/(($C$87/(3*$CF$2)+1/CE53)^2-($C$87/(6*$CF$2))^2),
-CE53*$C$87^3*BW53/(8*CE53*$C$87+24*$CF$2)-CE53*$CA$1/$C$87*($C$87^2-$CA$1^2)*BX53/(2*CE53*$C$87+6*$CF$2))</f>
        <v>#DIV/0!</v>
      </c>
      <c r="CG53" s="710" t="e">
        <f t="shared" ca="1" si="72"/>
        <v>#DIV/0!</v>
      </c>
      <c r="CH53" s="835">
        <f t="shared" ca="1" si="46"/>
        <v>0</v>
      </c>
      <c r="CI53" s="821" t="e">
        <f t="shared" ca="1" si="47"/>
        <v>#DIV/0!</v>
      </c>
      <c r="CJ53" s="619" t="str">
        <f t="shared" si="82"/>
        <v>unten</v>
      </c>
      <c r="CK53" s="834" t="e">
        <f ca="1">IF(CJ53=_oben,Berechnung_BZoben!$AQ$8,Berechnung_BZunten!$AQ$8)</f>
        <v>#DIV/0!</v>
      </c>
      <c r="CL53" s="834" t="e">
        <f ca="1">CK53*2/(3*(1+2*Eingabe!CA53*Eingabe!$D$76))</f>
        <v>#DIV/0!</v>
      </c>
      <c r="CM53" s="710" t="e">
        <f ca="1">IF($C$86=Sprachtexte!$A$87,
-CL53*$C$87^3*BW53/(12*CE53*$C$87+24*$CF$2)+BX53*$CA$1*$BY$1/(6*$CF$2)*(($CA$1-$C$87-2*$BY$1)/(6*$CF$2)-1/CE53-$BY$1/(CE53*$C$87))/(($C$87/(3*$CF$2)+1/CE53)^2-($C$87/(6*$CF$2))^2),0)</f>
        <v>#DIV/0!</v>
      </c>
      <c r="CN53" s="710" t="e">
        <f t="shared" ca="1" si="49"/>
        <v>#DIV/0!</v>
      </c>
      <c r="CO53" s="835">
        <f t="shared" ca="1" si="50"/>
        <v>0</v>
      </c>
      <c r="CP53" s="849">
        <f t="shared" si="73"/>
        <v>0</v>
      </c>
      <c r="CQ53" s="710" t="e">
        <f t="shared" ca="1" si="51"/>
        <v>#DIV/0!</v>
      </c>
      <c r="CR53" s="710" t="e">
        <f t="shared" ca="1" si="52"/>
        <v>#DIV/0!</v>
      </c>
      <c r="CS53" s="710">
        <f t="shared" si="74"/>
        <v>0</v>
      </c>
      <c r="CT53" s="710" t="e">
        <f t="shared" ca="1" si="83"/>
        <v>#DIV/0!</v>
      </c>
      <c r="CU53" s="710">
        <f t="shared" si="75"/>
        <v>0</v>
      </c>
      <c r="CV53" s="833">
        <f>MAX($C$79,$C$81)</f>
        <v>0.9</v>
      </c>
      <c r="CW53" s="821" t="e">
        <f ca="1">MIN(Ausgabe!$C$173,Ausgabe!$C$186)</f>
        <v>#DIV/0!</v>
      </c>
      <c r="CX53" s="710">
        <f>Ausgabe!$C$187</f>
        <v>1.3</v>
      </c>
      <c r="CY53" s="619">
        <f>Ausgabe!$C$191</f>
        <v>100</v>
      </c>
      <c r="CZ53" s="710">
        <f>Ausgabe!$C$192</f>
        <v>1.25</v>
      </c>
      <c r="DA53" s="619">
        <f>Ausgabe!$C$194</f>
        <v>36.6</v>
      </c>
      <c r="DB53" s="710">
        <f>Ausgabe!$C$195</f>
        <v>1.25</v>
      </c>
      <c r="DC53" s="619" t="e">
        <f t="shared" ca="1" si="54"/>
        <v>#DIV/0!</v>
      </c>
      <c r="DD53" s="619">
        <f t="shared" si="76"/>
        <v>0</v>
      </c>
      <c r="DE53" s="710" t="e">
        <f t="shared" ca="1" si="55"/>
        <v>#DIV/0!</v>
      </c>
      <c r="DF53" s="821">
        <f ca="1">MIN(Ausgabe!$C$221,Ausgabe!$C$239)</f>
        <v>92.436470366395326</v>
      </c>
      <c r="DG53" s="710">
        <f>Ausgabe!$C$240</f>
        <v>1.3</v>
      </c>
      <c r="DH53" s="619">
        <f>Ausgabe!$C$246</f>
        <v>150.4</v>
      </c>
      <c r="DI53" s="710">
        <f>Ausgabe!$C$247</f>
        <v>1.1000000000000001</v>
      </c>
      <c r="DJ53" s="619">
        <f>Ausgabe!$C$254</f>
        <v>176.4</v>
      </c>
      <c r="DK53" s="710">
        <f>Ausgabe!$C$255</f>
        <v>1.25</v>
      </c>
      <c r="DL53" s="619">
        <f>Ausgabe!$C$263</f>
        <v>180.95573684677208</v>
      </c>
      <c r="DM53" s="710">
        <f>Ausgabe!$C$264</f>
        <v>1.1000000000000001</v>
      </c>
      <c r="DN53" s="619">
        <f t="shared" ca="1" si="56"/>
        <v>63.994479484427536</v>
      </c>
      <c r="DO53" s="619" t="e">
        <f t="shared" ca="1" si="57"/>
        <v>#DIV/0!</v>
      </c>
      <c r="DP53" s="833" t="e">
        <f t="shared" ca="1" si="58"/>
        <v>#DIV/0!</v>
      </c>
      <c r="DQ53" s="821" t="e">
        <f ca="1">Ausgabe!$C$369</f>
        <v>#DIV/0!</v>
      </c>
      <c r="DR53" s="710">
        <f>Ausgabe!$C$370</f>
        <v>1.3</v>
      </c>
      <c r="DS53" s="619" t="e">
        <f t="shared" ca="1" si="59"/>
        <v>#DIV/0!</v>
      </c>
      <c r="DT53" s="619" t="e">
        <f t="shared" ca="1" si="60"/>
        <v>#DIV/0!</v>
      </c>
      <c r="DU53" s="833" t="e">
        <f t="shared" ca="1" si="61"/>
        <v>#DIV/0!</v>
      </c>
      <c r="DV53" s="821">
        <f ca="1">Ausgabe!$C$420</f>
        <v>33.607770254588836</v>
      </c>
      <c r="DW53" s="710">
        <f>Ausgabe!$C$421</f>
        <v>1.3</v>
      </c>
      <c r="DX53" s="619">
        <f>Ausgabe!$C$423</f>
        <v>36.9</v>
      </c>
      <c r="DY53" s="710">
        <f>Ausgabe!$C$424</f>
        <v>1.1000000000000001</v>
      </c>
      <c r="DZ53" s="619">
        <f t="shared" ca="1" si="62"/>
        <v>23.266917868561499</v>
      </c>
      <c r="EA53" s="619">
        <f t="shared" si="77"/>
        <v>0</v>
      </c>
      <c r="EB53" s="833">
        <f t="shared" ca="1" si="63"/>
        <v>0</v>
      </c>
      <c r="EC53" s="710" t="e">
        <f ca="1">IF(CJ53=_oben,Berechnung_BZoben!$AN$5,Berechnung_BZunten!$AN$5)</f>
        <v>#DIV/0!</v>
      </c>
      <c r="ED53" s="710">
        <f>Ausgabe!$C$520</f>
        <v>1.3</v>
      </c>
      <c r="EE53" s="710" t="e">
        <f t="shared" ca="1" si="64"/>
        <v>#DIV/0!</v>
      </c>
      <c r="EF53" s="710" t="e">
        <f t="shared" ca="1" si="65"/>
        <v>#DIV/0!</v>
      </c>
      <c r="EG53" s="833" t="e">
        <f t="shared" ca="1" si="66"/>
        <v>#DIV/0!</v>
      </c>
      <c r="EH53" s="710">
        <f>Ausgabe!$C$592</f>
        <v>2.7</v>
      </c>
      <c r="EI53" s="710">
        <f>Ausgabe!$C$593</f>
        <v>1.3</v>
      </c>
      <c r="EJ53" s="710">
        <f t="shared" si="78"/>
        <v>1.8692307692307693</v>
      </c>
      <c r="EK53" s="710">
        <f t="shared" si="79"/>
        <v>0</v>
      </c>
      <c r="EL53" s="833">
        <f t="shared" si="80"/>
        <v>0</v>
      </c>
      <c r="EM53" s="821">
        <f ca="1">Ausgabe!$C$581</f>
        <v>0</v>
      </c>
      <c r="EN53" s="710" t="e">
        <f t="shared" ca="1" si="67"/>
        <v>#DIV/0!</v>
      </c>
      <c r="EO53" s="1478"/>
      <c r="EP53" s="710" t="e">
        <f t="shared" ca="1" si="84"/>
        <v>#DIV/0!</v>
      </c>
      <c r="EQ53" s="833" t="e">
        <f t="shared" ca="1" si="70"/>
        <v>#DIV/0!</v>
      </c>
      <c r="ER53" s="889" t="e">
        <f t="shared" ca="1" si="71"/>
        <v>#DIV/0!</v>
      </c>
    </row>
    <row r="54" spans="1:148">
      <c r="A54" s="609" t="str">
        <f>Sprachtexte!A42</f>
        <v>Anschluss der unteren Spannbacke im</v>
      </c>
      <c r="C54" s="1361" t="s">
        <v>1118</v>
      </c>
      <c r="D54" s="507" t="str">
        <f>IF(C54=BP32,Sprachtexte!A45,IF(C54=BP33,Sprachtexte!A46,NA()))</f>
        <v>untere Spannbacke im Hauptträger/Stütze</v>
      </c>
      <c r="O54" s="649"/>
      <c r="P54" s="649"/>
      <c r="Q54" s="649"/>
      <c r="AT54" s="500"/>
      <c r="AU54" s="500"/>
      <c r="AV54" s="500"/>
      <c r="BJ54" s="649"/>
      <c r="BL54" s="631"/>
      <c r="BR54" s="1205" t="e">
        <f t="shared" ca="1" si="43"/>
        <v>#DIV/0!</v>
      </c>
      <c r="BS54" s="1205" t="s">
        <v>1034</v>
      </c>
      <c r="BT54" s="571" t="s">
        <v>972</v>
      </c>
      <c r="BU54" s="649">
        <f>IF(OR(B241&lt;&gt;0,C241&lt;&gt;0,D241&lt;&gt;0,E241&lt;&gt;0,G241&lt;&gt;0),1,0)</f>
        <v>0</v>
      </c>
      <c r="BV54" s="619">
        <f>$BU$22*(1*B$99+1.5*B$102)</f>
        <v>0</v>
      </c>
      <c r="BW54" s="619">
        <f>$BU$22*(1*C$99+1.5*C$102)</f>
        <v>0</v>
      </c>
      <c r="BX54" s="619">
        <f>$BU$22*(1*D$99+1.5*D$102)</f>
        <v>0</v>
      </c>
      <c r="BY54" s="619">
        <f>$BU$22*(1*E$99+1.5*E$102)</f>
        <v>0</v>
      </c>
      <c r="BZ54" s="619">
        <f>$BU$22*(1*G$99+1.5*G$102)</f>
        <v>0</v>
      </c>
      <c r="CA54" s="833">
        <f>VLOOKUP($A$82,MKW!$A$50:$E$60,4,FALSE)</f>
        <v>0</v>
      </c>
      <c r="CB54" s="821" t="e">
        <f t="shared" ca="1" si="44"/>
        <v>#DIV/0!</v>
      </c>
      <c r="CC54" s="619" t="str">
        <f t="shared" si="81"/>
        <v>unten</v>
      </c>
      <c r="CD54" s="834" t="e">
        <f ca="1">IF(CC54=_oben,Berechnung_BZoben!$AQ$8,Berechnung_BZunten!$AQ$8)</f>
        <v>#DIV/0!</v>
      </c>
      <c r="CE54" s="834" t="e">
        <f ca="1">CD54*2/(3*(1+2*Eingabe!CA54*Eingabe!$D$76))</f>
        <v>#DIV/0!</v>
      </c>
      <c r="CF54" s="710" t="e">
        <f ca="1">IF($C$86=Sprachtexte!$A$87,
-CE54*$C$87^3*BW54/(12*CE54*$C$87+24*$CF$2)+BX54*$BY$1*$CA$1/(6*$CF$2)*(($BY$1-$C$87-2*$CA$1)/(6*$CF$2)-1/CE54-$CA$1/(CE54*$C$87))/(($C$87/(3*$CF$2)+1/CE54)^2-($C$87/(6*$CF$2))^2),
-CE54*$C$87^3*BW54/(8*CE54*$C$87+24*$CF$2)-CE54*$CA$1/$C$87*($C$87^2-$CA$1^2)*BX54/(2*CE54*$C$87+6*$CF$2))</f>
        <v>#DIV/0!</v>
      </c>
      <c r="CG54" s="710" t="e">
        <f t="shared" ca="1" si="72"/>
        <v>#DIV/0!</v>
      </c>
      <c r="CH54" s="835">
        <f t="shared" ca="1" si="46"/>
        <v>0</v>
      </c>
      <c r="CI54" s="821" t="e">
        <f t="shared" ca="1" si="47"/>
        <v>#DIV/0!</v>
      </c>
      <c r="CJ54" s="619" t="str">
        <f t="shared" si="82"/>
        <v>unten</v>
      </c>
      <c r="CK54" s="834" t="e">
        <f ca="1">IF(CJ54=_oben,Berechnung_BZoben!$AQ$8,Berechnung_BZunten!$AQ$8)</f>
        <v>#DIV/0!</v>
      </c>
      <c r="CL54" s="834" t="e">
        <f ca="1">CK54*2/(3*(1+2*Eingabe!CA54*Eingabe!$D$76))</f>
        <v>#DIV/0!</v>
      </c>
      <c r="CM54" s="710" t="e">
        <f ca="1">IF($C$86=Sprachtexte!$A$87,
-CL54*$C$87^3*BW54/(12*CE54*$C$87+24*$CF$2)+BX54*$CA$1*$BY$1/(6*$CF$2)*(($CA$1-$C$87-2*$BY$1)/(6*$CF$2)-1/CE54-$BY$1/(CE54*$C$87))/(($C$87/(3*$CF$2)+1/CE54)^2-($C$87/(6*$CF$2))^2),0)</f>
        <v>#DIV/0!</v>
      </c>
      <c r="CN54" s="710" t="e">
        <f t="shared" ca="1" si="49"/>
        <v>#DIV/0!</v>
      </c>
      <c r="CO54" s="835">
        <f t="shared" ca="1" si="50"/>
        <v>0</v>
      </c>
      <c r="CP54" s="849">
        <f t="shared" si="73"/>
        <v>0</v>
      </c>
      <c r="CQ54" s="710" t="e">
        <f t="shared" ca="1" si="51"/>
        <v>#DIV/0!</v>
      </c>
      <c r="CR54" s="710" t="e">
        <f t="shared" ca="1" si="52"/>
        <v>#DIV/0!</v>
      </c>
      <c r="CS54" s="710">
        <f t="shared" si="74"/>
        <v>0</v>
      </c>
      <c r="CT54" s="710" t="e">
        <f t="shared" ca="1" si="83"/>
        <v>#DIV/0!</v>
      </c>
      <c r="CU54" s="710">
        <f t="shared" si="75"/>
        <v>0</v>
      </c>
      <c r="CV54" s="833">
        <f>MAX($C$79,$C$82)</f>
        <v>1</v>
      </c>
      <c r="CW54" s="821" t="e">
        <f ca="1">MIN(Ausgabe!$C$173,Ausgabe!$C$186)</f>
        <v>#DIV/0!</v>
      </c>
      <c r="CX54" s="710">
        <f>Ausgabe!$C$187</f>
        <v>1.3</v>
      </c>
      <c r="CY54" s="619">
        <f>Ausgabe!$C$191</f>
        <v>100</v>
      </c>
      <c r="CZ54" s="710">
        <f>Ausgabe!$C$192</f>
        <v>1.25</v>
      </c>
      <c r="DA54" s="619">
        <f>Ausgabe!$C$194</f>
        <v>36.6</v>
      </c>
      <c r="DB54" s="710">
        <f>Ausgabe!$C$195</f>
        <v>1.25</v>
      </c>
      <c r="DC54" s="619" t="e">
        <f t="shared" ca="1" si="54"/>
        <v>#DIV/0!</v>
      </c>
      <c r="DD54" s="619">
        <f t="shared" si="76"/>
        <v>0</v>
      </c>
      <c r="DE54" s="710" t="e">
        <f t="shared" ca="1" si="55"/>
        <v>#DIV/0!</v>
      </c>
      <c r="DF54" s="821">
        <f ca="1">MIN(Ausgabe!$C$221,Ausgabe!$C$239)</f>
        <v>92.436470366395326</v>
      </c>
      <c r="DG54" s="710">
        <f>Ausgabe!$C$240</f>
        <v>1.3</v>
      </c>
      <c r="DH54" s="619">
        <f>Ausgabe!$C$246</f>
        <v>150.4</v>
      </c>
      <c r="DI54" s="710">
        <f>Ausgabe!$C$247</f>
        <v>1.1000000000000001</v>
      </c>
      <c r="DJ54" s="619">
        <f>Ausgabe!$C$254</f>
        <v>176.4</v>
      </c>
      <c r="DK54" s="710">
        <f>Ausgabe!$C$255</f>
        <v>1.25</v>
      </c>
      <c r="DL54" s="619">
        <f>Ausgabe!$C$263</f>
        <v>180.95573684677208</v>
      </c>
      <c r="DM54" s="710">
        <f>Ausgabe!$C$264</f>
        <v>1.1000000000000001</v>
      </c>
      <c r="DN54" s="619">
        <f t="shared" ca="1" si="56"/>
        <v>71.104977204919479</v>
      </c>
      <c r="DO54" s="619" t="e">
        <f t="shared" ca="1" si="57"/>
        <v>#DIV/0!</v>
      </c>
      <c r="DP54" s="833" t="e">
        <f t="shared" ca="1" si="58"/>
        <v>#DIV/0!</v>
      </c>
      <c r="DQ54" s="821" t="e">
        <f ca="1">Ausgabe!$C$369</f>
        <v>#DIV/0!</v>
      </c>
      <c r="DR54" s="710">
        <f>Ausgabe!$C$370</f>
        <v>1.3</v>
      </c>
      <c r="DS54" s="619" t="e">
        <f t="shared" ca="1" si="59"/>
        <v>#DIV/0!</v>
      </c>
      <c r="DT54" s="619" t="e">
        <f t="shared" ca="1" si="60"/>
        <v>#DIV/0!</v>
      </c>
      <c r="DU54" s="833" t="e">
        <f t="shared" ca="1" si="61"/>
        <v>#DIV/0!</v>
      </c>
      <c r="DV54" s="821">
        <f ca="1">Ausgabe!$C$420</f>
        <v>33.607770254588836</v>
      </c>
      <c r="DW54" s="710">
        <f>Ausgabe!$C$421</f>
        <v>1.3</v>
      </c>
      <c r="DX54" s="619">
        <f>Ausgabe!$C$423</f>
        <v>36.9</v>
      </c>
      <c r="DY54" s="710">
        <f>Ausgabe!$C$424</f>
        <v>1.1000000000000001</v>
      </c>
      <c r="DZ54" s="619">
        <f t="shared" ca="1" si="62"/>
        <v>25.852130965068334</v>
      </c>
      <c r="EA54" s="619">
        <f t="shared" si="77"/>
        <v>0</v>
      </c>
      <c r="EB54" s="833">
        <f t="shared" ca="1" si="63"/>
        <v>0</v>
      </c>
      <c r="EC54" s="710" t="e">
        <f ca="1">IF(CJ54=_oben,Berechnung_BZoben!$AN$5,Berechnung_BZunten!$AN$5)</f>
        <v>#DIV/0!</v>
      </c>
      <c r="ED54" s="710">
        <f>Ausgabe!$C$520</f>
        <v>1.3</v>
      </c>
      <c r="EE54" s="710" t="e">
        <f t="shared" ca="1" si="64"/>
        <v>#DIV/0!</v>
      </c>
      <c r="EF54" s="710" t="e">
        <f t="shared" ca="1" si="65"/>
        <v>#DIV/0!</v>
      </c>
      <c r="EG54" s="833" t="e">
        <f t="shared" ca="1" si="66"/>
        <v>#DIV/0!</v>
      </c>
      <c r="EH54" s="710">
        <f>Ausgabe!$C$592</f>
        <v>2.7</v>
      </c>
      <c r="EI54" s="710">
        <f>Ausgabe!$C$593</f>
        <v>1.3</v>
      </c>
      <c r="EJ54" s="710">
        <f t="shared" si="78"/>
        <v>2.0769230769230771</v>
      </c>
      <c r="EK54" s="710">
        <f t="shared" si="79"/>
        <v>0</v>
      </c>
      <c r="EL54" s="833">
        <f t="shared" si="80"/>
        <v>0</v>
      </c>
      <c r="EM54" s="821">
        <f ca="1">Ausgabe!$C$581</f>
        <v>0</v>
      </c>
      <c r="EN54" s="710" t="e">
        <f t="shared" ca="1" si="67"/>
        <v>#DIV/0!</v>
      </c>
      <c r="EO54" s="1478"/>
      <c r="EP54" s="710" t="e">
        <f t="shared" ca="1" si="84"/>
        <v>#DIV/0!</v>
      </c>
      <c r="EQ54" s="833" t="e">
        <f t="shared" ca="1" si="70"/>
        <v>#DIV/0!</v>
      </c>
      <c r="ER54" s="889" t="e">
        <f t="shared" ca="1" si="71"/>
        <v>#DIV/0!</v>
      </c>
    </row>
    <row r="55" spans="1:148">
      <c r="A55" s="744"/>
      <c r="P55" s="649"/>
      <c r="Q55" s="649"/>
      <c r="AT55" s="500"/>
      <c r="AU55" s="500"/>
      <c r="AV55" s="500"/>
      <c r="BL55" s="631"/>
      <c r="BR55" s="1205" t="e">
        <f t="shared" ca="1" si="43"/>
        <v>#DIV/0!</v>
      </c>
      <c r="BS55" s="1205" t="s">
        <v>1035</v>
      </c>
      <c r="BT55" s="571" t="s">
        <v>973</v>
      </c>
      <c r="BU55" s="649">
        <f>IF(OR(B241&lt;&gt;0,C241&lt;&gt;0,D241&lt;&gt;0,E241&lt;&gt;0,G241&lt;&gt;0),1,0)</f>
        <v>0</v>
      </c>
      <c r="BV55" s="619">
        <f>$BU$23*(1.35*B$99+1.5*B$102)</f>
        <v>0</v>
      </c>
      <c r="BW55" s="619">
        <f>$BU$23*(1.35*C$99+1.5*C$102)</f>
        <v>0</v>
      </c>
      <c r="BX55" s="619">
        <f>$BU$23*(1.35*D$99+1.5*D$102)</f>
        <v>0</v>
      </c>
      <c r="BY55" s="619">
        <f>$BU$23*(1.35*E$99+1.5*E$102)</f>
        <v>0</v>
      </c>
      <c r="BZ55" s="619">
        <f>$BU$23*(1.35*G$99+1.5*G$102)</f>
        <v>0</v>
      </c>
      <c r="CA55" s="833">
        <f>VLOOKUP($A$82,MKW!$A$50:$E$60,4,FALSE)</f>
        <v>0</v>
      </c>
      <c r="CB55" s="821" t="e">
        <f t="shared" ca="1" si="44"/>
        <v>#DIV/0!</v>
      </c>
      <c r="CC55" s="619" t="str">
        <f t="shared" si="81"/>
        <v>unten</v>
      </c>
      <c r="CD55" s="834" t="e">
        <f ca="1">IF(CC55=_oben,Berechnung_BZoben!$AQ$8,Berechnung_BZunten!$AQ$8)</f>
        <v>#DIV/0!</v>
      </c>
      <c r="CE55" s="834" t="e">
        <f ca="1">CD55*2/(3*(1+2*Eingabe!CA55*Eingabe!$D$76))</f>
        <v>#DIV/0!</v>
      </c>
      <c r="CF55" s="710" t="e">
        <f ca="1">IF($C$86=Sprachtexte!$A$87,
-CE55*$C$87^3*BW55/(12*CE55*$C$87+24*$CF$2)+BX55*$BY$1*$CA$1/(6*$CF$2)*(($BY$1-$C$87-2*$CA$1)/(6*$CF$2)-1/CE55-$CA$1/(CE55*$C$87))/(($C$87/(3*$CF$2)+1/CE55)^2-($C$87/(6*$CF$2))^2),
-CE55*$C$87^3*BW55/(8*CE55*$C$87+24*$CF$2)-CE55*$CA$1/$C$87*($C$87^2-$CA$1^2)*BX55/(2*CE55*$C$87+6*$CF$2))</f>
        <v>#DIV/0!</v>
      </c>
      <c r="CG55" s="710" t="e">
        <f t="shared" ca="1" si="72"/>
        <v>#DIV/0!</v>
      </c>
      <c r="CH55" s="835">
        <f t="shared" ca="1" si="46"/>
        <v>0</v>
      </c>
      <c r="CI55" s="821" t="e">
        <f t="shared" ca="1" si="47"/>
        <v>#DIV/0!</v>
      </c>
      <c r="CJ55" s="619" t="str">
        <f t="shared" si="82"/>
        <v>unten</v>
      </c>
      <c r="CK55" s="834" t="e">
        <f ca="1">IF(CJ55=_oben,Berechnung_BZoben!$AQ$8,Berechnung_BZunten!$AQ$8)</f>
        <v>#DIV/0!</v>
      </c>
      <c r="CL55" s="834" t="e">
        <f ca="1">CK55*2/(3*(1+2*Eingabe!CA55*Eingabe!$D$76))</f>
        <v>#DIV/0!</v>
      </c>
      <c r="CM55" s="710" t="e">
        <f ca="1">IF($C$86=Sprachtexte!$A$87,
-CL55*$C$87^3*BW55/(12*CE55*$C$87+24*$CF$2)+BX55*$CA$1*$BY$1/(6*$CF$2)*(($CA$1-$C$87-2*$BY$1)/(6*$CF$2)-1/CE55-$BY$1/(CE55*$C$87))/(($C$87/(3*$CF$2)+1/CE55)^2-($C$87/(6*$CF$2))^2),0)</f>
        <v>#DIV/0!</v>
      </c>
      <c r="CN55" s="710" t="e">
        <f t="shared" ca="1" si="49"/>
        <v>#DIV/0!</v>
      </c>
      <c r="CO55" s="835">
        <f t="shared" ca="1" si="50"/>
        <v>0</v>
      </c>
      <c r="CP55" s="849">
        <f t="shared" si="73"/>
        <v>0</v>
      </c>
      <c r="CQ55" s="710" t="e">
        <f t="shared" ca="1" si="51"/>
        <v>#DIV/0!</v>
      </c>
      <c r="CR55" s="710" t="e">
        <f t="shared" ca="1" si="52"/>
        <v>#DIV/0!</v>
      </c>
      <c r="CS55" s="710">
        <f t="shared" si="74"/>
        <v>0</v>
      </c>
      <c r="CT55" s="710" t="e">
        <f t="shared" ca="1" si="83"/>
        <v>#DIV/0!</v>
      </c>
      <c r="CU55" s="710">
        <f t="shared" si="75"/>
        <v>0</v>
      </c>
      <c r="CV55" s="833">
        <f>MAX($C$79,$C$82)</f>
        <v>1</v>
      </c>
      <c r="CW55" s="821" t="e">
        <f ca="1">MIN(Ausgabe!$C$173,Ausgabe!$C$186)</f>
        <v>#DIV/0!</v>
      </c>
      <c r="CX55" s="710">
        <f>Ausgabe!$C$187</f>
        <v>1.3</v>
      </c>
      <c r="CY55" s="619">
        <f>Ausgabe!$C$191</f>
        <v>100</v>
      </c>
      <c r="CZ55" s="710">
        <f>Ausgabe!$C$192</f>
        <v>1.25</v>
      </c>
      <c r="DA55" s="619">
        <f>Ausgabe!$C$194</f>
        <v>36.6</v>
      </c>
      <c r="DB55" s="710">
        <f>Ausgabe!$C$195</f>
        <v>1.25</v>
      </c>
      <c r="DC55" s="619" t="e">
        <f t="shared" ca="1" si="54"/>
        <v>#DIV/0!</v>
      </c>
      <c r="DD55" s="619">
        <f t="shared" si="76"/>
        <v>0</v>
      </c>
      <c r="DE55" s="710" t="e">
        <f t="shared" ca="1" si="55"/>
        <v>#DIV/0!</v>
      </c>
      <c r="DF55" s="821">
        <f ca="1">MIN(Ausgabe!$C$221,Ausgabe!$C$239)</f>
        <v>92.436470366395326</v>
      </c>
      <c r="DG55" s="710">
        <f>Ausgabe!$C$240</f>
        <v>1.3</v>
      </c>
      <c r="DH55" s="619">
        <f>Ausgabe!$C$246</f>
        <v>150.4</v>
      </c>
      <c r="DI55" s="710">
        <f>Ausgabe!$C$247</f>
        <v>1.1000000000000001</v>
      </c>
      <c r="DJ55" s="619">
        <f>Ausgabe!$C$254</f>
        <v>176.4</v>
      </c>
      <c r="DK55" s="710">
        <f>Ausgabe!$C$255</f>
        <v>1.25</v>
      </c>
      <c r="DL55" s="619">
        <f>Ausgabe!$C$263</f>
        <v>180.95573684677208</v>
      </c>
      <c r="DM55" s="710">
        <f>Ausgabe!$C$264</f>
        <v>1.1000000000000001</v>
      </c>
      <c r="DN55" s="619">
        <f t="shared" ca="1" si="56"/>
        <v>71.104977204919479</v>
      </c>
      <c r="DO55" s="619" t="e">
        <f t="shared" ca="1" si="57"/>
        <v>#DIV/0!</v>
      </c>
      <c r="DP55" s="833" t="e">
        <f t="shared" ca="1" si="58"/>
        <v>#DIV/0!</v>
      </c>
      <c r="DQ55" s="821" t="e">
        <f ca="1">Ausgabe!$C$369</f>
        <v>#DIV/0!</v>
      </c>
      <c r="DR55" s="710">
        <f>Ausgabe!$C$370</f>
        <v>1.3</v>
      </c>
      <c r="DS55" s="619" t="e">
        <f t="shared" ca="1" si="59"/>
        <v>#DIV/0!</v>
      </c>
      <c r="DT55" s="619" t="e">
        <f t="shared" ca="1" si="60"/>
        <v>#DIV/0!</v>
      </c>
      <c r="DU55" s="833" t="e">
        <f t="shared" ca="1" si="61"/>
        <v>#DIV/0!</v>
      </c>
      <c r="DV55" s="821">
        <f ca="1">Ausgabe!$C$420</f>
        <v>33.607770254588836</v>
      </c>
      <c r="DW55" s="710">
        <f>Ausgabe!$C$421</f>
        <v>1.3</v>
      </c>
      <c r="DX55" s="619">
        <f>Ausgabe!$C$423</f>
        <v>36.9</v>
      </c>
      <c r="DY55" s="710">
        <f>Ausgabe!$C$424</f>
        <v>1.1000000000000001</v>
      </c>
      <c r="DZ55" s="619">
        <f t="shared" ca="1" si="62"/>
        <v>25.852130965068334</v>
      </c>
      <c r="EA55" s="619">
        <f t="shared" si="77"/>
        <v>0</v>
      </c>
      <c r="EB55" s="833">
        <f t="shared" ca="1" si="63"/>
        <v>0</v>
      </c>
      <c r="EC55" s="710" t="e">
        <f ca="1">IF(CJ55=_oben,Berechnung_BZoben!$AN$5,Berechnung_BZunten!$AN$5)</f>
        <v>#DIV/0!</v>
      </c>
      <c r="ED55" s="710">
        <f>Ausgabe!$C$520</f>
        <v>1.3</v>
      </c>
      <c r="EE55" s="710" t="e">
        <f t="shared" ca="1" si="64"/>
        <v>#DIV/0!</v>
      </c>
      <c r="EF55" s="710" t="e">
        <f t="shared" ca="1" si="65"/>
        <v>#DIV/0!</v>
      </c>
      <c r="EG55" s="833" t="e">
        <f t="shared" ca="1" si="66"/>
        <v>#DIV/0!</v>
      </c>
      <c r="EH55" s="710">
        <f>Ausgabe!$C$592</f>
        <v>2.7</v>
      </c>
      <c r="EI55" s="710">
        <f>Ausgabe!$C$593</f>
        <v>1.3</v>
      </c>
      <c r="EJ55" s="710">
        <f t="shared" si="78"/>
        <v>2.0769230769230771</v>
      </c>
      <c r="EK55" s="710">
        <f t="shared" si="79"/>
        <v>0</v>
      </c>
      <c r="EL55" s="833">
        <f t="shared" si="80"/>
        <v>0</v>
      </c>
      <c r="EM55" s="821">
        <f ca="1">Ausgabe!$C$581</f>
        <v>0</v>
      </c>
      <c r="EN55" s="710" t="e">
        <f t="shared" ca="1" si="67"/>
        <v>#DIV/0!</v>
      </c>
      <c r="EO55" s="1478"/>
      <c r="EP55" s="710" t="e">
        <f t="shared" ca="1" si="84"/>
        <v>#DIV/0!</v>
      </c>
      <c r="EQ55" s="833" t="e">
        <f t="shared" ca="1" si="70"/>
        <v>#DIV/0!</v>
      </c>
      <c r="ER55" s="889" t="e">
        <f t="shared" ca="1" si="71"/>
        <v>#DIV/0!</v>
      </c>
    </row>
    <row r="56" spans="1:148">
      <c r="A56" s="678" t="str">
        <f>Sprachtexte!A47</f>
        <v>Schraubenanordnung</v>
      </c>
      <c r="B56" s="1497" t="str">
        <f>Sprachtexte!A48</f>
        <v>Anzahl</v>
      </c>
      <c r="C56" s="1497"/>
      <c r="D56" s="1460" t="str">
        <f>Sprachtexte!A49</f>
        <v>Schraubentyp und -abmessungen</v>
      </c>
      <c r="E56" s="1460"/>
      <c r="F56" s="1460"/>
      <c r="G56" s="1460"/>
      <c r="AT56" s="500"/>
      <c r="AU56" s="500"/>
      <c r="AV56" s="500"/>
      <c r="BL56" s="631"/>
      <c r="BR56" s="1205" t="e">
        <f t="shared" ca="1" si="43"/>
        <v>#DIV/0!</v>
      </c>
      <c r="BS56" s="1205" t="s">
        <v>1036</v>
      </c>
      <c r="BT56" s="571" t="s">
        <v>974</v>
      </c>
      <c r="BU56" s="649">
        <f>IF(OR(B239&lt;&gt;0,C239&lt;&gt;0,D239&lt;&gt;0,E239&lt;&gt;0,G239&lt;&gt;0),1,0)</f>
        <v>1</v>
      </c>
      <c r="BV56" s="619">
        <f>$BU$24*(1.35*B$99+1.5*B$100+1.5*$E$81*B$101)</f>
        <v>0</v>
      </c>
      <c r="BW56" s="619">
        <f>$BU$24*(1.35*C$99+1.5*C$100+1.5*$E$81*C$101)</f>
        <v>0</v>
      </c>
      <c r="BX56" s="619">
        <f>$BU$24*(1.35*D$99+1.5*D$100+1.5*$E$81*D$101)</f>
        <v>0</v>
      </c>
      <c r="BY56" s="619">
        <f>$BU$24*(1.35*E$99+1.5*E$100+1.5*$E$81*E$101)</f>
        <v>0</v>
      </c>
      <c r="BZ56" s="619">
        <f>$BU$24*(1.35*G$99+1.5*G$100+1.5*$E$81*G$101)</f>
        <v>0</v>
      </c>
      <c r="CA56" s="833">
        <f>VLOOKUP($A$80,MKW!$A$50:$E$60,4,FALSE)</f>
        <v>0.3</v>
      </c>
      <c r="CB56" s="821" t="e">
        <f t="shared" ca="1" si="44"/>
        <v>#DIV/0!</v>
      </c>
      <c r="CC56" s="619" t="str">
        <f t="shared" si="81"/>
        <v>unten</v>
      </c>
      <c r="CD56" s="834" t="e">
        <f ca="1">IF(CC56=_oben,Berechnung_BZoben!$AQ$8,Berechnung_BZunten!$AQ$8)</f>
        <v>#DIV/0!</v>
      </c>
      <c r="CE56" s="834" t="e">
        <f ca="1">CD56*2/(3*(1+2*Eingabe!CA56*Eingabe!$D$76))</f>
        <v>#DIV/0!</v>
      </c>
      <c r="CF56" s="710" t="e">
        <f ca="1">IF($C$86=Sprachtexte!$A$87,
-CE56*$C$87^3*BW56/(12*CE56*$C$87+24*$CF$2)+BX56*$BY$1*$CA$1/(6*$CF$2)*(($BY$1-$C$87-2*$CA$1)/(6*$CF$2)-1/CE56-$CA$1/(CE56*$C$87))/(($C$87/(3*$CF$2)+1/CE56)^2-($C$87/(6*$CF$2))^2),
-CE56*$C$87^3*BW56/(8*CE56*$C$87+24*$CF$2)-CE56*$CA$1/$C$87*($C$87^2-$CA$1^2)*BX56/(2*CE56*$C$87+6*$CF$2))</f>
        <v>#DIV/0!</v>
      </c>
      <c r="CG56" s="710" t="e">
        <f t="shared" ca="1" si="72"/>
        <v>#DIV/0!</v>
      </c>
      <c r="CH56" s="835">
        <f t="shared" ca="1" si="46"/>
        <v>0</v>
      </c>
      <c r="CI56" s="821" t="e">
        <f t="shared" ca="1" si="47"/>
        <v>#DIV/0!</v>
      </c>
      <c r="CJ56" s="619" t="str">
        <f t="shared" si="82"/>
        <v>unten</v>
      </c>
      <c r="CK56" s="834" t="e">
        <f ca="1">IF(CJ56=_oben,Berechnung_BZoben!$AQ$8,Berechnung_BZunten!$AQ$8)</f>
        <v>#DIV/0!</v>
      </c>
      <c r="CL56" s="834" t="e">
        <f ca="1">CK56*2/(3*(1+2*Eingabe!CA56*Eingabe!$D$76))</f>
        <v>#DIV/0!</v>
      </c>
      <c r="CM56" s="710" t="e">
        <f ca="1">IF($C$86=Sprachtexte!$A$87,
-CL56*$C$87^3*BW56/(12*CE56*$C$87+24*$CF$2)+BX56*$CA$1*$BY$1/(6*$CF$2)*(($CA$1-$C$87-2*$BY$1)/(6*$CF$2)-1/CE56-$BY$1/(CE56*$C$87))/(($C$87/(3*$CF$2)+1/CE56)^2-($C$87/(6*$CF$2))^2),0)</f>
        <v>#DIV/0!</v>
      </c>
      <c r="CN56" s="710" t="e">
        <f t="shared" ca="1" si="49"/>
        <v>#DIV/0!</v>
      </c>
      <c r="CO56" s="835">
        <f t="shared" ca="1" si="50"/>
        <v>0</v>
      </c>
      <c r="CP56" s="849">
        <f t="shared" si="73"/>
        <v>0</v>
      </c>
      <c r="CQ56" s="710" t="e">
        <f t="shared" ca="1" si="51"/>
        <v>#DIV/0!</v>
      </c>
      <c r="CR56" s="710" t="e">
        <f t="shared" ca="1" si="52"/>
        <v>#DIV/0!</v>
      </c>
      <c r="CS56" s="710">
        <f t="shared" si="74"/>
        <v>0</v>
      </c>
      <c r="CT56" s="710" t="e">
        <f t="shared" ca="1" si="83"/>
        <v>#DIV/0!</v>
      </c>
      <c r="CU56" s="710">
        <f t="shared" si="75"/>
        <v>0</v>
      </c>
      <c r="CV56" s="833">
        <f>MAX($C$79,$C$80,$C$81)</f>
        <v>0.9</v>
      </c>
      <c r="CW56" s="821" t="e">
        <f ca="1">MIN(Ausgabe!$C$173,Ausgabe!$C$186)</f>
        <v>#DIV/0!</v>
      </c>
      <c r="CX56" s="710">
        <f>Ausgabe!$C$187</f>
        <v>1.3</v>
      </c>
      <c r="CY56" s="619">
        <f>Ausgabe!$C$191</f>
        <v>100</v>
      </c>
      <c r="CZ56" s="710">
        <f>Ausgabe!$C$192</f>
        <v>1.25</v>
      </c>
      <c r="DA56" s="619">
        <f>Ausgabe!$C$194</f>
        <v>36.6</v>
      </c>
      <c r="DB56" s="710">
        <f>Ausgabe!$C$195</f>
        <v>1.25</v>
      </c>
      <c r="DC56" s="619" t="e">
        <f t="shared" ca="1" si="54"/>
        <v>#DIV/0!</v>
      </c>
      <c r="DD56" s="619">
        <f t="shared" si="76"/>
        <v>0</v>
      </c>
      <c r="DE56" s="710" t="e">
        <f t="shared" ca="1" si="55"/>
        <v>#DIV/0!</v>
      </c>
      <c r="DF56" s="821">
        <f ca="1">MIN(Ausgabe!$C$221,Ausgabe!$C$239)</f>
        <v>92.436470366395326</v>
      </c>
      <c r="DG56" s="710">
        <f>Ausgabe!$C$240</f>
        <v>1.3</v>
      </c>
      <c r="DH56" s="619">
        <f>Ausgabe!$C$246</f>
        <v>150.4</v>
      </c>
      <c r="DI56" s="710">
        <f>Ausgabe!$C$247</f>
        <v>1.1000000000000001</v>
      </c>
      <c r="DJ56" s="619">
        <f>Ausgabe!$C$254</f>
        <v>176.4</v>
      </c>
      <c r="DK56" s="710">
        <f>Ausgabe!$C$255</f>
        <v>1.25</v>
      </c>
      <c r="DL56" s="619">
        <f>Ausgabe!$C$263</f>
        <v>180.95573684677208</v>
      </c>
      <c r="DM56" s="710">
        <f>Ausgabe!$C$264</f>
        <v>1.1000000000000001</v>
      </c>
      <c r="DN56" s="619">
        <f t="shared" ca="1" si="56"/>
        <v>63.994479484427536</v>
      </c>
      <c r="DO56" s="619" t="e">
        <f t="shared" ca="1" si="57"/>
        <v>#DIV/0!</v>
      </c>
      <c r="DP56" s="833" t="e">
        <f t="shared" ca="1" si="58"/>
        <v>#DIV/0!</v>
      </c>
      <c r="DQ56" s="821" t="e">
        <f ca="1">Ausgabe!$C$369</f>
        <v>#DIV/0!</v>
      </c>
      <c r="DR56" s="710">
        <f>Ausgabe!$C$370</f>
        <v>1.3</v>
      </c>
      <c r="DS56" s="619" t="e">
        <f t="shared" ca="1" si="59"/>
        <v>#DIV/0!</v>
      </c>
      <c r="DT56" s="619" t="e">
        <f t="shared" ca="1" si="60"/>
        <v>#DIV/0!</v>
      </c>
      <c r="DU56" s="833" t="e">
        <f t="shared" ca="1" si="61"/>
        <v>#DIV/0!</v>
      </c>
      <c r="DV56" s="821">
        <f ca="1">Ausgabe!$C$420</f>
        <v>33.607770254588836</v>
      </c>
      <c r="DW56" s="710">
        <f>Ausgabe!$C$421</f>
        <v>1.3</v>
      </c>
      <c r="DX56" s="619">
        <f>Ausgabe!$C$423</f>
        <v>36.9</v>
      </c>
      <c r="DY56" s="710">
        <f>Ausgabe!$C$424</f>
        <v>1.1000000000000001</v>
      </c>
      <c r="DZ56" s="619">
        <f t="shared" ca="1" si="62"/>
        <v>23.266917868561499</v>
      </c>
      <c r="EA56" s="619">
        <f t="shared" si="77"/>
        <v>0</v>
      </c>
      <c r="EB56" s="833">
        <f t="shared" ca="1" si="63"/>
        <v>0</v>
      </c>
      <c r="EC56" s="710" t="e">
        <f ca="1">IF(CJ56=_oben,Berechnung_BZoben!$AN$5,Berechnung_BZunten!$AN$5)</f>
        <v>#DIV/0!</v>
      </c>
      <c r="ED56" s="710">
        <f>Ausgabe!$C$520</f>
        <v>1.3</v>
      </c>
      <c r="EE56" s="710" t="e">
        <f t="shared" ca="1" si="64"/>
        <v>#DIV/0!</v>
      </c>
      <c r="EF56" s="710" t="e">
        <f t="shared" ca="1" si="65"/>
        <v>#DIV/0!</v>
      </c>
      <c r="EG56" s="833" t="e">
        <f t="shared" ca="1" si="66"/>
        <v>#DIV/0!</v>
      </c>
      <c r="EH56" s="710">
        <f>Ausgabe!$C$592</f>
        <v>2.7</v>
      </c>
      <c r="EI56" s="710">
        <f>Ausgabe!$C$593</f>
        <v>1.3</v>
      </c>
      <c r="EJ56" s="710">
        <f t="shared" si="78"/>
        <v>1.8692307692307693</v>
      </c>
      <c r="EK56" s="710">
        <f t="shared" si="79"/>
        <v>0</v>
      </c>
      <c r="EL56" s="833">
        <f t="shared" si="80"/>
        <v>0</v>
      </c>
      <c r="EM56" s="821">
        <f ca="1">Ausgabe!$C$581</f>
        <v>0</v>
      </c>
      <c r="EN56" s="710" t="e">
        <f t="shared" ca="1" si="67"/>
        <v>#DIV/0!</v>
      </c>
      <c r="EO56" s="1478"/>
      <c r="EP56" s="710" t="e">
        <f t="shared" ca="1" si="84"/>
        <v>#DIV/0!</v>
      </c>
      <c r="EQ56" s="833" t="e">
        <f t="shared" ca="1" si="70"/>
        <v>#DIV/0!</v>
      </c>
      <c r="ER56" s="889" t="e">
        <f t="shared" ca="1" si="71"/>
        <v>#DIV/0!</v>
      </c>
    </row>
    <row r="57" spans="1:148">
      <c r="A57" s="609" t="str">
        <f>IF(C28=BL27,Sprachtexte!A50,IF(C28=BL28,Sprachtexte!A52,NA()))</f>
        <v>45° Schrauben Hauptträger</v>
      </c>
      <c r="B57" s="506" t="s">
        <v>865</v>
      </c>
      <c r="C57" s="610">
        <f>VLOOKUP(C53,MKW!A89:AF106,8,FALSE)</f>
        <v>7</v>
      </c>
      <c r="D57" s="1494" t="s">
        <v>355</v>
      </c>
      <c r="E57" s="1494"/>
      <c r="F57" s="609" t="str">
        <f>HLOOKUP(D57,MKW!A116:AZ140,3,FALSE)</f>
        <v>ETA-15/0667</v>
      </c>
      <c r="AT57" s="500"/>
      <c r="AU57" s="500"/>
      <c r="AV57" s="500"/>
      <c r="BL57" s="631"/>
      <c r="BR57" s="1205" t="e">
        <f t="shared" ca="1" si="43"/>
        <v>#DIV/0!</v>
      </c>
      <c r="BS57" s="1205" t="s">
        <v>1037</v>
      </c>
      <c r="BT57" s="571" t="s">
        <v>975</v>
      </c>
      <c r="BU57" s="649">
        <f>IF(OR(B239&lt;&gt;0,C239&lt;&gt;0,D239&lt;&gt;0,E239&lt;&gt;0,G239&lt;&gt;0),1,0)</f>
        <v>1</v>
      </c>
      <c r="BV57" s="619">
        <f>$BU$25*(1.35*B$99+1.5*B$100+1.5*$E$82*B$102)</f>
        <v>0</v>
      </c>
      <c r="BW57" s="619">
        <f>$BU$25*(1.35*C$99+1.5*C$100+1.5*$E$82*C$102)</f>
        <v>0</v>
      </c>
      <c r="BX57" s="619">
        <f>$BU$25*(1.35*D$99+1.5*D$100+1.5*$E$82*D$102)</f>
        <v>0</v>
      </c>
      <c r="BY57" s="619">
        <f>$BU$25*(1.35*E$99+1.5*E$100+1.5*$E$82*E$102)</f>
        <v>0</v>
      </c>
      <c r="BZ57" s="619">
        <f>$BU$25*(1.35*G$99+1.5*G$100+1.5*$E$82*G$102)</f>
        <v>0</v>
      </c>
      <c r="CA57" s="833">
        <f>VLOOKUP($A$80,MKW!$A$50:$E$60,4,FALSE)</f>
        <v>0.3</v>
      </c>
      <c r="CB57" s="821" t="e">
        <f t="shared" ca="1" si="44"/>
        <v>#DIV/0!</v>
      </c>
      <c r="CC57" s="619" t="str">
        <f t="shared" si="81"/>
        <v>unten</v>
      </c>
      <c r="CD57" s="834" t="e">
        <f ca="1">IF(CC57=_oben,Berechnung_BZoben!$AQ$8,Berechnung_BZunten!$AQ$8)</f>
        <v>#DIV/0!</v>
      </c>
      <c r="CE57" s="834" t="e">
        <f ca="1">CD57*2/(3*(1+2*Eingabe!CA57*Eingabe!$D$76))</f>
        <v>#DIV/0!</v>
      </c>
      <c r="CF57" s="710" t="e">
        <f ca="1">IF($C$86=Sprachtexte!$A$87,
-CE57*$C$87^3*BW57/(12*CE57*$C$87+24*$CF$2)+BX57*$BY$1*$CA$1/(6*$CF$2)*(($BY$1-$C$87-2*$CA$1)/(6*$CF$2)-1/CE57-$CA$1/(CE57*$C$87))/(($C$87/(3*$CF$2)+1/CE57)^2-($C$87/(6*$CF$2))^2),
-CE57*$C$87^3*BW57/(8*CE57*$C$87+24*$CF$2)-CE57*$CA$1/$C$87*($C$87^2-$CA$1^2)*BX57/(2*CE57*$C$87+6*$CF$2))</f>
        <v>#DIV/0!</v>
      </c>
      <c r="CG57" s="710" t="e">
        <f t="shared" ca="1" si="72"/>
        <v>#DIV/0!</v>
      </c>
      <c r="CH57" s="835">
        <f t="shared" ca="1" si="46"/>
        <v>0</v>
      </c>
      <c r="CI57" s="821" t="e">
        <f t="shared" ca="1" si="47"/>
        <v>#DIV/0!</v>
      </c>
      <c r="CJ57" s="619" t="str">
        <f t="shared" si="82"/>
        <v>unten</v>
      </c>
      <c r="CK57" s="834" t="e">
        <f ca="1">IF(CJ57=_oben,Berechnung_BZoben!$AQ$8,Berechnung_BZunten!$AQ$8)</f>
        <v>#DIV/0!</v>
      </c>
      <c r="CL57" s="834" t="e">
        <f ca="1">CK57*2/(3*(1+2*Eingabe!CA57*Eingabe!$D$76))</f>
        <v>#DIV/0!</v>
      </c>
      <c r="CM57" s="710" t="e">
        <f ca="1">IF($C$86=Sprachtexte!$A$87,
-CL57*$C$87^3*BW57/(12*CE57*$C$87+24*$CF$2)+BX57*$CA$1*$BY$1/(6*$CF$2)*(($CA$1-$C$87-2*$BY$1)/(6*$CF$2)-1/CE57-$BY$1/(CE57*$C$87))/(($C$87/(3*$CF$2)+1/CE57)^2-($C$87/(6*$CF$2))^2),0)</f>
        <v>#DIV/0!</v>
      </c>
      <c r="CN57" s="710" t="e">
        <f t="shared" ca="1" si="49"/>
        <v>#DIV/0!</v>
      </c>
      <c r="CO57" s="835">
        <f t="shared" ca="1" si="50"/>
        <v>0</v>
      </c>
      <c r="CP57" s="849">
        <f t="shared" si="73"/>
        <v>0</v>
      </c>
      <c r="CQ57" s="710" t="e">
        <f t="shared" ca="1" si="51"/>
        <v>#DIV/0!</v>
      </c>
      <c r="CR57" s="710" t="e">
        <f t="shared" ca="1" si="52"/>
        <v>#DIV/0!</v>
      </c>
      <c r="CS57" s="710">
        <f t="shared" si="74"/>
        <v>0</v>
      </c>
      <c r="CT57" s="710" t="e">
        <f t="shared" ca="1" si="83"/>
        <v>#DIV/0!</v>
      </c>
      <c r="CU57" s="710">
        <f t="shared" si="75"/>
        <v>0</v>
      </c>
      <c r="CV57" s="833">
        <f>MAX($C$79,$C$80,$C$82)</f>
        <v>1</v>
      </c>
      <c r="CW57" s="821" t="e">
        <f ca="1">MIN(Ausgabe!$C$173,Ausgabe!$C$186)</f>
        <v>#DIV/0!</v>
      </c>
      <c r="CX57" s="710">
        <f>Ausgabe!$C$187</f>
        <v>1.3</v>
      </c>
      <c r="CY57" s="619">
        <f>Ausgabe!$C$191</f>
        <v>100</v>
      </c>
      <c r="CZ57" s="710">
        <f>Ausgabe!$C$192</f>
        <v>1.25</v>
      </c>
      <c r="DA57" s="619">
        <f>Ausgabe!$C$194</f>
        <v>36.6</v>
      </c>
      <c r="DB57" s="710">
        <f>Ausgabe!$C$195</f>
        <v>1.25</v>
      </c>
      <c r="DC57" s="619" t="e">
        <f t="shared" ca="1" si="54"/>
        <v>#DIV/0!</v>
      </c>
      <c r="DD57" s="619">
        <f t="shared" si="76"/>
        <v>0</v>
      </c>
      <c r="DE57" s="710" t="e">
        <f t="shared" ca="1" si="55"/>
        <v>#DIV/0!</v>
      </c>
      <c r="DF57" s="821">
        <f ca="1">MIN(Ausgabe!$C$221,Ausgabe!$C$239)</f>
        <v>92.436470366395326</v>
      </c>
      <c r="DG57" s="710">
        <f>Ausgabe!$C$240</f>
        <v>1.3</v>
      </c>
      <c r="DH57" s="619">
        <f>Ausgabe!$C$246</f>
        <v>150.4</v>
      </c>
      <c r="DI57" s="710">
        <f>Ausgabe!$C$247</f>
        <v>1.1000000000000001</v>
      </c>
      <c r="DJ57" s="619">
        <f>Ausgabe!$C$254</f>
        <v>176.4</v>
      </c>
      <c r="DK57" s="710">
        <f>Ausgabe!$C$255</f>
        <v>1.25</v>
      </c>
      <c r="DL57" s="619">
        <f>Ausgabe!$C$263</f>
        <v>180.95573684677208</v>
      </c>
      <c r="DM57" s="710">
        <f>Ausgabe!$C$264</f>
        <v>1.1000000000000001</v>
      </c>
      <c r="DN57" s="619">
        <f t="shared" ca="1" si="56"/>
        <v>71.104977204919479</v>
      </c>
      <c r="DO57" s="619" t="e">
        <f t="shared" ca="1" si="57"/>
        <v>#DIV/0!</v>
      </c>
      <c r="DP57" s="833" t="e">
        <f t="shared" ca="1" si="58"/>
        <v>#DIV/0!</v>
      </c>
      <c r="DQ57" s="821" t="e">
        <f ca="1">Ausgabe!$C$369</f>
        <v>#DIV/0!</v>
      </c>
      <c r="DR57" s="710">
        <f>Ausgabe!$C$370</f>
        <v>1.3</v>
      </c>
      <c r="DS57" s="619" t="e">
        <f t="shared" ca="1" si="59"/>
        <v>#DIV/0!</v>
      </c>
      <c r="DT57" s="619" t="e">
        <f t="shared" ca="1" si="60"/>
        <v>#DIV/0!</v>
      </c>
      <c r="DU57" s="833" t="e">
        <f t="shared" ca="1" si="61"/>
        <v>#DIV/0!</v>
      </c>
      <c r="DV57" s="821">
        <f ca="1">Ausgabe!$C$420</f>
        <v>33.607770254588836</v>
      </c>
      <c r="DW57" s="710">
        <f>Ausgabe!$C$421</f>
        <v>1.3</v>
      </c>
      <c r="DX57" s="619">
        <f>Ausgabe!$C$423</f>
        <v>36.9</v>
      </c>
      <c r="DY57" s="710">
        <f>Ausgabe!$C$424</f>
        <v>1.1000000000000001</v>
      </c>
      <c r="DZ57" s="619">
        <f t="shared" ca="1" si="62"/>
        <v>25.852130965068334</v>
      </c>
      <c r="EA57" s="619">
        <f t="shared" si="77"/>
        <v>0</v>
      </c>
      <c r="EB57" s="833">
        <f t="shared" ca="1" si="63"/>
        <v>0</v>
      </c>
      <c r="EC57" s="710" t="e">
        <f ca="1">IF(CJ57=_oben,Berechnung_BZoben!$AN$5,Berechnung_BZunten!$AN$5)</f>
        <v>#DIV/0!</v>
      </c>
      <c r="ED57" s="710">
        <f>Ausgabe!$C$520</f>
        <v>1.3</v>
      </c>
      <c r="EE57" s="710" t="e">
        <f t="shared" ca="1" si="64"/>
        <v>#DIV/0!</v>
      </c>
      <c r="EF57" s="710" t="e">
        <f t="shared" ca="1" si="65"/>
        <v>#DIV/0!</v>
      </c>
      <c r="EG57" s="833" t="e">
        <f t="shared" ca="1" si="66"/>
        <v>#DIV/0!</v>
      </c>
      <c r="EH57" s="710">
        <f>Ausgabe!$C$592</f>
        <v>2.7</v>
      </c>
      <c r="EI57" s="710">
        <f>Ausgabe!$C$593</f>
        <v>1.3</v>
      </c>
      <c r="EJ57" s="710">
        <f t="shared" si="78"/>
        <v>2.0769230769230771</v>
      </c>
      <c r="EK57" s="710">
        <f t="shared" si="79"/>
        <v>0</v>
      </c>
      <c r="EL57" s="833">
        <f t="shared" si="80"/>
        <v>0</v>
      </c>
      <c r="EM57" s="821">
        <f ca="1">Ausgabe!$C$581</f>
        <v>0</v>
      </c>
      <c r="EN57" s="710" t="e">
        <f t="shared" ca="1" si="67"/>
        <v>#DIV/0!</v>
      </c>
      <c r="EO57" s="1478"/>
      <c r="EP57" s="710" t="e">
        <f t="shared" ca="1" si="84"/>
        <v>#DIV/0!</v>
      </c>
      <c r="EQ57" s="833" t="e">
        <f t="shared" ca="1" si="70"/>
        <v>#DIV/0!</v>
      </c>
      <c r="ER57" s="889" t="e">
        <f t="shared" ca="1" si="71"/>
        <v>#DIV/0!</v>
      </c>
    </row>
    <row r="58" spans="1:148">
      <c r="A58" s="609" t="str">
        <f>IF(C28=BL27,Sprachtexte!A51,IF(C28=BL28,Sprachtexte!A53,NA()))</f>
        <v>90° Schrauben Hauptträger</v>
      </c>
      <c r="B58" s="506" t="s">
        <v>866</v>
      </c>
      <c r="C58" s="610">
        <f>VLOOKUP(C53,MKW!A89:AF106,9,FALSE)</f>
        <v>5</v>
      </c>
      <c r="D58" s="1494" t="s">
        <v>355</v>
      </c>
      <c r="E58" s="1494"/>
      <c r="F58" s="609" t="str">
        <f>HLOOKUP(D58,MKW!A116:AZ140,3,FALSE)</f>
        <v>ETA-15/0667</v>
      </c>
      <c r="AT58" s="500"/>
      <c r="AU58" s="500"/>
      <c r="AV58" s="500"/>
      <c r="BL58" s="631"/>
      <c r="BR58" s="1205" t="e">
        <f t="shared" ca="1" si="43"/>
        <v>#DIV/0!</v>
      </c>
      <c r="BS58" s="1205" t="s">
        <v>1038</v>
      </c>
      <c r="BT58" s="571" t="s">
        <v>976</v>
      </c>
      <c r="BU58" s="649">
        <f>IF(OR(B240&lt;&gt;0,C240&lt;&gt;0,D240&lt;&gt;0,E240&lt;&gt;0,G240&lt;&gt;0),1,0)</f>
        <v>0</v>
      </c>
      <c r="BV58" s="619">
        <f>$BU$26*(1.35*B$99+1.5*B$101+1.5*$E$80*B$100)</f>
        <v>0</v>
      </c>
      <c r="BW58" s="619">
        <f>$BU$26*(1.35*C$99+1.5*C$101+1.5*$E$80*C$100)</f>
        <v>0</v>
      </c>
      <c r="BX58" s="619">
        <f>$BU$26*(1.35*D$99+1.5*D$101+1.5*$E$80*D$100)</f>
        <v>0</v>
      </c>
      <c r="BY58" s="619">
        <f>$BU$26*(1.35*E$99+1.5*E$101+1.5*$E$80*E$100)</f>
        <v>0</v>
      </c>
      <c r="BZ58" s="619">
        <f>$BU$26*(1.35*G$99+1.5*G$101+1.5*$E$80*G$100)</f>
        <v>0</v>
      </c>
      <c r="CA58" s="833">
        <f>VLOOKUP($A$81,MKW!$A$50:$E$60,4,FALSE)</f>
        <v>0</v>
      </c>
      <c r="CB58" s="821" t="e">
        <f t="shared" ca="1" si="44"/>
        <v>#DIV/0!</v>
      </c>
      <c r="CC58" s="619" t="str">
        <f t="shared" si="81"/>
        <v>unten</v>
      </c>
      <c r="CD58" s="834" t="e">
        <f ca="1">IF(CC58=_oben,Berechnung_BZoben!$AQ$8,Berechnung_BZunten!$AQ$8)</f>
        <v>#DIV/0!</v>
      </c>
      <c r="CE58" s="834" t="e">
        <f ca="1">CD58*2/(3*(1+2*Eingabe!CA58*Eingabe!$D$76))</f>
        <v>#DIV/0!</v>
      </c>
      <c r="CF58" s="710" t="e">
        <f ca="1">IF($C$86=Sprachtexte!$A$87,
-CE58*$C$87^3*BW58/(12*CE58*$C$87+24*$CF$2)+BX58*$BY$1*$CA$1/(6*$CF$2)*(($BY$1-$C$87-2*$CA$1)/(6*$CF$2)-1/CE58-$CA$1/(CE58*$C$87))/(($C$87/(3*$CF$2)+1/CE58)^2-($C$87/(6*$CF$2))^2),
-CE58*$C$87^3*BW58/(8*CE58*$C$87+24*$CF$2)-CE58*$CA$1/$C$87*($C$87^2-$CA$1^2)*BX58/(2*CE58*$C$87+6*$CF$2))</f>
        <v>#DIV/0!</v>
      </c>
      <c r="CG58" s="710" t="e">
        <f t="shared" ca="1" si="72"/>
        <v>#DIV/0!</v>
      </c>
      <c r="CH58" s="835">
        <f t="shared" ca="1" si="46"/>
        <v>0</v>
      </c>
      <c r="CI58" s="821" t="e">
        <f t="shared" ca="1" si="47"/>
        <v>#DIV/0!</v>
      </c>
      <c r="CJ58" s="619" t="str">
        <f t="shared" si="82"/>
        <v>unten</v>
      </c>
      <c r="CK58" s="834" t="e">
        <f ca="1">IF(CJ58=_oben,Berechnung_BZoben!$AQ$8,Berechnung_BZunten!$AQ$8)</f>
        <v>#DIV/0!</v>
      </c>
      <c r="CL58" s="834" t="e">
        <f ca="1">CK58*2/(3*(1+2*Eingabe!CA58*Eingabe!$D$76))</f>
        <v>#DIV/0!</v>
      </c>
      <c r="CM58" s="710" t="e">
        <f ca="1">IF($C$86=Sprachtexte!$A$87,
-CL58*$C$87^3*BW58/(12*CE58*$C$87+24*$CF$2)+BX58*$CA$1*$BY$1/(6*$CF$2)*(($CA$1-$C$87-2*$BY$1)/(6*$CF$2)-1/CE58-$BY$1/(CE58*$C$87))/(($C$87/(3*$CF$2)+1/CE58)^2-($C$87/(6*$CF$2))^2),0)</f>
        <v>#DIV/0!</v>
      </c>
      <c r="CN58" s="710" t="e">
        <f t="shared" ca="1" si="49"/>
        <v>#DIV/0!</v>
      </c>
      <c r="CO58" s="835">
        <f t="shared" ca="1" si="50"/>
        <v>0</v>
      </c>
      <c r="CP58" s="849">
        <f t="shared" si="73"/>
        <v>0</v>
      </c>
      <c r="CQ58" s="710" t="e">
        <f t="shared" ca="1" si="51"/>
        <v>#DIV/0!</v>
      </c>
      <c r="CR58" s="710" t="e">
        <f t="shared" ca="1" si="52"/>
        <v>#DIV/0!</v>
      </c>
      <c r="CS58" s="710">
        <f t="shared" si="74"/>
        <v>0</v>
      </c>
      <c r="CT58" s="710" t="e">
        <f t="shared" ca="1" si="83"/>
        <v>#DIV/0!</v>
      </c>
      <c r="CU58" s="710">
        <f t="shared" si="75"/>
        <v>0</v>
      </c>
      <c r="CV58" s="833">
        <f>MAX($C$79,$C$81,$C$80)</f>
        <v>0.9</v>
      </c>
      <c r="CW58" s="821" t="e">
        <f ca="1">MIN(Ausgabe!$C$173,Ausgabe!$C$186)</f>
        <v>#DIV/0!</v>
      </c>
      <c r="CX58" s="710">
        <f>Ausgabe!$C$187</f>
        <v>1.3</v>
      </c>
      <c r="CY58" s="619">
        <f>Ausgabe!$C$191</f>
        <v>100</v>
      </c>
      <c r="CZ58" s="710">
        <f>Ausgabe!$C$192</f>
        <v>1.25</v>
      </c>
      <c r="DA58" s="619">
        <f>Ausgabe!$C$194</f>
        <v>36.6</v>
      </c>
      <c r="DB58" s="710">
        <f>Ausgabe!$C$195</f>
        <v>1.25</v>
      </c>
      <c r="DC58" s="619" t="e">
        <f t="shared" ca="1" si="54"/>
        <v>#DIV/0!</v>
      </c>
      <c r="DD58" s="619">
        <f t="shared" si="76"/>
        <v>0</v>
      </c>
      <c r="DE58" s="710" t="e">
        <f t="shared" ca="1" si="55"/>
        <v>#DIV/0!</v>
      </c>
      <c r="DF58" s="821">
        <f ca="1">MIN(Ausgabe!$C$221,Ausgabe!$C$239)</f>
        <v>92.436470366395326</v>
      </c>
      <c r="DG58" s="710">
        <f>Ausgabe!$C$240</f>
        <v>1.3</v>
      </c>
      <c r="DH58" s="619">
        <f>Ausgabe!$C$246</f>
        <v>150.4</v>
      </c>
      <c r="DI58" s="710">
        <f>Ausgabe!$C$247</f>
        <v>1.1000000000000001</v>
      </c>
      <c r="DJ58" s="619">
        <f>Ausgabe!$C$254</f>
        <v>176.4</v>
      </c>
      <c r="DK58" s="710">
        <f>Ausgabe!$C$255</f>
        <v>1.25</v>
      </c>
      <c r="DL58" s="619">
        <f>Ausgabe!$C$263</f>
        <v>180.95573684677208</v>
      </c>
      <c r="DM58" s="710">
        <f>Ausgabe!$C$264</f>
        <v>1.1000000000000001</v>
      </c>
      <c r="DN58" s="619">
        <f t="shared" ca="1" si="56"/>
        <v>63.994479484427536</v>
      </c>
      <c r="DO58" s="619" t="e">
        <f t="shared" ca="1" si="57"/>
        <v>#DIV/0!</v>
      </c>
      <c r="DP58" s="833" t="e">
        <f t="shared" ca="1" si="58"/>
        <v>#DIV/0!</v>
      </c>
      <c r="DQ58" s="821" t="e">
        <f ca="1">Ausgabe!$C$369</f>
        <v>#DIV/0!</v>
      </c>
      <c r="DR58" s="710">
        <f>Ausgabe!$C$370</f>
        <v>1.3</v>
      </c>
      <c r="DS58" s="619" t="e">
        <f t="shared" ca="1" si="59"/>
        <v>#DIV/0!</v>
      </c>
      <c r="DT58" s="619" t="e">
        <f t="shared" ca="1" si="60"/>
        <v>#DIV/0!</v>
      </c>
      <c r="DU58" s="833" t="e">
        <f t="shared" ca="1" si="61"/>
        <v>#DIV/0!</v>
      </c>
      <c r="DV58" s="821">
        <f ca="1">Ausgabe!$C$420</f>
        <v>33.607770254588836</v>
      </c>
      <c r="DW58" s="710">
        <f>Ausgabe!$C$421</f>
        <v>1.3</v>
      </c>
      <c r="DX58" s="619">
        <f>Ausgabe!$C$423</f>
        <v>36.9</v>
      </c>
      <c r="DY58" s="710">
        <f>Ausgabe!$C$424</f>
        <v>1.1000000000000001</v>
      </c>
      <c r="DZ58" s="619">
        <f t="shared" ca="1" si="62"/>
        <v>23.266917868561499</v>
      </c>
      <c r="EA58" s="619">
        <f t="shared" si="77"/>
        <v>0</v>
      </c>
      <c r="EB58" s="833">
        <f t="shared" ca="1" si="63"/>
        <v>0</v>
      </c>
      <c r="EC58" s="710" t="e">
        <f ca="1">IF(CJ58=_oben,Berechnung_BZoben!$AN$5,Berechnung_BZunten!$AN$5)</f>
        <v>#DIV/0!</v>
      </c>
      <c r="ED58" s="710">
        <f>Ausgabe!$C$520</f>
        <v>1.3</v>
      </c>
      <c r="EE58" s="710" t="e">
        <f t="shared" ca="1" si="64"/>
        <v>#DIV/0!</v>
      </c>
      <c r="EF58" s="710" t="e">
        <f t="shared" ca="1" si="65"/>
        <v>#DIV/0!</v>
      </c>
      <c r="EG58" s="833" t="e">
        <f t="shared" ca="1" si="66"/>
        <v>#DIV/0!</v>
      </c>
      <c r="EH58" s="710">
        <f>Ausgabe!$C$592</f>
        <v>2.7</v>
      </c>
      <c r="EI58" s="710">
        <f>Ausgabe!$C$593</f>
        <v>1.3</v>
      </c>
      <c r="EJ58" s="710">
        <f t="shared" si="78"/>
        <v>1.8692307692307693</v>
      </c>
      <c r="EK58" s="710">
        <f t="shared" si="79"/>
        <v>0</v>
      </c>
      <c r="EL58" s="833">
        <f t="shared" si="80"/>
        <v>0</v>
      </c>
      <c r="EM58" s="821">
        <f ca="1">Ausgabe!$C$581</f>
        <v>0</v>
      </c>
      <c r="EN58" s="710" t="e">
        <f t="shared" ca="1" si="67"/>
        <v>#DIV/0!</v>
      </c>
      <c r="EO58" s="1478"/>
      <c r="EP58" s="710" t="e">
        <f t="shared" ca="1" si="84"/>
        <v>#DIV/0!</v>
      </c>
      <c r="EQ58" s="833" t="e">
        <f t="shared" ca="1" si="70"/>
        <v>#DIV/0!</v>
      </c>
      <c r="ER58" s="889" t="e">
        <f t="shared" ca="1" si="71"/>
        <v>#DIV/0!</v>
      </c>
    </row>
    <row r="59" spans="1:148">
      <c r="A59" s="609" t="str">
        <f>Sprachtexte!A54</f>
        <v>45° Schrauben Nebenträger</v>
      </c>
      <c r="B59" s="506" t="s">
        <v>867</v>
      </c>
      <c r="C59" s="610">
        <f>VLOOKUP(C53,MKW!A89:AF106,8,FALSE)</f>
        <v>7</v>
      </c>
      <c r="D59" s="1494" t="s">
        <v>355</v>
      </c>
      <c r="E59" s="1494"/>
      <c r="F59" s="609" t="str">
        <f>HLOOKUP(D59,MKW!A116:AZ140,3,FALSE)</f>
        <v>ETA-15/0667</v>
      </c>
      <c r="AT59" s="500"/>
      <c r="AU59" s="500"/>
      <c r="AV59" s="500"/>
      <c r="BL59" s="631"/>
      <c r="BR59" s="1205" t="e">
        <f t="shared" ca="1" si="43"/>
        <v>#DIV/0!</v>
      </c>
      <c r="BS59" s="1205" t="s">
        <v>1039</v>
      </c>
      <c r="BT59" s="571" t="s">
        <v>977</v>
      </c>
      <c r="BU59" s="649">
        <f>IF(OR(B240&lt;&gt;0,C240&lt;&gt;0,D240&lt;&gt;0,E240&lt;&gt;0,G240&lt;&gt;0),1,0)</f>
        <v>0</v>
      </c>
      <c r="BV59" s="619">
        <f>$BU$27*(1.35*B$99+1.5*B$101+1.5*$E$82*B$102)</f>
        <v>0</v>
      </c>
      <c r="BW59" s="619">
        <f>$BU$27*(1.35*C$99+1.5*C$101+1.5*$E$82*C$102)</f>
        <v>0</v>
      </c>
      <c r="BX59" s="619">
        <f>$BU$27*(1.35*D$99+1.5*D$101+1.5*$E$82*D$102)</f>
        <v>0</v>
      </c>
      <c r="BY59" s="619">
        <f>$BU$27*(1.35*E$99+1.5*E$101+1.5*$E$82*E$102)</f>
        <v>0</v>
      </c>
      <c r="BZ59" s="619">
        <f>$BU$27*(1.35*G$99+1.5*G$101+1.5*$E$82*G$102)</f>
        <v>0</v>
      </c>
      <c r="CA59" s="833">
        <f>VLOOKUP($A$81,MKW!$A$50:$E$60,4,FALSE)</f>
        <v>0</v>
      </c>
      <c r="CB59" s="821" t="e">
        <f t="shared" ca="1" si="44"/>
        <v>#DIV/0!</v>
      </c>
      <c r="CC59" s="619" t="str">
        <f t="shared" si="81"/>
        <v>unten</v>
      </c>
      <c r="CD59" s="834" t="e">
        <f ca="1">IF(CC59=_oben,Berechnung_BZoben!$AQ$8,Berechnung_BZunten!$AQ$8)</f>
        <v>#DIV/0!</v>
      </c>
      <c r="CE59" s="834" t="e">
        <f ca="1">CD59*2/(3*(1+2*Eingabe!CA59*Eingabe!$D$76))</f>
        <v>#DIV/0!</v>
      </c>
      <c r="CF59" s="710" t="e">
        <f ca="1">IF($C$86=Sprachtexte!$A$87,
-CE59*$C$87^3*BW59/(12*CE59*$C$87+24*$CF$2)+BX59*$BY$1*$CA$1/(6*$CF$2)*(($BY$1-$C$87-2*$CA$1)/(6*$CF$2)-1/CE59-$CA$1/(CE59*$C$87))/(($C$87/(3*$CF$2)+1/CE59)^2-($C$87/(6*$CF$2))^2),
-CE59*$C$87^3*BW59/(8*CE59*$C$87+24*$CF$2)-CE59*$CA$1/$C$87*($C$87^2-$CA$1^2)*BX59/(2*CE59*$C$87+6*$CF$2))</f>
        <v>#DIV/0!</v>
      </c>
      <c r="CG59" s="710" t="e">
        <f t="shared" ca="1" si="72"/>
        <v>#DIV/0!</v>
      </c>
      <c r="CH59" s="835">
        <f t="shared" ca="1" si="46"/>
        <v>0</v>
      </c>
      <c r="CI59" s="821" t="e">
        <f t="shared" ca="1" si="47"/>
        <v>#DIV/0!</v>
      </c>
      <c r="CJ59" s="619" t="str">
        <f t="shared" si="82"/>
        <v>unten</v>
      </c>
      <c r="CK59" s="834" t="e">
        <f ca="1">IF(CJ59=_oben,Berechnung_BZoben!$AQ$8,Berechnung_BZunten!$AQ$8)</f>
        <v>#DIV/0!</v>
      </c>
      <c r="CL59" s="834" t="e">
        <f ca="1">CK59*2/(3*(1+2*Eingabe!CA59*Eingabe!$D$76))</f>
        <v>#DIV/0!</v>
      </c>
      <c r="CM59" s="710" t="e">
        <f ca="1">IF($C$86=Sprachtexte!$A$87,
-CL59*$C$87^3*BW59/(12*CE59*$C$87+24*$CF$2)+BX59*$CA$1*$BY$1/(6*$CF$2)*(($CA$1-$C$87-2*$BY$1)/(6*$CF$2)-1/CE59-$BY$1/(CE59*$C$87))/(($C$87/(3*$CF$2)+1/CE59)^2-($C$87/(6*$CF$2))^2),0)</f>
        <v>#DIV/0!</v>
      </c>
      <c r="CN59" s="710" t="e">
        <f t="shared" ca="1" si="49"/>
        <v>#DIV/0!</v>
      </c>
      <c r="CO59" s="835">
        <f t="shared" ca="1" si="50"/>
        <v>0</v>
      </c>
      <c r="CP59" s="849">
        <f t="shared" si="73"/>
        <v>0</v>
      </c>
      <c r="CQ59" s="710" t="e">
        <f t="shared" ca="1" si="51"/>
        <v>#DIV/0!</v>
      </c>
      <c r="CR59" s="710" t="e">
        <f t="shared" ca="1" si="52"/>
        <v>#DIV/0!</v>
      </c>
      <c r="CS59" s="710">
        <f t="shared" si="74"/>
        <v>0</v>
      </c>
      <c r="CT59" s="710" t="e">
        <f t="shared" ca="1" si="83"/>
        <v>#DIV/0!</v>
      </c>
      <c r="CU59" s="710">
        <f t="shared" si="75"/>
        <v>0</v>
      </c>
      <c r="CV59" s="833">
        <f>MAX($C$79,$C$81,$C$82)</f>
        <v>1</v>
      </c>
      <c r="CW59" s="821" t="e">
        <f ca="1">MIN(Ausgabe!$C$173,Ausgabe!$C$186)</f>
        <v>#DIV/0!</v>
      </c>
      <c r="CX59" s="710">
        <f>Ausgabe!$C$187</f>
        <v>1.3</v>
      </c>
      <c r="CY59" s="619">
        <f>Ausgabe!$C$191</f>
        <v>100</v>
      </c>
      <c r="CZ59" s="710">
        <f>Ausgabe!$C$192</f>
        <v>1.25</v>
      </c>
      <c r="DA59" s="619">
        <f>Ausgabe!$C$194</f>
        <v>36.6</v>
      </c>
      <c r="DB59" s="710">
        <f>Ausgabe!$C$195</f>
        <v>1.25</v>
      </c>
      <c r="DC59" s="619" t="e">
        <f t="shared" ca="1" si="54"/>
        <v>#DIV/0!</v>
      </c>
      <c r="DD59" s="619">
        <f t="shared" si="76"/>
        <v>0</v>
      </c>
      <c r="DE59" s="710" t="e">
        <f t="shared" ca="1" si="55"/>
        <v>#DIV/0!</v>
      </c>
      <c r="DF59" s="821">
        <f ca="1">MIN(Ausgabe!$C$221,Ausgabe!$C$239)</f>
        <v>92.436470366395326</v>
      </c>
      <c r="DG59" s="710">
        <f>Ausgabe!$C$240</f>
        <v>1.3</v>
      </c>
      <c r="DH59" s="619">
        <f>Ausgabe!$C$246</f>
        <v>150.4</v>
      </c>
      <c r="DI59" s="710">
        <f>Ausgabe!$C$247</f>
        <v>1.1000000000000001</v>
      </c>
      <c r="DJ59" s="619">
        <f>Ausgabe!$C$254</f>
        <v>176.4</v>
      </c>
      <c r="DK59" s="710">
        <f>Ausgabe!$C$255</f>
        <v>1.25</v>
      </c>
      <c r="DL59" s="619">
        <f>Ausgabe!$C$263</f>
        <v>180.95573684677208</v>
      </c>
      <c r="DM59" s="710">
        <f>Ausgabe!$C$264</f>
        <v>1.1000000000000001</v>
      </c>
      <c r="DN59" s="619">
        <f t="shared" ca="1" si="56"/>
        <v>71.104977204919479</v>
      </c>
      <c r="DO59" s="619" t="e">
        <f t="shared" ca="1" si="57"/>
        <v>#DIV/0!</v>
      </c>
      <c r="DP59" s="833" t="e">
        <f t="shared" ca="1" si="58"/>
        <v>#DIV/0!</v>
      </c>
      <c r="DQ59" s="821" t="e">
        <f ca="1">Ausgabe!$C$369</f>
        <v>#DIV/0!</v>
      </c>
      <c r="DR59" s="710">
        <f>Ausgabe!$C$370</f>
        <v>1.3</v>
      </c>
      <c r="DS59" s="619" t="e">
        <f t="shared" ca="1" si="59"/>
        <v>#DIV/0!</v>
      </c>
      <c r="DT59" s="619" t="e">
        <f t="shared" ca="1" si="60"/>
        <v>#DIV/0!</v>
      </c>
      <c r="DU59" s="833" t="e">
        <f t="shared" ca="1" si="61"/>
        <v>#DIV/0!</v>
      </c>
      <c r="DV59" s="821">
        <f ca="1">Ausgabe!$C$420</f>
        <v>33.607770254588836</v>
      </c>
      <c r="DW59" s="710">
        <f>Ausgabe!$C$421</f>
        <v>1.3</v>
      </c>
      <c r="DX59" s="619">
        <f>Ausgabe!$C$423</f>
        <v>36.9</v>
      </c>
      <c r="DY59" s="710">
        <f>Ausgabe!$C$424</f>
        <v>1.1000000000000001</v>
      </c>
      <c r="DZ59" s="619">
        <f t="shared" ca="1" si="62"/>
        <v>25.852130965068334</v>
      </c>
      <c r="EA59" s="619">
        <f t="shared" si="77"/>
        <v>0</v>
      </c>
      <c r="EB59" s="833">
        <f t="shared" ca="1" si="63"/>
        <v>0</v>
      </c>
      <c r="EC59" s="710" t="e">
        <f ca="1">IF(CJ59=_oben,Berechnung_BZoben!$AN$5,Berechnung_BZunten!$AN$5)</f>
        <v>#DIV/0!</v>
      </c>
      <c r="ED59" s="710">
        <f>Ausgabe!$C$520</f>
        <v>1.3</v>
      </c>
      <c r="EE59" s="710" t="e">
        <f t="shared" ca="1" si="64"/>
        <v>#DIV/0!</v>
      </c>
      <c r="EF59" s="710" t="e">
        <f t="shared" ca="1" si="65"/>
        <v>#DIV/0!</v>
      </c>
      <c r="EG59" s="833" t="e">
        <f t="shared" ca="1" si="66"/>
        <v>#DIV/0!</v>
      </c>
      <c r="EH59" s="710">
        <f>Ausgabe!$C$592</f>
        <v>2.7</v>
      </c>
      <c r="EI59" s="710">
        <f>Ausgabe!$C$593</f>
        <v>1.3</v>
      </c>
      <c r="EJ59" s="710">
        <f t="shared" si="78"/>
        <v>2.0769230769230771</v>
      </c>
      <c r="EK59" s="710">
        <f t="shared" si="79"/>
        <v>0</v>
      </c>
      <c r="EL59" s="833">
        <f t="shared" si="80"/>
        <v>0</v>
      </c>
      <c r="EM59" s="821">
        <f ca="1">Ausgabe!$C$581</f>
        <v>0</v>
      </c>
      <c r="EN59" s="710" t="e">
        <f t="shared" ca="1" si="67"/>
        <v>#DIV/0!</v>
      </c>
      <c r="EO59" s="1478"/>
      <c r="EP59" s="710" t="e">
        <f t="shared" ca="1" si="84"/>
        <v>#DIV/0!</v>
      </c>
      <c r="EQ59" s="833" t="e">
        <f t="shared" ca="1" si="70"/>
        <v>#DIV/0!</v>
      </c>
      <c r="ER59" s="889" t="e">
        <f t="shared" ca="1" si="71"/>
        <v>#DIV/0!</v>
      </c>
    </row>
    <row r="60" spans="1:148">
      <c r="A60" s="678" t="str">
        <f>Sprachtexte!A55</f>
        <v>0° Schrauben Nebenträger</v>
      </c>
      <c r="B60" s="599" t="s">
        <v>868</v>
      </c>
      <c r="C60" s="608">
        <f>VLOOKUP(C53,MKW!A89:AF106,9,FALSE)</f>
        <v>5</v>
      </c>
      <c r="D60" s="1495" t="s">
        <v>356</v>
      </c>
      <c r="E60" s="1495"/>
      <c r="F60" s="678" t="str">
        <f>HLOOKUP(D60,MKW!A116:AZ140,3,FALSE)</f>
        <v>ETA-15/0667</v>
      </c>
      <c r="G60" s="598"/>
      <c r="AT60" s="500"/>
      <c r="AU60" s="500"/>
      <c r="AV60" s="500"/>
      <c r="BL60" s="631"/>
      <c r="BR60" s="1205" t="e">
        <f t="shared" ca="1" si="43"/>
        <v>#DIV/0!</v>
      </c>
      <c r="BS60" s="1205" t="s">
        <v>1040</v>
      </c>
      <c r="BT60" s="571" t="s">
        <v>978</v>
      </c>
      <c r="BU60" s="649">
        <f>IF(OR(B241&lt;&gt;0,C241&lt;&gt;0,D241&lt;&gt;0,E241&lt;&gt;0,G241&lt;&gt;0),1,0)</f>
        <v>0</v>
      </c>
      <c r="BV60" s="619">
        <f>$BU$28*(1.35*B$99+1.5*B$102+1.5*$E$80*B$100)</f>
        <v>0</v>
      </c>
      <c r="BW60" s="619">
        <f>$BU$28*(1.35*C$99+1.5*C$102+1.5*$E$80*C$100)</f>
        <v>0</v>
      </c>
      <c r="BX60" s="619">
        <f>$BU$28*(1.35*D$99+1.5*D$102+1.5*$E$80*D$100)</f>
        <v>0</v>
      </c>
      <c r="BY60" s="619">
        <f>$BU$28*(1.35*E$99+1.5*E$102+1.5*$E$80*E$100)</f>
        <v>0</v>
      </c>
      <c r="BZ60" s="619">
        <f>$BU$28*(1.35*G$99+1.5*G$102+1.5*$E$80*G$100)</f>
        <v>0</v>
      </c>
      <c r="CA60" s="833">
        <f>VLOOKUP($A$82,MKW!$A$50:$E$60,4,FALSE)</f>
        <v>0</v>
      </c>
      <c r="CB60" s="821" t="e">
        <f t="shared" ca="1" si="44"/>
        <v>#DIV/0!</v>
      </c>
      <c r="CC60" s="619" t="str">
        <f t="shared" si="81"/>
        <v>unten</v>
      </c>
      <c r="CD60" s="834" t="e">
        <f ca="1">IF(CC60=_oben,Berechnung_BZoben!$AQ$8,Berechnung_BZunten!$AQ$8)</f>
        <v>#DIV/0!</v>
      </c>
      <c r="CE60" s="834" t="e">
        <f ca="1">CD60*2/(3*(1+2*Eingabe!CA60*Eingabe!$D$76))</f>
        <v>#DIV/0!</v>
      </c>
      <c r="CF60" s="710" t="e">
        <f ca="1">IF($C$86=Sprachtexte!$A$87,
-CE60*$C$87^3*BW60/(12*CE60*$C$87+24*$CF$2)+BX60*$BY$1*$CA$1/(6*$CF$2)*(($BY$1-$C$87-2*$CA$1)/(6*$CF$2)-1/CE60-$CA$1/(CE60*$C$87))/(($C$87/(3*$CF$2)+1/CE60)^2-($C$87/(6*$CF$2))^2),
-CE60*$C$87^3*BW60/(8*CE60*$C$87+24*$CF$2)-CE60*$CA$1/$C$87*($C$87^2-$CA$1^2)*BX60/(2*CE60*$C$87+6*$CF$2))</f>
        <v>#DIV/0!</v>
      </c>
      <c r="CG60" s="710" t="e">
        <f t="shared" ca="1" si="72"/>
        <v>#DIV/0!</v>
      </c>
      <c r="CH60" s="835">
        <f t="shared" ca="1" si="46"/>
        <v>0</v>
      </c>
      <c r="CI60" s="821" t="e">
        <f t="shared" ca="1" si="47"/>
        <v>#DIV/0!</v>
      </c>
      <c r="CJ60" s="619" t="str">
        <f t="shared" si="82"/>
        <v>unten</v>
      </c>
      <c r="CK60" s="834" t="e">
        <f ca="1">IF(CJ60=_oben,Berechnung_BZoben!$AQ$8,Berechnung_BZunten!$AQ$8)</f>
        <v>#DIV/0!</v>
      </c>
      <c r="CL60" s="834" t="e">
        <f ca="1">CK60*2/(3*(1+2*Eingabe!CA60*Eingabe!$D$76))</f>
        <v>#DIV/0!</v>
      </c>
      <c r="CM60" s="710" t="e">
        <f ca="1">IF($C$86=Sprachtexte!$A$87,
-CL60*$C$87^3*BW60/(12*CE60*$C$87+24*$CF$2)+BX60*$CA$1*$BY$1/(6*$CF$2)*(($CA$1-$C$87-2*$BY$1)/(6*$CF$2)-1/CE60-$BY$1/(CE60*$C$87))/(($C$87/(3*$CF$2)+1/CE60)^2-($C$87/(6*$CF$2))^2),0)</f>
        <v>#DIV/0!</v>
      </c>
      <c r="CN60" s="710" t="e">
        <f t="shared" ca="1" si="49"/>
        <v>#DIV/0!</v>
      </c>
      <c r="CO60" s="835">
        <f t="shared" ca="1" si="50"/>
        <v>0</v>
      </c>
      <c r="CP60" s="849">
        <f t="shared" si="73"/>
        <v>0</v>
      </c>
      <c r="CQ60" s="710" t="e">
        <f t="shared" ca="1" si="51"/>
        <v>#DIV/0!</v>
      </c>
      <c r="CR60" s="710" t="e">
        <f t="shared" ca="1" si="52"/>
        <v>#DIV/0!</v>
      </c>
      <c r="CS60" s="710">
        <f t="shared" si="74"/>
        <v>0</v>
      </c>
      <c r="CT60" s="710" t="e">
        <f t="shared" ca="1" si="83"/>
        <v>#DIV/0!</v>
      </c>
      <c r="CU60" s="710">
        <f t="shared" si="75"/>
        <v>0</v>
      </c>
      <c r="CV60" s="833">
        <f>MAX($C$79,$C$82,$C$80)</f>
        <v>1</v>
      </c>
      <c r="CW60" s="821" t="e">
        <f ca="1">MIN(Ausgabe!$C$173,Ausgabe!$C$186)</f>
        <v>#DIV/0!</v>
      </c>
      <c r="CX60" s="710">
        <f>Ausgabe!$C$187</f>
        <v>1.3</v>
      </c>
      <c r="CY60" s="619">
        <f>Ausgabe!$C$191</f>
        <v>100</v>
      </c>
      <c r="CZ60" s="710">
        <f>Ausgabe!$C$192</f>
        <v>1.25</v>
      </c>
      <c r="DA60" s="619">
        <f>Ausgabe!$C$194</f>
        <v>36.6</v>
      </c>
      <c r="DB60" s="710">
        <f>Ausgabe!$C$195</f>
        <v>1.25</v>
      </c>
      <c r="DC60" s="619" t="e">
        <f t="shared" ca="1" si="54"/>
        <v>#DIV/0!</v>
      </c>
      <c r="DD60" s="619">
        <f t="shared" si="76"/>
        <v>0</v>
      </c>
      <c r="DE60" s="710" t="e">
        <f t="shared" ca="1" si="55"/>
        <v>#DIV/0!</v>
      </c>
      <c r="DF60" s="821">
        <f ca="1">MIN(Ausgabe!$C$221,Ausgabe!$C$239)</f>
        <v>92.436470366395326</v>
      </c>
      <c r="DG60" s="710">
        <f>Ausgabe!$C$240</f>
        <v>1.3</v>
      </c>
      <c r="DH60" s="619">
        <f>Ausgabe!$C$246</f>
        <v>150.4</v>
      </c>
      <c r="DI60" s="710">
        <f>Ausgabe!$C$247</f>
        <v>1.1000000000000001</v>
      </c>
      <c r="DJ60" s="619">
        <f>Ausgabe!$C$254</f>
        <v>176.4</v>
      </c>
      <c r="DK60" s="710">
        <f>Ausgabe!$C$255</f>
        <v>1.25</v>
      </c>
      <c r="DL60" s="619">
        <f>Ausgabe!$C$263</f>
        <v>180.95573684677208</v>
      </c>
      <c r="DM60" s="710">
        <f>Ausgabe!$C$264</f>
        <v>1.1000000000000001</v>
      </c>
      <c r="DN60" s="619">
        <f t="shared" ca="1" si="56"/>
        <v>71.104977204919479</v>
      </c>
      <c r="DO60" s="619" t="e">
        <f t="shared" ca="1" si="57"/>
        <v>#DIV/0!</v>
      </c>
      <c r="DP60" s="833" t="e">
        <f t="shared" ca="1" si="58"/>
        <v>#DIV/0!</v>
      </c>
      <c r="DQ60" s="821" t="e">
        <f ca="1">Ausgabe!$C$369</f>
        <v>#DIV/0!</v>
      </c>
      <c r="DR60" s="710">
        <f>Ausgabe!$C$370</f>
        <v>1.3</v>
      </c>
      <c r="DS60" s="619" t="e">
        <f t="shared" ca="1" si="59"/>
        <v>#DIV/0!</v>
      </c>
      <c r="DT60" s="619" t="e">
        <f t="shared" ca="1" si="60"/>
        <v>#DIV/0!</v>
      </c>
      <c r="DU60" s="833" t="e">
        <f t="shared" ca="1" si="61"/>
        <v>#DIV/0!</v>
      </c>
      <c r="DV60" s="821">
        <f ca="1">Ausgabe!$C$420</f>
        <v>33.607770254588836</v>
      </c>
      <c r="DW60" s="710">
        <f>Ausgabe!$C$421</f>
        <v>1.3</v>
      </c>
      <c r="DX60" s="619">
        <f>Ausgabe!$C$423</f>
        <v>36.9</v>
      </c>
      <c r="DY60" s="710">
        <f>Ausgabe!$C$424</f>
        <v>1.1000000000000001</v>
      </c>
      <c r="DZ60" s="619">
        <f t="shared" ca="1" si="62"/>
        <v>25.852130965068334</v>
      </c>
      <c r="EA60" s="619">
        <f t="shared" si="77"/>
        <v>0</v>
      </c>
      <c r="EB60" s="833">
        <f t="shared" ca="1" si="63"/>
        <v>0</v>
      </c>
      <c r="EC60" s="710" t="e">
        <f ca="1">IF(CJ60=_oben,Berechnung_BZoben!$AN$5,Berechnung_BZunten!$AN$5)</f>
        <v>#DIV/0!</v>
      </c>
      <c r="ED60" s="710">
        <f>Ausgabe!$C$520</f>
        <v>1.3</v>
      </c>
      <c r="EE60" s="710" t="e">
        <f t="shared" ca="1" si="64"/>
        <v>#DIV/0!</v>
      </c>
      <c r="EF60" s="710" t="e">
        <f t="shared" ca="1" si="65"/>
        <v>#DIV/0!</v>
      </c>
      <c r="EG60" s="833" t="e">
        <f t="shared" ca="1" si="66"/>
        <v>#DIV/0!</v>
      </c>
      <c r="EH60" s="710">
        <f>Ausgabe!$C$592</f>
        <v>2.7</v>
      </c>
      <c r="EI60" s="710">
        <f>Ausgabe!$C$593</f>
        <v>1.3</v>
      </c>
      <c r="EJ60" s="710">
        <f t="shared" si="78"/>
        <v>2.0769230769230771</v>
      </c>
      <c r="EK60" s="710">
        <f t="shared" si="79"/>
        <v>0</v>
      </c>
      <c r="EL60" s="833">
        <f t="shared" si="80"/>
        <v>0</v>
      </c>
      <c r="EM60" s="821">
        <f ca="1">Ausgabe!$C$581</f>
        <v>0</v>
      </c>
      <c r="EN60" s="710" t="e">
        <f t="shared" ca="1" si="67"/>
        <v>#DIV/0!</v>
      </c>
      <c r="EO60" s="1478"/>
      <c r="EP60" s="710" t="e">
        <f t="shared" ca="1" si="84"/>
        <v>#DIV/0!</v>
      </c>
      <c r="EQ60" s="833" t="e">
        <f t="shared" ca="1" si="70"/>
        <v>#DIV/0!</v>
      </c>
      <c r="ER60" s="889" t="e">
        <f t="shared" ca="1" si="71"/>
        <v>#DIV/0!</v>
      </c>
    </row>
    <row r="61" spans="1:148" ht="15.75" customHeight="1">
      <c r="A61" s="763" t="str">
        <f>Sprachtexte!A56</f>
        <v>Gewindestangen</v>
      </c>
      <c r="B61" s="771" t="s">
        <v>912</v>
      </c>
      <c r="C61" s="772">
        <f>VLOOKUP(C53,MKW!$A$89:$AZ$111,10,0)</f>
        <v>1</v>
      </c>
      <c r="D61" s="1532" t="str">
        <f>CONCATENATE(VLOOKUP(C53,MKW!$A$89:$AZ$111,14,0)," x ",VLOOKUP(C53,MKW!$A$89:$AZ$111,11,0),", 8.8")</f>
        <v>M20 x 340, 8.8</v>
      </c>
      <c r="E61" s="1532"/>
      <c r="F61" s="773"/>
      <c r="G61" s="762"/>
      <c r="AT61" s="500"/>
      <c r="AU61" s="500"/>
      <c r="AV61" s="500"/>
      <c r="BL61" s="631"/>
      <c r="BR61" s="1205" t="e">
        <f t="shared" ca="1" si="43"/>
        <v>#DIV/0!</v>
      </c>
      <c r="BS61" s="1205" t="s">
        <v>1041</v>
      </c>
      <c r="BT61" s="571" t="s">
        <v>979</v>
      </c>
      <c r="BU61" s="649">
        <f>IF(OR(B241&lt;&gt;0,C241&lt;&gt;0,D241&lt;&gt;0,E241&lt;&gt;0,G241&lt;&gt;0),1,0)</f>
        <v>0</v>
      </c>
      <c r="BV61" s="619">
        <f>$BU$29*(1.35*B$99+1.5*B$102+1.5*$E$81*B$101)</f>
        <v>0</v>
      </c>
      <c r="BW61" s="619">
        <f>$BU$29*(1.35*C$99+1.5*C$102+1.5*$E$81*C$101)</f>
        <v>0</v>
      </c>
      <c r="BX61" s="619">
        <f>$BU$29*(1.35*D$99+1.5*D$102+1.5*$E$81*D$101)</f>
        <v>0</v>
      </c>
      <c r="BY61" s="619">
        <f>$BU$29*(1.35*E$99+1.5*E$102+1.5*$E$81*E$101)</f>
        <v>0</v>
      </c>
      <c r="BZ61" s="619">
        <f>$BU$29*(1.35*G$99+1.5*G$102+1.5*$E$81*G$101)</f>
        <v>0</v>
      </c>
      <c r="CA61" s="833">
        <f>VLOOKUP($A$82,MKW!$A$50:$E$60,4,FALSE)</f>
        <v>0</v>
      </c>
      <c r="CB61" s="821" t="e">
        <f t="shared" ca="1" si="44"/>
        <v>#DIV/0!</v>
      </c>
      <c r="CC61" s="619" t="str">
        <f t="shared" si="81"/>
        <v>unten</v>
      </c>
      <c r="CD61" s="834" t="e">
        <f ca="1">IF(CC61=_oben,Berechnung_BZoben!$AQ$8,Berechnung_BZunten!$AQ$8)</f>
        <v>#DIV/0!</v>
      </c>
      <c r="CE61" s="834" t="e">
        <f ca="1">CD61*2/(3*(1+2*Eingabe!CA61*Eingabe!$D$76))</f>
        <v>#DIV/0!</v>
      </c>
      <c r="CF61" s="710" t="e">
        <f ca="1">IF($C$86=Sprachtexte!$A$87,
-CE61*$C$87^3*BW61/(12*CE61*$C$87+24*$CF$2)+BX61*$BY$1*$CA$1/(6*$CF$2)*(($BY$1-$C$87-2*$CA$1)/(6*$CF$2)-1/CE61-$CA$1/(CE61*$C$87))/(($C$87/(3*$CF$2)+1/CE61)^2-($C$87/(6*$CF$2))^2),
-CE61*$C$87^3*BW61/(8*CE61*$C$87+24*$CF$2)-CE61*$CA$1/$C$87*($C$87^2-$CA$1^2)*BX61/(2*CE61*$C$87+6*$CF$2))</f>
        <v>#DIV/0!</v>
      </c>
      <c r="CG61" s="710" t="e">
        <f t="shared" ca="1" si="72"/>
        <v>#DIV/0!</v>
      </c>
      <c r="CH61" s="835">
        <f t="shared" ca="1" si="46"/>
        <v>0</v>
      </c>
      <c r="CI61" s="821" t="e">
        <f t="shared" ca="1" si="47"/>
        <v>#DIV/0!</v>
      </c>
      <c r="CJ61" s="619" t="str">
        <f t="shared" si="82"/>
        <v>unten</v>
      </c>
      <c r="CK61" s="834" t="e">
        <f ca="1">IF(CJ61=_oben,Berechnung_BZoben!$AQ$8,Berechnung_BZunten!$AQ$8)</f>
        <v>#DIV/0!</v>
      </c>
      <c r="CL61" s="834" t="e">
        <f ca="1">CK61*2/(3*(1+2*Eingabe!CA61*Eingabe!$D$76))</f>
        <v>#DIV/0!</v>
      </c>
      <c r="CM61" s="710" t="e">
        <f ca="1">IF($C$86=Sprachtexte!$A$87,
-CL61*$C$87^3*BW61/(12*CE61*$C$87+24*$CF$2)+BX61*$CA$1*$BY$1/(6*$CF$2)*(($CA$1-$C$87-2*$BY$1)/(6*$CF$2)-1/CE61-$BY$1/(CE61*$C$87))/(($C$87/(3*$CF$2)+1/CE61)^2-($C$87/(6*$CF$2))^2),0)</f>
        <v>#DIV/0!</v>
      </c>
      <c r="CN61" s="710" t="e">
        <f t="shared" ca="1" si="49"/>
        <v>#DIV/0!</v>
      </c>
      <c r="CO61" s="835">
        <f t="shared" ca="1" si="50"/>
        <v>0</v>
      </c>
      <c r="CP61" s="849">
        <f t="shared" si="73"/>
        <v>0</v>
      </c>
      <c r="CQ61" s="710" t="e">
        <f t="shared" ca="1" si="51"/>
        <v>#DIV/0!</v>
      </c>
      <c r="CR61" s="710" t="e">
        <f t="shared" ca="1" si="52"/>
        <v>#DIV/0!</v>
      </c>
      <c r="CS61" s="710">
        <f t="shared" si="74"/>
        <v>0</v>
      </c>
      <c r="CT61" s="710" t="e">
        <f t="shared" ca="1" si="83"/>
        <v>#DIV/0!</v>
      </c>
      <c r="CU61" s="710">
        <f t="shared" si="75"/>
        <v>0</v>
      </c>
      <c r="CV61" s="833">
        <f>MAX($C$79,$C$82,$C$81)</f>
        <v>1</v>
      </c>
      <c r="CW61" s="821" t="e">
        <f ca="1">MIN(Ausgabe!$C$173,Ausgabe!$C$186)</f>
        <v>#DIV/0!</v>
      </c>
      <c r="CX61" s="710">
        <f>Ausgabe!$C$187</f>
        <v>1.3</v>
      </c>
      <c r="CY61" s="619">
        <f>Ausgabe!$C$191</f>
        <v>100</v>
      </c>
      <c r="CZ61" s="710">
        <f>Ausgabe!$C$192</f>
        <v>1.25</v>
      </c>
      <c r="DA61" s="619">
        <f>Ausgabe!$C$194</f>
        <v>36.6</v>
      </c>
      <c r="DB61" s="710">
        <f>Ausgabe!$C$195</f>
        <v>1.25</v>
      </c>
      <c r="DC61" s="619" t="e">
        <f t="shared" ca="1" si="54"/>
        <v>#DIV/0!</v>
      </c>
      <c r="DD61" s="619">
        <f t="shared" si="76"/>
        <v>0</v>
      </c>
      <c r="DE61" s="710" t="e">
        <f t="shared" ca="1" si="55"/>
        <v>#DIV/0!</v>
      </c>
      <c r="DF61" s="821">
        <f ca="1">MIN(Ausgabe!$C$221,Ausgabe!$C$239)</f>
        <v>92.436470366395326</v>
      </c>
      <c r="DG61" s="710">
        <f>Ausgabe!$C$240</f>
        <v>1.3</v>
      </c>
      <c r="DH61" s="619">
        <f>Ausgabe!$C$246</f>
        <v>150.4</v>
      </c>
      <c r="DI61" s="710">
        <f>Ausgabe!$C$247</f>
        <v>1.1000000000000001</v>
      </c>
      <c r="DJ61" s="619">
        <f>Ausgabe!$C$254</f>
        <v>176.4</v>
      </c>
      <c r="DK61" s="710">
        <f>Ausgabe!$C$255</f>
        <v>1.25</v>
      </c>
      <c r="DL61" s="619">
        <f>Ausgabe!$C$263</f>
        <v>180.95573684677208</v>
      </c>
      <c r="DM61" s="710">
        <f>Ausgabe!$C$264</f>
        <v>1.1000000000000001</v>
      </c>
      <c r="DN61" s="619">
        <f t="shared" ca="1" si="56"/>
        <v>71.104977204919479</v>
      </c>
      <c r="DO61" s="619" t="e">
        <f t="shared" ca="1" si="57"/>
        <v>#DIV/0!</v>
      </c>
      <c r="DP61" s="833" t="e">
        <f t="shared" ca="1" si="58"/>
        <v>#DIV/0!</v>
      </c>
      <c r="DQ61" s="821" t="e">
        <f ca="1">Ausgabe!$C$369</f>
        <v>#DIV/0!</v>
      </c>
      <c r="DR61" s="710">
        <f>Ausgabe!$C$370</f>
        <v>1.3</v>
      </c>
      <c r="DS61" s="619" t="e">
        <f t="shared" ca="1" si="59"/>
        <v>#DIV/0!</v>
      </c>
      <c r="DT61" s="619" t="e">
        <f t="shared" ca="1" si="60"/>
        <v>#DIV/0!</v>
      </c>
      <c r="DU61" s="833" t="e">
        <f t="shared" ca="1" si="61"/>
        <v>#DIV/0!</v>
      </c>
      <c r="DV61" s="821">
        <f ca="1">Ausgabe!$C$420</f>
        <v>33.607770254588836</v>
      </c>
      <c r="DW61" s="710">
        <f>Ausgabe!$C$421</f>
        <v>1.3</v>
      </c>
      <c r="DX61" s="619">
        <f>Ausgabe!$C$423</f>
        <v>36.9</v>
      </c>
      <c r="DY61" s="710">
        <f>Ausgabe!$C$424</f>
        <v>1.1000000000000001</v>
      </c>
      <c r="DZ61" s="619">
        <f t="shared" ca="1" si="62"/>
        <v>25.852130965068334</v>
      </c>
      <c r="EA61" s="619">
        <f t="shared" si="77"/>
        <v>0</v>
      </c>
      <c r="EB61" s="833">
        <f t="shared" ca="1" si="63"/>
        <v>0</v>
      </c>
      <c r="EC61" s="710" t="e">
        <f ca="1">IF(CJ61=_oben,Berechnung_BZoben!$AN$5,Berechnung_BZunten!$AN$5)</f>
        <v>#DIV/0!</v>
      </c>
      <c r="ED61" s="710">
        <f>Ausgabe!$C$520</f>
        <v>1.3</v>
      </c>
      <c r="EE61" s="710" t="e">
        <f t="shared" ca="1" si="64"/>
        <v>#DIV/0!</v>
      </c>
      <c r="EF61" s="710" t="e">
        <f t="shared" ca="1" si="65"/>
        <v>#DIV/0!</v>
      </c>
      <c r="EG61" s="833" t="e">
        <f t="shared" ca="1" si="66"/>
        <v>#DIV/0!</v>
      </c>
      <c r="EH61" s="710">
        <f>Ausgabe!$C$592</f>
        <v>2.7</v>
      </c>
      <c r="EI61" s="710">
        <f>Ausgabe!$C$593</f>
        <v>1.3</v>
      </c>
      <c r="EJ61" s="710">
        <f t="shared" si="78"/>
        <v>2.0769230769230771</v>
      </c>
      <c r="EK61" s="710">
        <f t="shared" si="79"/>
        <v>0</v>
      </c>
      <c r="EL61" s="833">
        <f t="shared" si="80"/>
        <v>0</v>
      </c>
      <c r="EM61" s="821">
        <f ca="1">Ausgabe!$C$581</f>
        <v>0</v>
      </c>
      <c r="EN61" s="710" t="e">
        <f t="shared" ca="1" si="67"/>
        <v>#DIV/0!</v>
      </c>
      <c r="EO61" s="1478"/>
      <c r="EP61" s="710" t="e">
        <f t="shared" ca="1" si="84"/>
        <v>#DIV/0!</v>
      </c>
      <c r="EQ61" s="833" t="e">
        <f t="shared" ca="1" si="70"/>
        <v>#DIV/0!</v>
      </c>
      <c r="ER61" s="889" t="e">
        <f t="shared" ca="1" si="71"/>
        <v>#DIV/0!</v>
      </c>
    </row>
    <row r="62" spans="1:148">
      <c r="A62" s="753"/>
      <c r="B62" s="645"/>
      <c r="C62" s="751"/>
      <c r="D62" s="751"/>
      <c r="E62" s="751"/>
      <c r="F62" s="646"/>
      <c r="G62" s="750"/>
      <c r="AT62" s="500"/>
      <c r="AU62" s="500"/>
      <c r="AV62" s="500"/>
      <c r="BL62" s="631"/>
      <c r="BR62" s="1205" t="e">
        <f t="shared" ca="1" si="43"/>
        <v>#DIV/0!</v>
      </c>
      <c r="BS62" s="1205" t="s">
        <v>1042</v>
      </c>
      <c r="BT62" s="571" t="s">
        <v>980</v>
      </c>
      <c r="BU62" s="649">
        <f>IF(OR(B239&lt;&gt;0,C239&lt;&gt;0,D239&lt;&gt;0,E239&lt;&gt;0,G239&lt;&gt;0),1,0)</f>
        <v>1</v>
      </c>
      <c r="BV62" s="619">
        <f>$BU$30*(1.35*B$99+1.5*B$100+1.5*$E$81*B$101+1.5*$E$82*B$102)</f>
        <v>0</v>
      </c>
      <c r="BW62" s="619">
        <f>$BU$30*(1.35*C$99+1.5*C$100+1.5*$E$81*C$101+1.5*$E$82*C$102)</f>
        <v>0</v>
      </c>
      <c r="BX62" s="619">
        <f>$BU$30*(1.35*D$99+1.5*D$100+1.5*$E$81*D$101+1.5*$E$82*D$102)</f>
        <v>0</v>
      </c>
      <c r="BY62" s="619">
        <f>$BU$30*(1.35*E$99+1.5*E$100+1.5*$E$81*E$101+1.5*$E$82*E$102)</f>
        <v>0</v>
      </c>
      <c r="BZ62" s="619">
        <f>$BU$30*(1.35*G$99+1.5*G$100+1.5*$E$81*G$101+1.5*$E$82*G$102)</f>
        <v>0</v>
      </c>
      <c r="CA62" s="833">
        <f>VLOOKUP($A$80,MKW!$A$50:$E$60,4,FALSE)</f>
        <v>0.3</v>
      </c>
      <c r="CB62" s="821" t="e">
        <f t="shared" ca="1" si="44"/>
        <v>#DIV/0!</v>
      </c>
      <c r="CC62" s="619" t="str">
        <f t="shared" si="81"/>
        <v>unten</v>
      </c>
      <c r="CD62" s="834" t="e">
        <f ca="1">IF(CC62=_oben,Berechnung_BZoben!$AQ$8,Berechnung_BZunten!$AQ$8)</f>
        <v>#DIV/0!</v>
      </c>
      <c r="CE62" s="834" t="e">
        <f ca="1">CD62*2/(3*(1+2*Eingabe!CA62*Eingabe!$D$76))</f>
        <v>#DIV/0!</v>
      </c>
      <c r="CF62" s="710" t="e">
        <f ca="1">IF($C$86=Sprachtexte!$A$87,
-CE62*$C$87^3*BW62/(12*CE62*$C$87+24*$CF$2)+BX62*$BY$1*$CA$1/(6*$CF$2)*(($BY$1-$C$87-2*$CA$1)/(6*$CF$2)-1/CE62-$CA$1/(CE62*$C$87))/(($C$87/(3*$CF$2)+1/CE62)^2-($C$87/(6*$CF$2))^2),
-CE62*$C$87^3*BW62/(8*CE62*$C$87+24*$CF$2)-CE62*$CA$1/$C$87*($C$87^2-$CA$1^2)*BX62/(2*CE62*$C$87+6*$CF$2))</f>
        <v>#DIV/0!</v>
      </c>
      <c r="CG62" s="710" t="e">
        <f t="shared" ca="1" si="72"/>
        <v>#DIV/0!</v>
      </c>
      <c r="CH62" s="835">
        <f t="shared" ca="1" si="46"/>
        <v>0</v>
      </c>
      <c r="CI62" s="821" t="e">
        <f t="shared" ca="1" si="47"/>
        <v>#DIV/0!</v>
      </c>
      <c r="CJ62" s="619" t="str">
        <f t="shared" si="82"/>
        <v>unten</v>
      </c>
      <c r="CK62" s="834" t="e">
        <f ca="1">IF(CJ62=_oben,Berechnung_BZoben!$AQ$8,Berechnung_BZunten!$AQ$8)</f>
        <v>#DIV/0!</v>
      </c>
      <c r="CL62" s="834" t="e">
        <f ca="1">CK62*2/(3*(1+2*Eingabe!CA62*Eingabe!$D$76))</f>
        <v>#DIV/0!</v>
      </c>
      <c r="CM62" s="710" t="e">
        <f ca="1">IF($C$86=Sprachtexte!$A$87,
-CL62*$C$87^3*BW62/(12*CE62*$C$87+24*$CF$2)+BX62*$CA$1*$BY$1/(6*$CF$2)*(($CA$1-$C$87-2*$BY$1)/(6*$CF$2)-1/CE62-$BY$1/(CE62*$C$87))/(($C$87/(3*$CF$2)+1/CE62)^2-($C$87/(6*$CF$2))^2),0)</f>
        <v>#DIV/0!</v>
      </c>
      <c r="CN62" s="710" t="e">
        <f t="shared" ca="1" si="49"/>
        <v>#DIV/0!</v>
      </c>
      <c r="CO62" s="835">
        <f t="shared" ca="1" si="50"/>
        <v>0</v>
      </c>
      <c r="CP62" s="849">
        <f t="shared" si="73"/>
        <v>0</v>
      </c>
      <c r="CQ62" s="710" t="e">
        <f t="shared" ca="1" si="51"/>
        <v>#DIV/0!</v>
      </c>
      <c r="CR62" s="710" t="e">
        <f t="shared" ca="1" si="52"/>
        <v>#DIV/0!</v>
      </c>
      <c r="CS62" s="710">
        <f t="shared" si="74"/>
        <v>0</v>
      </c>
      <c r="CT62" s="710" t="e">
        <f t="shared" ca="1" si="83"/>
        <v>#DIV/0!</v>
      </c>
      <c r="CU62" s="710">
        <f t="shared" si="75"/>
        <v>0</v>
      </c>
      <c r="CV62" s="833">
        <f>MAX($C$79,$C$80,$C$81,$C$82)</f>
        <v>1</v>
      </c>
      <c r="CW62" s="821" t="e">
        <f ca="1">MIN(Ausgabe!$C$173,Ausgabe!$C$186)</f>
        <v>#DIV/0!</v>
      </c>
      <c r="CX62" s="710">
        <f>Ausgabe!$C$187</f>
        <v>1.3</v>
      </c>
      <c r="CY62" s="619">
        <f>Ausgabe!$C$191</f>
        <v>100</v>
      </c>
      <c r="CZ62" s="710">
        <f>Ausgabe!$C$192</f>
        <v>1.25</v>
      </c>
      <c r="DA62" s="619">
        <f>Ausgabe!$C$194</f>
        <v>36.6</v>
      </c>
      <c r="DB62" s="710">
        <f>Ausgabe!$C$195</f>
        <v>1.25</v>
      </c>
      <c r="DC62" s="619" t="e">
        <f t="shared" ca="1" si="54"/>
        <v>#DIV/0!</v>
      </c>
      <c r="DD62" s="619">
        <f t="shared" si="76"/>
        <v>0</v>
      </c>
      <c r="DE62" s="710" t="e">
        <f t="shared" ca="1" si="55"/>
        <v>#DIV/0!</v>
      </c>
      <c r="DF62" s="821">
        <f ca="1">MIN(Ausgabe!$C$221,Ausgabe!$C$239)</f>
        <v>92.436470366395326</v>
      </c>
      <c r="DG62" s="710">
        <f>Ausgabe!$C$240</f>
        <v>1.3</v>
      </c>
      <c r="DH62" s="619">
        <f>Ausgabe!$C$246</f>
        <v>150.4</v>
      </c>
      <c r="DI62" s="710">
        <f>Ausgabe!$C$247</f>
        <v>1.1000000000000001</v>
      </c>
      <c r="DJ62" s="619">
        <f>Ausgabe!$C$254</f>
        <v>176.4</v>
      </c>
      <c r="DK62" s="710">
        <f>Ausgabe!$C$255</f>
        <v>1.25</v>
      </c>
      <c r="DL62" s="619">
        <f>Ausgabe!$C$263</f>
        <v>180.95573684677208</v>
      </c>
      <c r="DM62" s="710">
        <f>Ausgabe!$C$264</f>
        <v>1.1000000000000001</v>
      </c>
      <c r="DN62" s="619">
        <f t="shared" ca="1" si="56"/>
        <v>71.104977204919479</v>
      </c>
      <c r="DO62" s="619" t="e">
        <f t="shared" ca="1" si="57"/>
        <v>#DIV/0!</v>
      </c>
      <c r="DP62" s="833" t="e">
        <f t="shared" ca="1" si="58"/>
        <v>#DIV/0!</v>
      </c>
      <c r="DQ62" s="821" t="e">
        <f ca="1">Ausgabe!$C$369</f>
        <v>#DIV/0!</v>
      </c>
      <c r="DR62" s="710">
        <f>Ausgabe!$C$370</f>
        <v>1.3</v>
      </c>
      <c r="DS62" s="619" t="e">
        <f t="shared" ca="1" si="59"/>
        <v>#DIV/0!</v>
      </c>
      <c r="DT62" s="619" t="e">
        <f t="shared" ca="1" si="60"/>
        <v>#DIV/0!</v>
      </c>
      <c r="DU62" s="833" t="e">
        <f t="shared" ca="1" si="61"/>
        <v>#DIV/0!</v>
      </c>
      <c r="DV62" s="821">
        <f ca="1">Ausgabe!$C$420</f>
        <v>33.607770254588836</v>
      </c>
      <c r="DW62" s="710">
        <f>Ausgabe!$C$421</f>
        <v>1.3</v>
      </c>
      <c r="DX62" s="619">
        <f>Ausgabe!$C$423</f>
        <v>36.9</v>
      </c>
      <c r="DY62" s="710">
        <f>Ausgabe!$C$424</f>
        <v>1.1000000000000001</v>
      </c>
      <c r="DZ62" s="619">
        <f t="shared" ca="1" si="62"/>
        <v>25.852130965068334</v>
      </c>
      <c r="EA62" s="619">
        <f t="shared" si="77"/>
        <v>0</v>
      </c>
      <c r="EB62" s="833">
        <f t="shared" ca="1" si="63"/>
        <v>0</v>
      </c>
      <c r="EC62" s="710" t="e">
        <f ca="1">IF(CJ62=_oben,Berechnung_BZoben!$AN$5,Berechnung_BZunten!$AN$5)</f>
        <v>#DIV/0!</v>
      </c>
      <c r="ED62" s="710">
        <f>Ausgabe!$C$520</f>
        <v>1.3</v>
      </c>
      <c r="EE62" s="710" t="e">
        <f t="shared" ca="1" si="64"/>
        <v>#DIV/0!</v>
      </c>
      <c r="EF62" s="710" t="e">
        <f t="shared" ca="1" si="65"/>
        <v>#DIV/0!</v>
      </c>
      <c r="EG62" s="833" t="e">
        <f t="shared" ca="1" si="66"/>
        <v>#DIV/0!</v>
      </c>
      <c r="EH62" s="710">
        <f>Ausgabe!$C$592</f>
        <v>2.7</v>
      </c>
      <c r="EI62" s="710">
        <f>Ausgabe!$C$593</f>
        <v>1.3</v>
      </c>
      <c r="EJ62" s="710">
        <f t="shared" si="78"/>
        <v>2.0769230769230771</v>
      </c>
      <c r="EK62" s="710">
        <f t="shared" si="79"/>
        <v>0</v>
      </c>
      <c r="EL62" s="833">
        <f t="shared" si="80"/>
        <v>0</v>
      </c>
      <c r="EM62" s="821">
        <f ca="1">Ausgabe!$C$581</f>
        <v>0</v>
      </c>
      <c r="EN62" s="710" t="e">
        <f t="shared" ca="1" si="67"/>
        <v>#DIV/0!</v>
      </c>
      <c r="EO62" s="1478"/>
      <c r="EP62" s="710" t="e">
        <f t="shared" ca="1" si="84"/>
        <v>#DIV/0!</v>
      </c>
      <c r="EQ62" s="833" t="e">
        <f t="shared" ca="1" si="70"/>
        <v>#DIV/0!</v>
      </c>
      <c r="ER62" s="889" t="e">
        <f t="shared" ca="1" si="71"/>
        <v>#DIV/0!</v>
      </c>
    </row>
    <row r="63" spans="1:148">
      <c r="A63" s="895" t="str">
        <f ca="1">IF(OR(O10&lt;&gt;"ok",O11&lt;&gt;"ok",O12&lt;&gt;"ok"),Sprachtexte!A36,"")</f>
        <v>Schrauben oder Verbinder stehen über Nebenträgeraußenfläche über.</v>
      </c>
      <c r="B63" s="743"/>
      <c r="C63" s="743"/>
      <c r="D63" s="569"/>
      <c r="E63" s="506"/>
      <c r="F63" s="609"/>
      <c r="AT63" s="500"/>
      <c r="AU63" s="500"/>
      <c r="AV63" s="500"/>
      <c r="BL63" s="631"/>
      <c r="BR63" s="1205" t="e">
        <f t="shared" ca="1" si="43"/>
        <v>#DIV/0!</v>
      </c>
      <c r="BS63" s="1205" t="s">
        <v>1043</v>
      </c>
      <c r="BT63" s="571" t="s">
        <v>981</v>
      </c>
      <c r="BU63" s="649">
        <f>IF(OR(B240&lt;&gt;0,C240&lt;&gt;0,D240&lt;&gt;0,E240&lt;&gt;0,G240&lt;&gt;0),1,0)</f>
        <v>0</v>
      </c>
      <c r="BV63" s="619">
        <f>$BU$31*(1.35*B$99+1.5*B$101+1.5*$E$80*B$100+1.5*$E$82*B$102)</f>
        <v>0</v>
      </c>
      <c r="BW63" s="619">
        <f>$BU$31*(1.35*C$99+1.5*C$101+1.5*$E$80*C$100+1.5*$E$82*C$102)</f>
        <v>0</v>
      </c>
      <c r="BX63" s="619">
        <f>$BU$31*(1.35*D$99+1.5*D$101+1.5*$E$80*D$100+1.5*$E$82*D$102)</f>
        <v>0</v>
      </c>
      <c r="BY63" s="619">
        <f>$BU$31*(1.35*E$99+1.5*E$101+1.5*$E$80*E$100+1.5*$E$82*E$102)</f>
        <v>0</v>
      </c>
      <c r="BZ63" s="619">
        <f>$BU$31*(1.35*G$99+1.5*G$101+1.5*$E$80*G$100+1.5*$E$82*G$102)</f>
        <v>0</v>
      </c>
      <c r="CA63" s="833">
        <f>VLOOKUP($A$81,MKW!$A$50:$E$60,4,FALSE)</f>
        <v>0</v>
      </c>
      <c r="CB63" s="821" t="e">
        <f t="shared" ca="1" si="44"/>
        <v>#DIV/0!</v>
      </c>
      <c r="CC63" s="619" t="str">
        <f t="shared" si="81"/>
        <v>unten</v>
      </c>
      <c r="CD63" s="834" t="e">
        <f ca="1">IF(CC63=_oben,Berechnung_BZoben!$AQ$8,Berechnung_BZunten!$AQ$8)</f>
        <v>#DIV/0!</v>
      </c>
      <c r="CE63" s="834" t="e">
        <f ca="1">CD63*2/(3*(1+2*Eingabe!CA63*Eingabe!$D$76))</f>
        <v>#DIV/0!</v>
      </c>
      <c r="CF63" s="710" t="e">
        <f ca="1">IF($C$86=Sprachtexte!$A$87,
-CE63*$C$87^3*BW63/(12*CE63*$C$87+24*$CF$2)+BX63*$BY$1*$CA$1/(6*$CF$2)*(($BY$1-$C$87-2*$CA$1)/(6*$CF$2)-1/CE63-$CA$1/(CE63*$C$87))/(($C$87/(3*$CF$2)+1/CE63)^2-($C$87/(6*$CF$2))^2),
-CE63*$C$87^3*BW63/(8*CE63*$C$87+24*$CF$2)-CE63*$CA$1/$C$87*($C$87^2-$CA$1^2)*BX63/(2*CE63*$C$87+6*$CF$2))</f>
        <v>#DIV/0!</v>
      </c>
      <c r="CG63" s="710" t="e">
        <f t="shared" ca="1" si="72"/>
        <v>#DIV/0!</v>
      </c>
      <c r="CH63" s="835">
        <f t="shared" ca="1" si="46"/>
        <v>0</v>
      </c>
      <c r="CI63" s="821" t="e">
        <f t="shared" ca="1" si="47"/>
        <v>#DIV/0!</v>
      </c>
      <c r="CJ63" s="619" t="str">
        <f t="shared" si="82"/>
        <v>unten</v>
      </c>
      <c r="CK63" s="834" t="e">
        <f ca="1">IF(CJ63=_oben,Berechnung_BZoben!$AQ$8,Berechnung_BZunten!$AQ$8)</f>
        <v>#DIV/0!</v>
      </c>
      <c r="CL63" s="834" t="e">
        <f ca="1">CK63*2/(3*(1+2*Eingabe!CA63*Eingabe!$D$76))</f>
        <v>#DIV/0!</v>
      </c>
      <c r="CM63" s="710" t="e">
        <f ca="1">IF($C$86=Sprachtexte!$A$87,
-CL63*$C$87^3*BW63/(12*CE63*$C$87+24*$CF$2)+BX63*$CA$1*$BY$1/(6*$CF$2)*(($CA$1-$C$87-2*$BY$1)/(6*$CF$2)-1/CE63-$BY$1/(CE63*$C$87))/(($C$87/(3*$CF$2)+1/CE63)^2-($C$87/(6*$CF$2))^2),0)</f>
        <v>#DIV/0!</v>
      </c>
      <c r="CN63" s="710" t="e">
        <f t="shared" ca="1" si="49"/>
        <v>#DIV/0!</v>
      </c>
      <c r="CO63" s="835">
        <f t="shared" ca="1" si="50"/>
        <v>0</v>
      </c>
      <c r="CP63" s="849">
        <f t="shared" si="73"/>
        <v>0</v>
      </c>
      <c r="CQ63" s="710" t="e">
        <f t="shared" ca="1" si="51"/>
        <v>#DIV/0!</v>
      </c>
      <c r="CR63" s="710" t="e">
        <f t="shared" ca="1" si="52"/>
        <v>#DIV/0!</v>
      </c>
      <c r="CS63" s="710">
        <f t="shared" si="74"/>
        <v>0</v>
      </c>
      <c r="CT63" s="710" t="e">
        <f t="shared" ca="1" si="83"/>
        <v>#DIV/0!</v>
      </c>
      <c r="CU63" s="710">
        <f t="shared" si="75"/>
        <v>0</v>
      </c>
      <c r="CV63" s="833">
        <f>MAX($C$79,$C$81,$C$80,$C$82)</f>
        <v>1</v>
      </c>
      <c r="CW63" s="821" t="e">
        <f ca="1">MIN(Ausgabe!$C$173,Ausgabe!$C$186)</f>
        <v>#DIV/0!</v>
      </c>
      <c r="CX63" s="710">
        <f>Ausgabe!$C$187</f>
        <v>1.3</v>
      </c>
      <c r="CY63" s="619">
        <f>Ausgabe!$C$191</f>
        <v>100</v>
      </c>
      <c r="CZ63" s="710">
        <f>Ausgabe!$C$192</f>
        <v>1.25</v>
      </c>
      <c r="DA63" s="619">
        <f>Ausgabe!$C$194</f>
        <v>36.6</v>
      </c>
      <c r="DB63" s="710">
        <f>Ausgabe!$C$195</f>
        <v>1.25</v>
      </c>
      <c r="DC63" s="619" t="e">
        <f t="shared" ca="1" si="54"/>
        <v>#DIV/0!</v>
      </c>
      <c r="DD63" s="619">
        <f t="shared" si="76"/>
        <v>0</v>
      </c>
      <c r="DE63" s="710" t="e">
        <f t="shared" ca="1" si="55"/>
        <v>#DIV/0!</v>
      </c>
      <c r="DF63" s="821">
        <f ca="1">MIN(Ausgabe!$C$221,Ausgabe!$C$239)</f>
        <v>92.436470366395326</v>
      </c>
      <c r="DG63" s="710">
        <f>Ausgabe!$C$240</f>
        <v>1.3</v>
      </c>
      <c r="DH63" s="619">
        <f>Ausgabe!$C$246</f>
        <v>150.4</v>
      </c>
      <c r="DI63" s="710">
        <f>Ausgabe!$C$247</f>
        <v>1.1000000000000001</v>
      </c>
      <c r="DJ63" s="619">
        <f>Ausgabe!$C$254</f>
        <v>176.4</v>
      </c>
      <c r="DK63" s="710">
        <f>Ausgabe!$C$255</f>
        <v>1.25</v>
      </c>
      <c r="DL63" s="619">
        <f>Ausgabe!$C$263</f>
        <v>180.95573684677208</v>
      </c>
      <c r="DM63" s="710">
        <f>Ausgabe!$C$264</f>
        <v>1.1000000000000001</v>
      </c>
      <c r="DN63" s="619">
        <f t="shared" ca="1" si="56"/>
        <v>71.104977204919479</v>
      </c>
      <c r="DO63" s="619" t="e">
        <f t="shared" ca="1" si="57"/>
        <v>#DIV/0!</v>
      </c>
      <c r="DP63" s="833" t="e">
        <f t="shared" ca="1" si="58"/>
        <v>#DIV/0!</v>
      </c>
      <c r="DQ63" s="821" t="e">
        <f ca="1">Ausgabe!$C$369</f>
        <v>#DIV/0!</v>
      </c>
      <c r="DR63" s="710">
        <f>Ausgabe!$C$370</f>
        <v>1.3</v>
      </c>
      <c r="DS63" s="619" t="e">
        <f t="shared" ca="1" si="59"/>
        <v>#DIV/0!</v>
      </c>
      <c r="DT63" s="619" t="e">
        <f t="shared" ca="1" si="60"/>
        <v>#DIV/0!</v>
      </c>
      <c r="DU63" s="833" t="e">
        <f t="shared" ca="1" si="61"/>
        <v>#DIV/0!</v>
      </c>
      <c r="DV63" s="821">
        <f ca="1">Ausgabe!$C$420</f>
        <v>33.607770254588836</v>
      </c>
      <c r="DW63" s="710">
        <f>Ausgabe!$C$421</f>
        <v>1.3</v>
      </c>
      <c r="DX63" s="619">
        <f>Ausgabe!$C$423</f>
        <v>36.9</v>
      </c>
      <c r="DY63" s="710">
        <f>Ausgabe!$C$424</f>
        <v>1.1000000000000001</v>
      </c>
      <c r="DZ63" s="619">
        <f t="shared" ca="1" si="62"/>
        <v>25.852130965068334</v>
      </c>
      <c r="EA63" s="619">
        <f t="shared" si="77"/>
        <v>0</v>
      </c>
      <c r="EB63" s="833">
        <f t="shared" ca="1" si="63"/>
        <v>0</v>
      </c>
      <c r="EC63" s="710" t="e">
        <f ca="1">IF(CJ63=_oben,Berechnung_BZoben!$AN$5,Berechnung_BZunten!$AN$5)</f>
        <v>#DIV/0!</v>
      </c>
      <c r="ED63" s="710">
        <f>Ausgabe!$C$520</f>
        <v>1.3</v>
      </c>
      <c r="EE63" s="710" t="e">
        <f t="shared" ca="1" si="64"/>
        <v>#DIV/0!</v>
      </c>
      <c r="EF63" s="710" t="e">
        <f t="shared" ca="1" si="65"/>
        <v>#DIV/0!</v>
      </c>
      <c r="EG63" s="833" t="e">
        <f t="shared" ca="1" si="66"/>
        <v>#DIV/0!</v>
      </c>
      <c r="EH63" s="710">
        <f>Ausgabe!$C$592</f>
        <v>2.7</v>
      </c>
      <c r="EI63" s="710">
        <f>Ausgabe!$C$593</f>
        <v>1.3</v>
      </c>
      <c r="EJ63" s="710">
        <f t="shared" si="78"/>
        <v>2.0769230769230771</v>
      </c>
      <c r="EK63" s="710">
        <f t="shared" si="79"/>
        <v>0</v>
      </c>
      <c r="EL63" s="833">
        <f t="shared" si="80"/>
        <v>0</v>
      </c>
      <c r="EM63" s="821">
        <f ca="1">Ausgabe!$C$581</f>
        <v>0</v>
      </c>
      <c r="EN63" s="710" t="e">
        <f t="shared" ca="1" si="67"/>
        <v>#DIV/0!</v>
      </c>
      <c r="EO63" s="1478"/>
      <c r="EP63" s="710" t="e">
        <f t="shared" ca="1" si="84"/>
        <v>#DIV/0!</v>
      </c>
      <c r="EQ63" s="833" t="e">
        <f t="shared" ca="1" si="70"/>
        <v>#DIV/0!</v>
      </c>
      <c r="ER63" s="889" t="e">
        <f t="shared" ca="1" si="71"/>
        <v>#DIV/0!</v>
      </c>
    </row>
    <row r="64" spans="1:148">
      <c r="A64" s="895"/>
      <c r="B64" s="743"/>
      <c r="C64" s="743"/>
      <c r="D64" s="569"/>
      <c r="E64" s="506"/>
      <c r="F64" s="609"/>
      <c r="AT64" s="500"/>
      <c r="AU64" s="500"/>
      <c r="AV64" s="500"/>
      <c r="BL64" s="631"/>
      <c r="BR64" s="1206" t="e">
        <f t="shared" ca="1" si="43"/>
        <v>#DIV/0!</v>
      </c>
      <c r="BS64" s="1206" t="s">
        <v>1044</v>
      </c>
      <c r="BT64" s="825" t="s">
        <v>982</v>
      </c>
      <c r="BU64" s="840">
        <f>IF(OR(B241&lt;&gt;0,C241&lt;&gt;0,D241&lt;&gt;0,E241&lt;&gt;0,G241&lt;&gt;0),1,0)</f>
        <v>0</v>
      </c>
      <c r="BV64" s="679">
        <f>$BU$32*(1.35*B$99+1.5*B$102+1.5*$E$80*B$100+1.5*$E$81*B$101)</f>
        <v>0</v>
      </c>
      <c r="BW64" s="679">
        <f>$BU$32*(1.35*C$99+1.5*C$102+1.5*$E$80*C$100+1.5*$E$81*C$101)</f>
        <v>0</v>
      </c>
      <c r="BX64" s="679">
        <f>$BU$32*(1.35*D$99+1.5*D$102+1.5*$E$80*D$100+1.5*$E$81*D$101)</f>
        <v>0</v>
      </c>
      <c r="BY64" s="679">
        <f>$BU$32*(1.35*E$99+1.5*E$102+1.5*$E$80*E$100+1.5*$E$81*E$101)</f>
        <v>0</v>
      </c>
      <c r="BZ64" s="679">
        <f>$BU$32*(1.35*G$99+1.5*G$102+1.5*$E$80*G$100+1.5*$E$81*G$101)</f>
        <v>0</v>
      </c>
      <c r="CA64" s="837">
        <f>VLOOKUP($A$82,MKW!$A$50:$E$60,4,FALSE)</f>
        <v>0</v>
      </c>
      <c r="CB64" s="823" t="e">
        <f t="shared" ca="1" si="44"/>
        <v>#DIV/0!</v>
      </c>
      <c r="CC64" s="679" t="str">
        <f t="shared" si="81"/>
        <v>unten</v>
      </c>
      <c r="CD64" s="838" t="e">
        <f ca="1">IF(CC64=_oben,Berechnung_BZoben!$AQ$8,Berechnung_BZunten!$AQ$8)</f>
        <v>#DIV/0!</v>
      </c>
      <c r="CE64" s="838" t="e">
        <f ca="1">CD64*2/(3*(1+2*Eingabe!CA64*Eingabe!$D$76))</f>
        <v>#DIV/0!</v>
      </c>
      <c r="CF64" s="836" t="e">
        <f ca="1">IF($C$86=Sprachtexte!$A$87,
-CE64*$C$87^3*BW64/(12*CE64*$C$87+24*$CF$2)+BX64*$BY$1*$CA$1/(6*$CF$2)*(($BY$1-$C$87-2*$CA$1)/(6*$CF$2)-1/CE64-$CA$1/(CE64*$C$87))/(($C$87/(3*$CF$2)+1/CE64)^2-($C$87/(6*$CF$2))^2),
-CE64*$C$87^3*BW64/(8*CE64*$C$87+24*$CF$2)-CE64*$CA$1/$C$87*($C$87^2-$CA$1^2)*BX64/(2*CE64*$C$87+6*$CF$2))</f>
        <v>#DIV/0!</v>
      </c>
      <c r="CG64" s="836" t="e">
        <f t="shared" ca="1" si="72"/>
        <v>#DIV/0!</v>
      </c>
      <c r="CH64" s="839">
        <f t="shared" ca="1" si="46"/>
        <v>0</v>
      </c>
      <c r="CI64" s="823" t="e">
        <f t="shared" ca="1" si="47"/>
        <v>#DIV/0!</v>
      </c>
      <c r="CJ64" s="679" t="str">
        <f t="shared" si="82"/>
        <v>unten</v>
      </c>
      <c r="CK64" s="838" t="e">
        <f ca="1">IF(CJ64=_oben,Berechnung_BZoben!$AQ$8,Berechnung_BZunten!$AQ$8)</f>
        <v>#DIV/0!</v>
      </c>
      <c r="CL64" s="838" t="e">
        <f ca="1">CK64*2/(3*(1+2*Eingabe!CA64*Eingabe!$D$76))</f>
        <v>#DIV/0!</v>
      </c>
      <c r="CM64" s="836" t="e">
        <f ca="1">IF($C$86=Sprachtexte!$A$87,
-CL64*$C$87^3*BW64/(12*CE64*$C$87+24*$CF$2)+BX64*$CA$1*$BY$1/(6*$CF$2)*(($CA$1-$C$87-2*$BY$1)/(6*$CF$2)-1/CE64-$BY$1/(CE64*$C$87))/(($C$87/(3*$CF$2)+1/CE64)^2-($C$87/(6*$CF$2))^2),0)</f>
        <v>#DIV/0!</v>
      </c>
      <c r="CN64" s="836" t="e">
        <f t="shared" ca="1" si="49"/>
        <v>#DIV/0!</v>
      </c>
      <c r="CO64" s="839">
        <f t="shared" ca="1" si="50"/>
        <v>0</v>
      </c>
      <c r="CP64" s="850">
        <f t="shared" si="73"/>
        <v>0</v>
      </c>
      <c r="CQ64" s="836" t="e">
        <f t="shared" ca="1" si="51"/>
        <v>#DIV/0!</v>
      </c>
      <c r="CR64" s="836" t="e">
        <f t="shared" ca="1" si="52"/>
        <v>#DIV/0!</v>
      </c>
      <c r="CS64" s="836">
        <f t="shared" si="74"/>
        <v>0</v>
      </c>
      <c r="CT64" s="836" t="e">
        <f t="shared" ca="1" si="83"/>
        <v>#DIV/0!</v>
      </c>
      <c r="CU64" s="836">
        <f t="shared" si="75"/>
        <v>0</v>
      </c>
      <c r="CV64" s="837">
        <f>MAX($C$79,$C$82,$C$80,$C$81)</f>
        <v>1</v>
      </c>
      <c r="CW64" s="823" t="e">
        <f ca="1">MIN(Ausgabe!$C$173,Ausgabe!$C$186)</f>
        <v>#DIV/0!</v>
      </c>
      <c r="CX64" s="836">
        <f>Ausgabe!$C$187</f>
        <v>1.3</v>
      </c>
      <c r="CY64" s="679">
        <f>Ausgabe!$C$191</f>
        <v>100</v>
      </c>
      <c r="CZ64" s="836">
        <f>Ausgabe!$C$192</f>
        <v>1.25</v>
      </c>
      <c r="DA64" s="679">
        <f>Ausgabe!$C$194</f>
        <v>36.6</v>
      </c>
      <c r="DB64" s="836">
        <f>Ausgabe!$C$195</f>
        <v>1.25</v>
      </c>
      <c r="DC64" s="679" t="e">
        <f t="shared" ca="1" si="54"/>
        <v>#DIV/0!</v>
      </c>
      <c r="DD64" s="679">
        <f t="shared" si="76"/>
        <v>0</v>
      </c>
      <c r="DE64" s="836" t="e">
        <f t="shared" ca="1" si="55"/>
        <v>#DIV/0!</v>
      </c>
      <c r="DF64" s="823">
        <f ca="1">MIN(Ausgabe!$C$221,Ausgabe!$C$239)</f>
        <v>92.436470366395326</v>
      </c>
      <c r="DG64" s="836">
        <f>Ausgabe!$C$240</f>
        <v>1.3</v>
      </c>
      <c r="DH64" s="679">
        <f>Ausgabe!$C$246</f>
        <v>150.4</v>
      </c>
      <c r="DI64" s="836">
        <f>Ausgabe!$C$247</f>
        <v>1.1000000000000001</v>
      </c>
      <c r="DJ64" s="679">
        <f>Ausgabe!$C$254</f>
        <v>176.4</v>
      </c>
      <c r="DK64" s="836">
        <f>Ausgabe!$C$255</f>
        <v>1.25</v>
      </c>
      <c r="DL64" s="679">
        <f>Ausgabe!$C$263</f>
        <v>180.95573684677208</v>
      </c>
      <c r="DM64" s="836">
        <f>Ausgabe!$C$264</f>
        <v>1.1000000000000001</v>
      </c>
      <c r="DN64" s="679">
        <f t="shared" ca="1" si="56"/>
        <v>71.104977204919479</v>
      </c>
      <c r="DO64" s="679" t="e">
        <f t="shared" ca="1" si="57"/>
        <v>#DIV/0!</v>
      </c>
      <c r="DP64" s="837" t="e">
        <f t="shared" ca="1" si="58"/>
        <v>#DIV/0!</v>
      </c>
      <c r="DQ64" s="823" t="e">
        <f ca="1">Ausgabe!$C$369</f>
        <v>#DIV/0!</v>
      </c>
      <c r="DR64" s="836">
        <f>Ausgabe!$C$370</f>
        <v>1.3</v>
      </c>
      <c r="DS64" s="679" t="e">
        <f t="shared" ca="1" si="59"/>
        <v>#DIV/0!</v>
      </c>
      <c r="DT64" s="679" t="e">
        <f t="shared" ca="1" si="60"/>
        <v>#DIV/0!</v>
      </c>
      <c r="DU64" s="837" t="e">
        <f t="shared" ca="1" si="61"/>
        <v>#DIV/0!</v>
      </c>
      <c r="DV64" s="823">
        <f ca="1">Ausgabe!$C$420</f>
        <v>33.607770254588836</v>
      </c>
      <c r="DW64" s="836">
        <f>Ausgabe!$C$421</f>
        <v>1.3</v>
      </c>
      <c r="DX64" s="679">
        <f>Ausgabe!$C$423</f>
        <v>36.9</v>
      </c>
      <c r="DY64" s="836">
        <f>Ausgabe!$C$424</f>
        <v>1.1000000000000001</v>
      </c>
      <c r="DZ64" s="679">
        <f t="shared" ca="1" si="62"/>
        <v>25.852130965068334</v>
      </c>
      <c r="EA64" s="679">
        <f t="shared" si="77"/>
        <v>0</v>
      </c>
      <c r="EB64" s="837">
        <f t="shared" ca="1" si="63"/>
        <v>0</v>
      </c>
      <c r="EC64" s="836" t="e">
        <f ca="1">IF(CJ64=_oben,Berechnung_BZoben!$AN$5,Berechnung_BZunten!$AN$5)</f>
        <v>#DIV/0!</v>
      </c>
      <c r="ED64" s="836">
        <f>Ausgabe!$C$520</f>
        <v>1.3</v>
      </c>
      <c r="EE64" s="836" t="e">
        <f t="shared" ca="1" si="64"/>
        <v>#DIV/0!</v>
      </c>
      <c r="EF64" s="836" t="e">
        <f t="shared" ca="1" si="65"/>
        <v>#DIV/0!</v>
      </c>
      <c r="EG64" s="837" t="e">
        <f t="shared" ca="1" si="66"/>
        <v>#DIV/0!</v>
      </c>
      <c r="EH64" s="836">
        <f>Ausgabe!$C$592</f>
        <v>2.7</v>
      </c>
      <c r="EI64" s="836">
        <f>Ausgabe!$C$593</f>
        <v>1.3</v>
      </c>
      <c r="EJ64" s="836">
        <f t="shared" si="78"/>
        <v>2.0769230769230771</v>
      </c>
      <c r="EK64" s="836">
        <f t="shared" si="79"/>
        <v>0</v>
      </c>
      <c r="EL64" s="837">
        <f t="shared" si="80"/>
        <v>0</v>
      </c>
      <c r="EM64" s="823">
        <f ca="1">Ausgabe!$C$581</f>
        <v>0</v>
      </c>
      <c r="EN64" s="836" t="e">
        <f t="shared" ca="1" si="67"/>
        <v>#DIV/0!</v>
      </c>
      <c r="EO64" s="1479"/>
      <c r="EP64" s="836" t="e">
        <f t="shared" ca="1" si="84"/>
        <v>#DIV/0!</v>
      </c>
      <c r="EQ64" s="837" t="e">
        <f t="shared" ca="1" si="70"/>
        <v>#DIV/0!</v>
      </c>
      <c r="ER64" s="890" t="e">
        <f t="shared" ca="1" si="71"/>
        <v>#DIV/0!</v>
      </c>
    </row>
    <row r="65" spans="1:48" ht="18.75">
      <c r="A65" s="585" t="str">
        <f>Sprachtexte!A57</f>
        <v>Hinweise</v>
      </c>
      <c r="B65" s="586"/>
      <c r="C65" s="587"/>
      <c r="D65" s="588"/>
      <c r="E65" s="586"/>
      <c r="F65" s="586"/>
      <c r="G65" s="586"/>
      <c r="M65" s="722"/>
      <c r="N65" s="569"/>
      <c r="AT65" s="500"/>
      <c r="AU65" s="500"/>
      <c r="AV65" s="500"/>
    </row>
    <row r="66" spans="1:48">
      <c r="A66" s="716"/>
      <c r="B66" s="716"/>
      <c r="C66" s="716"/>
      <c r="D66" s="716"/>
      <c r="E66" s="716"/>
      <c r="F66" s="716"/>
      <c r="G66" s="716"/>
      <c r="AT66" s="500"/>
      <c r="AU66" s="500"/>
      <c r="AV66" s="500"/>
    </row>
    <row r="67" spans="1:48" ht="15.75">
      <c r="A67" s="1496" t="str">
        <f>IF(C86=Sprachtexte!A87,Sprachtexte!A58,"")</f>
        <v>Die Berechnung erfolgt für Nebenträger mit gleichen MEGANT-Verbindern an beiden Endauflagern (siehe Abbildung statisches System).</v>
      </c>
      <c r="B67" s="1496"/>
      <c r="C67" s="1496"/>
      <c r="D67" s="1496"/>
      <c r="E67" s="1496"/>
      <c r="F67" s="1496"/>
      <c r="G67" s="1496"/>
      <c r="O67" s="722"/>
      <c r="AT67" s="500"/>
      <c r="AU67" s="500"/>
      <c r="AV67" s="500"/>
    </row>
    <row r="68" spans="1:48" ht="15.75">
      <c r="A68" s="1496"/>
      <c r="B68" s="1496"/>
      <c r="C68" s="1496"/>
      <c r="D68" s="1496"/>
      <c r="E68" s="1496"/>
      <c r="F68" s="1496"/>
      <c r="G68" s="1496"/>
      <c r="O68" s="722"/>
    </row>
    <row r="69" spans="1:48" ht="15.75">
      <c r="A69" s="609" t="str">
        <f>IF(C86=Sprachtexte!A87,Sprachtexte!A59,"")</f>
        <v>Die Nachweise werden für das maßgebende Auflager geführt.</v>
      </c>
      <c r="B69" s="609"/>
      <c r="C69" s="609"/>
      <c r="E69" s="609"/>
      <c r="F69" s="609"/>
      <c r="G69" s="609"/>
      <c r="O69" s="722"/>
    </row>
    <row r="70" spans="1:48" ht="15.75">
      <c r="A70" s="1496" t="str">
        <f>IF(OR(C16=MKW!R4,C16=MKW!AS4,C23=MKW!R4,C23=MKW!AS4),Sprachtexte!A60,"")</f>
        <v/>
      </c>
      <c r="B70" s="1496"/>
      <c r="C70" s="1496"/>
      <c r="D70" s="1496"/>
      <c r="E70" s="1496"/>
      <c r="F70" s="1496"/>
      <c r="G70" s="1496"/>
      <c r="M70" s="722"/>
      <c r="N70" s="569"/>
      <c r="O70" s="722"/>
    </row>
    <row r="71" spans="1:48" ht="15.75">
      <c r="A71" s="716"/>
      <c r="B71" s="716"/>
      <c r="C71" s="716"/>
      <c r="D71" s="716"/>
      <c r="E71" s="716"/>
      <c r="F71" s="716"/>
      <c r="G71" s="716"/>
      <c r="M71" s="722"/>
      <c r="N71" s="569"/>
      <c r="O71" s="722"/>
    </row>
    <row r="72" spans="1:48" ht="18.75">
      <c r="A72" s="585" t="str">
        <f>Sprachtexte!A61</f>
        <v>Nutzungsklasse und Einwirkungskategorien</v>
      </c>
      <c r="B72" s="586"/>
      <c r="C72" s="587"/>
      <c r="D72" s="588"/>
      <c r="E72" s="586"/>
      <c r="F72" s="586"/>
      <c r="G72" s="586"/>
      <c r="M72" s="722"/>
      <c r="N72" s="569"/>
      <c r="O72" s="722"/>
    </row>
    <row r="73" spans="1:48" ht="15.75">
      <c r="A73" s="716"/>
      <c r="B73" s="716"/>
      <c r="C73" s="716"/>
      <c r="D73" s="716"/>
      <c r="E73" s="716"/>
      <c r="F73" s="716"/>
      <c r="G73" s="716"/>
      <c r="M73" s="722"/>
      <c r="N73" s="569"/>
      <c r="O73" s="722"/>
    </row>
    <row r="74" spans="1:48" ht="15.75">
      <c r="A74" s="569" t="str">
        <f>Sprachtexte!A62</f>
        <v xml:space="preserve">Nach DIN EN 1995-1-1:2010-12 mit NA Deutschland </v>
      </c>
      <c r="D74" s="515"/>
      <c r="G74" s="616"/>
      <c r="M74" s="722"/>
      <c r="N74" s="569"/>
      <c r="O74" s="722"/>
    </row>
    <row r="75" spans="1:48" ht="15.75">
      <c r="A75" s="429"/>
      <c r="M75" s="722"/>
      <c r="N75" s="569"/>
      <c r="O75" s="722"/>
    </row>
    <row r="76" spans="1:48" ht="15.75">
      <c r="A76" s="569" t="str">
        <f>Sprachtexte!A63</f>
        <v>Nutzungsklasse</v>
      </c>
      <c r="B76" s="1361">
        <v>1</v>
      </c>
      <c r="C76" s="506" t="s">
        <v>874</v>
      </c>
      <c r="D76" s="861">
        <f>IF(B76=1,0.6,0.8)</f>
        <v>0.6</v>
      </c>
      <c r="M76" s="722"/>
      <c r="N76" s="569"/>
      <c r="O76" s="722"/>
    </row>
    <row r="77" spans="1:48" ht="15.75">
      <c r="A77" s="569"/>
      <c r="B77" s="609"/>
      <c r="C77" s="609"/>
      <c r="D77" s="645"/>
      <c r="E77" s="609"/>
      <c r="F77" s="609"/>
      <c r="G77" s="609"/>
      <c r="M77" s="722"/>
      <c r="N77" s="569"/>
    </row>
    <row r="78" spans="1:48" ht="15.75">
      <c r="A78" s="841" t="str">
        <f>Sprachtexte!A64</f>
        <v>Einwirkungskategorien</v>
      </c>
      <c r="B78" s="840" t="str">
        <f>Sprachtexte!A65</f>
        <v>KLED</v>
      </c>
      <c r="C78" s="840" t="s">
        <v>422</v>
      </c>
      <c r="D78" s="842" t="s">
        <v>724</v>
      </c>
      <c r="E78" s="746" t="s">
        <v>993</v>
      </c>
      <c r="F78" s="746" t="s">
        <v>465</v>
      </c>
      <c r="G78" s="746" t="s">
        <v>466</v>
      </c>
      <c r="M78" s="722"/>
      <c r="N78" s="569"/>
    </row>
    <row r="79" spans="1:48" ht="15.75">
      <c r="A79" s="500" t="str">
        <f>Sprachtexte!A66</f>
        <v>Eigenlasten</v>
      </c>
      <c r="B79" s="649" t="str">
        <f>Sprachtexte!A78</f>
        <v>ständig</v>
      </c>
      <c r="C79" s="710">
        <f>INDEX($AU$8:$AV$13,MATCH(B79,$AT$8:$AT$13,0),2)</f>
        <v>0.6</v>
      </c>
      <c r="D79" s="710">
        <v>1.35</v>
      </c>
      <c r="E79" s="619" t="s">
        <v>124</v>
      </c>
      <c r="F79" s="619" t="s">
        <v>124</v>
      </c>
      <c r="G79" s="619" t="s">
        <v>124</v>
      </c>
      <c r="M79" s="722"/>
      <c r="N79" s="569"/>
    </row>
    <row r="80" spans="1:48" ht="15.75">
      <c r="A80" s="1365" t="s">
        <v>305</v>
      </c>
      <c r="B80" s="649" t="str">
        <f>VLOOKUP(A80,MKW!$A$50:$E$60,5,FALSE)</f>
        <v>mittel</v>
      </c>
      <c r="C80" s="710">
        <f>INDEX($AU$8:$AV$13,MATCH(B80,$AT$8:$AT$13,0),2)</f>
        <v>0.8</v>
      </c>
      <c r="D80" s="710">
        <v>1.5</v>
      </c>
      <c r="E80" s="710">
        <f>VLOOKUP($A80,MKW!$A$50:$E$60,2,FALSE)</f>
        <v>0.7</v>
      </c>
      <c r="F80" s="710">
        <f>VLOOKUP($A80,MKW!$A$50:$E$60,3,FALSE)</f>
        <v>0.5</v>
      </c>
      <c r="G80" s="710">
        <f>VLOOKUP($A80,MKW!$A$50:$E$60,4,FALSE)</f>
        <v>0.3</v>
      </c>
      <c r="M80" s="722"/>
      <c r="N80" s="569"/>
    </row>
    <row r="81" spans="1:10">
      <c r="A81" s="1365" t="s">
        <v>313</v>
      </c>
      <c r="B81" s="649" t="str">
        <f>VLOOKUP(A81,MKW!$A$50:$E$60,5,FALSE)</f>
        <v>kurz</v>
      </c>
      <c r="C81" s="710">
        <f>INDEX($AU$8:$AV$13,MATCH(B81,$AT$8:$AT$13,0),2)</f>
        <v>0.9</v>
      </c>
      <c r="D81" s="710">
        <v>1.5</v>
      </c>
      <c r="E81" s="710">
        <f>VLOOKUP($A81,MKW!$A$50:$E$60,2,FALSE)</f>
        <v>0.5</v>
      </c>
      <c r="F81" s="710">
        <f>VLOOKUP($A81,MKW!$A$50:$E$60,3,FALSE)</f>
        <v>0.2</v>
      </c>
      <c r="G81" s="710">
        <f>VLOOKUP($A81,MKW!$A$50:$E$60,4,FALSE)</f>
        <v>0</v>
      </c>
    </row>
    <row r="82" spans="1:10">
      <c r="A82" s="841" t="str">
        <f>Sprachtexte!A77</f>
        <v>Windlast</v>
      </c>
      <c r="B82" s="840" t="str">
        <f>VLOOKUP(A82,MKW!$A$50:$E$60,5,FALSE)</f>
        <v>kurz/sehr kurz</v>
      </c>
      <c r="C82" s="836">
        <f>INDEX($AU$8:$AV$13,MATCH(B82,$AT$8:$AT$13,0),2)</f>
        <v>1</v>
      </c>
      <c r="D82" s="836">
        <v>1.5</v>
      </c>
      <c r="E82" s="836">
        <f>VLOOKUP($A82,MKW!$A$50:$E$60,2,FALSE)</f>
        <v>0.6</v>
      </c>
      <c r="F82" s="836">
        <f>VLOOKUP($A82,MKW!$A$50:$E$60,3,FALSE)</f>
        <v>0.2</v>
      </c>
      <c r="G82" s="836">
        <f>VLOOKUP($A82,MKW!$A$50:$E$60,4,FALSE)</f>
        <v>0</v>
      </c>
    </row>
    <row r="84" spans="1:10" ht="15" customHeight="1">
      <c r="A84" s="585" t="str">
        <f>Sprachtexte!A84</f>
        <v>Statisches System und Einwirkung auf Nebenträger</v>
      </c>
      <c r="B84" s="586"/>
      <c r="C84" s="587"/>
      <c r="D84" s="588"/>
      <c r="E84" s="586"/>
      <c r="F84" s="586"/>
      <c r="G84" s="586"/>
    </row>
    <row r="85" spans="1:10">
      <c r="A85" s="609"/>
      <c r="B85" s="609"/>
      <c r="C85" s="609"/>
      <c r="D85" s="609"/>
      <c r="E85" s="609"/>
      <c r="F85" s="609"/>
      <c r="G85" s="609"/>
    </row>
    <row r="86" spans="1:10">
      <c r="A86" s="609" t="str">
        <f>Sprachtexte!A85</f>
        <v>Anordnung MEGANT-Verbinder</v>
      </c>
      <c r="C86" s="1361" t="s">
        <v>969</v>
      </c>
      <c r="D86" s="609"/>
      <c r="E86" s="609"/>
      <c r="F86" s="609"/>
      <c r="G86" s="609"/>
    </row>
    <row r="87" spans="1:10">
      <c r="A87" s="609" t="str">
        <f>Sprachtexte!A88</f>
        <v>Länge Nebenträger</v>
      </c>
      <c r="B87" s="506" t="s">
        <v>855</v>
      </c>
      <c r="C87" s="1366"/>
      <c r="D87" s="609" t="s">
        <v>275</v>
      </c>
    </row>
    <row r="88" spans="1:10">
      <c r="A88" s="1493" t="e" vm="18">
        <f>IF(C86=Sprachtexte!A86,BM44,BM45)</f>
        <v>#VALUE!</v>
      </c>
      <c r="B88" s="1493"/>
      <c r="C88" s="1493"/>
      <c r="D88" s="1493"/>
      <c r="E88" s="1493"/>
      <c r="F88" s="1493"/>
      <c r="G88" s="1493"/>
    </row>
    <row r="89" spans="1:10">
      <c r="A89" s="1493"/>
      <c r="B89" s="1493"/>
      <c r="C89" s="1493"/>
      <c r="D89" s="1493"/>
      <c r="E89" s="1493"/>
      <c r="F89" s="1493"/>
      <c r="G89" s="1493"/>
    </row>
    <row r="90" spans="1:10">
      <c r="A90" s="1493"/>
      <c r="B90" s="1493"/>
      <c r="C90" s="1493"/>
      <c r="D90" s="1493"/>
      <c r="E90" s="1493"/>
      <c r="F90" s="1493"/>
      <c r="G90" s="1493"/>
      <c r="J90" s="643"/>
    </row>
    <row r="91" spans="1:10" ht="15" customHeight="1">
      <c r="A91" s="1493"/>
      <c r="B91" s="1493"/>
      <c r="C91" s="1493"/>
      <c r="D91" s="1493"/>
      <c r="E91" s="1493"/>
      <c r="F91" s="1493"/>
      <c r="G91" s="1493"/>
      <c r="J91" s="643"/>
    </row>
    <row r="92" spans="1:10">
      <c r="A92" s="1493"/>
      <c r="B92" s="1493"/>
      <c r="C92" s="1493"/>
      <c r="D92" s="1493"/>
      <c r="E92" s="1493"/>
      <c r="F92" s="1493"/>
      <c r="G92" s="1493"/>
      <c r="J92" s="643"/>
    </row>
    <row r="93" spans="1:10">
      <c r="A93" s="1493"/>
      <c r="B93" s="1493"/>
      <c r="C93" s="1493"/>
      <c r="D93" s="1493"/>
      <c r="E93" s="1493"/>
      <c r="F93" s="1493"/>
      <c r="G93" s="1493"/>
      <c r="J93" s="643"/>
    </row>
    <row r="94" spans="1:10">
      <c r="J94" s="643"/>
    </row>
    <row r="95" spans="1:10">
      <c r="A95" s="609"/>
      <c r="B95" s="1534" t="str">
        <f>Sprachtexte!A89</f>
        <v>Lasten 
1-Richtung</v>
      </c>
      <c r="C95" s="1534" t="str">
        <f>Sprachtexte!A90</f>
        <v>Streckenlasten
23-Richtung</v>
      </c>
      <c r="D95" s="1534" t="str">
        <f>Sprachtexte!A91</f>
        <v>Einzellasten
23-Richtung</v>
      </c>
      <c r="E95" s="1534" t="str">
        <f>Sprachtexte!A92</f>
        <v>Lasten 
45-Richtung</v>
      </c>
      <c r="F95" s="1538"/>
      <c r="G95" s="1539" t="str">
        <f>Sprachtexte!A93</f>
        <v>Torsion</v>
      </c>
    </row>
    <row r="96" spans="1:10">
      <c r="A96" s="609"/>
      <c r="B96" s="1534"/>
      <c r="C96" s="1534"/>
      <c r="D96" s="1534"/>
      <c r="E96" s="1534"/>
      <c r="F96" s="1538"/>
      <c r="G96" s="1539"/>
    </row>
    <row r="97" spans="1:8">
      <c r="A97" s="609"/>
      <c r="B97" s="853" t="s">
        <v>995</v>
      </c>
      <c r="C97" s="853" t="s">
        <v>631</v>
      </c>
      <c r="D97" s="853" t="s">
        <v>632</v>
      </c>
      <c r="E97" s="1535" t="s">
        <v>997</v>
      </c>
      <c r="F97" s="1535"/>
      <c r="G97" s="610" t="s">
        <v>996</v>
      </c>
    </row>
    <row r="98" spans="1:8">
      <c r="A98" s="598"/>
      <c r="B98" s="855" t="s">
        <v>469</v>
      </c>
      <c r="C98" s="855" t="s">
        <v>468</v>
      </c>
      <c r="D98" s="855" t="s">
        <v>469</v>
      </c>
      <c r="E98" s="1537" t="s">
        <v>469</v>
      </c>
      <c r="F98" s="1537"/>
      <c r="G98" s="856" t="s">
        <v>496</v>
      </c>
    </row>
    <row r="99" spans="1:8">
      <c r="A99" s="609" t="str">
        <f>$A$79</f>
        <v>Eigenlasten</v>
      </c>
      <c r="B99" s="1367">
        <v>0</v>
      </c>
      <c r="C99" s="1367">
        <v>0</v>
      </c>
      <c r="D99" s="1367">
        <v>0</v>
      </c>
      <c r="E99" s="1533">
        <v>0</v>
      </c>
      <c r="F99" s="1533"/>
      <c r="G99" s="1433">
        <v>0</v>
      </c>
      <c r="H99" s="1437" t="str">
        <f>IF(O8&lt;&gt;"ok",W19,"")</f>
        <v/>
      </c>
    </row>
    <row r="100" spans="1:8">
      <c r="A100" s="609" t="str">
        <f>$A$80</f>
        <v>Nutzlast Kat. A: Wohnraum</v>
      </c>
      <c r="B100" s="1367">
        <v>0</v>
      </c>
      <c r="C100" s="1367">
        <v>0</v>
      </c>
      <c r="D100" s="1367">
        <v>0</v>
      </c>
      <c r="E100" s="1533">
        <v>0</v>
      </c>
      <c r="F100" s="1533"/>
      <c r="G100" s="1433">
        <v>0</v>
      </c>
    </row>
    <row r="101" spans="1:8">
      <c r="A101" s="609" t="str">
        <f>$A$81</f>
        <v>Schneelast bis 1.000 m</v>
      </c>
      <c r="B101" s="1367">
        <v>0</v>
      </c>
      <c r="C101" s="1367">
        <v>0</v>
      </c>
      <c r="D101" s="1367">
        <v>0</v>
      </c>
      <c r="E101" s="1533">
        <v>0</v>
      </c>
      <c r="F101" s="1533"/>
      <c r="G101" s="1433">
        <v>0</v>
      </c>
    </row>
    <row r="102" spans="1:8">
      <c r="A102" s="609" t="str">
        <f>$A$82</f>
        <v>Windlast</v>
      </c>
      <c r="B102" s="1367">
        <v>0</v>
      </c>
      <c r="C102" s="1367">
        <v>0</v>
      </c>
      <c r="D102" s="1367">
        <v>0</v>
      </c>
      <c r="E102" s="1533">
        <v>0</v>
      </c>
      <c r="F102" s="1533"/>
      <c r="G102" s="1433">
        <v>0</v>
      </c>
    </row>
    <row r="103" spans="1:8">
      <c r="A103" s="609"/>
      <c r="B103" s="609"/>
      <c r="C103" s="609"/>
      <c r="D103" s="609"/>
      <c r="E103" s="552"/>
      <c r="F103" s="710"/>
      <c r="G103" s="710"/>
    </row>
    <row r="104" spans="1:8">
      <c r="A104" s="609" t="str">
        <f>Sprachtexte!A94</f>
        <v>Abstand Einzellasten 23-Richtung</v>
      </c>
      <c r="C104" s="506" t="s">
        <v>854</v>
      </c>
      <c r="D104" s="1366">
        <v>1</v>
      </c>
      <c r="E104" s="609" t="s">
        <v>275</v>
      </c>
      <c r="F104" s="745" t="str">
        <f>IF(O7&lt;&gt;"ok","≤ L","")</f>
        <v>≤ L</v>
      </c>
      <c r="G104" s="710"/>
    </row>
    <row r="105" spans="1:8">
      <c r="A105" s="609"/>
      <c r="B105" s="609"/>
      <c r="C105" s="609"/>
      <c r="D105" s="609"/>
      <c r="E105" s="609"/>
      <c r="F105" s="609"/>
      <c r="G105" s="609"/>
    </row>
    <row r="106" spans="1:8">
      <c r="A106" s="1493" t="e" vm="19">
        <v>#VALUE!</v>
      </c>
      <c r="B106" s="1493"/>
      <c r="C106" s="1493"/>
      <c r="D106" s="1493"/>
      <c r="E106" s="1493"/>
      <c r="F106" s="1493"/>
      <c r="G106" s="1493"/>
    </row>
    <row r="107" spans="1:8">
      <c r="A107" s="1493"/>
      <c r="B107" s="1493"/>
      <c r="C107" s="1493"/>
      <c r="D107" s="1493"/>
      <c r="E107" s="1493"/>
      <c r="F107" s="1493"/>
      <c r="G107" s="1493"/>
    </row>
    <row r="108" spans="1:8">
      <c r="A108" s="1493"/>
      <c r="B108" s="1493"/>
      <c r="C108" s="1493"/>
      <c r="D108" s="1493"/>
      <c r="E108" s="1493"/>
      <c r="F108" s="1493"/>
      <c r="G108" s="1493"/>
    </row>
    <row r="109" spans="1:8">
      <c r="A109" s="1493"/>
      <c r="B109" s="1493"/>
      <c r="C109" s="1493"/>
      <c r="D109" s="1493"/>
      <c r="E109" s="1493"/>
      <c r="F109" s="1493"/>
      <c r="G109" s="1493"/>
    </row>
    <row r="110" spans="1:8">
      <c r="A110" s="1493"/>
      <c r="B110" s="1493"/>
      <c r="C110" s="1493"/>
      <c r="D110" s="1493"/>
      <c r="E110" s="1493"/>
      <c r="F110" s="1493"/>
      <c r="G110" s="1493"/>
    </row>
    <row r="111" spans="1:8">
      <c r="A111" s="1493"/>
      <c r="B111" s="1493"/>
      <c r="C111" s="1493"/>
      <c r="D111" s="1493"/>
      <c r="E111" s="1493"/>
      <c r="F111" s="1493"/>
      <c r="G111" s="1493"/>
    </row>
    <row r="112" spans="1:8">
      <c r="A112" s="1493"/>
      <c r="B112" s="1493"/>
      <c r="C112" s="1493"/>
      <c r="D112" s="1493"/>
      <c r="E112" s="1493"/>
      <c r="F112" s="1493"/>
      <c r="G112" s="1493"/>
    </row>
    <row r="113" spans="1:29">
      <c r="A113" s="1493"/>
      <c r="B113" s="1493"/>
      <c r="C113" s="1493"/>
      <c r="D113" s="1493"/>
      <c r="E113" s="1493"/>
      <c r="F113" s="1493"/>
      <c r="G113" s="1493"/>
    </row>
    <row r="114" spans="1:29">
      <c r="A114" s="1493"/>
      <c r="B114" s="1493"/>
      <c r="C114" s="1493"/>
      <c r="D114" s="1493"/>
      <c r="E114" s="1493"/>
      <c r="F114" s="1493"/>
      <c r="G114" s="1493"/>
    </row>
    <row r="115" spans="1:29">
      <c r="A115" s="1493"/>
      <c r="B115" s="1493"/>
      <c r="C115" s="1493"/>
      <c r="D115" s="1493"/>
      <c r="E115" s="1493"/>
      <c r="F115" s="1493"/>
      <c r="G115" s="1493"/>
    </row>
    <row r="116" spans="1:29">
      <c r="A116" s="1493"/>
      <c r="B116" s="1493"/>
      <c r="C116" s="1493"/>
      <c r="D116" s="1493"/>
      <c r="E116" s="1493"/>
      <c r="F116" s="1493"/>
      <c r="G116" s="1493"/>
    </row>
    <row r="117" spans="1:29">
      <c r="A117" s="1493"/>
      <c r="B117" s="1493"/>
      <c r="C117" s="1493"/>
      <c r="D117" s="1493"/>
      <c r="E117" s="1493"/>
      <c r="F117" s="1493"/>
      <c r="G117" s="1493"/>
    </row>
    <row r="118" spans="1:29">
      <c r="A118" s="1493"/>
      <c r="B118" s="1493"/>
      <c r="C118" s="1493"/>
      <c r="D118" s="1493"/>
      <c r="E118" s="1493"/>
      <c r="F118" s="1493"/>
      <c r="G118" s="1493"/>
    </row>
    <row r="119" spans="1:29">
      <c r="A119" s="1493"/>
      <c r="B119" s="1493"/>
      <c r="C119" s="1493"/>
      <c r="D119" s="1493"/>
      <c r="E119" s="1493"/>
      <c r="F119" s="1493"/>
      <c r="G119" s="1493"/>
    </row>
    <row r="120" spans="1:29">
      <c r="A120" s="500"/>
      <c r="B120" s="500"/>
      <c r="C120" s="500"/>
      <c r="D120" s="500"/>
      <c r="E120" s="500"/>
      <c r="F120" s="500"/>
      <c r="G120" s="500"/>
    </row>
    <row r="121" spans="1:29" ht="18.75">
      <c r="A121" s="585" t="str">
        <f>Sprachtexte!A225</f>
        <v>Angaben zur Verstärkungen des MEGANT-Verbinders</v>
      </c>
      <c r="B121" s="586"/>
      <c r="C121" s="587"/>
      <c r="D121" s="588"/>
      <c r="E121" s="586"/>
      <c r="F121" s="586"/>
      <c r="G121" s="586"/>
      <c r="L121" s="1360" t="s">
        <v>1963</v>
      </c>
    </row>
    <row r="122" spans="1:29">
      <c r="A122" s="524" t="str">
        <f>Sprachtexte!A226</f>
        <v>Verstärkung in der Zugzone vorhanden?</v>
      </c>
      <c r="C122" s="1368" t="s">
        <v>722</v>
      </c>
      <c r="D122" s="524"/>
      <c r="E122" s="500"/>
      <c r="F122" s="500"/>
      <c r="G122" s="500"/>
      <c r="H122" s="500"/>
      <c r="I122" s="500"/>
      <c r="J122" s="1353"/>
    </row>
    <row r="123" spans="1:29">
      <c r="A123" s="1270" t="str">
        <f>Sprachtexte!A238</f>
        <v>Art der Zugzonenverstärkung</v>
      </c>
      <c r="B123" s="598"/>
      <c r="C123" s="1446" t="s">
        <v>1965</v>
      </c>
      <c r="D123" s="1270"/>
      <c r="E123" s="841"/>
      <c r="F123" s="841"/>
      <c r="G123" s="841"/>
      <c r="H123" s="500"/>
      <c r="I123" s="500"/>
      <c r="J123" s="1353"/>
      <c r="L123" s="1530" t="s">
        <v>2218</v>
      </c>
      <c r="M123" s="1530"/>
      <c r="N123" s="1530" t="s">
        <v>2223</v>
      </c>
      <c r="O123" s="1530"/>
      <c r="P123" s="1530"/>
    </row>
    <row r="124" spans="1:29">
      <c r="A124" s="500"/>
      <c r="C124" s="744" t="str">
        <f>IF(OR(M133&lt;&gt;"ok",M144&lt;&gt;"ok"),Sprachtexte!A260,"")</f>
        <v/>
      </c>
      <c r="D124" s="500"/>
      <c r="E124" s="500"/>
      <c r="F124" s="500"/>
      <c r="G124" s="500"/>
      <c r="H124" s="500"/>
      <c r="I124" s="500"/>
      <c r="J124" s="1353"/>
      <c r="L124" s="1270"/>
      <c r="M124" s="1270"/>
      <c r="N124" s="524" t="str">
        <f>C123</f>
        <v>Schraubenkreuz</v>
      </c>
      <c r="O124" s="1218"/>
      <c r="P124" s="1218"/>
      <c r="R124" s="1401" t="str">
        <f>Sprachtexte!$A$227</f>
        <v>Schraubenkreuz</v>
      </c>
      <c r="S124" s="1402"/>
      <c r="T124" s="1402"/>
      <c r="U124" s="1402"/>
      <c r="V124" s="1401" t="str">
        <f>Sprachtexte!$A$228</f>
        <v>Einbauteil Hauptträger-Nebenträger</v>
      </c>
      <c r="W124" s="1402"/>
      <c r="X124" s="1402"/>
      <c r="Y124" s="1402"/>
      <c r="Z124" s="1401" t="str">
        <f>Sprachtexte!$A$229</f>
        <v>Zuglasche NT-HT-NT</v>
      </c>
      <c r="AA124" s="1402"/>
      <c r="AB124" s="1402"/>
      <c r="AC124" s="1402"/>
    </row>
    <row r="125" spans="1:29">
      <c r="A125" s="500" t="str">
        <f>IF($N$124=$R$124,Sprachtexte!$A$240,IF(OR($N$124=$V$124,$N$124=$Z$124),Sprachtexte!$A$241,"FEHLER"))</f>
        <v>Werte je Schraubenkreuz</v>
      </c>
      <c r="B125" s="500"/>
      <c r="C125" s="649" t="str">
        <f>IF(C123=BL50,Sprachtexte!A114,Sprachtexte!A112)</f>
        <v>Hauptträger</v>
      </c>
      <c r="D125" s="649" t="s">
        <v>95</v>
      </c>
      <c r="E125" s="500"/>
      <c r="F125" s="500"/>
      <c r="G125" s="500"/>
      <c r="H125" s="500"/>
      <c r="I125" s="500"/>
      <c r="J125" s="1353"/>
      <c r="L125" s="1271" t="str">
        <f>IF(J126="Zuglasche NT-HT-NT","Nebenträger","Hauptträger")</f>
        <v>Hauptträger</v>
      </c>
      <c r="M125" s="524" t="s">
        <v>95</v>
      </c>
      <c r="N125" s="1388"/>
      <c r="O125" s="1203" t="str">
        <f>IF(H126="Zuglasche NT-HT-NT","Nebenträger","Hauptträger")</f>
        <v>Hauptträger</v>
      </c>
      <c r="P125" s="1389" t="s">
        <v>95</v>
      </c>
      <c r="Q125" s="537" t="s">
        <v>2373</v>
      </c>
      <c r="R125" s="1403"/>
      <c r="S125" s="1404" t="str">
        <f>IF(K126="Zuglasche NT-HT-NT","Nebenträger","Hauptträger")</f>
        <v>Hauptträger</v>
      </c>
      <c r="T125" s="1405" t="s">
        <v>95</v>
      </c>
      <c r="U125" s="1406" t="s">
        <v>2373</v>
      </c>
      <c r="V125" s="1403"/>
      <c r="W125" s="1404" t="str">
        <f>IF(R130="Zuglasche NT-HT-NT","Nebenträger","Hauptträger")</f>
        <v>Hauptträger</v>
      </c>
      <c r="X125" s="1404" t="s">
        <v>95</v>
      </c>
      <c r="Y125" s="1407" t="s">
        <v>2373</v>
      </c>
      <c r="Z125" s="1403"/>
      <c r="AA125" s="1404" t="s">
        <v>95</v>
      </c>
      <c r="AB125" s="1404" t="s">
        <v>95</v>
      </c>
      <c r="AC125" s="1407" t="s">
        <v>2373</v>
      </c>
    </row>
    <row r="126" spans="1:29" ht="15.75">
      <c r="A126" s="609" t="str">
        <f>Sprachtexte!$A$197</f>
        <v>char. Tragfähigkeit</v>
      </c>
      <c r="B126" s="834" t="s">
        <v>2212</v>
      </c>
      <c r="C126" s="1399">
        <v>30843</v>
      </c>
      <c r="D126" s="1400">
        <v>20062</v>
      </c>
      <c r="E126" s="1198" t="s">
        <v>5</v>
      </c>
      <c r="F126" s="500"/>
      <c r="G126" s="500"/>
      <c r="H126" s="500"/>
      <c r="I126" s="500"/>
      <c r="J126" s="1353"/>
      <c r="L126" s="1271"/>
      <c r="M126" s="1274"/>
      <c r="N126" s="1275" t="s">
        <v>1994</v>
      </c>
      <c r="O126" s="553" t="str">
        <f t="shared" ref="O126:P131" si="85">IF($N$124=$R$124,S126,IF($N$124=$V$124,W126,IF($N$124=$Z$124,AA126,"FEHLER")))</f>
        <v/>
      </c>
      <c r="P126" s="1274" t="str">
        <f t="shared" si="85"/>
        <v/>
      </c>
      <c r="Q126" s="1384"/>
      <c r="R126" s="1408" t="s">
        <v>2409</v>
      </c>
      <c r="S126" s="1409" t="str">
        <f>""</f>
        <v/>
      </c>
      <c r="T126" s="1409" t="str">
        <f>""</f>
        <v/>
      </c>
      <c r="U126" s="1410"/>
      <c r="V126" s="1408" t="s">
        <v>2409</v>
      </c>
      <c r="W126" s="1409" t="str">
        <f>""</f>
        <v/>
      </c>
      <c r="X126" s="1409" t="str">
        <f>""</f>
        <v/>
      </c>
      <c r="Y126" s="1410"/>
      <c r="Z126" s="1408" t="s">
        <v>2409</v>
      </c>
      <c r="AA126" s="1409" t="str">
        <f>""</f>
        <v/>
      </c>
      <c r="AB126" s="1409" t="str">
        <f>""</f>
        <v/>
      </c>
      <c r="AC126" s="1410"/>
    </row>
    <row r="127" spans="1:29" ht="15.75">
      <c r="A127" s="609" t="str">
        <f>Sprachtexte!$A$232</f>
        <v>Verschiebungsmodul</v>
      </c>
      <c r="B127" s="649" t="s">
        <v>2213</v>
      </c>
      <c r="C127" s="1399">
        <v>37500</v>
      </c>
      <c r="D127" s="1400">
        <v>31816</v>
      </c>
      <c r="E127" s="501" t="s">
        <v>4</v>
      </c>
      <c r="F127" s="500"/>
      <c r="G127" s="500"/>
      <c r="H127" s="500"/>
      <c r="I127" s="500"/>
      <c r="J127" s="1353"/>
      <c r="L127" s="1271"/>
      <c r="M127" s="1274"/>
      <c r="N127" s="1276" t="s">
        <v>1985</v>
      </c>
      <c r="O127" s="553" t="str">
        <f t="shared" si="85"/>
        <v/>
      </c>
      <c r="P127" s="1274" t="str">
        <f t="shared" si="85"/>
        <v/>
      </c>
      <c r="Q127" s="560"/>
      <c r="R127" s="1411" t="s">
        <v>2410</v>
      </c>
      <c r="S127" s="1409" t="str">
        <f>""</f>
        <v/>
      </c>
      <c r="T127" s="1409" t="str">
        <f>""</f>
        <v/>
      </c>
      <c r="U127" s="1412"/>
      <c r="V127" s="1411" t="s">
        <v>2410</v>
      </c>
      <c r="W127" s="1409" t="str">
        <f>""</f>
        <v/>
      </c>
      <c r="X127" s="1409" t="str">
        <f>""</f>
        <v/>
      </c>
      <c r="Y127" s="1412"/>
      <c r="Z127" s="1411" t="s">
        <v>2410</v>
      </c>
      <c r="AA127" s="1409" t="str">
        <f>""</f>
        <v/>
      </c>
      <c r="AB127" s="1409" t="str">
        <f>""</f>
        <v/>
      </c>
      <c r="AC127" s="1412"/>
    </row>
    <row r="128" spans="1:29" ht="15.75">
      <c r="A128" s="609" t="str">
        <f>Sprachtexte!$A$234</f>
        <v>Abstand VM - MEGANT</v>
      </c>
      <c r="B128" s="649" t="s">
        <v>1975</v>
      </c>
      <c r="C128" s="1399">
        <v>50</v>
      </c>
      <c r="D128" s="1400">
        <v>50</v>
      </c>
      <c r="E128" s="501" t="s">
        <v>2</v>
      </c>
      <c r="F128" s="500" t="str">
        <f>IF(OR(L128=1,M128=1),Q128,"")</f>
        <v/>
      </c>
      <c r="G128" s="500"/>
      <c r="H128" s="500"/>
      <c r="I128" s="500"/>
      <c r="J128" s="1353"/>
      <c r="L128" s="1277">
        <f t="shared" ref="L128:M130" si="86">IF(O128&lt;&gt;"",IF(O128=C128,0,1),0)</f>
        <v>0</v>
      </c>
      <c r="M128" s="1273">
        <f t="shared" si="86"/>
        <v>0</v>
      </c>
      <c r="N128" s="1276" t="s">
        <v>2094</v>
      </c>
      <c r="O128" s="553">
        <f t="shared" si="85"/>
        <v>50</v>
      </c>
      <c r="P128" s="1274">
        <f t="shared" si="85"/>
        <v>50</v>
      </c>
      <c r="Q128" s="560" t="str">
        <f>IF($N$124=$R$124,U128,IF($N$124=$V$124,Y128,IF($N$124=$Z$124,AC128,"")))</f>
        <v>markierte Abstände müssen im Haupt- und Nebenträger gleich sein</v>
      </c>
      <c r="R128" s="1411" t="s">
        <v>2411</v>
      </c>
      <c r="S128" s="1409">
        <f>C128</f>
        <v>50</v>
      </c>
      <c r="T128" s="1409">
        <f>S128</f>
        <v>50</v>
      </c>
      <c r="U128" s="1412" t="str">
        <f>Sprachtexte!A278</f>
        <v>markierte Abstände müssen im Haupt- und Nebenträger gleich sein</v>
      </c>
      <c r="V128" s="1411" t="s">
        <v>2411</v>
      </c>
      <c r="W128" s="1409" t="str">
        <f>""</f>
        <v/>
      </c>
      <c r="X128" s="1409">
        <f>$C$31</f>
        <v>0</v>
      </c>
      <c r="Y128" s="1412" t="str">
        <f>CONCATENATE(Sprachtexte!A279&amp;": are,t =k")</f>
        <v>Im Nebenträger: are,t =k</v>
      </c>
      <c r="Z128" s="1411" t="s">
        <v>2411</v>
      </c>
      <c r="AA128" s="1409">
        <f>$C$31</f>
        <v>0</v>
      </c>
      <c r="AB128" s="1409">
        <f>$C$31</f>
        <v>0</v>
      </c>
      <c r="AC128" s="1412" t="str">
        <f>CONCATENATE(Sprachtexte!A280&amp;": are,t =k")</f>
        <v>Im Haupt- und Nebenträger: are,t =k</v>
      </c>
    </row>
    <row r="129" spans="1:29" ht="15.75">
      <c r="A129" s="609" t="str">
        <f>Sprachtexte!$A$233</f>
        <v>Abstand VM - VM</v>
      </c>
      <c r="B129" s="649" t="s">
        <v>1976</v>
      </c>
      <c r="C129" s="1399">
        <v>40</v>
      </c>
      <c r="D129" s="1400">
        <v>40</v>
      </c>
      <c r="E129" s="501" t="s">
        <v>2</v>
      </c>
      <c r="F129" s="500" t="str">
        <f t="shared" ref="F129" si="87">IF(OR(L129=1,M129=1),Q129,"")</f>
        <v/>
      </c>
      <c r="G129" s="500"/>
      <c r="H129" s="500"/>
      <c r="I129" s="500"/>
      <c r="J129" s="1353"/>
      <c r="L129" s="1271">
        <f t="shared" si="86"/>
        <v>0</v>
      </c>
      <c r="M129" s="1274">
        <f>IF(P129&lt;&gt;"",IF(P129=D129,0,1),0)</f>
        <v>0</v>
      </c>
      <c r="N129" s="1276" t="s">
        <v>2095</v>
      </c>
      <c r="O129" s="553">
        <f t="shared" si="85"/>
        <v>40</v>
      </c>
      <c r="P129" s="1274">
        <f t="shared" si="85"/>
        <v>40</v>
      </c>
      <c r="Q129" s="560" t="str">
        <f t="shared" ref="Q129:Q130" si="88">IF($N$124=$R$124,U129,IF($N$124=$V$124,Y129,IF($N$124=$Z$124,AC129,"FEHLER")))</f>
        <v>markierte Abstände müssen im Haupt- und Nebenträger gleich sein</v>
      </c>
      <c r="R129" s="1411" t="s">
        <v>2412</v>
      </c>
      <c r="S129" s="1409">
        <f>C129</f>
        <v>40</v>
      </c>
      <c r="T129" s="1409">
        <f>S129</f>
        <v>40</v>
      </c>
      <c r="U129" s="1412" t="str">
        <f>Sprachtexte!A278</f>
        <v>markierte Abstände müssen im Haupt- und Nebenträger gleich sein</v>
      </c>
      <c r="V129" s="1411" t="s">
        <v>2412</v>
      </c>
      <c r="W129" s="1409" t="str">
        <f>""</f>
        <v/>
      </c>
      <c r="X129" s="1409">
        <v>0</v>
      </c>
      <c r="Y129" s="1412" t="str">
        <f>CONCATENATE(Sprachtexte!A279&amp;": a2,re,t = 0")</f>
        <v>Im Nebenträger: a2,re,t = 0</v>
      </c>
      <c r="Z129" s="1411" t="s">
        <v>2412</v>
      </c>
      <c r="AA129" s="1409">
        <v>0</v>
      </c>
      <c r="AB129" s="1409">
        <v>0</v>
      </c>
      <c r="AC129" s="1412" t="str">
        <f>CONCATENATE(Sprachtexte!A280&amp;": a2,re,t = 0")</f>
        <v>Im Haupt- und Nebenträger: a2,re,t = 0</v>
      </c>
    </row>
    <row r="130" spans="1:29" ht="15.75">
      <c r="A130" s="609" t="str">
        <f>Sprachtexte!$A$235</f>
        <v>Anzahl VM-Reihen</v>
      </c>
      <c r="B130" s="1210" t="s">
        <v>275</v>
      </c>
      <c r="C130" s="1400">
        <v>2</v>
      </c>
      <c r="D130" s="1400">
        <v>2</v>
      </c>
      <c r="E130" s="1430" t="s">
        <v>1935</v>
      </c>
      <c r="F130" s="500" t="str">
        <f>IF(OR(L130=1,M130=1),Q130,"")</f>
        <v/>
      </c>
      <c r="G130" s="500"/>
      <c r="H130" s="500"/>
      <c r="I130" s="500"/>
      <c r="J130" s="1353"/>
      <c r="L130" s="1239">
        <f t="shared" si="86"/>
        <v>0</v>
      </c>
      <c r="M130" s="1240">
        <f t="shared" si="86"/>
        <v>0</v>
      </c>
      <c r="N130" s="1276" t="s">
        <v>275</v>
      </c>
      <c r="O130" s="553">
        <f t="shared" si="85"/>
        <v>2</v>
      </c>
      <c r="P130" s="1274">
        <f t="shared" si="85"/>
        <v>2</v>
      </c>
      <c r="Q130" s="1385" t="str">
        <f t="shared" si="88"/>
        <v>markierte Abstände müssen im Haupt- und Nebenträger gleich sein</v>
      </c>
      <c r="R130" s="1411" t="s">
        <v>275</v>
      </c>
      <c r="S130" s="1409">
        <f>C130</f>
        <v>2</v>
      </c>
      <c r="T130" s="1409">
        <f>S130</f>
        <v>2</v>
      </c>
      <c r="U130" s="1413" t="str">
        <f>Sprachtexte!A278</f>
        <v>markierte Abstände müssen im Haupt- und Nebenträger gleich sein</v>
      </c>
      <c r="V130" s="1411" t="s">
        <v>275</v>
      </c>
      <c r="W130" s="1409" t="str">
        <f>""</f>
        <v/>
      </c>
      <c r="X130" s="1409">
        <v>1</v>
      </c>
      <c r="Y130" s="1413" t="str">
        <f>CONCATENATE(Sprachtexte!A279&amp;": m = 1")</f>
        <v>Im Nebenträger: m = 1</v>
      </c>
      <c r="Z130" s="1414" t="s">
        <v>275</v>
      </c>
      <c r="AA130" s="1415">
        <v>1</v>
      </c>
      <c r="AB130" s="1415">
        <v>1</v>
      </c>
      <c r="AC130" s="1413" t="str">
        <f>Sprachtexte!A281</f>
        <v>Eine VM-Reihe pro Haupt- und Nebenträger: m = 1</v>
      </c>
    </row>
    <row r="131" spans="1:29">
      <c r="A131" s="609" t="str">
        <f>Sprachtexte!A35</f>
        <v>Abstand OK Nebenträger zu OK MEGANT-Verbinder</v>
      </c>
      <c r="B131" s="1210" t="s">
        <v>1133</v>
      </c>
      <c r="C131" s="853">
        <f>Eingabe!$C$31</f>
        <v>0</v>
      </c>
      <c r="D131" s="853">
        <f>Eingabe!$C$31</f>
        <v>0</v>
      </c>
      <c r="E131" s="571" t="s">
        <v>2</v>
      </c>
      <c r="F131" s="500"/>
      <c r="G131" s="500"/>
      <c r="H131" s="500"/>
      <c r="I131" s="500"/>
      <c r="J131" s="1353"/>
      <c r="L131" s="1272"/>
      <c r="M131" s="1278"/>
      <c r="N131" s="1272"/>
      <c r="O131" s="1266" t="str">
        <f t="shared" si="85"/>
        <v/>
      </c>
      <c r="P131" s="1266" t="str">
        <f t="shared" si="85"/>
        <v/>
      </c>
      <c r="Q131" s="1387"/>
      <c r="R131" s="1416"/>
      <c r="S131" s="1417" t="str">
        <f>""</f>
        <v/>
      </c>
      <c r="T131" s="1418" t="str">
        <f>""</f>
        <v/>
      </c>
      <c r="U131" s="1419"/>
      <c r="V131" s="1420"/>
      <c r="W131" s="1417" t="str">
        <f>""</f>
        <v/>
      </c>
      <c r="X131" s="1417" t="str">
        <f>""</f>
        <v/>
      </c>
      <c r="Y131" s="1421"/>
      <c r="Z131" s="1422"/>
      <c r="AA131" s="1417" t="str">
        <f>""</f>
        <v/>
      </c>
      <c r="AB131" s="1417" t="str">
        <f>""</f>
        <v/>
      </c>
      <c r="AC131" s="1423"/>
    </row>
    <row r="132" spans="1:29">
      <c r="A132" s="609" t="str">
        <f>Sprachtexte!A248</f>
        <v>Abstand VM - Oberkante  NT</v>
      </c>
      <c r="B132" s="1210" t="s">
        <v>2060</v>
      </c>
      <c r="C132" s="853">
        <f>IF($C$123=$BL$48,C131-C128-(C130-1)*C129,0)</f>
        <v>-90</v>
      </c>
      <c r="D132" s="853">
        <f>IF($C$123=$BL$48,D131-D128-(D130-1)*D129,0)</f>
        <v>-90</v>
      </c>
      <c r="E132" s="571" t="s">
        <v>2</v>
      </c>
      <c r="F132" s="500"/>
      <c r="G132" s="500"/>
      <c r="H132" s="500"/>
      <c r="I132" s="500"/>
      <c r="J132" s="1353"/>
      <c r="L132" s="1239">
        <f>IF(O132&lt;&gt;"",IF(O132&lt;C132,0,1),0)</f>
        <v>1</v>
      </c>
      <c r="M132" s="1240">
        <f>IF(P132&lt;&gt;"",IF(P132&lt;D132,0,1),0)</f>
        <v>1</v>
      </c>
      <c r="N132" s="1279" t="s">
        <v>2060</v>
      </c>
      <c r="O132" s="1241">
        <f>IF($N$124=$R$124,S132,IF($N$124=$V$124,"",IF($N$124=$Z$124,"","FEHLER")))</f>
        <v>30</v>
      </c>
      <c r="P132" s="1241">
        <f>IF($N$124=$R$124,T132,IF($N$124=$V$124,"",IF($N$124=$Z$124,"","FEHLER")))</f>
        <v>30</v>
      </c>
      <c r="Q132" s="1386"/>
      <c r="R132" s="1424" t="s">
        <v>2413</v>
      </c>
      <c r="S132" s="1415">
        <f>30</f>
        <v>30</v>
      </c>
      <c r="T132" s="1425">
        <v>30</v>
      </c>
      <c r="U132" s="1413" t="s">
        <v>2408</v>
      </c>
      <c r="V132" s="1426"/>
      <c r="W132" s="1427" t="str">
        <f>""</f>
        <v/>
      </c>
      <c r="X132" s="1427" t="str">
        <f>""</f>
        <v/>
      </c>
      <c r="Y132" s="1428"/>
      <c r="Z132" s="1414"/>
      <c r="AA132" s="1415"/>
      <c r="AB132" s="1415"/>
      <c r="AC132" s="1429"/>
    </row>
    <row r="133" spans="1:29">
      <c r="A133" s="501" t="str">
        <f>IF($N$124=$R$124,Sprachtexte!$A$249,IF(OR($N$124=$V$124,$N$124=$Z$124),Sprachtexte!$A$250,"FEHLER"))</f>
        <v>1) Angabe je Schraubenkreuz</v>
      </c>
      <c r="C133" s="610"/>
      <c r="D133" s="610"/>
      <c r="E133" s="609"/>
      <c r="F133" s="500"/>
      <c r="G133" s="500"/>
      <c r="H133" s="500"/>
      <c r="I133" s="500"/>
      <c r="J133" s="1353"/>
      <c r="L133" s="1268" t="s">
        <v>2218</v>
      </c>
      <c r="M133" s="1266" t="str">
        <f>IF(OR(SUM(L128:M132)=0,C122=BP22),"ok",0)</f>
        <v>ok</v>
      </c>
      <c r="N133" s="1210"/>
    </row>
    <row r="134" spans="1:29">
      <c r="L134" s="1264" t="s">
        <v>2219</v>
      </c>
      <c r="M134" s="1265" t="s">
        <v>2220</v>
      </c>
      <c r="N134" s="600"/>
    </row>
    <row r="135" spans="1:29">
      <c r="A135" s="1493" t="str">
        <f>IF(C122=BP22,"",IF(C123=BL48,BM48,IF(C123=BL49,BM49,IF(C123=BL50,BM50,""))))</f>
        <v/>
      </c>
      <c r="B135" s="1493"/>
      <c r="C135" s="1493"/>
      <c r="D135" s="1493"/>
      <c r="E135" s="1493"/>
      <c r="F135" s="1493"/>
      <c r="G135" s="1493"/>
      <c r="H135" s="500"/>
      <c r="I135" s="500"/>
      <c r="J135" s="1353"/>
      <c r="L135" s="1383"/>
      <c r="M135" s="501"/>
    </row>
    <row r="136" spans="1:29">
      <c r="A136" s="1493"/>
      <c r="B136" s="1493"/>
      <c r="C136" s="1493"/>
      <c r="D136" s="1493"/>
      <c r="E136" s="1493"/>
      <c r="F136" s="1493"/>
      <c r="G136" s="1493"/>
      <c r="H136" s="649"/>
      <c r="I136" s="649"/>
      <c r="J136" s="1210"/>
      <c r="L136" s="1383"/>
      <c r="M136" s="501"/>
    </row>
    <row r="137" spans="1:29">
      <c r="A137" s="1493"/>
      <c r="B137" s="1493"/>
      <c r="C137" s="1493"/>
      <c r="D137" s="1493"/>
      <c r="E137" s="1493"/>
      <c r="F137" s="1493"/>
      <c r="G137" s="1493"/>
      <c r="H137" s="649"/>
      <c r="I137" s="649"/>
      <c r="J137" s="1210"/>
      <c r="L137" s="1262" t="s">
        <v>2478</v>
      </c>
      <c r="M137" s="1211"/>
      <c r="N137" s="869"/>
      <c r="O137" s="869"/>
      <c r="P137" s="869"/>
      <c r="Q137" s="1211"/>
      <c r="R137" s="1211"/>
      <c r="S137" s="715"/>
    </row>
    <row r="138" spans="1:29">
      <c r="A138" s="1493"/>
      <c r="B138" s="1493"/>
      <c r="C138" s="1493"/>
      <c r="D138" s="1493"/>
      <c r="E138" s="1493"/>
      <c r="F138" s="1493"/>
      <c r="G138" s="1493"/>
      <c r="H138" s="649"/>
      <c r="I138" s="649"/>
      <c r="J138" s="1210"/>
      <c r="L138" s="1259" t="s">
        <v>2212</v>
      </c>
      <c r="M138" s="834">
        <f>IF($C$123=O138,MAX($C$126,$D$126),0)</f>
        <v>30843</v>
      </c>
      <c r="N138" s="649">
        <f>2*45000</f>
        <v>90000</v>
      </c>
      <c r="O138" s="500" t="str">
        <f>BL48</f>
        <v>Schraubenkreuz</v>
      </c>
      <c r="P138" s="649"/>
      <c r="Q138" s="501" t="s">
        <v>2210</v>
      </c>
      <c r="S138" s="643"/>
    </row>
    <row r="139" spans="1:29">
      <c r="A139" s="1493"/>
      <c r="B139" s="1493"/>
      <c r="C139" s="1493"/>
      <c r="D139" s="1493"/>
      <c r="E139" s="1493"/>
      <c r="F139" s="1493"/>
      <c r="G139" s="1493"/>
      <c r="H139" s="649"/>
      <c r="I139" s="649"/>
      <c r="J139" s="1210"/>
      <c r="L139" s="1259" t="s">
        <v>2213</v>
      </c>
      <c r="M139" s="834">
        <f>IF($C$123=O139,MAX($C$127,$D$127),0)</f>
        <v>37500</v>
      </c>
      <c r="N139" s="649">
        <f>2*30*12*300*2/3</f>
        <v>144000</v>
      </c>
      <c r="O139" s="500" t="str">
        <f>BL48</f>
        <v>Schraubenkreuz</v>
      </c>
      <c r="P139" s="649"/>
      <c r="Q139" s="501" t="s">
        <v>2211</v>
      </c>
      <c r="S139" s="643"/>
    </row>
    <row r="140" spans="1:29">
      <c r="A140" s="1493"/>
      <c r="B140" s="1493"/>
      <c r="C140" s="1493"/>
      <c r="D140" s="1493"/>
      <c r="E140" s="1493"/>
      <c r="F140" s="1493"/>
      <c r="G140" s="1493"/>
      <c r="H140" s="649"/>
      <c r="I140" s="649"/>
      <c r="J140" s="1210"/>
      <c r="L140" s="1259" t="s">
        <v>2212</v>
      </c>
      <c r="M140" s="834">
        <f>IF($C$123=O140,MAX($C$126,$D$126),0)</f>
        <v>0</v>
      </c>
      <c r="N140" s="649">
        <f>4*45000</f>
        <v>180000</v>
      </c>
      <c r="O140" s="500" t="str">
        <f>BL49</f>
        <v>Einbauteil Hauptträger-Nebenträger</v>
      </c>
      <c r="P140" s="649"/>
      <c r="Q140" s="501" t="s">
        <v>2214</v>
      </c>
      <c r="S140" s="643"/>
    </row>
    <row r="141" spans="1:29">
      <c r="A141" s="1493"/>
      <c r="B141" s="1493"/>
      <c r="C141" s="1493"/>
      <c r="D141" s="1493"/>
      <c r="E141" s="1493"/>
      <c r="F141" s="1493"/>
      <c r="G141" s="1493"/>
      <c r="H141" s="649"/>
      <c r="I141" s="649"/>
      <c r="J141" s="1210"/>
      <c r="L141" s="1259" t="s">
        <v>2213</v>
      </c>
      <c r="M141" s="834">
        <f>IF($C$123=O141,MAX($C$127,$D$127),0)</f>
        <v>0</v>
      </c>
      <c r="N141" s="649">
        <f>4*30*12*300*2/3</f>
        <v>288000</v>
      </c>
      <c r="O141" s="500" t="str">
        <f>BL49</f>
        <v>Einbauteil Hauptträger-Nebenträger</v>
      </c>
      <c r="P141" s="649"/>
      <c r="Q141" s="501" t="s">
        <v>2215</v>
      </c>
      <c r="S141" s="643"/>
    </row>
    <row r="142" spans="1:29">
      <c r="A142" s="1493"/>
      <c r="B142" s="1493"/>
      <c r="C142" s="1493"/>
      <c r="D142" s="1493"/>
      <c r="E142" s="1493"/>
      <c r="F142" s="1493"/>
      <c r="G142" s="1493"/>
      <c r="H142" s="649"/>
      <c r="I142" s="649"/>
      <c r="J142" s="1210"/>
      <c r="L142" s="1259" t="s">
        <v>2212</v>
      </c>
      <c r="M142" s="834">
        <f>IF($C$123=O142,MAX($C$126,$D$126),0)</f>
        <v>0</v>
      </c>
      <c r="N142" s="649">
        <f>10*45000</f>
        <v>450000</v>
      </c>
      <c r="O142" s="500" t="str">
        <f>BL50</f>
        <v>Zuglasche NT-HT-NT</v>
      </c>
      <c r="P142" s="649"/>
      <c r="Q142" s="501" t="s">
        <v>2216</v>
      </c>
      <c r="S142" s="643"/>
    </row>
    <row r="143" spans="1:29">
      <c r="A143" s="1493"/>
      <c r="B143" s="1493"/>
      <c r="C143" s="1493"/>
      <c r="D143" s="1493"/>
      <c r="E143" s="1493"/>
      <c r="F143" s="1493"/>
      <c r="G143" s="1493"/>
      <c r="H143" s="649"/>
      <c r="I143" s="649"/>
      <c r="J143" s="1210"/>
      <c r="L143" s="1259" t="s">
        <v>2213</v>
      </c>
      <c r="M143" s="834">
        <f>IF($C$123=O143,MAX($C$127,$D$127),0)</f>
        <v>0</v>
      </c>
      <c r="N143" s="649">
        <f>10*30*12*300*2/3</f>
        <v>720000</v>
      </c>
      <c r="O143" s="500" t="str">
        <f>BL50</f>
        <v>Zuglasche NT-HT-NT</v>
      </c>
      <c r="P143" s="649"/>
      <c r="Q143" s="501" t="s">
        <v>2217</v>
      </c>
      <c r="S143" s="643"/>
    </row>
    <row r="144" spans="1:29">
      <c r="A144" s="1493"/>
      <c r="B144" s="1493"/>
      <c r="C144" s="1493"/>
      <c r="D144" s="1493"/>
      <c r="E144" s="1493"/>
      <c r="F144" s="1493"/>
      <c r="G144" s="1493"/>
      <c r="H144" s="649"/>
      <c r="I144" s="649"/>
      <c r="J144" s="1210"/>
      <c r="L144" s="1263" t="s">
        <v>2218</v>
      </c>
      <c r="M144" s="553" t="str">
        <f>IF(OR(M138&gt;N138,M139&gt;N139,M140&gt;N140,M141&gt;N141,M142&gt;N142,M143&gt;N143),0,"ok")</f>
        <v>ok</v>
      </c>
      <c r="S144" s="643"/>
    </row>
    <row r="145" spans="1:19">
      <c r="A145" s="1493"/>
      <c r="B145" s="1493"/>
      <c r="C145" s="1493"/>
      <c r="D145" s="1493"/>
      <c r="E145" s="1493"/>
      <c r="F145" s="1493"/>
      <c r="G145" s="1493"/>
      <c r="H145" s="649"/>
      <c r="I145" s="649"/>
      <c r="J145" s="1210"/>
      <c r="L145" s="1264"/>
      <c r="M145" s="1265"/>
      <c r="N145" s="598"/>
      <c r="O145" s="598"/>
      <c r="P145" s="598"/>
      <c r="Q145" s="598"/>
      <c r="R145" s="598"/>
      <c r="S145" s="600"/>
    </row>
    <row r="146" spans="1:19">
      <c r="A146" s="1493"/>
      <c r="B146" s="1493"/>
      <c r="C146" s="1493"/>
      <c r="D146" s="1493"/>
      <c r="E146" s="1493"/>
      <c r="F146" s="1493"/>
      <c r="G146" s="1493"/>
      <c r="H146" s="649"/>
      <c r="I146" s="649"/>
      <c r="J146" s="1210"/>
      <c r="L146" s="1383"/>
      <c r="M146" s="501"/>
    </row>
    <row r="147" spans="1:19">
      <c r="A147" s="1493"/>
      <c r="B147" s="1493"/>
      <c r="C147" s="1493"/>
      <c r="D147" s="1493"/>
      <c r="E147" s="1493"/>
      <c r="F147" s="1493"/>
      <c r="G147" s="1493"/>
      <c r="H147" s="649"/>
      <c r="I147" s="649"/>
      <c r="J147" s="1210"/>
      <c r="L147" s="1383"/>
      <c r="M147" s="501"/>
    </row>
    <row r="148" spans="1:19">
      <c r="A148" s="1493"/>
      <c r="B148" s="1493"/>
      <c r="C148" s="1493"/>
      <c r="D148" s="1493"/>
      <c r="E148" s="1493"/>
      <c r="F148" s="1493"/>
      <c r="G148" s="1493"/>
      <c r="H148" s="649"/>
      <c r="I148" s="649"/>
      <c r="J148" s="1210"/>
      <c r="L148" s="1383"/>
      <c r="M148" s="501"/>
    </row>
    <row r="149" spans="1:19">
      <c r="A149" s="1493"/>
      <c r="B149" s="1493"/>
      <c r="C149" s="1493"/>
      <c r="D149" s="1493"/>
      <c r="E149" s="1493"/>
      <c r="F149" s="1493"/>
      <c r="G149" s="1493"/>
      <c r="H149" s="649"/>
      <c r="I149" s="649"/>
      <c r="J149" s="1210"/>
      <c r="L149" s="1383"/>
      <c r="M149" s="501"/>
    </row>
    <row r="150" spans="1:19">
      <c r="A150" s="1493"/>
      <c r="B150" s="1493"/>
      <c r="C150" s="1493"/>
      <c r="D150" s="1493"/>
      <c r="E150" s="1493"/>
      <c r="F150" s="1493"/>
      <c r="G150" s="1493"/>
      <c r="H150" s="649"/>
      <c r="I150" s="649"/>
      <c r="J150" s="1210"/>
      <c r="L150" s="1383"/>
      <c r="M150" s="501"/>
    </row>
    <row r="151" spans="1:19">
      <c r="A151" s="1493"/>
      <c r="B151" s="1493"/>
      <c r="C151" s="1493"/>
      <c r="D151" s="1493"/>
      <c r="E151" s="1493"/>
      <c r="F151" s="1493"/>
      <c r="G151" s="1493"/>
      <c r="H151" s="649"/>
      <c r="I151" s="649"/>
      <c r="J151" s="1210"/>
      <c r="L151" s="1383"/>
      <c r="M151" s="501"/>
    </row>
    <row r="152" spans="1:19">
      <c r="A152" s="1493"/>
      <c r="B152" s="1493"/>
      <c r="C152" s="1493"/>
      <c r="D152" s="1493"/>
      <c r="E152" s="1493"/>
      <c r="F152" s="1493"/>
      <c r="G152" s="1493"/>
      <c r="H152" s="649"/>
      <c r="I152" s="649"/>
      <c r="J152" s="1210"/>
      <c r="L152" s="1383"/>
      <c r="M152" s="501"/>
    </row>
    <row r="153" spans="1:19">
      <c r="A153" s="1493"/>
      <c r="B153" s="1493"/>
      <c r="C153" s="1493"/>
      <c r="D153" s="1493"/>
      <c r="E153" s="1493"/>
      <c r="F153" s="1493"/>
      <c r="G153" s="1493"/>
      <c r="H153" s="649"/>
      <c r="I153" s="649"/>
      <c r="J153" s="1210"/>
      <c r="L153" s="1383"/>
      <c r="M153" s="501"/>
    </row>
    <row r="154" spans="1:19">
      <c r="A154" s="1493"/>
      <c r="B154" s="1493"/>
      <c r="C154" s="1493"/>
      <c r="D154" s="1493"/>
      <c r="E154" s="1493"/>
      <c r="F154" s="1493"/>
      <c r="G154" s="1493"/>
      <c r="H154" s="649"/>
      <c r="I154" s="649"/>
      <c r="J154" s="1210"/>
      <c r="L154" s="1383"/>
      <c r="M154" s="501"/>
    </row>
    <row r="155" spans="1:19">
      <c r="A155" s="1493"/>
      <c r="B155" s="1493"/>
      <c r="C155" s="1493"/>
      <c r="D155" s="1493"/>
      <c r="E155" s="1493"/>
      <c r="F155" s="1493"/>
      <c r="G155" s="1493"/>
      <c r="H155" s="649"/>
      <c r="I155" s="649"/>
      <c r="J155" s="1210"/>
    </row>
    <row r="156" spans="1:19">
      <c r="A156" s="609"/>
      <c r="B156" s="1197"/>
      <c r="D156" s="609"/>
      <c r="E156" s="609"/>
      <c r="F156" s="649"/>
      <c r="G156" s="649"/>
      <c r="H156" s="649"/>
      <c r="I156" s="649"/>
      <c r="J156" s="1210"/>
    </row>
    <row r="157" spans="1:19">
      <c r="A157" s="591" t="str">
        <f>Sprachtexte!$A$236</f>
        <v>Verstärkung in der Druckzone vorhanden?</v>
      </c>
      <c r="C157" s="1368" t="s">
        <v>722</v>
      </c>
      <c r="D157" s="1218"/>
      <c r="E157" s="1218"/>
      <c r="F157" s="609"/>
      <c r="G157" s="609"/>
      <c r="H157" s="609"/>
      <c r="I157" s="609"/>
      <c r="J157" s="1351"/>
    </row>
    <row r="158" spans="1:19">
      <c r="A158" s="1298" t="str">
        <f>Sprachtexte!$A$237</f>
        <v>Art der Druckzonenverstärkung</v>
      </c>
      <c r="B158" s="598"/>
      <c r="C158" s="1270" t="s">
        <v>94</v>
      </c>
      <c r="D158" s="1299"/>
      <c r="E158" s="1299"/>
      <c r="F158" s="678"/>
      <c r="G158" s="678"/>
      <c r="H158" s="609"/>
      <c r="I158" s="609"/>
      <c r="J158" s="1351"/>
    </row>
    <row r="159" spans="1:19">
      <c r="F159" s="609"/>
      <c r="G159" s="609"/>
      <c r="H159" s="609"/>
      <c r="I159" s="609"/>
      <c r="J159" s="1351"/>
    </row>
    <row r="160" spans="1:19">
      <c r="A160" s="500" t="str">
        <f>Sprachtexte!$A$241</f>
        <v>Werte je Schraubenreihe</v>
      </c>
      <c r="C160" s="610" t="str">
        <f>Sprachtexte!A112</f>
        <v>Hauptträger</v>
      </c>
      <c r="D160" s="649" t="str">
        <f>Sprachtexte!A114</f>
        <v>Nebenträger</v>
      </c>
      <c r="F160" s="609"/>
      <c r="G160" s="609"/>
      <c r="H160" s="609"/>
      <c r="I160" s="609"/>
      <c r="J160" s="1351"/>
    </row>
    <row r="161" spans="1:13" ht="15.75">
      <c r="A161" s="609" t="str">
        <f>Sprachtexte!$A$197</f>
        <v>char. Tragfähigkeit</v>
      </c>
      <c r="B161" s="834" t="s">
        <v>1980</v>
      </c>
      <c r="C161" s="1370">
        <v>13391</v>
      </c>
      <c r="D161" s="649" t="s">
        <v>124</v>
      </c>
      <c r="E161" s="1198" t="s">
        <v>5</v>
      </c>
      <c r="F161" s="609"/>
      <c r="G161" s="609"/>
      <c r="H161" s="609"/>
      <c r="I161" s="609"/>
      <c r="J161" s="1351"/>
    </row>
    <row r="162" spans="1:13" ht="15.75">
      <c r="A162" s="609" t="str">
        <f>Sprachtexte!$A$232</f>
        <v>Verschiebungsmodul</v>
      </c>
      <c r="B162" s="649" t="s">
        <v>1979</v>
      </c>
      <c r="C162" s="1370">
        <v>18800</v>
      </c>
      <c r="D162" s="649" t="s">
        <v>124</v>
      </c>
      <c r="E162" s="501" t="s">
        <v>4</v>
      </c>
      <c r="F162" s="609"/>
      <c r="G162" s="609"/>
      <c r="H162" s="609"/>
      <c r="I162" s="609"/>
      <c r="J162" s="1351"/>
    </row>
    <row r="163" spans="1:13" ht="15.75">
      <c r="A163" s="609" t="str">
        <f>Sprachtexte!$A$234</f>
        <v>Abstand VM - MEGANT</v>
      </c>
      <c r="B163" s="649" t="s">
        <v>1952</v>
      </c>
      <c r="C163" s="1370">
        <v>30</v>
      </c>
      <c r="D163" s="649" t="s">
        <v>124</v>
      </c>
      <c r="E163" s="501" t="s">
        <v>2</v>
      </c>
      <c r="F163" s="609"/>
      <c r="G163" s="609"/>
      <c r="H163" s="609"/>
      <c r="I163" s="609"/>
      <c r="J163" s="1351"/>
    </row>
    <row r="164" spans="1:13" ht="15.75">
      <c r="A164" s="609" t="str">
        <f>Sprachtexte!$A$242</f>
        <v>Anzahl VM</v>
      </c>
      <c r="B164" s="649" t="s">
        <v>1953</v>
      </c>
      <c r="C164" s="1370">
        <v>2</v>
      </c>
      <c r="D164" s="649" t="s">
        <v>124</v>
      </c>
      <c r="E164" s="501" t="s">
        <v>2</v>
      </c>
      <c r="F164" s="609"/>
      <c r="G164" s="609"/>
      <c r="H164" s="609"/>
      <c r="I164" s="609"/>
      <c r="J164" s="1351"/>
    </row>
    <row r="165" spans="1:13" ht="15.75">
      <c r="A165" s="609" t="str">
        <f>Sprachtexte!$A$243</f>
        <v>Länge VM</v>
      </c>
      <c r="B165" s="649" t="s">
        <v>112</v>
      </c>
      <c r="C165" s="1370">
        <v>120</v>
      </c>
      <c r="D165" s="649" t="s">
        <v>124</v>
      </c>
      <c r="E165" s="501" t="s">
        <v>1935</v>
      </c>
      <c r="F165" s="609"/>
      <c r="G165" s="609"/>
      <c r="H165" s="609"/>
      <c r="I165" s="609"/>
      <c r="J165" s="1351"/>
    </row>
    <row r="166" spans="1:13">
      <c r="A166" s="501" t="str">
        <f>Sprachtexte!$A$250</f>
        <v>1) Angabe je Schraubenreihe (eine Schraubenreihe kann aus mehreren Schrauben(spalten) bestehen)</v>
      </c>
      <c r="C166" s="610"/>
      <c r="D166" s="610"/>
      <c r="E166" s="609"/>
      <c r="F166" s="500"/>
      <c r="G166" s="500"/>
      <c r="H166" s="609"/>
      <c r="I166" s="609"/>
      <c r="J166" s="1351"/>
      <c r="L166" s="1383"/>
      <c r="M166" s="501"/>
    </row>
    <row r="167" spans="1:13">
      <c r="A167" s="1493" t="str">
        <f>IF(C157="Ja",BM52,"")</f>
        <v/>
      </c>
      <c r="B167" s="1493"/>
      <c r="C167" s="1493"/>
      <c r="D167" s="1493"/>
      <c r="E167" s="1493"/>
      <c r="F167" s="1493"/>
      <c r="G167" s="1493"/>
      <c r="H167" s="609"/>
      <c r="I167" s="609"/>
      <c r="J167" s="1351"/>
      <c r="L167" s="1383"/>
      <c r="M167" s="501"/>
    </row>
    <row r="168" spans="1:13">
      <c r="A168" s="1493"/>
      <c r="B168" s="1493"/>
      <c r="C168" s="1493"/>
      <c r="D168" s="1493"/>
      <c r="E168" s="1493"/>
      <c r="F168" s="1493"/>
      <c r="G168" s="1493"/>
      <c r="H168" s="609"/>
      <c r="I168" s="609"/>
      <c r="J168" s="1351"/>
      <c r="L168" s="1383"/>
      <c r="M168" s="501"/>
    </row>
    <row r="169" spans="1:13">
      <c r="A169" s="1493"/>
      <c r="B169" s="1493"/>
      <c r="C169" s="1493"/>
      <c r="D169" s="1493"/>
      <c r="E169" s="1493"/>
      <c r="F169" s="1493"/>
      <c r="G169" s="1493"/>
      <c r="H169" s="609"/>
      <c r="I169" s="609"/>
      <c r="J169" s="1351"/>
      <c r="L169" s="1383"/>
      <c r="M169" s="501"/>
    </row>
    <row r="170" spans="1:13">
      <c r="A170" s="1493"/>
      <c r="B170" s="1493"/>
      <c r="C170" s="1493"/>
      <c r="D170" s="1493"/>
      <c r="E170" s="1493"/>
      <c r="F170" s="1493"/>
      <c r="G170" s="1493"/>
      <c r="H170" s="609"/>
      <c r="I170" s="609"/>
      <c r="J170" s="1351"/>
      <c r="L170" s="1383"/>
      <c r="M170" s="501"/>
    </row>
    <row r="171" spans="1:13">
      <c r="A171" s="1493"/>
      <c r="B171" s="1493"/>
      <c r="C171" s="1493"/>
      <c r="D171" s="1493"/>
      <c r="E171" s="1493"/>
      <c r="F171" s="1493"/>
      <c r="G171" s="1493"/>
      <c r="H171" s="609"/>
      <c r="I171" s="609"/>
      <c r="J171" s="1351"/>
      <c r="L171" s="1383"/>
      <c r="M171" s="501"/>
    </row>
    <row r="172" spans="1:13">
      <c r="A172" s="1493"/>
      <c r="B172" s="1493"/>
      <c r="C172" s="1493"/>
      <c r="D172" s="1493"/>
      <c r="E172" s="1493"/>
      <c r="F172" s="1493"/>
      <c r="G172" s="1493"/>
      <c r="H172" s="609"/>
      <c r="I172" s="609"/>
      <c r="J172" s="1351"/>
      <c r="L172" s="1383"/>
      <c r="M172" s="501"/>
    </row>
    <row r="173" spans="1:13">
      <c r="A173" s="1493"/>
      <c r="B173" s="1493"/>
      <c r="C173" s="1493"/>
      <c r="D173" s="1493"/>
      <c r="E173" s="1493"/>
      <c r="F173" s="1493"/>
      <c r="G173" s="1493"/>
      <c r="H173" s="609"/>
      <c r="I173" s="609"/>
      <c r="J173" s="1351"/>
      <c r="L173" s="1383"/>
      <c r="M173" s="501"/>
    </row>
    <row r="174" spans="1:13">
      <c r="A174" s="1493"/>
      <c r="B174" s="1493"/>
      <c r="C174" s="1493"/>
      <c r="D174" s="1493"/>
      <c r="E174" s="1493"/>
      <c r="F174" s="1493"/>
      <c r="G174" s="1493"/>
      <c r="H174" s="609"/>
      <c r="I174" s="609"/>
      <c r="J174" s="1351"/>
      <c r="L174" s="1383"/>
      <c r="M174" s="501"/>
    </row>
    <row r="175" spans="1:13">
      <c r="A175" s="1493"/>
      <c r="B175" s="1493"/>
      <c r="C175" s="1493"/>
      <c r="D175" s="1493"/>
      <c r="E175" s="1493"/>
      <c r="F175" s="1493"/>
      <c r="G175" s="1493"/>
      <c r="H175" s="609"/>
      <c r="I175" s="609"/>
      <c r="J175" s="1351"/>
      <c r="L175" s="1383"/>
      <c r="M175" s="501"/>
    </row>
    <row r="176" spans="1:13">
      <c r="A176" s="1493"/>
      <c r="B176" s="1493"/>
      <c r="C176" s="1493"/>
      <c r="D176" s="1493"/>
      <c r="E176" s="1493"/>
      <c r="F176" s="1493"/>
      <c r="G176" s="1493"/>
      <c r="H176" s="609"/>
      <c r="I176" s="609"/>
      <c r="J176" s="1351"/>
      <c r="L176" s="1383"/>
      <c r="M176" s="501"/>
    </row>
    <row r="177" spans="1:13">
      <c r="A177" s="1493"/>
      <c r="B177" s="1493"/>
      <c r="C177" s="1493"/>
      <c r="D177" s="1493"/>
      <c r="E177" s="1493"/>
      <c r="F177" s="1493"/>
      <c r="G177" s="1493"/>
      <c r="H177" s="609"/>
      <c r="I177" s="609"/>
      <c r="J177" s="1351"/>
      <c r="L177" s="1383"/>
      <c r="M177" s="501"/>
    </row>
    <row r="178" spans="1:13">
      <c r="A178" s="1493"/>
      <c r="B178" s="1493"/>
      <c r="C178" s="1493"/>
      <c r="D178" s="1493"/>
      <c r="E178" s="1493"/>
      <c r="F178" s="1493"/>
      <c r="G178" s="1493"/>
      <c r="H178" s="609"/>
      <c r="I178" s="609"/>
      <c r="J178" s="1351"/>
      <c r="L178" s="1383"/>
      <c r="M178" s="501"/>
    </row>
    <row r="179" spans="1:13">
      <c r="A179" s="1493"/>
      <c r="B179" s="1493"/>
      <c r="C179" s="1493"/>
      <c r="D179" s="1493"/>
      <c r="E179" s="1493"/>
      <c r="F179" s="1493"/>
      <c r="G179" s="1493"/>
      <c r="H179" s="609"/>
      <c r="I179" s="609"/>
      <c r="J179" s="1351"/>
      <c r="L179" s="1383"/>
      <c r="M179" s="501"/>
    </row>
    <row r="180" spans="1:13">
      <c r="A180" s="1493"/>
      <c r="B180" s="1493"/>
      <c r="C180" s="1493"/>
      <c r="D180" s="1493"/>
      <c r="E180" s="1493"/>
      <c r="F180" s="1493"/>
      <c r="G180" s="1493"/>
      <c r="H180" s="609"/>
      <c r="I180" s="609"/>
      <c r="J180" s="1351"/>
      <c r="L180" s="1383"/>
      <c r="M180" s="501"/>
    </row>
    <row r="181" spans="1:13">
      <c r="A181" s="1493"/>
      <c r="B181" s="1493"/>
      <c r="C181" s="1493"/>
      <c r="D181" s="1493"/>
      <c r="E181" s="1493"/>
      <c r="F181" s="1493"/>
      <c r="G181" s="1493"/>
      <c r="H181" s="609"/>
      <c r="I181" s="609"/>
      <c r="J181" s="1351"/>
      <c r="L181" s="1383"/>
      <c r="M181" s="501"/>
    </row>
    <row r="182" spans="1:13">
      <c r="A182" s="1493"/>
      <c r="B182" s="1493"/>
      <c r="C182" s="1493"/>
      <c r="D182" s="1493"/>
      <c r="E182" s="1493"/>
      <c r="F182" s="1493"/>
      <c r="G182" s="1493"/>
      <c r="H182" s="609"/>
      <c r="I182" s="609"/>
      <c r="J182" s="1351"/>
      <c r="L182" s="1383"/>
      <c r="M182" s="501"/>
    </row>
    <row r="183" spans="1:13">
      <c r="A183" s="1493"/>
      <c r="B183" s="1493"/>
      <c r="C183" s="1493"/>
      <c r="D183" s="1493"/>
      <c r="E183" s="1493"/>
      <c r="F183" s="1493"/>
      <c r="G183" s="1493"/>
      <c r="H183" s="609"/>
      <c r="I183" s="609"/>
      <c r="J183" s="1351"/>
      <c r="L183" s="1383"/>
      <c r="M183" s="501"/>
    </row>
    <row r="184" spans="1:13">
      <c r="A184" s="1493"/>
      <c r="B184" s="1493"/>
      <c r="C184" s="1493"/>
      <c r="D184" s="1493"/>
      <c r="E184" s="1493"/>
      <c r="F184" s="1493"/>
      <c r="G184" s="1493"/>
      <c r="H184" s="609"/>
      <c r="I184" s="609"/>
      <c r="J184" s="1351"/>
      <c r="L184" s="1383"/>
      <c r="M184" s="501"/>
    </row>
    <row r="185" spans="1:13">
      <c r="A185" s="1493"/>
      <c r="B185" s="1493"/>
      <c r="C185" s="1493"/>
      <c r="D185" s="1493"/>
      <c r="E185" s="1493"/>
      <c r="F185" s="1493"/>
      <c r="G185" s="1493"/>
      <c r="H185" s="609"/>
      <c r="I185" s="609"/>
      <c r="J185" s="1351"/>
      <c r="L185" s="1196"/>
    </row>
    <row r="186" spans="1:13">
      <c r="A186" s="1493"/>
      <c r="B186" s="1493"/>
      <c r="C186" s="1493"/>
      <c r="D186" s="1493"/>
      <c r="E186" s="1493"/>
      <c r="F186" s="1493"/>
      <c r="G186" s="1493"/>
      <c r="H186" s="609"/>
      <c r="I186" s="609"/>
      <c r="J186" s="1351"/>
      <c r="L186" s="1196"/>
    </row>
    <row r="187" spans="1:13">
      <c r="A187" s="1493"/>
      <c r="B187" s="1493"/>
      <c r="C187" s="1493"/>
      <c r="D187" s="1493"/>
      <c r="E187" s="1493"/>
      <c r="F187" s="1493"/>
      <c r="G187" s="1493"/>
      <c r="H187" s="609"/>
      <c r="I187" s="609"/>
      <c r="J187" s="1351"/>
      <c r="L187" s="1196"/>
    </row>
    <row r="188" spans="1:13">
      <c r="A188" s="609"/>
      <c r="F188" s="610"/>
      <c r="G188" s="610"/>
      <c r="H188" s="610"/>
      <c r="I188" s="610"/>
      <c r="J188" s="1352"/>
      <c r="L188" s="1196"/>
    </row>
    <row r="189" spans="1:13">
      <c r="A189" s="591" t="str">
        <f>Sprachtexte!A268</f>
        <v>Querzugverstärkung der Ausklinkung im Nebenträger</v>
      </c>
      <c r="F189" s="609"/>
      <c r="G189" s="609"/>
      <c r="H189" s="609"/>
      <c r="I189" s="609"/>
      <c r="J189" s="1351"/>
      <c r="L189" s="1196"/>
    </row>
    <row r="190" spans="1:13">
      <c r="A190" s="1298" t="str">
        <f>Sprachtexte!A272</f>
        <v>Querzugverstärkung vorhanden?</v>
      </c>
      <c r="B190" s="598"/>
      <c r="C190" s="1369" t="s">
        <v>722</v>
      </c>
      <c r="D190" s="598"/>
      <c r="E190" s="598"/>
      <c r="F190" s="678"/>
      <c r="G190" s="678"/>
      <c r="H190" s="609"/>
      <c r="I190" s="609"/>
      <c r="J190" s="1351"/>
      <c r="L190" s="1196"/>
    </row>
    <row r="191" spans="1:13">
      <c r="C191" s="649" t="str">
        <f>Sprachtexte!A114</f>
        <v>Nebenträger</v>
      </c>
      <c r="F191" s="609"/>
      <c r="G191" s="609"/>
      <c r="H191" s="609"/>
      <c r="I191" s="609"/>
      <c r="J191" s="1351"/>
    </row>
    <row r="192" spans="1:13">
      <c r="A192" s="501" t="str">
        <f>Sprachtexte!A269</f>
        <v>OK Nebenträger zur Risslinie</v>
      </c>
      <c r="B192" s="834" t="s">
        <v>2020</v>
      </c>
      <c r="C192" s="570">
        <f ca="1">FF21</f>
        <v>344.19774516162744</v>
      </c>
      <c r="D192" s="501" t="s">
        <v>2</v>
      </c>
      <c r="E192" s="501"/>
      <c r="F192" s="609"/>
      <c r="G192" s="609"/>
      <c r="H192" s="609"/>
      <c r="I192" s="609"/>
      <c r="J192" s="1351"/>
    </row>
    <row r="193" spans="1:10">
      <c r="A193" s="501" t="str">
        <f>Sprachtexte!A270</f>
        <v>UK Nebenträger zur Risslinie</v>
      </c>
      <c r="B193" s="834" t="s">
        <v>2019</v>
      </c>
      <c r="C193" s="570">
        <f ca="1">FF22</f>
        <v>-344.19774516162744</v>
      </c>
      <c r="D193" s="501" t="s">
        <v>2</v>
      </c>
      <c r="E193" s="501"/>
      <c r="F193" s="609"/>
      <c r="G193" s="609"/>
      <c r="H193" s="609"/>
      <c r="I193" s="609"/>
      <c r="J193" s="1351"/>
    </row>
    <row r="194" spans="1:10" ht="15.75">
      <c r="A194" s="609" t="str">
        <f>Sprachtexte!$A$197</f>
        <v>char. Tragfähigkeit</v>
      </c>
      <c r="B194" s="834" t="s">
        <v>2024</v>
      </c>
      <c r="C194" s="1370"/>
      <c r="D194" s="501" t="s">
        <v>5</v>
      </c>
      <c r="F194" s="609"/>
      <c r="G194" s="609"/>
      <c r="H194" s="609"/>
      <c r="I194" s="609"/>
      <c r="J194" s="1351"/>
    </row>
    <row r="195" spans="1:10" ht="15.75">
      <c r="A195" s="609" t="s">
        <v>2030</v>
      </c>
      <c r="B195" s="834" t="s">
        <v>10</v>
      </c>
      <c r="C195" s="1370"/>
      <c r="D195" s="501" t="s">
        <v>1934</v>
      </c>
      <c r="F195" s="609"/>
      <c r="G195" s="609"/>
      <c r="H195" s="609"/>
      <c r="I195" s="609"/>
      <c r="J195" s="1351"/>
    </row>
    <row r="196" spans="1:10">
      <c r="A196" s="1529" t="e">
        <f ca="1">IF(AND(O17&lt;&gt;"ok",C190=BP21),Sprachtexte!A271,IF(AND(O17&lt;&gt;"ok",C190=BP22),Sprachtexte!A276,""))</f>
        <v>#DIV/0!</v>
      </c>
      <c r="B196" s="1529"/>
      <c r="C196" s="1529"/>
      <c r="D196" s="1529"/>
      <c r="E196" s="1529"/>
      <c r="F196" s="609"/>
      <c r="G196" s="609"/>
      <c r="H196" s="609"/>
      <c r="I196" s="609"/>
      <c r="J196" s="1351"/>
    </row>
    <row r="197" spans="1:10">
      <c r="A197" s="1529"/>
      <c r="B197" s="1529"/>
      <c r="C197" s="1529"/>
      <c r="D197" s="1529"/>
      <c r="E197" s="1529"/>
      <c r="F197" s="609"/>
      <c r="G197" s="609"/>
      <c r="H197" s="609"/>
      <c r="I197" s="609"/>
      <c r="J197" s="1351"/>
    </row>
    <row r="198" spans="1:10">
      <c r="A198" s="1382"/>
      <c r="B198" s="1382"/>
      <c r="C198" s="1382"/>
      <c r="D198" s="1382"/>
      <c r="E198" s="1382"/>
      <c r="F198" s="609"/>
      <c r="G198" s="609"/>
      <c r="H198" s="609"/>
      <c r="I198" s="609"/>
      <c r="J198" s="1351"/>
    </row>
    <row r="199" spans="1:10">
      <c r="A199" s="1531" t="str">
        <f>IF(C190=BP21,BM51,"")</f>
        <v/>
      </c>
      <c r="B199" s="1531"/>
      <c r="C199" s="1531"/>
      <c r="D199" s="1531"/>
      <c r="E199" s="1531"/>
      <c r="F199" s="1531"/>
      <c r="G199" s="1531"/>
      <c r="H199" s="609"/>
      <c r="I199" s="609"/>
      <c r="J199" s="1351"/>
    </row>
    <row r="200" spans="1:10">
      <c r="A200" s="1531"/>
      <c r="B200" s="1531"/>
      <c r="C200" s="1531"/>
      <c r="D200" s="1531"/>
      <c r="E200" s="1531"/>
      <c r="F200" s="1531"/>
      <c r="G200" s="1531"/>
      <c r="H200" s="609"/>
      <c r="I200" s="609"/>
      <c r="J200" s="1351"/>
    </row>
    <row r="201" spans="1:10">
      <c r="A201" s="1531"/>
      <c r="B201" s="1531"/>
      <c r="C201" s="1531"/>
      <c r="D201" s="1531"/>
      <c r="E201" s="1531"/>
      <c r="F201" s="1531"/>
      <c r="G201" s="1531"/>
      <c r="H201" s="609"/>
      <c r="I201" s="609"/>
      <c r="J201" s="1351"/>
    </row>
    <row r="202" spans="1:10">
      <c r="A202" s="1531"/>
      <c r="B202" s="1531"/>
      <c r="C202" s="1531"/>
      <c r="D202" s="1531"/>
      <c r="E202" s="1531"/>
      <c r="F202" s="1531"/>
      <c r="G202" s="1531"/>
      <c r="H202" s="609"/>
      <c r="I202" s="609"/>
      <c r="J202" s="1351"/>
    </row>
    <row r="203" spans="1:10">
      <c r="A203" s="1531"/>
      <c r="B203" s="1531"/>
      <c r="C203" s="1531"/>
      <c r="D203" s="1531"/>
      <c r="E203" s="1531"/>
      <c r="F203" s="1531"/>
      <c r="G203" s="1531"/>
      <c r="H203" s="609"/>
      <c r="I203" s="609"/>
      <c r="J203" s="1351"/>
    </row>
    <row r="204" spans="1:10">
      <c r="A204" s="1531"/>
      <c r="B204" s="1531"/>
      <c r="C204" s="1531"/>
      <c r="D204" s="1531"/>
      <c r="E204" s="1531"/>
      <c r="F204" s="1531"/>
      <c r="G204" s="1531"/>
      <c r="H204" s="609"/>
      <c r="I204" s="609"/>
      <c r="J204" s="1351"/>
    </row>
    <row r="205" spans="1:10">
      <c r="A205" s="1531"/>
      <c r="B205" s="1531"/>
      <c r="C205" s="1531"/>
      <c r="D205" s="1531"/>
      <c r="E205" s="1531"/>
      <c r="F205" s="1531"/>
      <c r="G205" s="1531"/>
      <c r="H205" s="609"/>
      <c r="I205" s="609"/>
      <c r="J205" s="1351"/>
    </row>
    <row r="206" spans="1:10">
      <c r="A206" s="1531"/>
      <c r="B206" s="1531"/>
      <c r="C206" s="1531"/>
      <c r="D206" s="1531"/>
      <c r="E206" s="1531"/>
      <c r="F206" s="1531"/>
      <c r="G206" s="1531"/>
      <c r="H206" s="609"/>
      <c r="I206" s="609"/>
      <c r="J206" s="1351"/>
    </row>
    <row r="207" spans="1:10">
      <c r="A207" s="1531"/>
      <c r="B207" s="1531"/>
      <c r="C207" s="1531"/>
      <c r="D207" s="1531"/>
      <c r="E207" s="1531"/>
      <c r="F207" s="1531"/>
      <c r="G207" s="1531"/>
      <c r="H207" s="609"/>
      <c r="I207" s="609"/>
      <c r="J207" s="1351"/>
    </row>
    <row r="208" spans="1:10">
      <c r="A208" s="1531"/>
      <c r="B208" s="1531"/>
      <c r="C208" s="1531"/>
      <c r="D208" s="1531"/>
      <c r="E208" s="1531"/>
      <c r="F208" s="1531"/>
      <c r="G208" s="1531"/>
      <c r="H208" s="609"/>
      <c r="I208" s="609"/>
      <c r="J208" s="1351"/>
    </row>
    <row r="209" spans="1:10">
      <c r="A209" s="1531"/>
      <c r="B209" s="1531"/>
      <c r="C209" s="1531"/>
      <c r="D209" s="1531"/>
      <c r="E209" s="1531"/>
      <c r="F209" s="1531"/>
      <c r="G209" s="1531"/>
      <c r="H209" s="609"/>
      <c r="I209" s="609"/>
      <c r="J209" s="1351"/>
    </row>
    <row r="210" spans="1:10">
      <c r="A210" s="1531"/>
      <c r="B210" s="1531"/>
      <c r="C210" s="1531"/>
      <c r="D210" s="1531"/>
      <c r="E210" s="1531"/>
      <c r="F210" s="1531"/>
      <c r="G210" s="1531"/>
      <c r="H210" s="609"/>
      <c r="I210" s="609"/>
      <c r="J210" s="1351"/>
    </row>
    <row r="211" spans="1:10">
      <c r="A211" s="1531"/>
      <c r="B211" s="1531"/>
      <c r="C211" s="1531"/>
      <c r="D211" s="1531"/>
      <c r="E211" s="1531"/>
      <c r="F211" s="1531"/>
      <c r="G211" s="1531"/>
      <c r="H211" s="609"/>
      <c r="I211" s="609"/>
      <c r="J211" s="1351"/>
    </row>
    <row r="212" spans="1:10">
      <c r="A212" s="1531"/>
      <c r="B212" s="1531"/>
      <c r="C212" s="1531"/>
      <c r="D212" s="1531"/>
      <c r="E212" s="1531"/>
      <c r="F212" s="1531"/>
      <c r="G212" s="1531"/>
      <c r="H212" s="609"/>
      <c r="I212" s="609"/>
      <c r="J212" s="1351"/>
    </row>
    <row r="213" spans="1:10">
      <c r="A213" s="1531"/>
      <c r="B213" s="1531"/>
      <c r="C213" s="1531"/>
      <c r="D213" s="1531"/>
      <c r="E213" s="1531"/>
      <c r="F213" s="1531"/>
      <c r="G213" s="1531"/>
      <c r="H213" s="609"/>
      <c r="I213" s="609"/>
      <c r="J213" s="1351"/>
    </row>
    <row r="214" spans="1:10">
      <c r="A214" s="1531"/>
      <c r="B214" s="1531"/>
      <c r="C214" s="1531"/>
      <c r="D214" s="1531"/>
      <c r="E214" s="1531"/>
      <c r="F214" s="1531"/>
      <c r="G214" s="1531"/>
      <c r="H214" s="609"/>
      <c r="I214" s="609"/>
      <c r="J214" s="1351"/>
    </row>
    <row r="215" spans="1:10">
      <c r="A215" s="1531"/>
      <c r="B215" s="1531"/>
      <c r="C215" s="1531"/>
      <c r="D215" s="1531"/>
      <c r="E215" s="1531"/>
      <c r="F215" s="1531"/>
      <c r="G215" s="1531"/>
      <c r="H215" s="609"/>
      <c r="I215" s="609"/>
      <c r="J215" s="1351"/>
    </row>
    <row r="216" spans="1:10">
      <c r="A216" s="1531"/>
      <c r="B216" s="1531"/>
      <c r="C216" s="1531"/>
      <c r="D216" s="1531"/>
      <c r="E216" s="1531"/>
      <c r="F216" s="1531"/>
      <c r="G216" s="1531"/>
      <c r="H216" s="609"/>
      <c r="I216" s="609"/>
      <c r="J216" s="1351"/>
    </row>
    <row r="217" spans="1:10">
      <c r="A217" s="1531"/>
      <c r="B217" s="1531"/>
      <c r="C217" s="1531"/>
      <c r="D217" s="1531"/>
      <c r="E217" s="1531"/>
      <c r="F217" s="1531"/>
      <c r="G217" s="1531"/>
      <c r="H217" s="609"/>
      <c r="I217" s="609"/>
      <c r="J217" s="1351"/>
    </row>
    <row r="218" spans="1:10">
      <c r="A218" s="1531"/>
      <c r="B218" s="1531"/>
      <c r="C218" s="1531"/>
      <c r="D218" s="1531"/>
      <c r="E218" s="1531"/>
      <c r="F218" s="1531"/>
      <c r="G218" s="1531"/>
      <c r="H218" s="609"/>
      <c r="I218" s="609"/>
      <c r="J218" s="1351"/>
    </row>
    <row r="219" spans="1:10">
      <c r="A219" s="1531"/>
      <c r="B219" s="1531"/>
      <c r="C219" s="1531"/>
      <c r="D219" s="1531"/>
      <c r="E219" s="1531"/>
      <c r="F219" s="1531"/>
      <c r="G219" s="1531"/>
      <c r="H219" s="609"/>
      <c r="I219" s="609"/>
      <c r="J219" s="1351"/>
    </row>
    <row r="220" spans="1:10">
      <c r="A220" s="1382"/>
      <c r="B220" s="1382"/>
      <c r="C220" s="1382"/>
      <c r="D220" s="1382"/>
      <c r="E220" s="1382"/>
      <c r="F220" s="609"/>
      <c r="G220" s="609"/>
      <c r="H220" s="609"/>
      <c r="I220" s="609"/>
      <c r="J220" s="1351"/>
    </row>
    <row r="221" spans="1:10" ht="15" customHeight="1">
      <c r="A221" s="591" t="str">
        <f>Sprachtexte!A57</f>
        <v>Hinweise</v>
      </c>
      <c r="F221" s="609"/>
      <c r="G221" s="609"/>
      <c r="H221" s="609"/>
      <c r="I221" s="609"/>
      <c r="J221" s="1351"/>
    </row>
    <row r="222" spans="1:10">
      <c r="A222" s="609" t="str">
        <f>Sprachtexte!A244</f>
        <v>VM = Verbindungsmittel</v>
      </c>
      <c r="F222" s="609"/>
      <c r="G222" s="609"/>
      <c r="H222" s="609"/>
      <c r="I222" s="609"/>
      <c r="J222" s="1351"/>
    </row>
    <row r="223" spans="1:10">
      <c r="A223" s="609" t="str">
        <f>Sprachtexte!A261</f>
        <v>Bei Ausführungen mit Anschlusswinkel (horizontal/vertikal) sind keine Verstärkungen zulässig</v>
      </c>
    </row>
    <row r="224" spans="1:10">
      <c r="A224" s="1520" t="str">
        <f>Sprachtexte!A262</f>
        <v xml:space="preserve">Eine Zugzonenverstärkung kann nur oberhab des MEGANT-Verbinders angeordnet werden. Für alle Lastfälle in der die Biegezugzone "unten" liegt, wird die Verstärkungsmaßnahme rechnerisch nicht berücksichtigt. </v>
      </c>
      <c r="B224" s="1520"/>
      <c r="C224" s="1520"/>
      <c r="D224" s="1520"/>
      <c r="E224" s="1520"/>
      <c r="F224" s="1520"/>
      <c r="G224" s="1520"/>
      <c r="H224" s="1234"/>
      <c r="I224" s="1234"/>
    </row>
    <row r="225" spans="1:28">
      <c r="A225" s="1520"/>
      <c r="B225" s="1520"/>
      <c r="C225" s="1520"/>
      <c r="D225" s="1520"/>
      <c r="E225" s="1520"/>
      <c r="F225" s="1520"/>
      <c r="G225" s="1520"/>
      <c r="H225" s="1234"/>
      <c r="I225" s="1234"/>
    </row>
    <row r="226" spans="1:28" ht="18.75" customHeight="1">
      <c r="A226" s="609" t="str">
        <f>Sprachtexte!A277</f>
        <v>Der Querzugnachweis im Hauptträger ist gesondert nachzuweisen</v>
      </c>
      <c r="L226" s="1196"/>
    </row>
    <row r="227" spans="1:28">
      <c r="A227" s="609"/>
      <c r="B227" s="610"/>
      <c r="C227" s="610"/>
      <c r="D227" s="610"/>
      <c r="E227" s="610"/>
      <c r="F227" s="610"/>
      <c r="G227" s="610"/>
      <c r="P227" s="649"/>
    </row>
    <row r="228" spans="1:28">
      <c r="A228" s="609"/>
      <c r="B228" s="610"/>
      <c r="C228" s="610"/>
      <c r="D228" s="610"/>
      <c r="E228" s="610"/>
      <c r="F228" s="610"/>
      <c r="G228" s="610"/>
    </row>
    <row r="229" spans="1:28" ht="15" customHeight="1">
      <c r="E229" s="618"/>
      <c r="F229" s="618"/>
      <c r="G229" s="618"/>
    </row>
    <row r="230" spans="1:28" ht="15" customHeight="1">
      <c r="A230" s="585" t="str">
        <f>Ausgabe!A599</f>
        <v>Zusammenfassung der Ergebnisse</v>
      </c>
      <c r="B230" s="586"/>
      <c r="C230" s="587"/>
      <c r="D230" s="588"/>
      <c r="E230" s="586"/>
      <c r="F230" s="586"/>
      <c r="G230" s="586"/>
      <c r="J230" s="643"/>
      <c r="K230" s="569"/>
    </row>
    <row r="231" spans="1:28" ht="15" customHeight="1">
      <c r="A231" s="620"/>
      <c r="B231" s="620"/>
      <c r="C231" s="620"/>
      <c r="D231" s="620"/>
      <c r="E231" s="620"/>
      <c r="F231" s="618"/>
      <c r="G231" s="618"/>
      <c r="J231" s="643"/>
      <c r="K231" s="569"/>
    </row>
    <row r="232" spans="1:28">
      <c r="A232" s="767" t="str">
        <f>Ausgabe!A613</f>
        <v>Einzelnachweise</v>
      </c>
      <c r="B232" s="750"/>
      <c r="C232" s="750"/>
      <c r="D232" s="750"/>
      <c r="E232" s="750"/>
      <c r="F232" s="750"/>
      <c r="G232" s="750"/>
      <c r="H232" s="767"/>
      <c r="I232" s="767"/>
      <c r="J232" s="643"/>
      <c r="K232" s="569"/>
    </row>
    <row r="233" spans="1:28">
      <c r="A233" s="763"/>
      <c r="B233" s="894" t="str">
        <f>Ausgabe!B614</f>
        <v>Tragfähigkeit</v>
      </c>
      <c r="C233" s="763"/>
      <c r="D233" s="894" t="str">
        <f>Ausgabe!E614</f>
        <v>Einwirkung</v>
      </c>
      <c r="E233" s="598"/>
      <c r="F233" s="1450" t="str">
        <f>Ausgabe!G614</f>
        <v>Ausnutzung</v>
      </c>
      <c r="G233" s="1451"/>
      <c r="I233" s="1360"/>
      <c r="J233" s="600"/>
      <c r="K233" s="598"/>
      <c r="L233" s="1360" t="s">
        <v>2367</v>
      </c>
      <c r="M233" s="598"/>
      <c r="N233" s="598"/>
      <c r="O233" s="598"/>
      <c r="P233" s="598"/>
      <c r="Q233" s="1360" t="s">
        <v>2366</v>
      </c>
      <c r="R233" s="598"/>
      <c r="S233" s="598"/>
      <c r="T233" s="598"/>
      <c r="U233" s="598"/>
      <c r="V233" s="598"/>
      <c r="W233" s="598"/>
      <c r="X233" s="598"/>
      <c r="Y233" s="598"/>
      <c r="Z233" s="598"/>
      <c r="AA233" s="598"/>
      <c r="AB233" s="598"/>
    </row>
    <row r="234" spans="1:28">
      <c r="A234" s="645" t="s">
        <v>570</v>
      </c>
      <c r="B234" s="892" t="e">
        <f ca="1">Ausgabe!B615</f>
        <v>#DIV/0!</v>
      </c>
      <c r="C234" s="645" t="s">
        <v>571</v>
      </c>
      <c r="D234" s="892" t="e">
        <f ca="1">Ausgabe!E615</f>
        <v>#DIV/0!</v>
      </c>
      <c r="F234" s="866" t="e">
        <f ca="1">Ausgabe!G615</f>
        <v>#DIV/0!</v>
      </c>
      <c r="G234" s="778" t="e">
        <f ca="1">Ausgabe!I615</f>
        <v>#DIV/0!</v>
      </c>
      <c r="J234" s="1376"/>
      <c r="K234" s="498"/>
      <c r="AB234" s="715"/>
    </row>
    <row r="235" spans="1:28" ht="18">
      <c r="A235" s="645" t="s">
        <v>626</v>
      </c>
      <c r="B235" s="892" t="e">
        <f ca="1">Ausgabe!B616</f>
        <v>#DIV/0!</v>
      </c>
      <c r="C235" s="645" t="s">
        <v>577</v>
      </c>
      <c r="D235" s="892" t="e">
        <f ca="1">Ausgabe!E616</f>
        <v>#DIV/0!</v>
      </c>
      <c r="F235" s="866" t="e">
        <f ca="1">Ausgabe!G616</f>
        <v>#DIV/0!</v>
      </c>
      <c r="G235" s="778" t="e">
        <f ca="1">Ausgabe!I616</f>
        <v>#DIV/0!</v>
      </c>
      <c r="H235" s="646"/>
      <c r="I235" s="1521" t="s">
        <v>1974</v>
      </c>
      <c r="J235" s="1522"/>
      <c r="K235" s="621"/>
      <c r="M235" s="598"/>
      <c r="N235" s="598"/>
      <c r="Q235" s="1289" t="s">
        <v>12</v>
      </c>
      <c r="R235" s="1289" t="s">
        <v>2295</v>
      </c>
      <c r="S235" s="1289" t="s">
        <v>2294</v>
      </c>
      <c r="T235" s="1289" t="s">
        <v>2196</v>
      </c>
      <c r="U235" s="1289" t="s">
        <v>2288</v>
      </c>
      <c r="V235" s="1289" t="s">
        <v>2289</v>
      </c>
      <c r="W235" s="1289" t="s">
        <v>2290</v>
      </c>
      <c r="X235" s="1289" t="s">
        <v>2291</v>
      </c>
      <c r="Y235" s="1289" t="s">
        <v>2292</v>
      </c>
      <c r="Z235" s="1289" t="s">
        <v>2296</v>
      </c>
      <c r="AA235" s="1289" t="s">
        <v>2186</v>
      </c>
      <c r="AB235" s="1289" t="s">
        <v>2293</v>
      </c>
    </row>
    <row r="236" spans="1:28">
      <c r="A236" s="645" t="s">
        <v>575</v>
      </c>
      <c r="B236" s="892" t="e">
        <f ca="1">Ausgabe!B617</f>
        <v>#DIV/0!</v>
      </c>
      <c r="C236" s="645" t="s">
        <v>573</v>
      </c>
      <c r="D236" s="892" t="e">
        <f ca="1">Ausgabe!E617</f>
        <v>#DIV/0!</v>
      </c>
      <c r="F236" s="866" t="e">
        <f ca="1">Ausgabe!G617</f>
        <v>#DIV/0!</v>
      </c>
      <c r="G236" s="778" t="e">
        <f ca="1">Ausgabe!I617</f>
        <v>#DIV/0!</v>
      </c>
      <c r="H236" s="646"/>
      <c r="I236" s="1523"/>
      <c r="J236" s="1524"/>
      <c r="K236" s="621"/>
      <c r="L236" s="1267" t="s">
        <v>12</v>
      </c>
      <c r="M236" s="869" t="s">
        <v>6</v>
      </c>
      <c r="N236" s="1209" t="s">
        <v>7</v>
      </c>
      <c r="Q236" s="1289"/>
      <c r="R236" s="1289"/>
      <c r="S236" s="1289" t="s">
        <v>115</v>
      </c>
      <c r="T236" s="1289" t="s">
        <v>469</v>
      </c>
      <c r="U236" s="1289" t="s">
        <v>469</v>
      </c>
      <c r="V236" s="1289" t="s">
        <v>469</v>
      </c>
      <c r="W236" s="1289" t="s">
        <v>469</v>
      </c>
      <c r="X236" s="1289" t="s">
        <v>469</v>
      </c>
      <c r="Y236" s="1289" t="s">
        <v>469</v>
      </c>
      <c r="Z236" s="1289" t="s">
        <v>469</v>
      </c>
      <c r="AA236" s="1289" t="s">
        <v>496</v>
      </c>
      <c r="AB236" s="1289" t="s">
        <v>494</v>
      </c>
    </row>
    <row r="237" spans="1:28">
      <c r="A237" s="645" t="s">
        <v>920</v>
      </c>
      <c r="B237" s="892">
        <f ca="1">Ausgabe!B618</f>
        <v>15.511278579041001</v>
      </c>
      <c r="C237" s="645" t="s">
        <v>921</v>
      </c>
      <c r="D237" s="892">
        <f ca="1">Ausgabe!E618</f>
        <v>0</v>
      </c>
      <c r="F237" s="866">
        <f ca="1">Ausgabe!G618</f>
        <v>0</v>
      </c>
      <c r="G237" s="778" t="str">
        <f ca="1">Ausgabe!I618</f>
        <v>LK 1</v>
      </c>
      <c r="H237" s="646"/>
      <c r="I237" s="1346" t="s">
        <v>1960</v>
      </c>
      <c r="J237" s="1346" t="s">
        <v>1961</v>
      </c>
      <c r="K237" s="621"/>
      <c r="L237" s="1259" t="str">
        <f>C53</f>
        <v>310 x 60 x 40</v>
      </c>
      <c r="M237" s="649" t="str">
        <f>C17</f>
        <v>GL24h</v>
      </c>
      <c r="N237" s="1210" t="str">
        <f>C24</f>
        <v>GL24h</v>
      </c>
      <c r="Q237" s="1356" t="str">
        <f>L237</f>
        <v>310 x 60 x 40</v>
      </c>
      <c r="R237" s="1286" t="s">
        <v>7</v>
      </c>
      <c r="S237" s="1207">
        <f>Ausgabe!C586</f>
        <v>385</v>
      </c>
      <c r="T237" s="1292">
        <f>Ausgabe!C194</f>
        <v>36.6</v>
      </c>
      <c r="U237" s="1292">
        <f ca="1">Ausgabe!C173</f>
        <v>19.477616001459054</v>
      </c>
      <c r="V237" s="829">
        <f>Ausgabe!C246/Ausgabe!C245</f>
        <v>150.4</v>
      </c>
      <c r="W237" s="1292">
        <f ca="1">Ausgabe!C221</f>
        <v>92.436470366395326</v>
      </c>
      <c r="X237" s="829">
        <f ca="1">Ausgabe!C332</f>
        <v>36.922333552160282</v>
      </c>
      <c r="Y237" s="1292">
        <f>Ausgabe!C423</f>
        <v>36.9</v>
      </c>
      <c r="Z237" s="1292">
        <f ca="1">Ausgabe!C398</f>
        <v>33.607770254588836</v>
      </c>
      <c r="AA237" s="829">
        <f>Ausgabe!C592</f>
        <v>2.7</v>
      </c>
      <c r="AB237" s="1292">
        <f>Ausgabe!C594</f>
        <v>227</v>
      </c>
    </row>
    <row r="238" spans="1:28">
      <c r="A238" s="645" t="s">
        <v>902</v>
      </c>
      <c r="B238" s="893" t="e">
        <f ca="1">Ausgabe!B620</f>
        <v>#DIV/0!</v>
      </c>
      <c r="C238" s="645" t="s">
        <v>668</v>
      </c>
      <c r="D238" s="893" t="e">
        <f ca="1">Ausgabe!E620</f>
        <v>#DIV/0!</v>
      </c>
      <c r="F238" s="866" t="e">
        <f ca="1">Ausgabe!G620</f>
        <v>#DIV/0!</v>
      </c>
      <c r="G238" s="778" t="e">
        <f ca="1">Ausgabe!I620</f>
        <v>#DIV/0!</v>
      </c>
      <c r="H238" s="646"/>
      <c r="I238" s="1347" t="e">
        <f ca="1">ROUND(MAX(Eingabe!$EG$5:$EG$32)*100,0)</f>
        <v>#DIV/0!</v>
      </c>
      <c r="J238" s="1347" t="e">
        <f ca="1">ROUND(MAX(Eingabe!$EG$37:$EG$64)*100,0)</f>
        <v>#DIV/0!</v>
      </c>
      <c r="L238" s="1359" t="s">
        <v>2285</v>
      </c>
      <c r="M238" s="1265" t="str">
        <f>C54</f>
        <v>Hauptträger/Stütze</v>
      </c>
      <c r="N238" s="600"/>
      <c r="Q238" s="1357" t="str">
        <f>L237</f>
        <v>310 x 60 x 40</v>
      </c>
      <c r="R238" s="1287" t="s">
        <v>6</v>
      </c>
      <c r="S238" s="1206">
        <f>Ausgabe!C589</f>
        <v>385</v>
      </c>
      <c r="T238" s="1288">
        <f>Ausgabe!C194</f>
        <v>36.6</v>
      </c>
      <c r="U238" s="1288" t="e">
        <f ca="1">Ausgabe!C186</f>
        <v>#DIV/0!</v>
      </c>
      <c r="V238" s="619">
        <f>Ausgabe!C246/Ausgabe!C245</f>
        <v>150.4</v>
      </c>
      <c r="W238" s="1288">
        <f ca="1">Ausgabe!C239</f>
        <v>92.436470366395326</v>
      </c>
      <c r="X238" s="619" t="e">
        <f ca="1">Ausgabe!C367</f>
        <v>#DIV/0!</v>
      </c>
      <c r="Y238" s="1288">
        <f>Ausgabe!C423</f>
        <v>36.9</v>
      </c>
      <c r="Z238" s="1288">
        <f ca="1">Ausgabe!C418</f>
        <v>52.633621965286494</v>
      </c>
      <c r="AA238" s="619">
        <f>Ausgabe!C592</f>
        <v>2.7</v>
      </c>
      <c r="AB238" s="1288">
        <f>Ausgabe!C594</f>
        <v>227</v>
      </c>
    </row>
    <row r="239" spans="1:28">
      <c r="A239" s="645" t="s">
        <v>627</v>
      </c>
      <c r="B239" s="893">
        <f>Ausgabe!B619</f>
        <v>1.2461538461538462</v>
      </c>
      <c r="C239" s="645" t="s">
        <v>667</v>
      </c>
      <c r="D239" s="893">
        <f>Ausgabe!E619</f>
        <v>0</v>
      </c>
      <c r="F239" s="866">
        <f>Ausgabe!G619</f>
        <v>0</v>
      </c>
      <c r="G239" s="778" t="str">
        <f>Ausgabe!I619</f>
        <v>-</v>
      </c>
      <c r="H239" s="646"/>
      <c r="I239" s="1348"/>
      <c r="J239" s="1348"/>
      <c r="Q239" s="1358" t="str">
        <f>L237</f>
        <v>310 x 60 x 40</v>
      </c>
      <c r="R239" s="537"/>
      <c r="S239" s="1294">
        <f>MIN(S238,S237)</f>
        <v>385</v>
      </c>
      <c r="T239" s="1293">
        <f t="shared" ref="T239:Z239" si="89">MIN(T238,T237)</f>
        <v>36.6</v>
      </c>
      <c r="U239" s="1290" t="e">
        <f t="shared" ca="1" si="89"/>
        <v>#DIV/0!</v>
      </c>
      <c r="V239" s="1293">
        <f t="shared" si="89"/>
        <v>150.4</v>
      </c>
      <c r="W239" s="1290">
        <f t="shared" ca="1" si="89"/>
        <v>92.436470366395326</v>
      </c>
      <c r="X239" s="1293" t="e">
        <f t="shared" ca="1" si="89"/>
        <v>#DIV/0!</v>
      </c>
      <c r="Y239" s="1290">
        <f t="shared" si="89"/>
        <v>36.9</v>
      </c>
      <c r="Z239" s="1293">
        <f t="shared" ca="1" si="89"/>
        <v>33.607770254588836</v>
      </c>
      <c r="AA239" s="1293">
        <f>MIN(AA238,AA237)</f>
        <v>2.7</v>
      </c>
      <c r="AB239" s="1291">
        <f>MIN(AB238,AB237)</f>
        <v>227</v>
      </c>
    </row>
    <row r="240" spans="1:28">
      <c r="A240" s="620"/>
      <c r="B240" s="620"/>
      <c r="C240" s="620"/>
      <c r="D240" s="620"/>
      <c r="E240" s="620"/>
      <c r="F240" s="618"/>
      <c r="G240" s="618"/>
      <c r="I240" s="1347"/>
      <c r="J240" s="1347"/>
      <c r="L240" s="1525" t="s">
        <v>2286</v>
      </c>
      <c r="M240" s="1526"/>
      <c r="N240" s="1527"/>
      <c r="AB240" s="715"/>
    </row>
    <row r="241" spans="1:28">
      <c r="A241" s="767" t="str">
        <f>Ausgabe!A622</f>
        <v>Kombinationsnachweise</v>
      </c>
      <c r="B241" s="645"/>
      <c r="C241" s="750"/>
      <c r="D241" s="645"/>
      <c r="E241" s="645"/>
      <c r="F241" s="645"/>
      <c r="G241" s="645"/>
      <c r="H241" s="645"/>
      <c r="I241" s="1347"/>
      <c r="J241" s="1347"/>
      <c r="L241" s="621"/>
      <c r="M241" s="649" t="s">
        <v>1857</v>
      </c>
      <c r="N241" s="1210" t="s">
        <v>2282</v>
      </c>
      <c r="Q241" s="501"/>
      <c r="R241" s="649"/>
      <c r="S241" s="649"/>
      <c r="T241" s="649"/>
      <c r="U241" s="649"/>
      <c r="V241" s="649"/>
      <c r="W241" s="649"/>
      <c r="X241" s="649"/>
      <c r="Y241" s="649"/>
      <c r="Z241" s="649"/>
      <c r="AA241" s="649"/>
      <c r="AB241" s="643"/>
    </row>
    <row r="242" spans="1:28">
      <c r="A242" s="778"/>
      <c r="B242" s="778"/>
      <c r="C242" s="807"/>
      <c r="D242" s="778"/>
      <c r="E242" s="750"/>
      <c r="F242" s="750"/>
      <c r="G242" s="751"/>
      <c r="H242" s="645"/>
      <c r="I242" s="1347"/>
      <c r="J242" s="1347"/>
      <c r="L242" s="1227" t="s">
        <v>2283</v>
      </c>
      <c r="M242" s="710">
        <f ca="1">MAX(EC5:EC18)</f>
        <v>4.847242517186606</v>
      </c>
      <c r="N242" s="1354" t="e">
        <f ca="1">MAX(CD5:CD18,CK5:CK18)</f>
        <v>#DIV/0!</v>
      </c>
      <c r="Q242" s="649"/>
      <c r="R242" s="1528"/>
      <c r="S242" s="1528"/>
      <c r="T242" s="1528"/>
      <c r="U242" s="1528"/>
      <c r="V242" s="1528"/>
      <c r="W242" s="1528"/>
      <c r="X242" s="1528"/>
      <c r="Y242" s="1528"/>
      <c r="Z242" s="1528"/>
      <c r="AA242" s="1528"/>
      <c r="AB242" s="643"/>
    </row>
    <row r="243" spans="1:28">
      <c r="A243" s="750"/>
      <c r="B243" s="645"/>
      <c r="C243" s="750"/>
      <c r="D243" s="645"/>
      <c r="E243" s="866" t="e">
        <f ca="1">Ausgabe!G624</f>
        <v>#DIV/0!</v>
      </c>
      <c r="G243" s="1434" t="e">
        <f ca="1">Ausgabe!I624</f>
        <v>#DIV/0!</v>
      </c>
      <c r="H243" s="646"/>
      <c r="I243" s="1349" t="e">
        <f ca="1">ROUND(MAX(Eingabe!EQ5:EQ32)*100,0)</f>
        <v>#DIV/0!</v>
      </c>
      <c r="J243" s="1349" t="e">
        <f ca="1">ROUND(MAX(Eingabe!EQ37:EQ64)*100,0)</f>
        <v>#DIV/0!</v>
      </c>
      <c r="L243" s="1227" t="s">
        <v>2284</v>
      </c>
      <c r="M243" s="710" t="e">
        <f ca="1">MAX(EC19:EC32)</f>
        <v>#DIV/0!</v>
      </c>
      <c r="N243" s="1354" t="e">
        <f ca="1">MAX(CD19:CD32,CK19:CK32)</f>
        <v>#DIV/0!</v>
      </c>
      <c r="Q243" s="649"/>
      <c r="R243" s="1528"/>
      <c r="S243" s="1528"/>
      <c r="T243" s="1528"/>
      <c r="U243" s="1528"/>
      <c r="V243" s="1528"/>
      <c r="W243" s="1528"/>
      <c r="X243" s="1528"/>
      <c r="Y243" s="1528"/>
      <c r="Z243" s="1528"/>
      <c r="AA243" s="1528"/>
      <c r="AB243" s="643"/>
    </row>
    <row r="244" spans="1:28">
      <c r="A244" s="750"/>
      <c r="B244" s="645"/>
      <c r="C244" s="750"/>
      <c r="D244" s="645"/>
      <c r="E244" s="645"/>
      <c r="F244" s="645"/>
      <c r="G244" s="750"/>
      <c r="H244" s="750"/>
      <c r="I244" s="1347"/>
      <c r="J244" s="1347"/>
      <c r="L244" s="1525" t="s">
        <v>2287</v>
      </c>
      <c r="M244" s="1526"/>
      <c r="N244" s="1527"/>
      <c r="Q244" s="649"/>
      <c r="R244" s="1528"/>
      <c r="S244" s="1528"/>
      <c r="T244" s="1528"/>
      <c r="U244" s="1528"/>
      <c r="V244" s="1528"/>
      <c r="W244" s="1528"/>
      <c r="X244" s="1528"/>
      <c r="Y244" s="1528"/>
      <c r="Z244" s="1528"/>
      <c r="AA244" s="1528"/>
      <c r="AB244" s="643"/>
    </row>
    <row r="245" spans="1:28">
      <c r="A245" s="750"/>
      <c r="B245" s="645"/>
      <c r="C245" s="750"/>
      <c r="D245" s="645"/>
      <c r="E245" s="645"/>
      <c r="F245" s="645"/>
      <c r="G245" s="750"/>
      <c r="H245" s="750"/>
      <c r="I245" s="1347"/>
      <c r="J245" s="1347"/>
      <c r="L245" s="1227" t="s">
        <v>2283</v>
      </c>
      <c r="M245" s="710">
        <f ca="1">MAX(EC37:EC50)</f>
        <v>4.8472430481713564</v>
      </c>
      <c r="N245" s="1354" t="e">
        <f ca="1">MAX(CD37:CD50,CK37:CK50)</f>
        <v>#DIV/0!</v>
      </c>
      <c r="R245" s="1528"/>
      <c r="S245" s="1528"/>
      <c r="T245" s="1528"/>
      <c r="U245" s="1528"/>
      <c r="V245" s="1528"/>
      <c r="W245" s="1528"/>
      <c r="X245" s="1528"/>
      <c r="Y245" s="1528"/>
      <c r="Z245" s="1528"/>
      <c r="AA245" s="1528"/>
      <c r="AB245" s="643"/>
    </row>
    <row r="246" spans="1:28" ht="15" customHeight="1">
      <c r="A246" s="645"/>
      <c r="B246" s="645"/>
      <c r="C246" s="753"/>
      <c r="D246" s="645"/>
      <c r="E246" s="645"/>
      <c r="F246" s="645"/>
      <c r="G246" s="645"/>
      <c r="H246" s="645"/>
      <c r="I246" s="1347"/>
      <c r="J246" s="1347"/>
      <c r="L246" s="1227" t="s">
        <v>2284</v>
      </c>
      <c r="M246" s="710" t="e">
        <f ca="1">MAX(EC51:EC64)</f>
        <v>#DIV/0!</v>
      </c>
      <c r="N246" s="1354" t="e">
        <f ca="1">MAX(CD51:CD64,CK51:CK64)</f>
        <v>#DIV/0!</v>
      </c>
      <c r="R246" s="1528"/>
      <c r="S246" s="1528"/>
      <c r="T246" s="1528"/>
      <c r="U246" s="1528"/>
      <c r="V246" s="1528"/>
      <c r="W246" s="1528"/>
      <c r="X246" s="1528"/>
      <c r="Y246" s="1528"/>
      <c r="Z246" s="1528"/>
      <c r="AA246" s="1528"/>
      <c r="AB246" s="643"/>
    </row>
    <row r="247" spans="1:28">
      <c r="A247" s="645"/>
      <c r="B247" s="645"/>
      <c r="C247" s="753"/>
      <c r="D247" s="645"/>
      <c r="E247" s="866" t="e">
        <f ca="1">Ausgabe!G628</f>
        <v>#DIV/0!</v>
      </c>
      <c r="G247" s="1435" t="e">
        <f ca="1">Ausgabe!I628</f>
        <v>#DIV/0!</v>
      </c>
      <c r="H247" s="646"/>
      <c r="I247" s="1350" t="e">
        <f ca="1">ROUND(MAX(Eingabe!ER5:ER32)*100,0)</f>
        <v>#DIV/0!</v>
      </c>
      <c r="J247" s="1350" t="e">
        <f ca="1">ROUND(MAX(Eingabe!ER37:ER64)*100,0)</f>
        <v>#DIV/0!</v>
      </c>
      <c r="L247" s="1355"/>
      <c r="M247" s="598"/>
      <c r="N247" s="600"/>
      <c r="Q247" s="649"/>
      <c r="R247" s="1528"/>
      <c r="S247" s="1528"/>
      <c r="T247" s="1528"/>
      <c r="U247" s="1528"/>
      <c r="V247" s="1528"/>
      <c r="W247" s="1528"/>
      <c r="X247" s="1528"/>
      <c r="Y247" s="1528"/>
      <c r="Z247" s="1528"/>
      <c r="AA247" s="1528"/>
      <c r="AB247" s="643"/>
    </row>
    <row r="248" spans="1:28">
      <c r="A248" s="645"/>
      <c r="B248" s="645"/>
      <c r="C248" s="753"/>
      <c r="D248" s="645"/>
      <c r="E248" s="645"/>
      <c r="F248" s="645"/>
      <c r="G248" s="750"/>
      <c r="H248" s="750"/>
      <c r="I248" s="645"/>
      <c r="J248" s="715"/>
      <c r="K248" s="498"/>
      <c r="L248" s="1525" t="s">
        <v>2365</v>
      </c>
      <c r="M248" s="1526"/>
      <c r="N248" s="1527"/>
      <c r="Q248" s="649"/>
      <c r="R248" s="1528"/>
      <c r="S248" s="1528"/>
      <c r="T248" s="1528"/>
      <c r="U248" s="1528"/>
      <c r="V248" s="1528"/>
      <c r="W248" s="1528"/>
      <c r="X248" s="1528"/>
      <c r="Y248" s="1528"/>
      <c r="Z248" s="1528"/>
      <c r="AA248" s="1528"/>
      <c r="AB248" s="643"/>
    </row>
    <row r="249" spans="1:28">
      <c r="A249" s="645"/>
      <c r="B249" s="645"/>
      <c r="C249" s="753"/>
      <c r="D249" s="645"/>
      <c r="E249" s="645"/>
      <c r="F249" s="645"/>
      <c r="G249" s="750"/>
      <c r="H249" s="750"/>
      <c r="L249" s="621"/>
      <c r="M249" s="649" t="s">
        <v>2368</v>
      </c>
      <c r="N249" s="1210" t="s">
        <v>2369</v>
      </c>
      <c r="AB249" s="643"/>
    </row>
    <row r="250" spans="1:28">
      <c r="E250" s="623"/>
      <c r="F250" s="644"/>
      <c r="G250" s="507"/>
      <c r="L250" s="1227" t="s">
        <v>2283</v>
      </c>
      <c r="M250" s="1372" t="e">
        <f ca="1">ABS(Berechnung_BZoben!$AH$16)/Berechnung_BZoben!$AF$16</f>
        <v>#DIV/0!</v>
      </c>
      <c r="N250" s="1374" t="e">
        <f ca="1">1-Berechnung_BZoben!AF52</f>
        <v>#DIV/0!</v>
      </c>
      <c r="AB250" s="643"/>
    </row>
    <row r="251" spans="1:28" ht="15" customHeight="1">
      <c r="A251" s="767" t="str">
        <f>Ausgabe!A665</f>
        <v>Brandüberdeckung</v>
      </c>
      <c r="L251" s="1359" t="s">
        <v>2284</v>
      </c>
      <c r="M251" s="1373" t="e">
        <f ca="1">ABS(Berechnung_BZunten!$AH$16)/Berechnung_BZunten!$AF$16</f>
        <v>#DIV/0!</v>
      </c>
      <c r="N251" s="1375" t="e">
        <f ca="1">1-Berechnung_BZunten!AF52</f>
        <v>#DIV/0!</v>
      </c>
      <c r="AB251" s="643"/>
    </row>
    <row r="252" spans="1:28" ht="15.75">
      <c r="A252" s="722" t="str">
        <f>Ausgabe!A666</f>
        <v>Brandbeanspruchungsdauer</v>
      </c>
      <c r="B252" s="736" t="s">
        <v>329</v>
      </c>
      <c r="C252" s="1371">
        <v>0</v>
      </c>
      <c r="D252" s="722" t="s">
        <v>817</v>
      </c>
      <c r="F252" s="722"/>
      <c r="G252" s="722"/>
      <c r="AB252" s="643"/>
    </row>
    <row r="253" spans="1:28" ht="15.75">
      <c r="A253" s="722"/>
      <c r="B253" s="722"/>
      <c r="C253" s="896" t="str">
        <f>Ausgabe!F666</f>
        <v>Keine Brandüberdeckung erforderlich.</v>
      </c>
      <c r="D253" s="722"/>
      <c r="E253" s="722"/>
      <c r="F253" s="722"/>
      <c r="G253" s="722"/>
      <c r="AB253" s="643"/>
    </row>
    <row r="254" spans="1:28">
      <c r="A254" s="753" t="str">
        <f>Ausgabe!A684</f>
        <v>Brandüberdeckung seitlich</v>
      </c>
      <c r="B254" s="506"/>
      <c r="C254" s="623">
        <f>Ausgabe!C684</f>
        <v>-31</v>
      </c>
      <c r="D254" s="507" t="s">
        <v>2</v>
      </c>
      <c r="E254" s="610" t="str">
        <f>IF(C254&gt;=F254,"&gt;","&lt;")</f>
        <v>&lt;</v>
      </c>
      <c r="F254" s="623">
        <f>Ausgabe!F684</f>
        <v>7</v>
      </c>
      <c r="G254" s="507" t="s">
        <v>2</v>
      </c>
      <c r="AB254" s="643"/>
    </row>
    <row r="255" spans="1:28">
      <c r="A255" s="609" t="str">
        <f>Ausgabe!A685</f>
        <v>Brandüberdeckung unten</v>
      </c>
      <c r="B255" s="506"/>
      <c r="C255" s="623">
        <f>Ausgabe!C685</f>
        <v>-310</v>
      </c>
      <c r="D255" s="507" t="s">
        <v>2</v>
      </c>
      <c r="E255" s="610" t="str">
        <f>IF(C255&gt;=F255,"&gt;","&lt;")</f>
        <v>&lt;</v>
      </c>
      <c r="F255" s="623">
        <f>Ausgabe!F685</f>
        <v>7</v>
      </c>
      <c r="G255" s="507" t="s">
        <v>2</v>
      </c>
      <c r="AB255" s="643"/>
    </row>
    <row r="256" spans="1:28">
      <c r="A256" s="506"/>
      <c r="B256" s="506"/>
      <c r="C256" s="506"/>
      <c r="D256" s="506"/>
      <c r="E256" s="506"/>
      <c r="F256" s="506"/>
      <c r="G256" s="506"/>
      <c r="AB256" s="643"/>
    </row>
    <row r="257" spans="1:28">
      <c r="A257" s="609" t="str">
        <f>Ausgabe!A687</f>
        <v>Brandüberdeckung nicht ausreichend.</v>
      </c>
      <c r="B257" s="506"/>
      <c r="C257" s="506"/>
      <c r="D257" s="506"/>
      <c r="E257" s="506"/>
      <c r="F257" s="506"/>
      <c r="G257" s="506"/>
      <c r="AB257" s="643"/>
    </row>
    <row r="258" spans="1:28" ht="15" customHeight="1">
      <c r="A258" s="1520" t="str">
        <f>Sprachtexte!A251</f>
        <v>Die Vertstärkungen müssen ausreichend vor Brand geschützt sein.</v>
      </c>
      <c r="B258" s="1520"/>
      <c r="C258" s="1520"/>
      <c r="D258" s="1520"/>
      <c r="E258" s="1520"/>
      <c r="F258" s="1520"/>
      <c r="G258" s="1520"/>
      <c r="AB258" s="643"/>
    </row>
    <row r="259" spans="1:28" ht="15" customHeight="1">
      <c r="A259" s="1520"/>
      <c r="B259" s="1520"/>
      <c r="C259" s="1520"/>
      <c r="D259" s="1520"/>
      <c r="E259" s="1520"/>
      <c r="F259" s="1520"/>
      <c r="G259" s="1520"/>
      <c r="AB259" s="643"/>
    </row>
    <row r="260" spans="1:28" ht="15" customHeight="1">
      <c r="AB260" s="643"/>
    </row>
    <row r="261" spans="1:28">
      <c r="AB261" s="643"/>
    </row>
    <row r="262" spans="1:28">
      <c r="P262" s="507"/>
      <c r="AB262" s="643"/>
    </row>
    <row r="263" spans="1:28">
      <c r="P263" s="507"/>
      <c r="AB263" s="643"/>
    </row>
    <row r="264" spans="1:28">
      <c r="I264" s="598"/>
      <c r="J264" s="598"/>
      <c r="K264" s="712"/>
      <c r="L264" s="598"/>
      <c r="M264" s="598"/>
      <c r="N264" s="598"/>
      <c r="O264" s="598"/>
      <c r="P264" s="598"/>
      <c r="Q264" s="598"/>
      <c r="R264" s="598"/>
      <c r="S264" s="598"/>
      <c r="T264" s="598"/>
      <c r="U264" s="598"/>
      <c r="V264" s="598"/>
      <c r="W264" s="598"/>
      <c r="X264" s="598"/>
      <c r="Y264" s="598"/>
      <c r="Z264" s="598"/>
      <c r="AA264" s="598"/>
      <c r="AB264" s="600"/>
    </row>
    <row r="265" spans="1:28">
      <c r="A265" s="1211"/>
      <c r="B265" s="1211"/>
      <c r="C265" s="1211"/>
      <c r="D265" s="1211"/>
      <c r="E265" s="1211"/>
      <c r="F265" s="1211"/>
    </row>
  </sheetData>
  <sheetProtection algorithmName="SHA-512" hashValue="NwnG4EOUOVU8Kxx5uKL97iCV/iHDHyxbeIhKQKxQ1vKXhF/m46ZQo0+ty/S7s+ryUfv/Fq85KdPp6HS3Jayodw==" saltValue="MI/WWYMdCpjIs0DJ6Xv1hg==" spinCount="100000" sheet="1" objects="1" scenarios="1"/>
  <protectedRanges>
    <protectedRange sqref="B6:F10 E3:G3 C16:C20 C23:C26 C28:C29 A29 C31 C33:C35 C53:C54 D57:E60 B76 A80:A81 C86:C87 B99:G102 D104 C122:C123 C126:C132 D126:D132 C157:C158 C161:C165 C190 C194:C195 C252" name="Eingabefelder"/>
  </protectedRanges>
  <mergeCells count="141">
    <mergeCell ref="A106:G119"/>
    <mergeCell ref="A70:G70"/>
    <mergeCell ref="D61:E61"/>
    <mergeCell ref="E102:F102"/>
    <mergeCell ref="C95:C96"/>
    <mergeCell ref="D95:D96"/>
    <mergeCell ref="E97:F97"/>
    <mergeCell ref="A38:B49"/>
    <mergeCell ref="D38:G49"/>
    <mergeCell ref="E98:F98"/>
    <mergeCell ref="E99:F99"/>
    <mergeCell ref="E100:F100"/>
    <mergeCell ref="E101:F101"/>
    <mergeCell ref="E95:F96"/>
    <mergeCell ref="G95:G96"/>
    <mergeCell ref="B95:B96"/>
    <mergeCell ref="A224:G225"/>
    <mergeCell ref="I235:J236"/>
    <mergeCell ref="A258:G259"/>
    <mergeCell ref="L240:N240"/>
    <mergeCell ref="L244:N244"/>
    <mergeCell ref="R247:AA248"/>
    <mergeCell ref="R242:AA246"/>
    <mergeCell ref="A196:E197"/>
    <mergeCell ref="L123:M123"/>
    <mergeCell ref="N123:P123"/>
    <mergeCell ref="L248:N248"/>
    <mergeCell ref="A135:G155"/>
    <mergeCell ref="A167:G187"/>
    <mergeCell ref="A199:G219"/>
    <mergeCell ref="AB2:AE2"/>
    <mergeCell ref="CW3:DE3"/>
    <mergeCell ref="BB42:BG42"/>
    <mergeCell ref="BD28:BG28"/>
    <mergeCell ref="BD29:BE29"/>
    <mergeCell ref="BF29:BG29"/>
    <mergeCell ref="W19:Z19"/>
    <mergeCell ref="U20:Z20"/>
    <mergeCell ref="W21:Z21"/>
    <mergeCell ref="P19:S19"/>
    <mergeCell ref="P20:S20"/>
    <mergeCell ref="BR35:BR36"/>
    <mergeCell ref="BS35:BS36"/>
    <mergeCell ref="CB35:CH35"/>
    <mergeCell ref="CI35:CO35"/>
    <mergeCell ref="CP35:CV35"/>
    <mergeCell ref="CW35:DE35"/>
    <mergeCell ref="K16:L26"/>
    <mergeCell ref="A3:D3"/>
    <mergeCell ref="P10:S10"/>
    <mergeCell ref="U15:Z15"/>
    <mergeCell ref="W16:Z16"/>
    <mergeCell ref="W17:Z17"/>
    <mergeCell ref="U18:Z18"/>
    <mergeCell ref="P16:S16"/>
    <mergeCell ref="BR3:BR4"/>
    <mergeCell ref="EZ3:FC3"/>
    <mergeCell ref="EZ4:FA4"/>
    <mergeCell ref="EU3:EX3"/>
    <mergeCell ref="BS3:BS4"/>
    <mergeCell ref="P14:S14"/>
    <mergeCell ref="P15:S15"/>
    <mergeCell ref="P18:S18"/>
    <mergeCell ref="AJ4:AK4"/>
    <mergeCell ref="AT4:AV4"/>
    <mergeCell ref="W10:Z10"/>
    <mergeCell ref="P17:S17"/>
    <mergeCell ref="DF3:DP3"/>
    <mergeCell ref="DQ3:DU3"/>
    <mergeCell ref="FE4:FH4"/>
    <mergeCell ref="P13:S13"/>
    <mergeCell ref="EW4:EX4"/>
    <mergeCell ref="A88:G93"/>
    <mergeCell ref="D57:E57"/>
    <mergeCell ref="D58:E58"/>
    <mergeCell ref="D60:E60"/>
    <mergeCell ref="A67:G68"/>
    <mergeCell ref="B56:C56"/>
    <mergeCell ref="P4:S4"/>
    <mergeCell ref="P6:S6"/>
    <mergeCell ref="D59:E59"/>
    <mergeCell ref="EH35:EL35"/>
    <mergeCell ref="EM35:EQ35"/>
    <mergeCell ref="EO51:EO64"/>
    <mergeCell ref="DF35:DP35"/>
    <mergeCell ref="DQ35:DU35"/>
    <mergeCell ref="DV35:EB35"/>
    <mergeCell ref="EC35:EG35"/>
    <mergeCell ref="FB4:FC4"/>
    <mergeCell ref="EZ18:FC18"/>
    <mergeCell ref="P12:S12"/>
    <mergeCell ref="EU4:EV4"/>
    <mergeCell ref="BD4:BE4"/>
    <mergeCell ref="A1:E1"/>
    <mergeCell ref="F1:G1"/>
    <mergeCell ref="A2:E2"/>
    <mergeCell ref="F2:G2"/>
    <mergeCell ref="B7:F7"/>
    <mergeCell ref="A4:G5"/>
    <mergeCell ref="BH14:BI14"/>
    <mergeCell ref="BJ14:BK14"/>
    <mergeCell ref="B9:F9"/>
    <mergeCell ref="U9:Z9"/>
    <mergeCell ref="P7:S7"/>
    <mergeCell ref="P8:S8"/>
    <mergeCell ref="P5:S5"/>
    <mergeCell ref="U2:Z2"/>
    <mergeCell ref="B6:F6"/>
    <mergeCell ref="U6:Z6"/>
    <mergeCell ref="AG2:AW2"/>
    <mergeCell ref="F3:G3"/>
    <mergeCell ref="U3:Z3"/>
    <mergeCell ref="AB3:AC3"/>
    <mergeCell ref="AD3:AE3"/>
    <mergeCell ref="AG3:AW3"/>
    <mergeCell ref="O2:S2"/>
    <mergeCell ref="P3:S3"/>
    <mergeCell ref="FE3:FH3"/>
    <mergeCell ref="F233:G233"/>
    <mergeCell ref="P11:S11"/>
    <mergeCell ref="EM3:EQ3"/>
    <mergeCell ref="CP3:CV3"/>
    <mergeCell ref="D56:G56"/>
    <mergeCell ref="B10:F10"/>
    <mergeCell ref="U11:Z11"/>
    <mergeCell ref="W12:Z12"/>
    <mergeCell ref="BD14:BE14"/>
    <mergeCell ref="BF14:BG14"/>
    <mergeCell ref="U13:Z13"/>
    <mergeCell ref="W14:Z14"/>
    <mergeCell ref="P9:S9"/>
    <mergeCell ref="W7:Z7"/>
    <mergeCell ref="B8:F8"/>
    <mergeCell ref="W8:Z8"/>
    <mergeCell ref="EO19:EO32"/>
    <mergeCell ref="DV3:EB3"/>
    <mergeCell ref="EC3:EG3"/>
    <mergeCell ref="EH3:EL3"/>
    <mergeCell ref="CB3:CH3"/>
    <mergeCell ref="CI3:CO3"/>
    <mergeCell ref="BD3:BE3"/>
  </mergeCells>
  <phoneticPr fontId="19" type="noConversion"/>
  <conditionalFormatting sqref="C18:C19 C25:C26">
    <cfRule type="expression" dxfId="133" priority="3">
      <formula>$O$3&lt;&gt;"ok"</formula>
    </cfRule>
  </conditionalFormatting>
  <conditionalFormatting sqref="C17">
    <cfRule type="expression" dxfId="132" priority="6">
      <formula>$O$4&lt;&gt;"ok"</formula>
    </cfRule>
  </conditionalFormatting>
  <conditionalFormatting sqref="D57:E60">
    <cfRule type="expression" dxfId="131" priority="23">
      <formula>$O$6&lt;&gt;"ok"</formula>
    </cfRule>
  </conditionalFormatting>
  <conditionalFormatting sqref="A63:D63">
    <cfRule type="expression" dxfId="130" priority="41">
      <formula>OR($O$10&lt;&gt;"ok",$O$11&lt;&gt;"ok",$O$12&lt;&gt;"ok")</formula>
    </cfRule>
  </conditionalFormatting>
  <conditionalFormatting sqref="A257:B257 C254:G254">
    <cfRule type="expression" dxfId="129" priority="357">
      <formula>$E$254="&lt;"</formula>
    </cfRule>
  </conditionalFormatting>
  <conditionalFormatting sqref="A257:B257 C255:G255">
    <cfRule type="expression" dxfId="128" priority="358">
      <formula>$E$255="&lt;"</formula>
    </cfRule>
  </conditionalFormatting>
  <conditionalFormatting sqref="C24">
    <cfRule type="expression" dxfId="127" priority="7">
      <formula>$O$5&lt;&gt;"ok"</formula>
    </cfRule>
  </conditionalFormatting>
  <conditionalFormatting sqref="C28">
    <cfRule type="expression" dxfId="126" priority="40">
      <formula>$O$9&lt;&gt;"ok"</formula>
    </cfRule>
  </conditionalFormatting>
  <conditionalFormatting sqref="F234:F239 E247 E243">
    <cfRule type="expression" dxfId="125" priority="57">
      <formula>E234&gt;1</formula>
    </cfRule>
  </conditionalFormatting>
  <conditionalFormatting sqref="G99:G102">
    <cfRule type="expression" dxfId="124" priority="34">
      <formula>$O$8&lt;&gt;"ok"</formula>
    </cfRule>
  </conditionalFormatting>
  <conditionalFormatting sqref="D104">
    <cfRule type="expression" dxfId="123" priority="31">
      <formula>$O$7&lt;&gt;"ok"</formula>
    </cfRule>
  </conditionalFormatting>
  <conditionalFormatting sqref="A254:G259">
    <cfRule type="expression" dxfId="122" priority="56">
      <formula>$C$252=0</formula>
    </cfRule>
  </conditionalFormatting>
  <conditionalFormatting sqref="C122 C157 C190">
    <cfRule type="expression" dxfId="121" priority="42">
      <formula>$O$13&lt;&gt;"ok"</formula>
    </cfRule>
  </conditionalFormatting>
  <conditionalFormatting sqref="C123 C126:D132">
    <cfRule type="expression" dxfId="120" priority="43">
      <formula>$C$122=$BP$22</formula>
    </cfRule>
  </conditionalFormatting>
  <conditionalFormatting sqref="A234:G239 E243:G247 A254:G259">
    <cfRule type="expression" dxfId="119" priority="51">
      <formula>$O$21&lt;&gt;"ok"</formula>
    </cfRule>
  </conditionalFormatting>
  <conditionalFormatting sqref="C158 C161:C165">
    <cfRule type="expression" dxfId="118" priority="49">
      <formula>$C$157=$BP$22</formula>
    </cfRule>
  </conditionalFormatting>
  <conditionalFormatting sqref="C194:C195">
    <cfRule type="expression" dxfId="117" priority="50">
      <formula>$C$190=$BP$22</formula>
    </cfRule>
  </conditionalFormatting>
  <conditionalFormatting sqref="N250:N251">
    <cfRule type="colorScale" priority="438">
      <colorScale>
        <cfvo type="num" val="-1"/>
        <cfvo type="num" val="1"/>
        <color rgb="FF00B050"/>
        <color rgb="FF00B050"/>
      </colorScale>
    </cfRule>
  </conditionalFormatting>
  <conditionalFormatting sqref="M250:M251">
    <cfRule type="colorScale" priority="435">
      <colorScale>
        <cfvo type="num" val="-3"/>
        <cfvo type="num" val="3"/>
        <color rgb="FF00B050"/>
        <color rgb="FF00B050"/>
      </colorScale>
    </cfRule>
  </conditionalFormatting>
  <conditionalFormatting sqref="C128">
    <cfRule type="expression" dxfId="116" priority="390">
      <formula>AND($O$128&lt;&gt;"",$O$128&lt;&gt;$C$128,$C$122=$BP$21)</formula>
    </cfRule>
  </conditionalFormatting>
  <conditionalFormatting sqref="D128">
    <cfRule type="expression" dxfId="115" priority="391">
      <formula>AND($P$128&lt;&gt;"",$D$128&lt;&gt;$P$128,$C$122=$BP$21)</formula>
    </cfRule>
  </conditionalFormatting>
  <conditionalFormatting sqref="C129">
    <cfRule type="expression" dxfId="114" priority="426">
      <formula>AND($C$129=0,$C$130&gt;1)</formula>
    </cfRule>
    <cfRule type="expression" dxfId="113" priority="427">
      <formula>AND($O$129&lt;&gt;"",$C$129&lt;&gt;$O$129,$C$122=$BP$21)</formula>
    </cfRule>
  </conditionalFormatting>
  <conditionalFormatting sqref="D129">
    <cfRule type="expression" dxfId="112" priority="428">
      <formula>AND($D$129=0,$D$130&gt;1)</formula>
    </cfRule>
    <cfRule type="expression" dxfId="111" priority="429">
      <formula>AND($P$129&lt;&gt;"",$D$129&lt;&gt;$P$129,$C$122=$BP$21)</formula>
    </cfRule>
  </conditionalFormatting>
  <conditionalFormatting sqref="C130">
    <cfRule type="expression" dxfId="110" priority="430">
      <formula>AND($O$130&lt;&gt;"",$C$130&lt;&gt;$O$130,$C$122=$BP$21)</formula>
    </cfRule>
  </conditionalFormatting>
  <conditionalFormatting sqref="D130">
    <cfRule type="expression" dxfId="109" priority="431">
      <formula>AND($P$130&lt;&gt;"",$D$130&lt;&gt;$P$130,$C$122=$BP$21)</formula>
    </cfRule>
  </conditionalFormatting>
  <conditionalFormatting sqref="C132">
    <cfRule type="expression" dxfId="108" priority="432">
      <formula>AND($L$132&lt;&gt;0,$C$122=$BP$21)</formula>
    </cfRule>
  </conditionalFormatting>
  <conditionalFormatting sqref="D132">
    <cfRule type="expression" dxfId="107" priority="433">
      <formula>AND($M$132&lt;&gt;0,$C$122=$BP$21)</formula>
    </cfRule>
  </conditionalFormatting>
  <conditionalFormatting sqref="C126:D127">
    <cfRule type="expression" dxfId="106" priority="377">
      <formula>$M$144=0</formula>
    </cfRule>
  </conditionalFormatting>
  <conditionalFormatting sqref="A132:F132">
    <cfRule type="expression" dxfId="105" priority="434">
      <formula>OR($C$123=$BL$49,$C$123=$BL$50)</formula>
    </cfRule>
  </conditionalFormatting>
  <conditionalFormatting sqref="C29">
    <cfRule type="expression" dxfId="104" priority="1">
      <formula>$O$18&lt;&gt;"ok"</formula>
    </cfRule>
  </conditionalFormatting>
  <dataValidations count="20">
    <dataValidation type="list" allowBlank="1" showInputMessage="1" showErrorMessage="1" sqref="B76" xr:uid="{431200E2-1E73-4A3D-A699-F5252B7C0372}">
      <formula1>"1,2"</formula1>
    </dataValidation>
    <dataValidation type="list" allowBlank="1" showInputMessage="1" showErrorMessage="1" sqref="C23 C16" xr:uid="{DC4AAEBA-381F-40B8-9752-DFD7CF8D3EBF}">
      <formula1>$AH$7:$AH$11</formula1>
    </dataValidation>
    <dataValidation type="list" allowBlank="1" showInputMessage="1" showErrorMessage="1" sqref="C28" xr:uid="{524E449F-24C7-4521-A23E-923FD8D368AD}">
      <formula1>$BL$27:$BL$29</formula1>
    </dataValidation>
    <dataValidation type="list" allowBlank="1" showInputMessage="1" showErrorMessage="1" sqref="C20 C122 C157 C190" xr:uid="{4A132DF6-2C01-489B-A6BC-471AE25A0BA7}">
      <formula1>$BP$21:$BP$22</formula1>
    </dataValidation>
    <dataValidation type="list" allowBlank="1" showInputMessage="1" showErrorMessage="1" sqref="C52" xr:uid="{795D2D14-D529-4E4F-8EAA-A6635E755D43}">
      <formula1>"150,100,60"</formula1>
    </dataValidation>
    <dataValidation type="list" allowBlank="1" showInputMessage="1" showErrorMessage="1" sqref="C54" xr:uid="{267FEC6E-5362-4CE6-85E3-2EF062100E93}">
      <formula1>$BP$32:$BP$33</formula1>
    </dataValidation>
    <dataValidation type="list" allowBlank="1" showInputMessage="1" showErrorMessage="1" sqref="C252" xr:uid="{717F130F-F092-48B1-9FFE-3F126B912502}">
      <formula1>$BP$38:$BP$42</formula1>
    </dataValidation>
    <dataValidation type="decimal" allowBlank="1" showInputMessage="1" showErrorMessage="1" sqref="B99:G101 B102 E102:G102" xr:uid="{0E6D87EA-EB7B-41F5-A3EC-2C42CC3C85B5}">
      <formula1>0</formula1>
      <formula2>100000</formula2>
    </dataValidation>
    <dataValidation type="decimal" allowBlank="1" showInputMessage="1" showErrorMessage="1" sqref="C33:C35" xr:uid="{D6922757-ED91-4C9B-8745-61EB5FC8757A}">
      <formula1>-30</formula1>
      <formula2>30</formula2>
    </dataValidation>
    <dataValidation type="list" allowBlank="1" showInputMessage="1" showErrorMessage="1" sqref="A29" xr:uid="{8DF73466-8767-4F79-AA48-7F7EA6E3A279}">
      <formula1>$BL$39:$BL$40</formula1>
    </dataValidation>
    <dataValidation type="list" allowBlank="1" showInputMessage="1" showErrorMessage="1" sqref="D60" xr:uid="{1DE4A65B-0F41-4968-92AF-0C5E95B0319D}">
      <formula1>IF($V$8=11,$AB$6:$AB$44,IF($V$8=10,$AD$6:$AD$44))</formula1>
    </dataValidation>
    <dataValidation type="list" allowBlank="1" showInputMessage="1" showErrorMessage="1" sqref="D58:D59" xr:uid="{44ACBCD6-6AA0-4B66-937E-552421E7160D}">
      <formula1>IF($V$7=11,$AB$6:$AB$44,IF($V$7=10,$AD$6:$AD$44))</formula1>
    </dataValidation>
    <dataValidation type="list" allowBlank="1" showInputMessage="1" showErrorMessage="1" sqref="C17" xr:uid="{68ABDF46-3527-4CB6-90DD-6DDB498C7150}">
      <formula1>$AJ$6:$AJ$43</formula1>
    </dataValidation>
    <dataValidation type="list" allowBlank="1" showInputMessage="1" showErrorMessage="1" sqref="C24" xr:uid="{EB89FEE1-375B-49FB-AC7C-44EC342E9C01}">
      <formula1>$AK$6:$AK$43</formula1>
    </dataValidation>
    <dataValidation type="list" allowBlank="1" showInputMessage="1" showErrorMessage="1" sqref="AK1" xr:uid="{7AC1C876-DB2E-45CD-9845-078448458D29}">
      <formula1>$AH$19:$AH$44</formula1>
    </dataValidation>
    <dataValidation type="list" allowBlank="1" showInputMessage="1" showErrorMessage="1" sqref="D57:E57" xr:uid="{BA5AA3E3-BAE9-42E0-9C88-EAA3CC8A720B}">
      <formula1>IF(AND($V$7=11,$V$8=11),$AC$6:$AC$44,IF(AND($V$7=10,$V$8=10),$AE$6:$AE$44))</formula1>
    </dataValidation>
    <dataValidation type="list" allowBlank="1" showInputMessage="1" showErrorMessage="1" sqref="C86" xr:uid="{526505E1-E35B-4EC6-AEE3-6DE6D886B5E1}">
      <formula1>$BL$44:$BL$45</formula1>
    </dataValidation>
    <dataValidation type="list" allowBlank="1" showInputMessage="1" showErrorMessage="1" sqref="C130:D130" xr:uid="{B3BBEC00-86C4-4521-8123-603EF70AEDE7}">
      <formula1>"1,2,3"</formula1>
    </dataValidation>
    <dataValidation type="list" allowBlank="1" showInputMessage="1" showErrorMessage="1" sqref="C123" xr:uid="{2580A641-38C0-43C7-BF50-A3919DAB1211}">
      <formula1>$BL$48:$BL$50</formula1>
    </dataValidation>
    <dataValidation type="custom" allowBlank="1" showInputMessage="1" showErrorMessage="1" sqref="D104" xr:uid="{DCE2EF0D-05F6-4E5E-8228-53AC5CCF4E26}">
      <formula1>D104&lt;&gt;0</formula1>
    </dataValidation>
  </dataValidations>
  <pageMargins left="0.70866141732283472" right="0.70866141732283472" top="0.78740157480314965" bottom="0.78740157480314965" header="0.31496062992125984" footer="0.31496062992125984"/>
  <pageSetup paperSize="9" fitToHeight="2" orientation="portrait" r:id="rId1"/>
  <headerFooter>
    <oddFooter>&amp;CKNAPP® GmbH| A-3324 Euratsfeld | Wassergasse 31 | AUSTRIA/Europe
Tel. +43(0) 7474/79910 | Fax +43(0)747479910-99
eMail: statik@knapp-verbinder.com | www.knapp-verbinder.com</oddFooter>
  </headerFooter>
  <rowBreaks count="6" manualBreakCount="6">
    <brk id="36" max="6" man="1"/>
    <brk id="71" max="6" man="1"/>
    <brk id="120" max="6" man="1"/>
    <brk id="156" max="6" man="1"/>
    <brk id="188" max="6" man="1"/>
    <brk id="229"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1050" r:id="rId4" name="Button 26">
              <controlPr defaultSize="0" print="0" autoFill="0" autoPict="0" macro="[0]!Druckzonenhoehe_verstärkt">
                <anchor moveWithCells="1" sizeWithCells="1">
                  <from>
                    <xdr:col>0</xdr:col>
                    <xdr:colOff>1333500</xdr:colOff>
                    <xdr:row>226</xdr:row>
                    <xdr:rowOff>66675</xdr:rowOff>
                  </from>
                  <to>
                    <xdr:col>4</xdr:col>
                    <xdr:colOff>228600</xdr:colOff>
                    <xdr:row>228</xdr:row>
                    <xdr:rowOff>114300</xdr:rowOff>
                  </to>
                </anchor>
              </controlPr>
            </control>
          </mc:Choice>
        </mc:AlternateContent>
        <mc:AlternateContent xmlns:mc="http://schemas.openxmlformats.org/markup-compatibility/2006">
          <mc:Choice Requires="x14">
            <control shapeId="1165" r:id="rId5" name="Button 141">
              <controlPr defaultSize="0" print="0" autoFill="0" autoPict="0" macro="[0]!AusdruckErstellen">
                <anchor moveWithCells="1" sizeWithCells="1">
                  <from>
                    <xdr:col>0</xdr:col>
                    <xdr:colOff>1438275</xdr:colOff>
                    <xdr:row>260</xdr:row>
                    <xdr:rowOff>85725</xdr:rowOff>
                  </from>
                  <to>
                    <xdr:col>4</xdr:col>
                    <xdr:colOff>333375</xdr:colOff>
                    <xdr:row>262</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B4E76B17-9EB5-4CDE-A14D-39D6F0622DF6}">
          <x14:formula1>
            <xm:f>MKW!$A$92:$A$106</xm:f>
          </x14:formula1>
          <xm:sqref>C53</xm:sqref>
        </x14:dataValidation>
        <x14:dataValidation type="list" allowBlank="1" showInputMessage="1" showErrorMessage="1" xr:uid="{12F50C21-144A-4BF1-877E-80E099B4FAEF}">
          <x14:formula1>
            <xm:f>MKW!$A$50:$A$57</xm:f>
          </x14:formula1>
          <xm:sqref>A80</xm:sqref>
        </x14:dataValidation>
        <x14:dataValidation type="list" allowBlank="1" showInputMessage="1" showErrorMessage="1" xr:uid="{0297F422-48D4-40ED-A587-F2122259630D}">
          <x14:formula1>
            <xm:f>MKW!$A$58:$A$59</xm:f>
          </x14:formula1>
          <xm:sqref>A81</xm:sqref>
        </x14:dataValidation>
        <x14:dataValidation type="list" allowBlank="1" showInputMessage="1" showErrorMessage="1" xr:uid="{E1ED4BB2-5C68-4DB2-85E7-F795EAA23A33}">
          <x14:formula1>
            <xm:f>Sprachtexte!$C$1:$F$1</xm:f>
          </x14:formula1>
          <xm:sqref>E3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543DA-3328-465F-B583-A12548382332}">
  <sheetPr codeName="Tabelle7">
    <tabColor theme="2" tint="-0.249977111117893"/>
  </sheetPr>
  <dimension ref="A1:V1956"/>
  <sheetViews>
    <sheetView showGridLines="0" showRowColHeaders="0" zoomScaleNormal="100" zoomScaleSheetLayoutView="100" workbookViewId="0">
      <selection activeCell="D33" sqref="D33:G44"/>
    </sheetView>
  </sheetViews>
  <sheetFormatPr baseColWidth="10" defaultColWidth="11.42578125" defaultRowHeight="16.5" customHeight="1"/>
  <cols>
    <col min="1" max="1" width="24.140625" style="750" customWidth="1"/>
    <col min="2" max="2" width="7.7109375" style="750" customWidth="1"/>
    <col min="3" max="4" width="8.140625" style="750" customWidth="1"/>
    <col min="5" max="5" width="6.5703125" style="750" customWidth="1"/>
    <col min="6" max="6" width="13.42578125" style="750" customWidth="1"/>
    <col min="7" max="8" width="7.5703125" style="750" customWidth="1"/>
    <col min="9" max="9" width="6.140625" style="750" customWidth="1"/>
    <col min="10" max="10" width="18.5703125" style="871" customWidth="1"/>
    <col min="11" max="11" width="5.7109375" style="801" customWidth="1"/>
    <col min="12" max="12" width="10.7109375" style="899" customWidth="1"/>
    <col min="13" max="13" width="35.7109375" style="650" customWidth="1"/>
    <col min="14" max="14" width="10.7109375" style="917" customWidth="1"/>
    <col min="15" max="15" width="35.7109375" style="646" customWidth="1"/>
    <col min="16" max="16" width="10.7109375" style="933" customWidth="1"/>
    <col min="17" max="17" width="35.7109375" style="646" customWidth="1"/>
    <col min="18" max="18" width="10.7109375" style="942" customWidth="1"/>
    <col min="19" max="19" width="35.7109375" style="650" customWidth="1"/>
    <col min="20" max="20" width="10.7109375" style="934" customWidth="1"/>
    <col min="21" max="21" width="35.7109375" style="650" customWidth="1"/>
    <col min="22" max="22" width="11.42578125" style="628"/>
  </cols>
  <sheetData>
    <row r="1" spans="1:22" ht="18.75" customHeight="1">
      <c r="A1" s="1548" t="str">
        <f>Eingabe!A1</f>
        <v>MEGANT® Bemessungstool für Haupt-Nebenträger-Anschlüsse</v>
      </c>
      <c r="B1" s="1548"/>
      <c r="C1" s="1548"/>
      <c r="D1" s="1548"/>
      <c r="E1" s="1548"/>
      <c r="F1" s="1548"/>
      <c r="G1" s="1548"/>
      <c r="H1" s="1549" t="str">
        <f>Eingabe!F1</f>
        <v>KNAPP®</v>
      </c>
      <c r="I1" s="1549"/>
      <c r="L1" s="1555" t="str">
        <f>MKW!E115</f>
        <v>Knapp</v>
      </c>
      <c r="M1" s="1556"/>
      <c r="N1" s="1553" t="str">
        <f>MKW!V115</f>
        <v>Würth</v>
      </c>
      <c r="O1" s="1554"/>
      <c r="P1" s="1554" t="str">
        <f>MKW!V115</f>
        <v>Würth</v>
      </c>
      <c r="Q1" s="1554"/>
      <c r="R1" s="1554" t="str">
        <f>MKW!V115</f>
        <v>Würth</v>
      </c>
      <c r="S1" s="1554"/>
      <c r="T1" s="1554" t="str">
        <f>MKW!V115</f>
        <v>Würth</v>
      </c>
      <c r="U1" s="1559"/>
      <c r="V1" s="924"/>
    </row>
    <row r="2" spans="1:22" ht="15.75" customHeight="1">
      <c r="A2" s="1550" t="str">
        <f>Eingabe!A2</f>
        <v>Bemessung nach ETA 15/0667 Ausgabe vom 22.04.2025</v>
      </c>
      <c r="B2" s="1550"/>
      <c r="C2" s="1550"/>
      <c r="D2" s="1550"/>
      <c r="E2" s="1550"/>
      <c r="F2" s="1550"/>
      <c r="G2" s="1550"/>
      <c r="H2" s="1551" t="str">
        <f>Eingabe!F2</f>
        <v>Version 7.0</v>
      </c>
      <c r="I2" s="1551"/>
      <c r="L2" s="900" t="s">
        <v>471</v>
      </c>
      <c r="M2" s="901" t="str">
        <f>MKW!E117</f>
        <v>Knapp Vollgewindeschraube</v>
      </c>
      <c r="N2" s="902" t="s">
        <v>471</v>
      </c>
      <c r="O2" s="931" t="str">
        <f>MKW!V117</f>
        <v>Würth Assy Plus VG</v>
      </c>
      <c r="P2" s="903" t="s">
        <v>472</v>
      </c>
      <c r="Q2" s="931" t="str">
        <f>MKW!V117</f>
        <v>Würth Assy Plus VG</v>
      </c>
      <c r="R2" s="904" t="s">
        <v>289</v>
      </c>
      <c r="S2" s="901" t="str">
        <f>MKW!V117</f>
        <v>Würth Assy Plus VG</v>
      </c>
      <c r="T2" s="905" t="s">
        <v>473</v>
      </c>
      <c r="U2" s="901" t="str">
        <f>MKW!V117</f>
        <v>Würth Assy Plus VG</v>
      </c>
    </row>
    <row r="3" spans="1:22" ht="16.5" customHeight="1" thickBot="1">
      <c r="A3" s="1561" t="str">
        <f>Eingabe!A3</f>
        <v>Unverbindliche Musterbemessung</v>
      </c>
      <c r="B3" s="1561"/>
      <c r="C3" s="1561"/>
      <c r="D3" s="1561"/>
      <c r="E3" s="1561"/>
      <c r="F3" s="1561"/>
      <c r="G3" s="971" t="str">
        <f>Eingabe!E3</f>
        <v>DE</v>
      </c>
      <c r="H3" s="1552">
        <f>Eingabe!F3</f>
        <v>45833</v>
      </c>
      <c r="I3" s="1552"/>
      <c r="K3" s="802"/>
      <c r="L3" s="906">
        <v>50</v>
      </c>
      <c r="M3" s="907" t="s">
        <v>497</v>
      </c>
      <c r="N3" s="908">
        <v>51</v>
      </c>
      <c r="O3" s="932" t="s">
        <v>497</v>
      </c>
      <c r="P3" s="909">
        <v>52</v>
      </c>
      <c r="Q3" s="932" t="s">
        <v>497</v>
      </c>
      <c r="R3" s="910">
        <v>53</v>
      </c>
      <c r="S3" s="907" t="s">
        <v>497</v>
      </c>
      <c r="T3" s="911">
        <v>54</v>
      </c>
      <c r="U3" s="907" t="s">
        <v>497</v>
      </c>
    </row>
    <row r="4" spans="1:22" ht="16.5" customHeight="1">
      <c r="A4" s="1484"/>
      <c r="B4" s="1484"/>
      <c r="C4" s="1484"/>
      <c r="D4" s="1484"/>
      <c r="E4" s="1484"/>
      <c r="F4" s="1484"/>
      <c r="G4" s="1484"/>
      <c r="H4" s="1484"/>
      <c r="I4" s="1484"/>
    </row>
    <row r="5" spans="1:22" ht="16.5" customHeight="1">
      <c r="A5" s="1484"/>
      <c r="B5" s="1484"/>
      <c r="C5" s="1484"/>
      <c r="D5" s="1484"/>
      <c r="E5" s="1484"/>
      <c r="F5" s="1484"/>
      <c r="G5" s="1484"/>
      <c r="H5" s="1484"/>
      <c r="I5" s="1484"/>
    </row>
    <row r="6" spans="1:22" ht="16.5" customHeight="1">
      <c r="A6" s="972" t="str">
        <f>Eingabe!A6</f>
        <v>Firma</v>
      </c>
      <c r="B6" s="1593" t="str">
        <f>IF(Eingabe!B6="","",Eingabe!B6)</f>
        <v/>
      </c>
      <c r="C6" s="1594"/>
      <c r="D6" s="1594"/>
      <c r="E6" s="1594"/>
      <c r="F6" s="1594"/>
      <c r="G6" s="1594"/>
      <c r="H6" s="1595"/>
      <c r="I6" s="973"/>
    </row>
    <row r="7" spans="1:22" ht="16.5" customHeight="1">
      <c r="A7" s="972" t="str">
        <f>Eingabe!A7</f>
        <v>Bauvorhaben</v>
      </c>
      <c r="B7" s="1593" t="str">
        <f>IF(Eingabe!B7="","",Eingabe!B7)</f>
        <v/>
      </c>
      <c r="C7" s="1594"/>
      <c r="D7" s="1594"/>
      <c r="E7" s="1594"/>
      <c r="F7" s="1594"/>
      <c r="G7" s="1594"/>
      <c r="H7" s="1595"/>
      <c r="I7" s="973"/>
    </row>
    <row r="8" spans="1:22" ht="16.5" customHeight="1">
      <c r="A8" s="972" t="str">
        <f>Eingabe!A8</f>
        <v>Datum</v>
      </c>
      <c r="B8" s="1596" t="str">
        <f>IF(Eingabe!B8="","",Eingabe!B8)</f>
        <v/>
      </c>
      <c r="C8" s="1597"/>
      <c r="D8" s="1597"/>
      <c r="E8" s="1597"/>
      <c r="F8" s="1597"/>
      <c r="G8" s="1597"/>
      <c r="H8" s="1598"/>
      <c r="I8" s="973"/>
    </row>
    <row r="9" spans="1:22" ht="16.5" customHeight="1">
      <c r="A9" s="972" t="str">
        <f>Eingabe!A9</f>
        <v>Bearbeiter</v>
      </c>
      <c r="B9" s="1593" t="str">
        <f>IF(Eingabe!B9="","",Eingabe!B9)</f>
        <v/>
      </c>
      <c r="C9" s="1594"/>
      <c r="D9" s="1594"/>
      <c r="E9" s="1594"/>
      <c r="F9" s="1594"/>
      <c r="G9" s="1594"/>
      <c r="H9" s="1595"/>
      <c r="I9" s="973"/>
    </row>
    <row r="10" spans="1:22" ht="16.5" customHeight="1">
      <c r="A10" s="972" t="str">
        <f>Eingabe!A10</f>
        <v>Vertrieb</v>
      </c>
      <c r="B10" s="1593" t="str">
        <f>IF(Eingabe!B10="","",Eingabe!B10)</f>
        <v/>
      </c>
      <c r="C10" s="1594"/>
      <c r="D10" s="1594"/>
      <c r="E10" s="1594"/>
      <c r="F10" s="1594"/>
      <c r="G10" s="1594"/>
      <c r="H10" s="1595"/>
      <c r="I10" s="973"/>
    </row>
    <row r="11" spans="1:22" ht="16.5" customHeight="1">
      <c r="A11" s="974"/>
      <c r="B11" s="974"/>
      <c r="C11" s="974"/>
      <c r="D11" s="974"/>
      <c r="E11" s="974"/>
      <c r="F11" s="975"/>
      <c r="G11" s="974"/>
      <c r="H11" s="974"/>
      <c r="I11" s="973"/>
    </row>
    <row r="12" spans="1:22" ht="16.5" customHeight="1">
      <c r="A12" s="974"/>
      <c r="B12" s="976"/>
      <c r="C12" s="976"/>
      <c r="D12" s="976"/>
      <c r="E12" s="974"/>
      <c r="F12" s="974"/>
      <c r="G12" s="974"/>
      <c r="H12" s="974"/>
      <c r="I12" s="974"/>
    </row>
    <row r="13" spans="1:22" s="740" customFormat="1" ht="16.5" customHeight="1">
      <c r="A13" s="585" t="str">
        <f>Eingabe!A13</f>
        <v>Querschnitte</v>
      </c>
      <c r="B13" s="797"/>
      <c r="C13" s="797"/>
      <c r="D13" s="797"/>
      <c r="E13" s="798"/>
      <c r="F13" s="799"/>
      <c r="G13" s="797"/>
      <c r="H13" s="797"/>
      <c r="I13" s="797"/>
      <c r="J13" s="872"/>
      <c r="K13" s="801"/>
      <c r="L13" s="899"/>
      <c r="M13" s="650"/>
      <c r="N13" s="917"/>
      <c r="O13" s="646"/>
      <c r="P13" s="933"/>
      <c r="Q13" s="646"/>
      <c r="R13" s="942"/>
      <c r="S13" s="650"/>
      <c r="T13" s="934"/>
      <c r="U13" s="650"/>
      <c r="V13" s="925"/>
    </row>
    <row r="14" spans="1:22" ht="16.5" customHeight="1">
      <c r="A14" s="759" t="str">
        <f>Eingabe!A15</f>
        <v>Hauptträger (Index H - header)</v>
      </c>
      <c r="B14" s="760"/>
      <c r="C14" s="760"/>
      <c r="D14" s="760"/>
      <c r="E14" s="761"/>
      <c r="F14" s="761"/>
      <c r="G14" s="760"/>
      <c r="H14" s="762"/>
      <c r="I14" s="763"/>
    </row>
    <row r="15" spans="1:22" ht="16.5" customHeight="1">
      <c r="B15" s="765" t="str">
        <f>Eingabe!A16</f>
        <v>Materialkategorie</v>
      </c>
      <c r="F15" s="765" t="str">
        <f>Eingabe!C16</f>
        <v>Brettschichtholz</v>
      </c>
      <c r="G15" s="765"/>
      <c r="I15" s="753"/>
    </row>
    <row r="16" spans="1:22" ht="16.5" customHeight="1">
      <c r="B16" s="765" t="str">
        <f>Eingabe!A17</f>
        <v>Festigkeitsklasse</v>
      </c>
      <c r="F16" s="766" t="str">
        <f>Eingabe!C17</f>
        <v>GL24h</v>
      </c>
      <c r="G16" s="765"/>
    </row>
    <row r="17" spans="1:9" ht="16.5" customHeight="1">
      <c r="B17" s="765" t="str">
        <f>Eingabe!A18</f>
        <v>Breite</v>
      </c>
      <c r="E17" s="631" t="s">
        <v>860</v>
      </c>
      <c r="F17" s="766">
        <f>Eingabe!C18</f>
        <v>0</v>
      </c>
      <c r="G17" s="765" t="s">
        <v>2</v>
      </c>
    </row>
    <row r="18" spans="1:9" ht="16.5" customHeight="1">
      <c r="B18" s="765" t="str">
        <f>Eingabe!A19</f>
        <v>Höhe</v>
      </c>
      <c r="E18" s="631" t="s">
        <v>861</v>
      </c>
      <c r="F18" s="766">
        <f>Eingabe!C19</f>
        <v>0</v>
      </c>
      <c r="G18" s="765" t="s">
        <v>2</v>
      </c>
      <c r="H18" s="758"/>
    </row>
    <row r="19" spans="1:9" ht="16.5" customHeight="1">
      <c r="B19" s="765" t="str">
        <f>Eingabe!A20</f>
        <v>Torsionssteifer Hauptträger / Stütze</v>
      </c>
      <c r="F19" s="766" t="str">
        <f>Eingabe!C20</f>
        <v>Ja</v>
      </c>
      <c r="G19" s="765"/>
      <c r="H19" s="758"/>
    </row>
    <row r="20" spans="1:9" ht="16.5" customHeight="1">
      <c r="H20" s="758"/>
    </row>
    <row r="21" spans="1:9" ht="16.5" customHeight="1">
      <c r="A21" s="759" t="str">
        <f>Eingabe!A22</f>
        <v>Nebenträger (Index J - Joist)</v>
      </c>
      <c r="B21" s="762"/>
      <c r="C21" s="762"/>
      <c r="D21" s="762"/>
      <c r="E21" s="762"/>
      <c r="F21" s="762"/>
      <c r="G21" s="762"/>
      <c r="H21" s="762"/>
      <c r="I21" s="762"/>
    </row>
    <row r="22" spans="1:9" ht="16.5" customHeight="1">
      <c r="B22" s="765" t="str">
        <f>Eingabe!A23</f>
        <v>Materialkategorie</v>
      </c>
      <c r="F22" s="765" t="str">
        <f>Eingabe!C16</f>
        <v>Brettschichtholz</v>
      </c>
      <c r="G22" s="765"/>
      <c r="H22" s="758"/>
    </row>
    <row r="23" spans="1:9" ht="16.5" customHeight="1">
      <c r="B23" s="765" t="str">
        <f>Eingabe!A24</f>
        <v>Festigkeitsklasse</v>
      </c>
      <c r="F23" s="766" t="str">
        <f>Eingabe!C24</f>
        <v>GL24h</v>
      </c>
      <c r="G23" s="765"/>
      <c r="H23" s="758"/>
    </row>
    <row r="24" spans="1:9" ht="16.5" customHeight="1">
      <c r="B24" s="765" t="str">
        <f>Eingabe!A25</f>
        <v>Breite</v>
      </c>
      <c r="E24" s="631" t="s">
        <v>862</v>
      </c>
      <c r="F24" s="766">
        <f>Eingabe!C25</f>
        <v>0</v>
      </c>
      <c r="G24" s="765" t="s">
        <v>2</v>
      </c>
      <c r="H24" s="758"/>
    </row>
    <row r="25" spans="1:9" ht="16.5" customHeight="1">
      <c r="B25" s="765" t="str">
        <f>Eingabe!A26</f>
        <v>Höhe</v>
      </c>
      <c r="E25" s="631" t="s">
        <v>863</v>
      </c>
      <c r="F25" s="766">
        <f>Eingabe!C26</f>
        <v>0</v>
      </c>
      <c r="G25" s="765" t="s">
        <v>2</v>
      </c>
      <c r="H25" s="758"/>
    </row>
    <row r="26" spans="1:9" ht="16.5" customHeight="1">
      <c r="B26" s="765"/>
      <c r="E26" s="631"/>
      <c r="F26" s="766"/>
      <c r="G26" s="765"/>
      <c r="H26" s="758"/>
    </row>
    <row r="27" spans="1:9" ht="16.5" customHeight="1">
      <c r="B27" s="765" t="str">
        <f>Eingabe!A28</f>
        <v>Ausführung</v>
      </c>
      <c r="F27" s="766" t="str">
        <f>Eingabe!C28</f>
        <v>Nebenträger an Hauptträger</v>
      </c>
      <c r="G27" s="765"/>
      <c r="H27" s="758"/>
    </row>
    <row r="28" spans="1:9" ht="16.5" customHeight="1">
      <c r="B28" s="765" t="str">
        <f>Eingabe!A29</f>
        <v>Anschlusswinkel vertikal</v>
      </c>
      <c r="E28" s="743" t="s">
        <v>864</v>
      </c>
      <c r="F28" s="766">
        <f>Eingabe!C29</f>
        <v>0</v>
      </c>
      <c r="G28" s="765" t="s">
        <v>270</v>
      </c>
      <c r="H28" s="758"/>
    </row>
    <row r="29" spans="1:9" ht="16.5" customHeight="1">
      <c r="B29" s="765" t="str">
        <f>Eingabe!A33</f>
        <v>Teilsicherheitsbeiwerte</v>
      </c>
      <c r="E29" s="862" t="s">
        <v>1064</v>
      </c>
      <c r="F29" s="880">
        <f>Eingabe!C33</f>
        <v>1.3</v>
      </c>
      <c r="G29" s="766" t="str">
        <f>Eingabe!D33</f>
        <v>Holz</v>
      </c>
      <c r="H29" s="758"/>
    </row>
    <row r="30" spans="1:9" ht="16.5" customHeight="1">
      <c r="B30" s="765"/>
      <c r="E30" s="862" t="s">
        <v>1065</v>
      </c>
      <c r="F30" s="880">
        <f>Eingabe!C34</f>
        <v>1.1000000000000001</v>
      </c>
      <c r="G30" s="766" t="str">
        <f>Eingabe!D34</f>
        <v>Stahl</v>
      </c>
      <c r="H30" s="758"/>
    </row>
    <row r="31" spans="1:9" ht="16.5" customHeight="1">
      <c r="B31" s="765"/>
      <c r="E31" s="862" t="s">
        <v>1066</v>
      </c>
      <c r="F31" s="880">
        <f>Eingabe!C35</f>
        <v>1.25</v>
      </c>
      <c r="G31" s="766" t="str">
        <f>Eingabe!D35</f>
        <v>Stahl</v>
      </c>
      <c r="H31" s="758"/>
    </row>
    <row r="32" spans="1:9" ht="16.5" customHeight="1">
      <c r="A32" s="591" t="str">
        <f>Eingabe!A37</f>
        <v>Ausführung</v>
      </c>
      <c r="B32" s="498"/>
      <c r="C32" s="717"/>
      <c r="D32" s="591" t="str">
        <f>Eingabe!D37</f>
        <v>Anschlusswinkel vertikal</v>
      </c>
      <c r="E32" s="498"/>
      <c r="F32" s="508"/>
      <c r="G32" s="498"/>
      <c r="H32" s="758"/>
    </row>
    <row r="33" spans="1:22" ht="16.5" customHeight="1">
      <c r="A33" s="1536" t="e" vm="7">
        <f>Eingabe!A38</f>
        <v>#VALUE!</v>
      </c>
      <c r="B33" s="1536"/>
      <c r="C33" s="717"/>
      <c r="D33" s="1536" t="e" vm="8">
        <f>Eingabe!D38</f>
        <v>#VALUE!</v>
      </c>
      <c r="E33" s="1536"/>
      <c r="F33" s="1536"/>
      <c r="G33" s="1536"/>
      <c r="H33" s="758"/>
    </row>
    <row r="34" spans="1:22" ht="16.5" customHeight="1">
      <c r="A34" s="1536"/>
      <c r="B34" s="1536"/>
      <c r="C34" s="717"/>
      <c r="D34" s="1536"/>
      <c r="E34" s="1536"/>
      <c r="F34" s="1536"/>
      <c r="G34" s="1536"/>
      <c r="H34" s="758"/>
    </row>
    <row r="35" spans="1:22" ht="16.5" customHeight="1">
      <c r="A35" s="1536"/>
      <c r="B35" s="1536"/>
      <c r="C35" s="717"/>
      <c r="D35" s="1536"/>
      <c r="E35" s="1536"/>
      <c r="F35" s="1536"/>
      <c r="G35" s="1536"/>
      <c r="H35" s="758"/>
    </row>
    <row r="36" spans="1:22" ht="16.5" customHeight="1">
      <c r="A36" s="1536"/>
      <c r="B36" s="1536"/>
      <c r="C36" s="717"/>
      <c r="D36" s="1536"/>
      <c r="E36" s="1536"/>
      <c r="F36" s="1536"/>
      <c r="G36" s="1536"/>
      <c r="H36" s="758"/>
    </row>
    <row r="37" spans="1:22" ht="16.5" customHeight="1">
      <c r="A37" s="1536"/>
      <c r="B37" s="1536"/>
      <c r="C37" s="717"/>
      <c r="D37" s="1536"/>
      <c r="E37" s="1536"/>
      <c r="F37" s="1536"/>
      <c r="G37" s="1536"/>
      <c r="H37" s="758"/>
    </row>
    <row r="38" spans="1:22" ht="16.5" customHeight="1">
      <c r="A38" s="1536"/>
      <c r="B38" s="1536"/>
      <c r="C38" s="717"/>
      <c r="D38" s="1536"/>
      <c r="E38" s="1536"/>
      <c r="F38" s="1536"/>
      <c r="G38" s="1536"/>
      <c r="H38" s="758"/>
    </row>
    <row r="39" spans="1:22" ht="16.5" customHeight="1">
      <c r="A39" s="1536"/>
      <c r="B39" s="1536"/>
      <c r="C39" s="717"/>
      <c r="D39" s="1536"/>
      <c r="E39" s="1536"/>
      <c r="F39" s="1536"/>
      <c r="G39" s="1536"/>
      <c r="H39" s="758"/>
    </row>
    <row r="40" spans="1:22" ht="16.5" customHeight="1">
      <c r="A40" s="1536"/>
      <c r="B40" s="1536"/>
      <c r="C40" s="717"/>
      <c r="D40" s="1536"/>
      <c r="E40" s="1536"/>
      <c r="F40" s="1536"/>
      <c r="G40" s="1536"/>
      <c r="H40" s="758"/>
    </row>
    <row r="41" spans="1:22" ht="16.5" customHeight="1">
      <c r="A41" s="1536"/>
      <c r="B41" s="1536"/>
      <c r="C41" s="717"/>
      <c r="D41" s="1536"/>
      <c r="E41" s="1536"/>
      <c r="F41" s="1536"/>
      <c r="G41" s="1536"/>
      <c r="H41" s="758"/>
    </row>
    <row r="42" spans="1:22" ht="16.5" customHeight="1">
      <c r="A42" s="1536"/>
      <c r="B42" s="1536"/>
      <c r="C42" s="717"/>
      <c r="D42" s="1536"/>
      <c r="E42" s="1536"/>
      <c r="F42" s="1536"/>
      <c r="G42" s="1536"/>
      <c r="H42" s="758"/>
    </row>
    <row r="43" spans="1:22" ht="16.5" customHeight="1">
      <c r="A43" s="1536"/>
      <c r="B43" s="1536"/>
      <c r="C43" s="717"/>
      <c r="D43" s="1536"/>
      <c r="E43" s="1536"/>
      <c r="F43" s="1536"/>
      <c r="G43" s="1536"/>
      <c r="H43" s="758"/>
    </row>
    <row r="44" spans="1:22" ht="16.5" customHeight="1">
      <c r="A44" s="1536"/>
      <c r="B44" s="1536"/>
      <c r="C44" s="569"/>
      <c r="D44" s="1536"/>
      <c r="E44" s="1536"/>
      <c r="F44" s="1536"/>
      <c r="G44" s="1536"/>
      <c r="H44" s="758"/>
    </row>
    <row r="45" spans="1:22" s="740" customFormat="1" ht="16.5" customHeight="1">
      <c r="A45" s="585" t="str">
        <f>Eingabe!A51</f>
        <v>Auswahl MEGANT-Verbinder und Schrauben</v>
      </c>
      <c r="B45" s="797"/>
      <c r="C45" s="797"/>
      <c r="D45" s="797"/>
      <c r="E45" s="798"/>
      <c r="F45" s="799"/>
      <c r="G45" s="797"/>
      <c r="H45" s="797"/>
      <c r="I45" s="797"/>
      <c r="J45" s="872"/>
      <c r="K45" s="801"/>
      <c r="L45" s="899"/>
      <c r="M45" s="650"/>
      <c r="N45" s="917"/>
      <c r="O45" s="646"/>
      <c r="P45" s="933"/>
      <c r="Q45" s="646"/>
      <c r="R45" s="942"/>
      <c r="S45" s="650"/>
      <c r="T45" s="934"/>
      <c r="U45" s="650"/>
      <c r="V45" s="925"/>
    </row>
    <row r="46" spans="1:22" ht="16.5" customHeight="1">
      <c r="A46" s="765"/>
      <c r="B46" s="765"/>
      <c r="C46" s="765"/>
      <c r="F46" s="765"/>
      <c r="H46" s="758"/>
    </row>
    <row r="47" spans="1:22" ht="16.5" customHeight="1">
      <c r="A47" s="767" t="str">
        <f>Eingabe!A53</f>
        <v>MEGANT-Verbinder</v>
      </c>
      <c r="B47" s="768"/>
      <c r="C47" s="767" t="str">
        <f>Eingabe!C53</f>
        <v>310 x 60 x 40</v>
      </c>
      <c r="D47" s="767"/>
      <c r="E47" s="767" t="str">
        <f>Eingabe!D53</f>
        <v>ALU AW 6082</v>
      </c>
      <c r="F47" s="769"/>
      <c r="G47" s="768"/>
      <c r="H47" s="768"/>
      <c r="I47" s="770"/>
    </row>
    <row r="48" spans="1:22" ht="16.5" customHeight="1">
      <c r="A48" s="769" t="str">
        <f>Eingabe!A54</f>
        <v>Anschluss der unteren Spannbacke im</v>
      </c>
      <c r="B48" s="768"/>
      <c r="C48" s="767" t="str">
        <f>Eingabe!D54</f>
        <v>untere Spannbacke im Hauptträger/Stütze</v>
      </c>
      <c r="D48" s="767"/>
      <c r="E48" s="767"/>
      <c r="F48" s="767"/>
      <c r="G48" s="768"/>
      <c r="H48" s="768"/>
      <c r="I48" s="770"/>
    </row>
    <row r="49" spans="1:22" ht="16.5" customHeight="1">
      <c r="A49" s="769"/>
      <c r="B49" s="768"/>
      <c r="C49" s="767"/>
      <c r="D49" s="767"/>
      <c r="E49" s="767"/>
      <c r="F49" s="767"/>
      <c r="G49" s="768"/>
      <c r="H49" s="768"/>
      <c r="I49" s="770"/>
    </row>
    <row r="50" spans="1:22" ht="16.5" customHeight="1">
      <c r="A50" s="763" t="str">
        <f>Eingabe!A56</f>
        <v>Schraubenanordnung</v>
      </c>
      <c r="B50" s="1547" t="str">
        <f>Eingabe!B56</f>
        <v>Anzahl</v>
      </c>
      <c r="C50" s="1547"/>
      <c r="D50" s="1547"/>
      <c r="E50" s="1547" t="str">
        <f>Eingabe!D56</f>
        <v>Schraubentyp und -abmessungen</v>
      </c>
      <c r="F50" s="1547"/>
      <c r="G50" s="1547"/>
      <c r="H50" s="1547"/>
      <c r="I50" s="1547"/>
    </row>
    <row r="51" spans="1:22" ht="16.5" customHeight="1">
      <c r="A51" s="753" t="str">
        <f>Eingabe!A57</f>
        <v>45° Schrauben Hauptträger</v>
      </c>
      <c r="B51" s="645" t="s">
        <v>865</v>
      </c>
      <c r="C51" s="751">
        <f>Eingabe!C57</f>
        <v>7</v>
      </c>
      <c r="E51" s="646" t="str">
        <f>Eingabe!D57</f>
        <v>SK 8x160</v>
      </c>
      <c r="F51" s="753"/>
      <c r="G51" s="753" t="str">
        <f>Eingabe!F57</f>
        <v>ETA-15/0667</v>
      </c>
    </row>
    <row r="52" spans="1:22" ht="16.5" customHeight="1">
      <c r="A52" s="753" t="str">
        <f>Eingabe!A58</f>
        <v>90° Schrauben Hauptträger</v>
      </c>
      <c r="B52" s="645" t="s">
        <v>866</v>
      </c>
      <c r="C52" s="751">
        <f>Eingabe!C58</f>
        <v>5</v>
      </c>
      <c r="E52" s="646" t="str">
        <f>Eingabe!D58</f>
        <v>SK 8x160</v>
      </c>
      <c r="F52" s="753"/>
      <c r="G52" s="753" t="str">
        <f>Eingabe!F58</f>
        <v>ETA-15/0667</v>
      </c>
      <c r="H52" s="753"/>
      <c r="I52" s="753"/>
    </row>
    <row r="53" spans="1:22" ht="16.5" customHeight="1">
      <c r="A53" s="753" t="str">
        <f>Eingabe!A59</f>
        <v>45° Schrauben Nebenträger</v>
      </c>
      <c r="B53" s="645" t="s">
        <v>867</v>
      </c>
      <c r="C53" s="751">
        <f>Eingabe!C59</f>
        <v>7</v>
      </c>
      <c r="E53" s="646" t="str">
        <f>Eingabe!D59</f>
        <v>SK 8x160</v>
      </c>
      <c r="G53" s="753" t="str">
        <f>Eingabe!F59</f>
        <v>ETA-15/0667</v>
      </c>
      <c r="I53" s="753"/>
    </row>
    <row r="54" spans="1:22" ht="16.5" customHeight="1">
      <c r="A54" s="763" t="str">
        <f>Eingabe!A60</f>
        <v>0° Schrauben Nebenträger</v>
      </c>
      <c r="B54" s="771" t="s">
        <v>868</v>
      </c>
      <c r="C54" s="772">
        <f>Eingabe!C60</f>
        <v>5</v>
      </c>
      <c r="D54" s="762"/>
      <c r="E54" s="773" t="str">
        <f>Eingabe!D60</f>
        <v>SK 8x240</v>
      </c>
      <c r="F54" s="763"/>
      <c r="G54" s="763" t="str">
        <f>Eingabe!F60</f>
        <v>ETA-15/0667</v>
      </c>
      <c r="H54" s="763"/>
      <c r="I54" s="763"/>
    </row>
    <row r="55" spans="1:22" ht="16.5" customHeight="1">
      <c r="A55" s="763" t="str">
        <f>Eingabe!A61</f>
        <v>Gewindestangen</v>
      </c>
      <c r="B55" s="771" t="s">
        <v>912</v>
      </c>
      <c r="C55" s="772">
        <f>Eingabe!C61</f>
        <v>1</v>
      </c>
      <c r="D55" s="774"/>
      <c r="E55" s="773" t="str">
        <f>Eingabe!D61</f>
        <v>M20 x 340, 8.8</v>
      </c>
      <c r="F55" s="773"/>
      <c r="G55" s="762"/>
      <c r="H55" s="762"/>
      <c r="I55" s="763"/>
    </row>
    <row r="56" spans="1:22" ht="16.5" customHeight="1">
      <c r="A56" s="753"/>
      <c r="B56" s="645"/>
      <c r="C56" s="753"/>
      <c r="D56" s="753"/>
      <c r="E56" s="753"/>
      <c r="I56" s="753"/>
    </row>
    <row r="57" spans="1:22" s="740" customFormat="1" ht="16.5" customHeight="1">
      <c r="A57" s="585" t="s">
        <v>462</v>
      </c>
      <c r="B57" s="797"/>
      <c r="C57" s="797"/>
      <c r="D57" s="797"/>
      <c r="E57" s="798"/>
      <c r="F57" s="799"/>
      <c r="G57" s="797"/>
      <c r="H57" s="797"/>
      <c r="I57" s="797"/>
      <c r="J57" s="872"/>
      <c r="K57" s="801"/>
      <c r="L57" s="899"/>
      <c r="M57" s="650"/>
      <c r="N57" s="917"/>
      <c r="O57" s="646"/>
      <c r="P57" s="933"/>
      <c r="Q57" s="646"/>
      <c r="R57" s="942"/>
      <c r="S57" s="650"/>
      <c r="T57" s="934"/>
      <c r="U57" s="650"/>
      <c r="V57" s="925"/>
    </row>
    <row r="58" spans="1:22" ht="16.5" customHeight="1">
      <c r="A58" s="753"/>
      <c r="B58" s="645"/>
      <c r="C58" s="753"/>
      <c r="D58" s="753"/>
      <c r="E58" s="753"/>
      <c r="I58" s="753"/>
    </row>
    <row r="59" spans="1:22" ht="16.5" customHeight="1">
      <c r="A59" s="1520" t="str">
        <f>Eingabe!A67</f>
        <v>Die Berechnung erfolgt für Nebenträger mit gleichen MEGANT-Verbindern an beiden Endauflagern (siehe Abbildung statisches System).</v>
      </c>
      <c r="B59" s="1520"/>
      <c r="C59" s="1520"/>
      <c r="D59" s="1520"/>
      <c r="E59" s="1520"/>
      <c r="F59" s="1520"/>
      <c r="G59" s="1520"/>
      <c r="H59" s="1520"/>
      <c r="I59" s="1520"/>
    </row>
    <row r="60" spans="1:22" ht="16.5" customHeight="1">
      <c r="A60" s="1520"/>
      <c r="B60" s="1520"/>
      <c r="C60" s="1520"/>
      <c r="D60" s="1520"/>
      <c r="E60" s="1520"/>
      <c r="F60" s="1520"/>
      <c r="G60" s="1520"/>
      <c r="H60" s="1520"/>
      <c r="I60" s="1520"/>
    </row>
    <row r="61" spans="1:22" ht="16.5" customHeight="1">
      <c r="A61" s="753" t="str">
        <f>Eingabe!A69</f>
        <v>Die Nachweise werden für das maßgebende Auflager geführt.</v>
      </c>
      <c r="B61" s="753"/>
      <c r="C61" s="753"/>
      <c r="D61" s="753"/>
      <c r="E61" s="753"/>
      <c r="I61" s="753"/>
    </row>
    <row r="62" spans="1:22" ht="16.5" customHeight="1">
      <c r="A62" s="753" t="str">
        <f>Eingabe!A70</f>
        <v/>
      </c>
      <c r="B62" s="642"/>
      <c r="C62" s="642"/>
      <c r="D62" s="642"/>
      <c r="E62" s="642"/>
      <c r="F62" s="642"/>
      <c r="G62" s="642"/>
      <c r="H62" s="642"/>
      <c r="I62" s="642"/>
    </row>
    <row r="63" spans="1:22" ht="16.5" customHeight="1">
      <c r="A63" s="642"/>
      <c r="B63" s="642"/>
      <c r="C63" s="642"/>
      <c r="D63" s="642"/>
      <c r="E63" s="642"/>
      <c r="F63" s="642"/>
      <c r="G63" s="642"/>
      <c r="H63" s="642"/>
      <c r="I63" s="642"/>
    </row>
    <row r="64" spans="1:22" ht="16.5" customHeight="1">
      <c r="A64" s="585" t="str">
        <f>Eingabe!A72</f>
        <v>Nutzungsklasse und Einwirkungskategorien</v>
      </c>
      <c r="B64" s="586"/>
      <c r="C64" s="587"/>
      <c r="D64" s="588"/>
      <c r="E64" s="586"/>
      <c r="F64" s="586"/>
      <c r="G64" s="586"/>
      <c r="H64" s="797"/>
      <c r="I64" s="797"/>
    </row>
    <row r="65" spans="1:22" ht="16.5" customHeight="1">
      <c r="A65" s="716"/>
      <c r="B65" s="716"/>
      <c r="C65" s="716"/>
      <c r="D65" s="716"/>
      <c r="E65" s="716"/>
      <c r="F65" s="716"/>
      <c r="G65" s="716"/>
      <c r="H65" s="642"/>
      <c r="I65" s="642"/>
    </row>
    <row r="66" spans="1:22" ht="16.5" customHeight="1">
      <c r="A66" s="569" t="str">
        <f>Eingabe!A74</f>
        <v xml:space="preserve">Nach DIN EN 1995-1-1:2010-12 mit NA Deutschland </v>
      </c>
      <c r="B66" s="498"/>
      <c r="C66" s="498"/>
      <c r="D66" s="515"/>
      <c r="E66" s="498"/>
      <c r="F66" s="498"/>
      <c r="G66" s="616"/>
      <c r="H66" s="642"/>
      <c r="I66" s="642"/>
    </row>
    <row r="67" spans="1:22" ht="16.5" customHeight="1">
      <c r="A67" s="429"/>
      <c r="B67" s="498"/>
      <c r="C67" s="498"/>
      <c r="D67" s="498"/>
      <c r="E67" s="498"/>
      <c r="F67" s="498"/>
      <c r="G67" s="498"/>
      <c r="H67" s="642"/>
      <c r="I67" s="642"/>
    </row>
    <row r="68" spans="1:22" ht="16.5" customHeight="1">
      <c r="A68" s="569" t="str">
        <f>Eingabe!A76</f>
        <v>Nutzungsklasse</v>
      </c>
      <c r="B68" s="527">
        <f>Eingabe!B76</f>
        <v>1</v>
      </c>
      <c r="C68" s="498"/>
      <c r="D68" s="506" t="s">
        <v>874</v>
      </c>
      <c r="E68" s="699">
        <f>Eingabe!D76</f>
        <v>0.6</v>
      </c>
      <c r="F68" s="609"/>
      <c r="G68" s="609"/>
      <c r="H68" s="642"/>
      <c r="I68" s="642"/>
    </row>
    <row r="69" spans="1:22" ht="16.5" customHeight="1">
      <c r="A69" s="569"/>
      <c r="B69" s="609"/>
      <c r="C69" s="609"/>
      <c r="D69" s="617"/>
      <c r="E69" s="609"/>
      <c r="F69" s="609"/>
      <c r="G69" s="609"/>
      <c r="H69" s="642"/>
      <c r="I69" s="642"/>
    </row>
    <row r="70" spans="1:22" ht="16.5" customHeight="1">
      <c r="A70" s="841" t="str">
        <f>Eingabe!A78</f>
        <v>Einwirkungskategorien</v>
      </c>
      <c r="B70" s="1460" t="str">
        <f>Eingabe!B78</f>
        <v>KLED</v>
      </c>
      <c r="C70" s="1460"/>
      <c r="D70" s="1460" t="s">
        <v>422</v>
      </c>
      <c r="E70" s="1460"/>
      <c r="F70" s="842" t="s">
        <v>724</v>
      </c>
      <c r="G70" s="746" t="s">
        <v>993</v>
      </c>
      <c r="H70" s="746" t="s">
        <v>465</v>
      </c>
      <c r="I70" s="746" t="s">
        <v>466</v>
      </c>
    </row>
    <row r="71" spans="1:22" ht="16.5" customHeight="1">
      <c r="A71" s="500" t="str">
        <f>Eingabe!A79</f>
        <v>Eigenlasten</v>
      </c>
      <c r="B71" s="1558" t="str">
        <f>Eingabe!B79</f>
        <v>ständig</v>
      </c>
      <c r="C71" s="1558"/>
      <c r="D71" s="1478">
        <f>Eingabe!C79</f>
        <v>0.6</v>
      </c>
      <c r="E71" s="1478"/>
      <c r="F71" s="710">
        <f>Eingabe!D79</f>
        <v>1.35</v>
      </c>
      <c r="G71" s="619" t="str">
        <f>Eingabe!E79</f>
        <v>-</v>
      </c>
      <c r="H71" s="619" t="str">
        <f>Eingabe!F79</f>
        <v>-</v>
      </c>
      <c r="I71" s="619" t="str">
        <f>Eingabe!G79</f>
        <v>-</v>
      </c>
    </row>
    <row r="72" spans="1:22" ht="16.5" customHeight="1">
      <c r="A72" s="500" t="str">
        <f>Eingabe!A80</f>
        <v>Nutzlast Kat. A: Wohnraum</v>
      </c>
      <c r="B72" s="1558" t="str">
        <f>Eingabe!B80</f>
        <v>mittel</v>
      </c>
      <c r="C72" s="1558"/>
      <c r="D72" s="1478">
        <f>Eingabe!C80</f>
        <v>0.8</v>
      </c>
      <c r="E72" s="1478"/>
      <c r="F72" s="710">
        <f>Eingabe!D80</f>
        <v>1.5</v>
      </c>
      <c r="G72" s="710">
        <f>Eingabe!E80</f>
        <v>0.7</v>
      </c>
      <c r="H72" s="710">
        <f>Eingabe!F80</f>
        <v>0.5</v>
      </c>
      <c r="I72" s="710">
        <f>Eingabe!G80</f>
        <v>0.3</v>
      </c>
    </row>
    <row r="73" spans="1:22" ht="16.5" customHeight="1">
      <c r="A73" s="500" t="str">
        <f>Eingabe!A81</f>
        <v>Schneelast bis 1.000 m</v>
      </c>
      <c r="B73" s="1558" t="str">
        <f>Eingabe!B81</f>
        <v>kurz</v>
      </c>
      <c r="C73" s="1558"/>
      <c r="D73" s="1478">
        <f>Eingabe!C81</f>
        <v>0.9</v>
      </c>
      <c r="E73" s="1478"/>
      <c r="F73" s="710">
        <f>Eingabe!D81</f>
        <v>1.5</v>
      </c>
      <c r="G73" s="710">
        <f>Eingabe!E81</f>
        <v>0.5</v>
      </c>
      <c r="H73" s="710">
        <f>Eingabe!F81</f>
        <v>0.2</v>
      </c>
      <c r="I73" s="710">
        <f>Eingabe!G81</f>
        <v>0</v>
      </c>
    </row>
    <row r="74" spans="1:22" ht="16.5" customHeight="1">
      <c r="A74" s="841" t="str">
        <f>Eingabe!A82</f>
        <v>Windlast</v>
      </c>
      <c r="B74" s="1460" t="str">
        <f>Eingabe!B82</f>
        <v>kurz/sehr kurz</v>
      </c>
      <c r="C74" s="1460"/>
      <c r="D74" s="1479">
        <f>Eingabe!C82</f>
        <v>1</v>
      </c>
      <c r="E74" s="1479"/>
      <c r="F74" s="836">
        <f>Eingabe!D82</f>
        <v>1.5</v>
      </c>
      <c r="G74" s="836">
        <f>Eingabe!E82</f>
        <v>0.6</v>
      </c>
      <c r="H74" s="836">
        <f>Eingabe!F82</f>
        <v>0.2</v>
      </c>
      <c r="I74" s="836">
        <f>Eingabe!G82</f>
        <v>0</v>
      </c>
    </row>
    <row r="75" spans="1:22" ht="16.5" customHeight="1">
      <c r="A75" s="677"/>
      <c r="B75" s="677"/>
      <c r="C75" s="642"/>
      <c r="D75" s="677"/>
      <c r="E75" s="677"/>
      <c r="F75" s="677"/>
      <c r="G75" s="677"/>
      <c r="H75" s="677"/>
      <c r="I75" s="677"/>
    </row>
    <row r="76" spans="1:22" s="740" customFormat="1" ht="16.5" customHeight="1">
      <c r="A76" s="585" t="str">
        <f>Eingabe!A84</f>
        <v>Statisches System und Einwirkung auf Nebenträger</v>
      </c>
      <c r="B76" s="797"/>
      <c r="C76" s="797"/>
      <c r="D76" s="797"/>
      <c r="E76" s="798"/>
      <c r="F76" s="799"/>
      <c r="G76" s="797"/>
      <c r="H76" s="797"/>
      <c r="I76" s="797"/>
      <c r="J76" s="872"/>
      <c r="K76" s="801"/>
      <c r="L76" s="899"/>
      <c r="M76" s="650"/>
      <c r="N76" s="917"/>
      <c r="O76" s="646"/>
      <c r="P76" s="933"/>
      <c r="Q76" s="646"/>
      <c r="R76" s="942"/>
      <c r="S76" s="650"/>
      <c r="T76" s="934"/>
      <c r="U76" s="650"/>
      <c r="V76" s="925"/>
    </row>
    <row r="78" spans="1:22" ht="16.5" customHeight="1">
      <c r="A78" s="753" t="str">
        <f>Eingabe!A86</f>
        <v>Anordnung MEGANT-Verbinder</v>
      </c>
      <c r="B78" s="753"/>
      <c r="C78" s="751" t="str">
        <f>Eingabe!C86</f>
        <v>beidseitig</v>
      </c>
      <c r="D78" s="753"/>
      <c r="E78" s="764" t="s">
        <v>1012</v>
      </c>
      <c r="F78" s="766">
        <f>HLOOKUP($F$23,MKW!$E$3:$BS$22,11,0)</f>
        <v>11500</v>
      </c>
      <c r="G78" s="765" t="s">
        <v>3</v>
      </c>
    </row>
    <row r="79" spans="1:22" ht="16.5" customHeight="1">
      <c r="A79" s="753" t="str">
        <f>Eingabe!A87</f>
        <v>Länge Nebenträger</v>
      </c>
      <c r="B79" s="645" t="s">
        <v>1011</v>
      </c>
      <c r="C79" s="779">
        <f>Eingabe!C87</f>
        <v>0</v>
      </c>
      <c r="D79" s="753" t="s">
        <v>275</v>
      </c>
      <c r="E79" s="764" t="s">
        <v>1013</v>
      </c>
      <c r="F79" s="851">
        <f>$F$24*$F$25^3/12</f>
        <v>0</v>
      </c>
      <c r="G79" s="765" t="s">
        <v>566</v>
      </c>
    </row>
    <row r="80" spans="1:22" ht="16.5" customHeight="1">
      <c r="A80" s="1557" t="e" vm="18">
        <f>Eingabe!A88</f>
        <v>#VALUE!</v>
      </c>
      <c r="B80" s="1557"/>
      <c r="C80" s="1557"/>
      <c r="D80" s="1557"/>
      <c r="E80" s="1557"/>
      <c r="F80" s="1557"/>
      <c r="G80" s="1557"/>
      <c r="H80" s="1557"/>
      <c r="I80" s="1557"/>
    </row>
    <row r="81" spans="1:9" ht="16.5" customHeight="1">
      <c r="A81" s="1557"/>
      <c r="B81" s="1557"/>
      <c r="C81" s="1557"/>
      <c r="D81" s="1557"/>
      <c r="E81" s="1557"/>
      <c r="F81" s="1557"/>
      <c r="G81" s="1557"/>
      <c r="H81" s="1557"/>
      <c r="I81" s="1557"/>
    </row>
    <row r="82" spans="1:9" ht="16.5" customHeight="1">
      <c r="A82" s="1557"/>
      <c r="B82" s="1557"/>
      <c r="C82" s="1557"/>
      <c r="D82" s="1557"/>
      <c r="E82" s="1557"/>
      <c r="F82" s="1557"/>
      <c r="G82" s="1557"/>
      <c r="H82" s="1557"/>
      <c r="I82" s="1557"/>
    </row>
    <row r="83" spans="1:9" ht="16.5" customHeight="1">
      <c r="A83" s="1557"/>
      <c r="B83" s="1557"/>
      <c r="C83" s="1557"/>
      <c r="D83" s="1557"/>
      <c r="E83" s="1557"/>
      <c r="F83" s="1557"/>
      <c r="G83" s="1557"/>
      <c r="H83" s="1557"/>
      <c r="I83" s="1557"/>
    </row>
    <row r="84" spans="1:9" ht="16.5" customHeight="1">
      <c r="A84" s="1557"/>
      <c r="B84" s="1557"/>
      <c r="C84" s="1557"/>
      <c r="D84" s="1557"/>
      <c r="E84" s="1557"/>
      <c r="F84" s="1557"/>
      <c r="G84" s="1557"/>
      <c r="H84" s="1557"/>
      <c r="I84" s="1557"/>
    </row>
    <row r="85" spans="1:9" ht="16.5" customHeight="1">
      <c r="A85" s="1557"/>
      <c r="B85" s="1557"/>
      <c r="C85" s="1557"/>
      <c r="D85" s="1557"/>
      <c r="E85" s="1557"/>
      <c r="F85" s="1557"/>
      <c r="G85" s="1557"/>
      <c r="H85" s="1557"/>
      <c r="I85" s="1557"/>
    </row>
    <row r="86" spans="1:9" ht="16.5" customHeight="1">
      <c r="A86" s="752"/>
      <c r="B86" s="752"/>
      <c r="D86" s="752"/>
      <c r="E86" s="752"/>
      <c r="F86" s="752"/>
      <c r="G86" s="752"/>
      <c r="H86" s="752"/>
      <c r="I86" s="752"/>
    </row>
    <row r="87" spans="1:9" ht="16.5" customHeight="1">
      <c r="A87" s="609"/>
      <c r="B87" s="1534" t="str">
        <f>Eingabe!B95</f>
        <v>Lasten 
1-Richtung</v>
      </c>
      <c r="C87" s="1534"/>
      <c r="D87" s="1534" t="str">
        <f>Eingabe!C95</f>
        <v>Streckenlasten
23-Richtung</v>
      </c>
      <c r="E87" s="1534"/>
      <c r="F87" s="1534" t="str">
        <f>Eingabe!D95</f>
        <v>Einzellasten
23-Richtung</v>
      </c>
      <c r="G87" s="1534" t="str">
        <f>Eingabe!E95</f>
        <v>Lasten 
45-Richtung</v>
      </c>
      <c r="H87" s="1534"/>
      <c r="I87" s="1538" t="str">
        <f>Eingabe!G95</f>
        <v>Torsion</v>
      </c>
    </row>
    <row r="88" spans="1:9" ht="16.5" customHeight="1">
      <c r="A88" s="609"/>
      <c r="B88" s="1534"/>
      <c r="C88" s="1534"/>
      <c r="D88" s="1534"/>
      <c r="E88" s="1534"/>
      <c r="F88" s="1534"/>
      <c r="G88" s="1534"/>
      <c r="H88" s="1534"/>
      <c r="I88" s="1538"/>
    </row>
    <row r="89" spans="1:9" ht="16.5" customHeight="1">
      <c r="A89" s="609"/>
      <c r="B89" s="1535" t="s">
        <v>995</v>
      </c>
      <c r="C89" s="1535"/>
      <c r="D89" s="1535" t="s">
        <v>631</v>
      </c>
      <c r="E89" s="1535"/>
      <c r="F89" s="853" t="s">
        <v>632</v>
      </c>
      <c r="G89" s="1535" t="s">
        <v>997</v>
      </c>
      <c r="H89" s="1535"/>
      <c r="I89" s="854" t="s">
        <v>996</v>
      </c>
    </row>
    <row r="90" spans="1:9" ht="16.5" customHeight="1">
      <c r="A90" s="598"/>
      <c r="B90" s="1537" t="s">
        <v>469</v>
      </c>
      <c r="C90" s="1537"/>
      <c r="D90" s="1537" t="s">
        <v>468</v>
      </c>
      <c r="E90" s="1537"/>
      <c r="F90" s="855" t="s">
        <v>469</v>
      </c>
      <c r="G90" s="1537" t="s">
        <v>469</v>
      </c>
      <c r="H90" s="1537"/>
      <c r="I90" s="856" t="s">
        <v>496</v>
      </c>
    </row>
    <row r="91" spans="1:9" ht="16.5" customHeight="1">
      <c r="A91" s="609" t="str">
        <f>$A$71</f>
        <v>Eigenlasten</v>
      </c>
      <c r="B91" s="1545">
        <f>Eingabe!B99</f>
        <v>0</v>
      </c>
      <c r="C91" s="1546"/>
      <c r="D91" s="1545">
        <f>Eingabe!C99</f>
        <v>0</v>
      </c>
      <c r="E91" s="1546"/>
      <c r="F91" s="857">
        <f>Eingabe!D99</f>
        <v>0</v>
      </c>
      <c r="G91" s="1545">
        <f>Eingabe!E99</f>
        <v>0</v>
      </c>
      <c r="H91" s="1546" t="str">
        <f>Eingabe!H99</f>
        <v/>
      </c>
      <c r="I91" s="858">
        <f>Eingabe!G99</f>
        <v>0</v>
      </c>
    </row>
    <row r="92" spans="1:9" ht="16.5" customHeight="1">
      <c r="A92" s="609" t="str">
        <f>$A$72</f>
        <v>Nutzlast Kat. A: Wohnraum</v>
      </c>
      <c r="B92" s="1541">
        <f>Eingabe!B100</f>
        <v>0</v>
      </c>
      <c r="C92" s="1542"/>
      <c r="D92" s="1541">
        <f>Eingabe!C100</f>
        <v>0</v>
      </c>
      <c r="E92" s="1542"/>
      <c r="F92" s="857">
        <f>Eingabe!D100</f>
        <v>0</v>
      </c>
      <c r="G92" s="1541">
        <f>Eingabe!E100</f>
        <v>0</v>
      </c>
      <c r="H92" s="1542">
        <f>Eingabe!H100</f>
        <v>0</v>
      </c>
      <c r="I92" s="858">
        <f>Eingabe!G100</f>
        <v>0</v>
      </c>
    </row>
    <row r="93" spans="1:9" ht="16.5" customHeight="1">
      <c r="A93" s="609" t="str">
        <f>$A$73</f>
        <v>Schneelast bis 1.000 m</v>
      </c>
      <c r="B93" s="1541">
        <f>Eingabe!B101</f>
        <v>0</v>
      </c>
      <c r="C93" s="1542"/>
      <c r="D93" s="1541">
        <f>Eingabe!C101</f>
        <v>0</v>
      </c>
      <c r="E93" s="1542"/>
      <c r="F93" s="857">
        <f>Eingabe!D101</f>
        <v>0</v>
      </c>
      <c r="G93" s="1541">
        <f>Eingabe!E101</f>
        <v>0</v>
      </c>
      <c r="H93" s="1542">
        <f>Eingabe!H101</f>
        <v>0</v>
      </c>
      <c r="I93" s="858">
        <f>Eingabe!G101</f>
        <v>0</v>
      </c>
    </row>
    <row r="94" spans="1:9" ht="16.5" customHeight="1">
      <c r="A94" s="609" t="str">
        <f>$A$74</f>
        <v>Windlast</v>
      </c>
      <c r="B94" s="1541">
        <f>Eingabe!B102</f>
        <v>0</v>
      </c>
      <c r="C94" s="1542"/>
      <c r="D94" s="1541">
        <f>Eingabe!C102</f>
        <v>0</v>
      </c>
      <c r="E94" s="1542"/>
      <c r="F94" s="857">
        <f>Eingabe!D102</f>
        <v>0</v>
      </c>
      <c r="G94" s="1541">
        <f>Eingabe!E102</f>
        <v>0</v>
      </c>
      <c r="H94" s="1542">
        <f>Eingabe!H102</f>
        <v>0</v>
      </c>
      <c r="I94" s="858">
        <f>Eingabe!G102</f>
        <v>0</v>
      </c>
    </row>
    <row r="95" spans="1:9" ht="16.5" customHeight="1">
      <c r="A95" s="609"/>
      <c r="B95" s="609"/>
      <c r="C95" s="609"/>
      <c r="D95" s="609"/>
      <c r="E95" s="552"/>
      <c r="F95" s="710"/>
      <c r="G95" s="710"/>
      <c r="H95" s="752"/>
      <c r="I95" s="752"/>
    </row>
    <row r="96" spans="1:9" ht="16.5" customHeight="1">
      <c r="A96" s="609" t="str">
        <f>Sprachtexte!A94</f>
        <v>Abstand Einzellasten 23-Richtung</v>
      </c>
      <c r="B96" s="498"/>
      <c r="C96" s="506" t="s">
        <v>854</v>
      </c>
      <c r="D96" s="1544">
        <f>Eingabe!D104</f>
        <v>1</v>
      </c>
      <c r="E96" s="1544"/>
      <c r="F96" s="609" t="s">
        <v>275</v>
      </c>
      <c r="G96" s="710"/>
      <c r="H96" s="752"/>
      <c r="I96" s="752"/>
    </row>
    <row r="97" spans="1:22" ht="16.5" customHeight="1">
      <c r="A97" s="609"/>
      <c r="B97" s="498"/>
      <c r="C97" s="506"/>
      <c r="D97" s="859"/>
      <c r="E97" s="859"/>
      <c r="F97" s="609"/>
      <c r="G97" s="710"/>
      <c r="H97" s="752"/>
      <c r="I97" s="752"/>
    </row>
    <row r="98" spans="1:22" ht="16.5" customHeight="1">
      <c r="A98" s="1493" t="e" vm="20">
        <f>Eingabe!A106</f>
        <v>#VALUE!</v>
      </c>
      <c r="B98" s="1493"/>
      <c r="C98" s="1493"/>
      <c r="D98" s="1493"/>
      <c r="E98" s="1493"/>
      <c r="F98" s="1493"/>
      <c r="G98" s="1493"/>
      <c r="H98" s="1493"/>
      <c r="I98" s="1493"/>
    </row>
    <row r="99" spans="1:22" ht="16.5" customHeight="1">
      <c r="A99" s="1493"/>
      <c r="B99" s="1493"/>
      <c r="C99" s="1493"/>
      <c r="D99" s="1493"/>
      <c r="E99" s="1493"/>
      <c r="F99" s="1493"/>
      <c r="G99" s="1493"/>
      <c r="H99" s="1493"/>
      <c r="I99" s="1493"/>
    </row>
    <row r="100" spans="1:22" ht="16.5" customHeight="1">
      <c r="A100" s="1493"/>
      <c r="B100" s="1493"/>
      <c r="C100" s="1493"/>
      <c r="D100" s="1493"/>
      <c r="E100" s="1493"/>
      <c r="F100" s="1493"/>
      <c r="G100" s="1493"/>
      <c r="H100" s="1493"/>
      <c r="I100" s="1493"/>
    </row>
    <row r="101" spans="1:22" ht="16.5" customHeight="1">
      <c r="A101" s="1493"/>
      <c r="B101" s="1493"/>
      <c r="C101" s="1493"/>
      <c r="D101" s="1493"/>
      <c r="E101" s="1493"/>
      <c r="F101" s="1493"/>
      <c r="G101" s="1493"/>
      <c r="H101" s="1493"/>
      <c r="I101" s="1493"/>
    </row>
    <row r="102" spans="1:22" ht="16.5" customHeight="1">
      <c r="A102" s="1493"/>
      <c r="B102" s="1493"/>
      <c r="C102" s="1493"/>
      <c r="D102" s="1493"/>
      <c r="E102" s="1493"/>
      <c r="F102" s="1493"/>
      <c r="G102" s="1493"/>
      <c r="H102" s="1493"/>
      <c r="I102" s="1493"/>
    </row>
    <row r="103" spans="1:22" ht="16.5" customHeight="1">
      <c r="A103" s="1493"/>
      <c r="B103" s="1493"/>
      <c r="C103" s="1493"/>
      <c r="D103" s="1493"/>
      <c r="E103" s="1493"/>
      <c r="F103" s="1493"/>
      <c r="G103" s="1493"/>
      <c r="H103" s="1493"/>
      <c r="I103" s="1493"/>
    </row>
    <row r="104" spans="1:22" ht="16.5" customHeight="1">
      <c r="A104" s="1493"/>
      <c r="B104" s="1493"/>
      <c r="C104" s="1493"/>
      <c r="D104" s="1493"/>
      <c r="E104" s="1493"/>
      <c r="F104" s="1493"/>
      <c r="G104" s="1493"/>
      <c r="H104" s="1493"/>
      <c r="I104" s="1493"/>
    </row>
    <row r="105" spans="1:22" ht="16.5" customHeight="1">
      <c r="A105" s="1493"/>
      <c r="B105" s="1493"/>
      <c r="C105" s="1493"/>
      <c r="D105" s="1493"/>
      <c r="E105" s="1493"/>
      <c r="F105" s="1493"/>
      <c r="G105" s="1493"/>
      <c r="H105" s="1493"/>
      <c r="I105" s="1493"/>
    </row>
    <row r="106" spans="1:22" ht="16.5" customHeight="1">
      <c r="A106" s="1493"/>
      <c r="B106" s="1493"/>
      <c r="C106" s="1493"/>
      <c r="D106" s="1493"/>
      <c r="E106" s="1493"/>
      <c r="F106" s="1493"/>
      <c r="G106" s="1493"/>
      <c r="H106" s="1493"/>
      <c r="I106" s="1493"/>
    </row>
    <row r="107" spans="1:22" ht="16.5" customHeight="1">
      <c r="A107" s="1493"/>
      <c r="B107" s="1493"/>
      <c r="C107" s="1493"/>
      <c r="D107" s="1493"/>
      <c r="E107" s="1493"/>
      <c r="F107" s="1493"/>
      <c r="G107" s="1493"/>
      <c r="H107" s="1493"/>
      <c r="I107" s="1493"/>
    </row>
    <row r="108" spans="1:22" ht="16.5" customHeight="1">
      <c r="A108" s="1493"/>
      <c r="B108" s="1493"/>
      <c r="C108" s="1493"/>
      <c r="D108" s="1493"/>
      <c r="E108" s="1493"/>
      <c r="F108" s="1493"/>
      <c r="G108" s="1493"/>
      <c r="H108" s="1493"/>
      <c r="I108" s="1493"/>
    </row>
    <row r="109" spans="1:22" ht="16.5" customHeight="1">
      <c r="A109" s="1493"/>
      <c r="B109" s="1493"/>
      <c r="C109" s="1493"/>
      <c r="D109" s="1493"/>
      <c r="E109" s="1493"/>
      <c r="F109" s="1493"/>
      <c r="G109" s="1493"/>
      <c r="H109" s="1493"/>
      <c r="I109" s="1493"/>
    </row>
    <row r="110" spans="1:22" s="740" customFormat="1" ht="16.5" customHeight="1">
      <c r="A110" s="585" t="str">
        <f>Sprachtexte!A97</f>
        <v>Lastfallkombinationen</v>
      </c>
      <c r="B110" s="797"/>
      <c r="C110" s="797"/>
      <c r="D110" s="797"/>
      <c r="E110" s="798"/>
      <c r="F110" s="799"/>
      <c r="G110" s="797"/>
      <c r="H110" s="797"/>
      <c r="I110" s="797"/>
      <c r="J110" s="872"/>
      <c r="K110" s="801"/>
      <c r="L110" s="899"/>
      <c r="M110" s="650"/>
      <c r="N110" s="917"/>
      <c r="O110" s="646"/>
      <c r="P110" s="933"/>
      <c r="Q110" s="646"/>
      <c r="R110" s="942"/>
      <c r="S110" s="650"/>
      <c r="T110" s="934"/>
      <c r="U110" s="650"/>
      <c r="V110" s="925"/>
    </row>
    <row r="111" spans="1:22" ht="16.5" customHeight="1">
      <c r="A111" s="610"/>
      <c r="B111" s="610"/>
      <c r="C111" s="610"/>
      <c r="D111" s="610"/>
      <c r="E111" s="610"/>
      <c r="F111" s="610"/>
      <c r="G111" s="610"/>
      <c r="H111" s="610"/>
      <c r="I111" s="610"/>
    </row>
    <row r="112" spans="1:22" ht="16.5" customHeight="1">
      <c r="A112" s="1496" t="str">
        <f>Sprachtexte!A98</f>
        <v>Es werden nachfolgende Lastfallkombinationen ("LK") nach DIN EN 1990:2010-12 mit NA Deutschland jeweils für den Fall "Biegezug oben" sowie für den Fall "Biegezug unten" berücksichtigt. In den nachfolgenden Nachweisen wird lediglich die maßgebende Lastfallkombination ausgegeben sowie die Nummer der Lastfallkombination ausgegeben.</v>
      </c>
      <c r="B112" s="1496"/>
      <c r="C112" s="1496"/>
      <c r="D112" s="1496"/>
      <c r="E112" s="1496"/>
      <c r="F112" s="1496"/>
      <c r="G112" s="1496"/>
      <c r="H112" s="1496"/>
      <c r="I112" s="1496"/>
    </row>
    <row r="113" spans="1:9" ht="16.5" customHeight="1">
      <c r="A113" s="1496"/>
      <c r="B113" s="1496"/>
      <c r="C113" s="1496"/>
      <c r="D113" s="1496"/>
      <c r="E113" s="1496"/>
      <c r="F113" s="1496"/>
      <c r="G113" s="1496"/>
      <c r="H113" s="1496"/>
      <c r="I113" s="1496"/>
    </row>
    <row r="114" spans="1:9" ht="16.5" customHeight="1">
      <c r="A114" s="1496"/>
      <c r="B114" s="1496"/>
      <c r="C114" s="1496"/>
      <c r="D114" s="1496"/>
      <c r="E114" s="1496"/>
      <c r="F114" s="1496"/>
      <c r="G114" s="1496"/>
      <c r="H114" s="1496"/>
      <c r="I114" s="1496"/>
    </row>
    <row r="115" spans="1:9" ht="16.5" customHeight="1">
      <c r="A115" s="716"/>
      <c r="B115" s="716"/>
      <c r="C115" s="716"/>
      <c r="D115" s="716"/>
      <c r="E115" s="716"/>
      <c r="F115" s="716"/>
      <c r="G115" s="716"/>
      <c r="H115" s="716"/>
      <c r="I115" s="716"/>
    </row>
    <row r="116" spans="1:9" ht="16.5" customHeight="1">
      <c r="C116" s="1493" t="str">
        <f>Sprachtexte!A99</f>
        <v>Nummerierung der Lastfallkombinationen</v>
      </c>
      <c r="D116" s="1493"/>
      <c r="E116" s="1493"/>
      <c r="F116" s="1493"/>
      <c r="G116" s="609"/>
    </row>
    <row r="117" spans="1:9" ht="16.5" customHeight="1">
      <c r="A117" s="507" t="str">
        <f>Sprachtexte!A100</f>
        <v>Lastfallkombinationen</v>
      </c>
      <c r="C117" s="1493" t="str">
        <f>Sprachtexte!A101</f>
        <v>Biegezug oben</v>
      </c>
      <c r="D117" s="1493"/>
      <c r="E117" s="1493" t="str">
        <f>Sprachtexte!A102</f>
        <v>Biegezug unten</v>
      </c>
      <c r="F117" s="1493"/>
      <c r="G117" s="610" t="s">
        <v>464</v>
      </c>
    </row>
    <row r="118" spans="1:9" ht="16.5" customHeight="1">
      <c r="A118" s="860" t="s">
        <v>1054</v>
      </c>
      <c r="C118" s="1543" t="str">
        <f>Eingabe!BS5</f>
        <v>LK 1</v>
      </c>
      <c r="D118" s="1543"/>
      <c r="E118" s="1543" t="str">
        <f>Eingabe!BS19</f>
        <v>LK 15</v>
      </c>
      <c r="F118" s="1543"/>
      <c r="G118" s="552">
        <f>Eingabe!CV5</f>
        <v>0.6</v>
      </c>
      <c r="H118" s="867"/>
    </row>
    <row r="119" spans="1:9" ht="16.5" customHeight="1">
      <c r="A119" s="860" t="s">
        <v>1055</v>
      </c>
      <c r="C119" s="1543" t="str">
        <f>Eingabe!BS6</f>
        <v>LK 2</v>
      </c>
      <c r="D119" s="1543"/>
      <c r="E119" s="1543" t="str">
        <f>Eingabe!BS20</f>
        <v>LK 16</v>
      </c>
      <c r="F119" s="1543"/>
      <c r="G119" s="552">
        <f>Eingabe!CV6</f>
        <v>0.8</v>
      </c>
      <c r="H119" s="867"/>
    </row>
    <row r="120" spans="1:9" ht="16.5" customHeight="1">
      <c r="A120" s="860" t="s">
        <v>1056</v>
      </c>
      <c r="C120" s="1543" t="str">
        <f>Eingabe!BS7</f>
        <v>LK 3</v>
      </c>
      <c r="D120" s="1543"/>
      <c r="E120" s="1543" t="str">
        <f>Eingabe!BS21</f>
        <v>LK 17</v>
      </c>
      <c r="F120" s="1543"/>
      <c r="G120" s="552">
        <f>Eingabe!CV7</f>
        <v>0.9</v>
      </c>
      <c r="H120" s="867"/>
    </row>
    <row r="121" spans="1:9" ht="16.5" customHeight="1">
      <c r="A121" s="860" t="s">
        <v>1057</v>
      </c>
      <c r="C121" s="1543" t="str">
        <f>Eingabe!BS8</f>
        <v>LK 4</v>
      </c>
      <c r="D121" s="1543"/>
      <c r="E121" s="1543" t="str">
        <f>Eingabe!BS22</f>
        <v>LK 18</v>
      </c>
      <c r="F121" s="1543"/>
      <c r="G121" s="552">
        <f>Eingabe!CV8</f>
        <v>1</v>
      </c>
      <c r="H121" s="867"/>
    </row>
    <row r="122" spans="1:9" ht="16.5" customHeight="1">
      <c r="A122" s="860" t="s">
        <v>1058</v>
      </c>
      <c r="C122" s="1543" t="str">
        <f>Eingabe!BS9</f>
        <v>LK 5</v>
      </c>
      <c r="D122" s="1543"/>
      <c r="E122" s="1543" t="str">
        <f>Eingabe!BS23</f>
        <v>LK 19</v>
      </c>
      <c r="F122" s="1543"/>
      <c r="G122" s="552">
        <f>Eingabe!CV9</f>
        <v>1</v>
      </c>
      <c r="H122" s="867"/>
    </row>
    <row r="123" spans="1:9" ht="16.5" customHeight="1">
      <c r="A123" s="860" t="s">
        <v>1048</v>
      </c>
      <c r="C123" s="1543" t="str">
        <f>Eingabe!BS10</f>
        <v>LK 6</v>
      </c>
      <c r="D123" s="1543"/>
      <c r="E123" s="1543" t="str">
        <f>Eingabe!BS24</f>
        <v>LK 20</v>
      </c>
      <c r="F123" s="1543"/>
      <c r="G123" s="552">
        <f>Eingabe!CV10</f>
        <v>0.9</v>
      </c>
      <c r="H123" s="867"/>
    </row>
    <row r="124" spans="1:9" ht="16.5" customHeight="1">
      <c r="A124" s="860" t="s">
        <v>1049</v>
      </c>
      <c r="C124" s="1543" t="str">
        <f>Eingabe!BS11</f>
        <v>LK 7</v>
      </c>
      <c r="D124" s="1543"/>
      <c r="E124" s="1543" t="str">
        <f>Eingabe!BS25</f>
        <v>LK 21</v>
      </c>
      <c r="F124" s="1543"/>
      <c r="G124" s="552">
        <f>Eingabe!CV11</f>
        <v>1</v>
      </c>
      <c r="H124" s="867"/>
    </row>
    <row r="125" spans="1:9" ht="16.5" customHeight="1">
      <c r="A125" s="860" t="s">
        <v>1050</v>
      </c>
      <c r="C125" s="1543" t="str">
        <f>Eingabe!BS12</f>
        <v>LK 8</v>
      </c>
      <c r="D125" s="1543"/>
      <c r="E125" s="1543" t="str">
        <f>Eingabe!BS26</f>
        <v>LK 22</v>
      </c>
      <c r="F125" s="1543"/>
      <c r="G125" s="552">
        <f>Eingabe!CV12</f>
        <v>0.9</v>
      </c>
      <c r="H125" s="867"/>
    </row>
    <row r="126" spans="1:9" ht="16.5" customHeight="1">
      <c r="A126" s="860" t="s">
        <v>1051</v>
      </c>
      <c r="C126" s="1543" t="str">
        <f>Eingabe!BS13</f>
        <v>LK 9</v>
      </c>
      <c r="D126" s="1543"/>
      <c r="E126" s="1543" t="str">
        <f>Eingabe!BS27</f>
        <v>LK 23</v>
      </c>
      <c r="F126" s="1543"/>
      <c r="G126" s="552">
        <f>Eingabe!CV13</f>
        <v>1</v>
      </c>
      <c r="H126" s="867"/>
    </row>
    <row r="127" spans="1:9" ht="16.5" customHeight="1">
      <c r="A127" s="860" t="s">
        <v>1052</v>
      </c>
      <c r="C127" s="1543" t="str">
        <f>Eingabe!BS14</f>
        <v>LK 10</v>
      </c>
      <c r="D127" s="1543"/>
      <c r="E127" s="1543" t="str">
        <f>Eingabe!BS28</f>
        <v>LK 24</v>
      </c>
      <c r="F127" s="1543"/>
      <c r="G127" s="552">
        <f>Eingabe!CV14</f>
        <v>1</v>
      </c>
      <c r="H127" s="867"/>
    </row>
    <row r="128" spans="1:9" ht="16.5" customHeight="1">
      <c r="A128" s="860" t="s">
        <v>1053</v>
      </c>
      <c r="C128" s="1543" t="str">
        <f>Eingabe!BS15</f>
        <v>LK 11</v>
      </c>
      <c r="D128" s="1543"/>
      <c r="E128" s="1543" t="str">
        <f>Eingabe!BS29</f>
        <v>LK 25</v>
      </c>
      <c r="F128" s="1543"/>
      <c r="G128" s="552">
        <f>Eingabe!CV15</f>
        <v>1</v>
      </c>
      <c r="H128" s="867"/>
    </row>
    <row r="129" spans="1:22" ht="16.5" customHeight="1">
      <c r="A129" s="860" t="s">
        <v>1045</v>
      </c>
      <c r="C129" s="1543" t="str">
        <f>Eingabe!BS16</f>
        <v>LK 12</v>
      </c>
      <c r="D129" s="1543"/>
      <c r="E129" s="1543" t="str">
        <f>Eingabe!BS30</f>
        <v>LK 26</v>
      </c>
      <c r="F129" s="1543"/>
      <c r="G129" s="552">
        <f>Eingabe!CV16</f>
        <v>1</v>
      </c>
      <c r="H129" s="867"/>
    </row>
    <row r="130" spans="1:22" ht="16.5" customHeight="1">
      <c r="A130" s="860" t="s">
        <v>1047</v>
      </c>
      <c r="C130" s="1543" t="str">
        <f>Eingabe!BS17</f>
        <v>LK 13</v>
      </c>
      <c r="D130" s="1543"/>
      <c r="E130" s="1543" t="str">
        <f>Eingabe!BS31</f>
        <v>LK 27</v>
      </c>
      <c r="F130" s="1543"/>
      <c r="G130" s="552">
        <f>Eingabe!CV17</f>
        <v>1</v>
      </c>
      <c r="H130" s="867"/>
    </row>
    <row r="131" spans="1:22" ht="16.5" customHeight="1">
      <c r="A131" s="860" t="s">
        <v>1046</v>
      </c>
      <c r="C131" s="1543" t="str">
        <f>Eingabe!BS18</f>
        <v>LK 14</v>
      </c>
      <c r="D131" s="1543"/>
      <c r="E131" s="1543" t="str">
        <f>Eingabe!BS32</f>
        <v>LK 28</v>
      </c>
      <c r="F131" s="1543"/>
      <c r="G131" s="552">
        <f>Eingabe!CV18</f>
        <v>1</v>
      </c>
      <c r="H131" s="867"/>
    </row>
    <row r="132" spans="1:22" ht="16.5" customHeight="1">
      <c r="A132" s="610"/>
      <c r="B132" s="610"/>
      <c r="C132" s="1543"/>
      <c r="D132" s="1543"/>
      <c r="E132" s="610"/>
      <c r="F132" s="610"/>
      <c r="G132" s="610"/>
      <c r="H132" s="610"/>
      <c r="I132" s="610"/>
    </row>
    <row r="133" spans="1:22" s="740" customFormat="1" ht="16.5" customHeight="1">
      <c r="A133" s="585" t="str">
        <f>Sprachtexte!A103</f>
        <v>Geometriedaten</v>
      </c>
      <c r="B133" s="797"/>
      <c r="C133" s="797"/>
      <c r="D133" s="797"/>
      <c r="E133" s="798"/>
      <c r="F133" s="799"/>
      <c r="G133" s="797"/>
      <c r="H133" s="797"/>
      <c r="I133" s="797"/>
      <c r="J133" s="872"/>
      <c r="K133" s="801"/>
      <c r="L133" s="899"/>
      <c r="M133" s="650"/>
      <c r="N133" s="917"/>
      <c r="O133" s="646"/>
      <c r="P133" s="933"/>
      <c r="Q133" s="646"/>
      <c r="R133" s="942"/>
      <c r="S133" s="650"/>
      <c r="T133" s="934"/>
      <c r="U133" s="650"/>
      <c r="V133" s="925"/>
    </row>
    <row r="135" spans="1:22" ht="16.5" customHeight="1">
      <c r="A135" s="767" t="str">
        <f>Sprachtexte!A104</f>
        <v>Schraubenlänge im Verbinder</v>
      </c>
    </row>
    <row r="136" spans="1:22" ht="16.5" customHeight="1">
      <c r="C136" s="753"/>
      <c r="E136" s="751"/>
      <c r="F136" s="751" t="str">
        <f>Sprachtexte!A109</f>
        <v>Anzahl HT + NT</v>
      </c>
      <c r="I136" s="751"/>
    </row>
    <row r="137" spans="1:22" s="429" customFormat="1" ht="16.5" customHeight="1">
      <c r="A137" s="645" t="str">
        <f>Sprachtexte!A105</f>
        <v>90°/0° in Klemmbacke</v>
      </c>
      <c r="B137" s="775" t="s">
        <v>939</v>
      </c>
      <c r="C137" s="780" cm="1">
        <f t="array" ref="C137">INDEX(Geometrie!$A$1:$BY$1000,ROW(Geometrie!A7),Berechnung_BZoben!$B$351+1)</f>
        <v>40</v>
      </c>
      <c r="D137" s="650" t="s">
        <v>2</v>
      </c>
      <c r="E137" s="697"/>
      <c r="F137" s="796">
        <f ca="1">COUNTIF(Berechnung_BZoben!$D$138:$D$211,MAX(C137,C144,C146))+COUNTIF(Berechnung_BZoben!$D$233:$D$306,MAX(C137,C144,C146))</f>
        <v>4</v>
      </c>
      <c r="G137" s="650"/>
      <c r="H137" s="776"/>
      <c r="I137" s="776"/>
      <c r="J137" s="873"/>
      <c r="K137" s="756"/>
      <c r="L137" s="899"/>
      <c r="M137" s="650"/>
      <c r="N137" s="918"/>
      <c r="O137" s="650"/>
      <c r="P137" s="934"/>
      <c r="Q137" s="650"/>
      <c r="R137" s="942"/>
      <c r="S137" s="650"/>
      <c r="T137" s="934"/>
      <c r="U137" s="650"/>
      <c r="V137" s="926"/>
    </row>
    <row r="138" spans="1:22" s="429" customFormat="1" ht="16.5" customHeight="1">
      <c r="A138" s="645" t="str">
        <f>Sprachtexte!A106</f>
        <v>90°/0° in Grundplatte</v>
      </c>
      <c r="B138" s="697" t="s">
        <v>940</v>
      </c>
      <c r="C138" s="780" cm="1">
        <f t="array" ref="C138">INDEX(Geometrie!$A$1:$BY$1000,ROW(Geometrie!A8),Berechnung_BZoben!$B$351+1)</f>
        <v>16.5</v>
      </c>
      <c r="D138" s="650" t="s">
        <v>2</v>
      </c>
      <c r="E138" s="697"/>
      <c r="F138" s="796">
        <f ca="1">COUNTIF(Berechnung_BZoben!$D$138:$D$211,MAX(C144,C138,C146))+COUNTIF(Berechnung_BZoben!$D$233:$D$306,MAX(C144,C138,C146))</f>
        <v>2</v>
      </c>
      <c r="G138" s="650"/>
      <c r="H138" s="776"/>
      <c r="I138" s="776"/>
      <c r="J138" s="873"/>
      <c r="K138" s="756"/>
      <c r="L138" s="899"/>
      <c r="M138" s="650"/>
      <c r="N138" s="918"/>
      <c r="O138" s="650"/>
      <c r="P138" s="934"/>
      <c r="Q138" s="650"/>
      <c r="R138" s="942"/>
      <c r="S138" s="650"/>
      <c r="T138" s="934"/>
      <c r="U138" s="650"/>
      <c r="V138" s="926"/>
    </row>
    <row r="139" spans="1:22" s="429" customFormat="1" ht="16.5" customHeight="1">
      <c r="A139" s="645" t="str">
        <f>Sprachtexte!A107</f>
        <v>90°/0° in Grundplatte</v>
      </c>
      <c r="B139" s="697" t="s">
        <v>941</v>
      </c>
      <c r="C139" s="780" cm="1">
        <f t="array" ref="C139">INDEX(Geometrie!$A$1:$BY$1000,ROW(Geometrie!A9),Berechnung_BZoben!$B$351+1)</f>
        <v>9</v>
      </c>
      <c r="D139" s="650" t="s">
        <v>2</v>
      </c>
      <c r="E139" s="697"/>
      <c r="F139" s="796">
        <f ca="1">COUNTIF(Berechnung_BZoben!$D$138:$D$211,MAX(C144,C146,C139))+COUNTIF(Berechnung_BZoben!$D$233:$D$306,MAX(C144,C146,C139))</f>
        <v>4</v>
      </c>
      <c r="G139" s="650"/>
      <c r="H139" s="776"/>
      <c r="I139" s="776"/>
      <c r="J139" s="873"/>
      <c r="K139" s="756"/>
      <c r="L139" s="899"/>
      <c r="M139" s="650"/>
      <c r="N139" s="918"/>
      <c r="O139" s="650"/>
      <c r="P139" s="934"/>
      <c r="Q139" s="650"/>
      <c r="R139" s="942"/>
      <c r="S139" s="650"/>
      <c r="T139" s="934"/>
      <c r="U139" s="650"/>
      <c r="V139" s="926"/>
    </row>
    <row r="140" spans="1:22" s="429" customFormat="1" ht="16.5" customHeight="1">
      <c r="A140" s="645" t="str">
        <f>Sprachtexte!A108</f>
        <v>45° in Grundplatte</v>
      </c>
      <c r="B140" s="697" t="s">
        <v>942</v>
      </c>
      <c r="C140" s="780" cm="1">
        <f t="array" ref="C140">INDEX(Geometrie!$A$1:$BY$1000,ROW(Geometrie!A10),Berechnung_BZoben!$B$351+1)</f>
        <v>17.5</v>
      </c>
      <c r="D140" s="650" t="s">
        <v>2</v>
      </c>
      <c r="E140" s="697"/>
      <c r="F140" s="796">
        <f ca="1">COUNTIF(Berechnung_BZoben!$D$138:$D$211,MAX(C143,C145,C140))+COUNTIF(Berechnung_BZoben!$D$233:$D$306,MAX(C143,C145,C140))</f>
        <v>14</v>
      </c>
      <c r="G140" s="650"/>
      <c r="H140" s="776"/>
      <c r="I140" s="776"/>
      <c r="J140" s="873"/>
      <c r="K140" s="756"/>
      <c r="L140" s="899"/>
      <c r="M140" s="650"/>
      <c r="N140" s="918"/>
      <c r="O140" s="650"/>
      <c r="P140" s="934"/>
      <c r="Q140" s="650"/>
      <c r="R140" s="942"/>
      <c r="S140" s="650"/>
      <c r="T140" s="934"/>
      <c r="U140" s="650"/>
      <c r="V140" s="926"/>
    </row>
    <row r="141" spans="1:22" ht="16.5" customHeight="1">
      <c r="C141" s="752"/>
      <c r="D141" s="646"/>
    </row>
    <row r="142" spans="1:22" ht="16.5" customHeight="1">
      <c r="A142" s="767" t="str">
        <f>Sprachtexte!A110</f>
        <v>Gewindefreie Schaftlänge</v>
      </c>
      <c r="B142" s="645"/>
      <c r="C142" s="751"/>
      <c r="D142" s="646"/>
    </row>
    <row r="143" spans="1:22" ht="16.5" customHeight="1">
      <c r="A143" s="645" t="str">
        <f>A51</f>
        <v>45° Schrauben Hauptträger</v>
      </c>
      <c r="B143" s="645" t="s">
        <v>540</v>
      </c>
      <c r="C143" s="778">
        <f>HLOOKUP(Ausgabe!$E$51,MKW!$A$116:$AZ$143,11,FALSE)</f>
        <v>14</v>
      </c>
      <c r="D143" s="646" t="s">
        <v>2</v>
      </c>
      <c r="E143" s="646" t="str">
        <f>Eingabe!D57&amp;" ("&amp;Eingabe!F57&amp;")"</f>
        <v>SK 8x160 (ETA-15/0667)</v>
      </c>
      <c r="G143" s="646"/>
      <c r="H143" s="646"/>
    </row>
    <row r="144" spans="1:22" ht="16.5" customHeight="1">
      <c r="A144" s="645" t="str">
        <f>A52</f>
        <v>90° Schrauben Hauptträger</v>
      </c>
      <c r="B144" s="645" t="s">
        <v>540</v>
      </c>
      <c r="C144" s="778">
        <f>HLOOKUP(Ausgabe!$E$52,MKW!$A$116:$AZ$143,11,FALSE)</f>
        <v>14</v>
      </c>
      <c r="D144" s="646" t="s">
        <v>2</v>
      </c>
      <c r="E144" s="646" t="str">
        <f>Eingabe!D58&amp;" ("&amp;Eingabe!F58&amp;")"</f>
        <v>SK 8x160 (ETA-15/0667)</v>
      </c>
      <c r="G144" s="646"/>
      <c r="H144" s="646"/>
    </row>
    <row r="145" spans="1:22" ht="16.5" customHeight="1">
      <c r="A145" s="645" t="str">
        <f>A53</f>
        <v>45° Schrauben Nebenträger</v>
      </c>
      <c r="B145" s="645" t="s">
        <v>540</v>
      </c>
      <c r="C145" s="778">
        <f>HLOOKUP(Ausgabe!$E$53,MKW!$A$116:$AZ$143,11,FALSE)</f>
        <v>14</v>
      </c>
      <c r="D145" s="646" t="s">
        <v>2</v>
      </c>
      <c r="E145" s="646" t="str">
        <f>Eingabe!D59&amp;" ("&amp;Eingabe!F59&amp;")"</f>
        <v>SK 8x160 (ETA-15/0667)</v>
      </c>
    </row>
    <row r="146" spans="1:22" ht="16.5" customHeight="1">
      <c r="A146" s="645" t="str">
        <f>A54</f>
        <v>0° Schrauben Nebenträger</v>
      </c>
      <c r="B146" s="645" t="s">
        <v>540</v>
      </c>
      <c r="C146" s="778">
        <f>HLOOKUP(Ausgabe!$E$54,MKW!$A$116:$AZ$143,11,FALSE)</f>
        <v>14</v>
      </c>
      <c r="D146" s="646" t="s">
        <v>2</v>
      </c>
      <c r="E146" s="646" t="str">
        <f>Eingabe!D60&amp;" ("&amp;Eingabe!F60&amp;")"</f>
        <v>SK 8x240 (ETA-15/0667)</v>
      </c>
      <c r="G146" s="646"/>
      <c r="H146" s="646"/>
    </row>
    <row r="147" spans="1:22" ht="16.5" customHeight="1">
      <c r="C147" s="752"/>
      <c r="D147" s="777"/>
      <c r="G147" s="646"/>
    </row>
    <row r="148" spans="1:22" ht="16.5" customHeight="1">
      <c r="A148" s="767" t="str">
        <f>Sprachtexte!A111</f>
        <v>Effektive Schraubenlängen</v>
      </c>
      <c r="B148" s="646"/>
      <c r="C148" s="752"/>
      <c r="D148" s="777"/>
    </row>
    <row r="149" spans="1:22" ht="16.5" customHeight="1">
      <c r="C149" s="751" t="str">
        <f>IF(Eingabe!C28=Eingabe!BL27,Sprachtexte!A112,IF(Eingabe!C28=Eingabe!BL28,Sprachtexte!A113,NA()))</f>
        <v>Hauptträger</v>
      </c>
      <c r="D149" s="777"/>
      <c r="E149" s="646" t="str">
        <f>Sprachtexte!A114</f>
        <v>Nebenträger</v>
      </c>
    </row>
    <row r="150" spans="1:22" ht="16.5" customHeight="1">
      <c r="A150" s="645" t="str">
        <f>Sprachtexte!A105</f>
        <v>90°/0° in Klemmbacke</v>
      </c>
      <c r="B150" s="645" t="s">
        <v>543</v>
      </c>
      <c r="C150" s="778">
        <f>HLOOKUP(Ausgabe!$E$52,MKW!$A$116:$AZ$143,5,FALSE)-MAX(C137,$C$144)</f>
        <v>120</v>
      </c>
      <c r="D150" s="646" t="s">
        <v>2</v>
      </c>
      <c r="E150" s="778">
        <f>HLOOKUP(Ausgabe!$E$54,MKW!$A$116:$AZ$143,5,FALSE)-MAX(C137,$C$146)</f>
        <v>200</v>
      </c>
      <c r="F150" s="646" t="s">
        <v>2</v>
      </c>
      <c r="G150" s="646" t="s">
        <v>633</v>
      </c>
    </row>
    <row r="151" spans="1:22" ht="16.5" customHeight="1">
      <c r="A151" s="645" t="str">
        <f>Sprachtexte!A106</f>
        <v>90°/0° in Grundplatte</v>
      </c>
      <c r="B151" s="645" t="s">
        <v>544</v>
      </c>
      <c r="C151" s="778">
        <f>HLOOKUP(Ausgabe!$E$52,MKW!$A$116:$AZ$143,5,FALSE)-MAX(C138,$C$144)</f>
        <v>143.5</v>
      </c>
      <c r="D151" s="646" t="s">
        <v>2</v>
      </c>
      <c r="E151" s="778">
        <f>HLOOKUP(Ausgabe!$E$54,MKW!$A$116:$AZ$143,5,FALSE)-MAX(C138,$C$146)</f>
        <v>223.5</v>
      </c>
      <c r="F151" s="646" t="s">
        <v>2</v>
      </c>
      <c r="G151" s="646" t="s">
        <v>633</v>
      </c>
    </row>
    <row r="152" spans="1:22" ht="16.5" customHeight="1">
      <c r="A152" s="645" t="str">
        <f>Sprachtexte!A107</f>
        <v>90°/0° in Grundplatte</v>
      </c>
      <c r="B152" s="645" t="s">
        <v>545</v>
      </c>
      <c r="C152" s="778">
        <f>HLOOKUP(Ausgabe!$E$52,MKW!$A$116:$AZ$143,5,FALSE)-MAX(C139,$C$144)</f>
        <v>146</v>
      </c>
      <c r="D152" s="646" t="s">
        <v>2</v>
      </c>
      <c r="E152" s="778">
        <f>HLOOKUP(Ausgabe!$E$54,MKW!$A$116:$AZ$143,5,FALSE)-MAX(C139,$C$146)</f>
        <v>226</v>
      </c>
      <c r="F152" s="646" t="s">
        <v>2</v>
      </c>
      <c r="G152" s="646" t="s">
        <v>633</v>
      </c>
    </row>
    <row r="153" spans="1:22" ht="16.5" customHeight="1">
      <c r="A153" s="645" t="str">
        <f>Sprachtexte!A108</f>
        <v>45° in Grundplatte</v>
      </c>
      <c r="B153" s="645" t="s">
        <v>546</v>
      </c>
      <c r="C153" s="778">
        <f>HLOOKUP(Ausgabe!$E$51,MKW!$A$116:$AZ$143,5,FALSE)-MAX(C140,$C$144)</f>
        <v>142.5</v>
      </c>
      <c r="D153" s="646" t="s">
        <v>2</v>
      </c>
      <c r="E153" s="778">
        <f>HLOOKUP(Ausgabe!$E$51,MKW!$A$116:$AZ$143,5,FALSE)-MAX(C140,$C$146)</f>
        <v>142.5</v>
      </c>
      <c r="F153" s="646" t="s">
        <v>2</v>
      </c>
      <c r="G153" s="646" t="s">
        <v>633</v>
      </c>
    </row>
    <row r="154" spans="1:22" ht="16.5" customHeight="1">
      <c r="A154" s="645"/>
      <c r="B154" s="645"/>
      <c r="C154" s="778"/>
      <c r="D154" s="646"/>
      <c r="E154" s="778"/>
      <c r="F154" s="646"/>
      <c r="G154" s="646"/>
    </row>
    <row r="155" spans="1:22" s="740" customFormat="1" ht="16.5" customHeight="1">
      <c r="A155" s="747" t="s">
        <v>883</v>
      </c>
      <c r="B155" s="585" t="str">
        <f>Sprachtexte!A115</f>
        <v>Kraft in Richtung des Nebenträgers</v>
      </c>
      <c r="C155" s="797"/>
      <c r="D155" s="797"/>
      <c r="E155" s="798"/>
      <c r="F155" s="799"/>
      <c r="G155" s="797"/>
      <c r="H155" s="797"/>
      <c r="I155" s="797"/>
      <c r="J155" s="872"/>
      <c r="K155" s="801"/>
      <c r="L155" s="899"/>
      <c r="M155" s="650"/>
      <c r="N155" s="917"/>
      <c r="O155" s="646"/>
      <c r="P155" s="933"/>
      <c r="Q155" s="646"/>
      <c r="R155" s="942"/>
      <c r="S155" s="650"/>
      <c r="T155" s="934"/>
      <c r="U155" s="650"/>
      <c r="V155" s="925"/>
    </row>
    <row r="156" spans="1:22" ht="16.5" customHeight="1">
      <c r="A156" s="646" t="s">
        <v>477</v>
      </c>
      <c r="B156" s="768"/>
      <c r="C156" s="768"/>
      <c r="D156" s="768"/>
      <c r="E156" s="768"/>
      <c r="F156" s="768"/>
      <c r="G156" s="768"/>
      <c r="H156" s="768"/>
      <c r="I156" s="768"/>
    </row>
    <row r="157" spans="1:22" ht="16.5" customHeight="1">
      <c r="A157" s="646"/>
      <c r="B157" s="768"/>
      <c r="C157" s="768"/>
      <c r="D157" s="768"/>
      <c r="E157" s="768"/>
      <c r="F157" s="768"/>
      <c r="G157" s="768"/>
      <c r="H157" s="768"/>
      <c r="I157" s="768"/>
    </row>
    <row r="158" spans="1:22" ht="16.5" customHeight="1">
      <c r="A158" s="767" t="str">
        <f>Sprachtexte!$A$116</f>
        <v xml:space="preserve">Schrauben NT: α = 0° </v>
      </c>
      <c r="B158" s="781">
        <f>$C$54</f>
        <v>5</v>
      </c>
      <c r="C158" s="767" t="str">
        <f>$E$54</f>
        <v>SK 8x240</v>
      </c>
      <c r="D158" s="767"/>
      <c r="E158" s="767"/>
      <c r="F158" s="767" t="str">
        <f>HLOOKUP(Ausgabe!$E$54,MKW!$A$116:$AZ$143,2,FALSE)</f>
        <v>Knapp Vollgewindeschraube</v>
      </c>
      <c r="G158" s="767"/>
    </row>
    <row r="159" spans="1:22" ht="16.5" customHeight="1">
      <c r="A159" s="767" t="str">
        <f>Sprachtexte!$A$117</f>
        <v xml:space="preserve">Schrauben HT: α = 90° </v>
      </c>
      <c r="B159" s="781">
        <f>$C$52</f>
        <v>5</v>
      </c>
      <c r="C159" s="767" t="str">
        <f>$E$52</f>
        <v>SK 8x160</v>
      </c>
      <c r="D159" s="767"/>
      <c r="E159" s="767"/>
      <c r="F159" s="767" t="str">
        <f>HLOOKUP(Ausgabe!$E$52,MKW!$A$116:$AZ$143,2,FALSE)</f>
        <v>Knapp Vollgewindeschraube</v>
      </c>
      <c r="G159" s="767"/>
    </row>
    <row r="160" spans="1:22" ht="16.5" customHeight="1">
      <c r="A160" s="767"/>
      <c r="B160" s="781"/>
      <c r="C160" s="767"/>
      <c r="D160" s="767"/>
      <c r="E160" s="767"/>
      <c r="F160" s="767"/>
      <c r="G160" s="767"/>
    </row>
    <row r="161" spans="1:22" ht="16.5" customHeight="1">
      <c r="A161" s="767" t="str">
        <f>Sprachtexte!A118</f>
        <v>(i) Tragfähigkeit der Zugschrauben</v>
      </c>
      <c r="B161" s="645"/>
      <c r="C161" s="753"/>
      <c r="D161" s="645"/>
      <c r="E161" s="782"/>
      <c r="F161" s="645"/>
      <c r="G161" s="645"/>
      <c r="H161" s="645"/>
      <c r="I161" s="645"/>
      <c r="M161" s="803"/>
      <c r="O161" s="803"/>
      <c r="Q161" s="803"/>
      <c r="S161" s="803"/>
    </row>
    <row r="162" spans="1:22" ht="16.5" customHeight="1">
      <c r="A162" s="645" t="str">
        <f>A700</f>
        <v>Schraubenlänge</v>
      </c>
      <c r="B162" s="645" t="s">
        <v>112</v>
      </c>
      <c r="C162" s="753">
        <f>IF(Eingabe!$V$17=50,Ausgabe!L162,IF(Eingabe!$V$17=51,Ausgabe!N162,IF(Eingabe!$V$17=52,Ausgabe!P162,IF(Eingabe!$V$17=53,Ausgabe!R162,IF(Eingabe!$V$17=54,Ausgabe!T162,"FEHLER")))))</f>
        <v>240</v>
      </c>
      <c r="D162" s="646" t="s">
        <v>2</v>
      </c>
      <c r="E162" s="646"/>
      <c r="F162" s="645"/>
      <c r="G162" s="645"/>
      <c r="H162" s="645"/>
      <c r="I162" s="645"/>
      <c r="K162" s="801" t="str">
        <f>IF(AND(M162=O162, O162=Q162, Q162=S162, S162=U162,M162=""),"","NT")</f>
        <v/>
      </c>
      <c r="L162" s="899">
        <f>HLOOKUP(Ausgabe!$E$54,MKW!$A$116:$AZ$143,5,FALSE)</f>
        <v>240</v>
      </c>
      <c r="N162" s="917">
        <f>HLOOKUP(Ausgabe!$E$54,MKW!$A$116:$AZ$143,5,FALSE)</f>
        <v>240</v>
      </c>
      <c r="P162" s="933">
        <f>HLOOKUP(Ausgabe!$E$54,MKW!$A$116:$AZ$143,5,FALSE)</f>
        <v>240</v>
      </c>
      <c r="R162" s="942">
        <f>HLOOKUP(Ausgabe!$E$54,MKW!$A$116:$AZ$143,5,FALSE)</f>
        <v>240</v>
      </c>
      <c r="T162" s="934">
        <f>HLOOKUP(Ausgabe!$E$54,MKW!$A$116:$AZ$143,5,FALSE)</f>
        <v>240</v>
      </c>
    </row>
    <row r="163" spans="1:22" ht="16.5" customHeight="1">
      <c r="A163" s="645" t="str">
        <f>A701</f>
        <v>Durchmesser</v>
      </c>
      <c r="B163" s="645" t="s">
        <v>111</v>
      </c>
      <c r="C163" s="753">
        <f>IF(Eingabe!$V$17=50,Ausgabe!L163,IF(Eingabe!$V$17=51,Ausgabe!N163,IF(Eingabe!$V$17=52,Ausgabe!P163,IF(Eingabe!$V$17=53,Ausgabe!R163,IF(Eingabe!$V$17=54,Ausgabe!T163,"FEHLER")))))</f>
        <v>8</v>
      </c>
      <c r="D163" s="646" t="s">
        <v>2</v>
      </c>
      <c r="E163" s="646"/>
      <c r="F163" s="645"/>
      <c r="G163" s="645"/>
      <c r="H163" s="645"/>
      <c r="I163" s="645"/>
      <c r="K163" s="801" t="str">
        <f t="shared" ref="K163:K174" si="0">IF(AND(M163=O163, O163=Q163, Q163=S163, S163=U163,M163=""),"","NT")</f>
        <v/>
      </c>
      <c r="L163" s="899">
        <f>HLOOKUP(Ausgabe!$E$54,MKW!$A$116:$AZ$143,4,FALSE)</f>
        <v>8</v>
      </c>
      <c r="N163" s="917">
        <f>HLOOKUP(Ausgabe!$E$54,MKW!$A$116:$AZ$143,4,FALSE)</f>
        <v>8</v>
      </c>
      <c r="P163" s="933">
        <f>HLOOKUP(Ausgabe!$E$54,MKW!$A$116:$AZ$143,4,FALSE)</f>
        <v>8</v>
      </c>
      <c r="R163" s="942">
        <f>HLOOKUP(Ausgabe!$E$54,MKW!$A$116:$AZ$143,4,FALSE)</f>
        <v>8</v>
      </c>
      <c r="T163" s="934">
        <f>HLOOKUP(Ausgabe!$E$54,MKW!$A$116:$AZ$143,4,FALSE)</f>
        <v>8</v>
      </c>
    </row>
    <row r="164" spans="1:22" s="429" customFormat="1" ht="16.5" customHeight="1">
      <c r="A164" s="697" t="str">
        <f>A702</f>
        <v>Schrauben-Faser-Winkel</v>
      </c>
      <c r="B164" s="783" t="s">
        <v>479</v>
      </c>
      <c r="C164" s="754">
        <f>IF(Eingabe!$V$17=50,Ausgabe!L164,IF(Eingabe!$V$17=51,Ausgabe!N164,IF(Eingabe!$V$17=52,Ausgabe!P164,IF(Eingabe!$V$17=53,Ausgabe!R164,IF(Eingabe!$V$17=54,Ausgabe!T164,"FEHLER")))))</f>
        <v>0</v>
      </c>
      <c r="D164" s="650" t="s">
        <v>270</v>
      </c>
      <c r="E164" s="650"/>
      <c r="F164" s="697"/>
      <c r="G164" s="697"/>
      <c r="H164" s="697"/>
      <c r="I164" s="697"/>
      <c r="J164" s="873"/>
      <c r="K164" s="756" t="str">
        <f t="shared" si="0"/>
        <v/>
      </c>
      <c r="L164" s="899">
        <f>ABS(NT0Schraube_Mat0_alpha)</f>
        <v>0</v>
      </c>
      <c r="M164" s="650"/>
      <c r="N164" s="918">
        <f>ABS(NT0Schraube_Mat0_alpha)</f>
        <v>0</v>
      </c>
      <c r="O164" s="650"/>
      <c r="P164" s="934">
        <f>ABS(NT0Schraube_Mat1_alpha)</f>
        <v>0</v>
      </c>
      <c r="Q164" s="650"/>
      <c r="R164" s="942">
        <f>ABS(NT0Schraube_Mat23_alpha)</f>
        <v>0</v>
      </c>
      <c r="S164" s="650"/>
      <c r="T164" s="934">
        <f>ABS(NT0Schraube_Mat23_alpha)</f>
        <v>0</v>
      </c>
      <c r="U164" s="650"/>
      <c r="V164" s="926"/>
    </row>
    <row r="165" spans="1:22" s="429" customFormat="1" ht="16.5" customHeight="1">
      <c r="A165" s="697" t="str">
        <f>A703</f>
        <v>Schr.-Deckfläche-Winkel</v>
      </c>
      <c r="B165" s="783" t="s">
        <v>480</v>
      </c>
      <c r="C165" s="754" t="str">
        <f>IF(Eingabe!$V$17=50,Ausgabe!L165,IF(Eingabe!$V$17=51,Ausgabe!N165,IF(Eingabe!$V$17=52,Ausgabe!P165,IF(Eingabe!$V$17=53,Ausgabe!R165,IF(Eingabe!$V$17=54,Ausgabe!T165,"FEHLER")))))</f>
        <v>-</v>
      </c>
      <c r="D165" s="650" t="s">
        <v>270</v>
      </c>
      <c r="E165" s="650"/>
      <c r="F165" s="697"/>
      <c r="G165" s="697"/>
      <c r="H165" s="697"/>
      <c r="I165" s="697"/>
      <c r="J165" s="873"/>
      <c r="K165" s="756" t="str">
        <f t="shared" si="0"/>
        <v/>
      </c>
      <c r="L165" s="899" t="s">
        <v>124</v>
      </c>
      <c r="M165" s="650"/>
      <c r="N165" s="918" t="s">
        <v>124</v>
      </c>
      <c r="O165" s="650"/>
      <c r="P165" s="934" t="s">
        <v>124</v>
      </c>
      <c r="Q165" s="650"/>
      <c r="R165" s="942">
        <f>ABS(NT0Schraube_Mat23_beta)</f>
        <v>0</v>
      </c>
      <c r="S165" s="650"/>
      <c r="T165" s="934">
        <f>ABS(NT0Schraube_Mat23_beta)</f>
        <v>0</v>
      </c>
      <c r="U165" s="650"/>
      <c r="V165" s="926"/>
    </row>
    <row r="166" spans="1:22" s="429" customFormat="1" ht="16.5" customHeight="1">
      <c r="A166" s="697" t="str">
        <f>A705</f>
        <v>mittlere eff. Schraubenlänge</v>
      </c>
      <c r="B166" s="697" t="s">
        <v>547</v>
      </c>
      <c r="C166" s="808">
        <f ca="1">IF(Eingabe!$V$17=50,Ausgabe!L166,IF(Eingabe!$V$17=51,Ausgabe!N166,IF(Eingabe!$V$17=52,Ausgabe!P166,IF(Eingabe!$V$17=53,Ausgabe!R166,IF(Eingabe!$V$17=54,Ausgabe!T166,"FEHLER")))))</f>
        <v>215.1</v>
      </c>
      <c r="D166" s="650" t="s">
        <v>2</v>
      </c>
      <c r="E166" s="650" t="s">
        <v>584</v>
      </c>
      <c r="F166" s="697"/>
      <c r="G166" s="697"/>
      <c r="H166" s="650"/>
      <c r="I166" s="784"/>
      <c r="J166" s="874" t="s">
        <v>679</v>
      </c>
      <c r="K166" s="801" t="str">
        <f t="shared" si="0"/>
        <v>NT</v>
      </c>
      <c r="L166" s="913">
        <f ca="1">Berechnung_BZoben!C47</f>
        <v>215.1</v>
      </c>
      <c r="M166" s="650" t="s">
        <v>584</v>
      </c>
      <c r="N166" s="915">
        <f ca="1">Berechnung_BZoben!C47</f>
        <v>215.1</v>
      </c>
      <c r="O166" s="650" t="s">
        <v>584</v>
      </c>
      <c r="P166" s="934">
        <f ca="1">Berechnung_BZoben!C47</f>
        <v>215.1</v>
      </c>
      <c r="Q166" s="650" t="s">
        <v>584</v>
      </c>
      <c r="R166" s="935">
        <f ca="1">Berechnung_BZoben!C47</f>
        <v>215.1</v>
      </c>
      <c r="S166" s="650" t="s">
        <v>584</v>
      </c>
      <c r="T166" s="935">
        <f ca="1">Berechnung_BZoben!C47</f>
        <v>215.1</v>
      </c>
      <c r="U166" s="650" t="s">
        <v>584</v>
      </c>
      <c r="V166" s="926"/>
    </row>
    <row r="167" spans="1:22" s="429" customFormat="1" ht="16.5" customHeight="1">
      <c r="A167" s="697" t="str">
        <f>A707</f>
        <v>eff. Schraubenanzahl</v>
      </c>
      <c r="B167" s="697" t="s">
        <v>521</v>
      </c>
      <c r="C167" s="753">
        <f>IF(Eingabe!$V$17=50,Ausgabe!L167,IF(Eingabe!$V$17=51,Ausgabe!N167,IF(Eingabe!$V$17=52,Ausgabe!P167,IF(Eingabe!$V$17=53,Ausgabe!R167,IF(Eingabe!$V$17=54,Ausgabe!T167,"FEHLER")))))</f>
        <v>3</v>
      </c>
      <c r="D167" s="650" t="s">
        <v>124</v>
      </c>
      <c r="E167" s="650" t="s">
        <v>760</v>
      </c>
      <c r="F167" s="697"/>
      <c r="G167" s="697"/>
      <c r="H167" s="650"/>
      <c r="I167" s="783"/>
      <c r="J167" s="874" t="s">
        <v>95</v>
      </c>
      <c r="K167" s="801" t="str">
        <f t="shared" si="0"/>
        <v>NT</v>
      </c>
      <c r="L167" s="899">
        <f>VLOOKUP($C$47,MKW!$A$89:$AF$106,2,0)</f>
        <v>3</v>
      </c>
      <c r="M167" s="650" t="s">
        <v>760</v>
      </c>
      <c r="N167" s="918">
        <f>VLOOKUP($C$47,MKW!$A$89:$AF$106,2,0)</f>
        <v>3</v>
      </c>
      <c r="O167" s="650" t="s">
        <v>760</v>
      </c>
      <c r="P167" s="934">
        <f>VLOOKUP($C$47,MKW!$A$89:$AF$106,2,0)</f>
        <v>3</v>
      </c>
      <c r="Q167" s="650" t="s">
        <v>760</v>
      </c>
      <c r="R167" s="942">
        <f>VLOOKUP($C$47,MKW!$A$89:$AF$106,2,0)</f>
        <v>3</v>
      </c>
      <c r="S167" s="650" t="s">
        <v>760</v>
      </c>
      <c r="T167" s="934">
        <f>VLOOKUP($C$47,MKW!$A$89:$AF$106,2,0)</f>
        <v>3</v>
      </c>
      <c r="U167" s="650" t="s">
        <v>760</v>
      </c>
      <c r="V167" s="926"/>
    </row>
    <row r="168" spans="1:22" ht="16.5" customHeight="1">
      <c r="A168" s="645" t="str">
        <f>A708</f>
        <v>char. Rohdichte</v>
      </c>
      <c r="B168" s="785" t="s">
        <v>504</v>
      </c>
      <c r="C168" s="753">
        <f>IF(Eingabe!$V$17=50,Ausgabe!L168,IF(Eingabe!$V$17=51,Ausgabe!N168,IF(Eingabe!$V$17=52,Ausgabe!P168,IF(Eingabe!$V$17=53,Ausgabe!R168,IF(Eingabe!$V$17=54,Ausgabe!T168,"FEHLER")))))</f>
        <v>385</v>
      </c>
      <c r="D168" s="646" t="s">
        <v>115</v>
      </c>
      <c r="E168" s="650" t="str">
        <f>HLOOKUP($F$23,MKW!$E$3:$BS$22,3,0)</f>
        <v>DIN EN 14080:2013-09, Tab. 5</v>
      </c>
      <c r="F168" s="645"/>
      <c r="G168" s="645"/>
      <c r="H168" s="646"/>
      <c r="I168" s="786"/>
      <c r="J168" s="874" t="s">
        <v>482</v>
      </c>
      <c r="K168" s="801" t="str">
        <f t="shared" si="0"/>
        <v>NT</v>
      </c>
      <c r="L168" s="899">
        <f>HLOOKUP($F$23,MKW!$E$3:$BS$22,19,0)</f>
        <v>385</v>
      </c>
      <c r="M168" s="650" t="str">
        <f>HLOOKUP($F$23,MKW!$E$3:$BS$22,3,0)</f>
        <v>DIN EN 14080:2013-09, Tab. 5</v>
      </c>
      <c r="N168" s="917">
        <f>HLOOKUP($F$23,MKW!$E$3:$BS$22,19,0)</f>
        <v>385</v>
      </c>
      <c r="O168" s="646" t="str">
        <f>HLOOKUP($F$23,MKW!$E$3:$BS$22,3,0)</f>
        <v>DIN EN 14080:2013-09, Tab. 5</v>
      </c>
      <c r="P168" s="933">
        <f>HLOOKUP($F$23,MKW!$E$3:$BS$22,19,0)</f>
        <v>385</v>
      </c>
      <c r="Q168" s="646" t="str">
        <f>HLOOKUP($F$23,MKW!$E$3:$BS$22,3,0)</f>
        <v>DIN EN 14080:2013-09, Tab. 5</v>
      </c>
      <c r="R168" s="942">
        <f>HLOOKUP($F$23,MKW!$E$3:$BS$22,19,0)</f>
        <v>385</v>
      </c>
      <c r="S168" s="650" t="str">
        <f>HLOOKUP($F$23,MKW!$E$3:$BS$22,3,0)</f>
        <v>DIN EN 14080:2013-09, Tab. 5</v>
      </c>
      <c r="T168" s="934">
        <f>HLOOKUP($F$23,MKW!$E$3:$BS$22,19,0)</f>
        <v>385</v>
      </c>
      <c r="U168" s="650" t="str">
        <f>HLOOKUP($F$23,MKW!$E$3:$BS$22,3,0)</f>
        <v>DIN EN 14080:2013-09, Tab. 5</v>
      </c>
    </row>
    <row r="169" spans="1:22" ht="16.5" customHeight="1">
      <c r="A169" s="645" t="str">
        <f>A709</f>
        <v>char. Ausziehparamter</v>
      </c>
      <c r="B169" s="645" t="s">
        <v>517</v>
      </c>
      <c r="C169" s="807">
        <f ca="1">IF(Eingabe!$V$17=50,Ausgabe!L169,IF(Eingabe!$V$17=51,Ausgabe!N169,IF(Eingabe!$V$17=52,Ausgabe!P169,IF(Eingabe!$V$17=53,Ausgabe!R169,IF(Eingabe!$V$17=54,Ausgabe!T169,"FEHLER")))))</f>
        <v>12.576589700823297</v>
      </c>
      <c r="D169" s="646" t="s">
        <v>3</v>
      </c>
      <c r="E169" s="650" t="s">
        <v>578</v>
      </c>
      <c r="F169" s="645"/>
      <c r="G169" s="645"/>
      <c r="H169" s="646"/>
      <c r="I169" s="786"/>
      <c r="K169" s="801" t="str">
        <f t="shared" si="0"/>
        <v>NT</v>
      </c>
      <c r="L169" s="913">
        <f ca="1">0.52*L163^(-0.5)*L166^(-0.1)*L168^0.8</f>
        <v>12.576589700823297</v>
      </c>
      <c r="M169" s="650" t="s">
        <v>578</v>
      </c>
      <c r="N169" s="917">
        <f>11</f>
        <v>11</v>
      </c>
      <c r="O169" s="646" t="s">
        <v>585</v>
      </c>
      <c r="P169" s="933">
        <f>11</f>
        <v>11</v>
      </c>
      <c r="Q169" s="646" t="s">
        <v>585</v>
      </c>
      <c r="R169" s="942">
        <v>35</v>
      </c>
      <c r="S169" s="650" t="s">
        <v>586</v>
      </c>
      <c r="T169" s="934">
        <f>11</f>
        <v>11</v>
      </c>
      <c r="U169" s="646" t="s">
        <v>585</v>
      </c>
    </row>
    <row r="170" spans="1:22" ht="16.5" customHeight="1">
      <c r="A170" s="645" t="str">
        <f>A710</f>
        <v>Dimensionskoeffizient</v>
      </c>
      <c r="B170" s="645" t="s">
        <v>506</v>
      </c>
      <c r="C170" s="809">
        <f>IF(Eingabe!$V$17=50,Ausgabe!L170,IF(Eingabe!$V$17=51,Ausgabe!N170,IF(Eingabe!$V$17=52,Ausgabe!P170,IF(Eingabe!$V$17=53,Ausgabe!R170,IF(Eingabe!$V$17=54,Ausgabe!T170,"FEHLER")))))</f>
        <v>0.3</v>
      </c>
      <c r="D170" s="646" t="s">
        <v>124</v>
      </c>
      <c r="E170" s="650" t="s">
        <v>530</v>
      </c>
      <c r="F170" s="645"/>
      <c r="G170" s="645"/>
      <c r="H170" s="646"/>
      <c r="I170" s="645"/>
      <c r="K170" s="801" t="str">
        <f t="shared" si="0"/>
        <v>NT</v>
      </c>
      <c r="L170" s="914">
        <f>IF(AND(L164&gt;=0,L164&lt;45),0.3+0.7*L164/45,1)</f>
        <v>0.3</v>
      </c>
      <c r="M170" s="650" t="s">
        <v>530</v>
      </c>
      <c r="N170" s="919">
        <f>IF(AND(N164&gt;=0,N164&lt;45),0.3+0.7*N164/45,1)</f>
        <v>0.3</v>
      </c>
      <c r="O170" s="646" t="s">
        <v>523</v>
      </c>
      <c r="P170" s="936">
        <f>IF(AND(P164&gt;=0,P164&lt;45),0.3+0.7*P164/45,1)</f>
        <v>0.3</v>
      </c>
      <c r="Q170" s="646" t="s">
        <v>522</v>
      </c>
      <c r="R170" s="943">
        <f>IF(AND(R164&gt;=0,R164&lt;45),0.5+0.5*R164/45,1)</f>
        <v>0.5</v>
      </c>
      <c r="S170" s="650" t="s">
        <v>533</v>
      </c>
      <c r="T170" s="939">
        <f>IF(AND(T164&gt;=0,T164&lt;45),0.5+0.5*T164/45,1)</f>
        <v>0.5</v>
      </c>
      <c r="U170" s="650" t="s">
        <v>533</v>
      </c>
    </row>
    <row r="171" spans="1:22" ht="16.5" customHeight="1">
      <c r="A171" s="645"/>
      <c r="B171" s="645"/>
      <c r="C171" s="753"/>
      <c r="D171" s="646"/>
      <c r="E171" s="650" t="s">
        <v>579</v>
      </c>
      <c r="F171" s="645"/>
      <c r="G171" s="645"/>
      <c r="H171" s="646"/>
      <c r="I171" s="645"/>
      <c r="K171" s="801" t="str">
        <f t="shared" si="0"/>
        <v>NT</v>
      </c>
      <c r="L171" s="914"/>
      <c r="M171" s="650" t="s">
        <v>579</v>
      </c>
      <c r="N171" s="919"/>
      <c r="O171" s="646" t="s">
        <v>580</v>
      </c>
      <c r="P171" s="936"/>
      <c r="Q171" s="646" t="s">
        <v>580</v>
      </c>
      <c r="R171" s="943"/>
      <c r="S171" s="646" t="s">
        <v>580</v>
      </c>
      <c r="T171" s="939"/>
      <c r="U171" s="646" t="s">
        <v>580</v>
      </c>
    </row>
    <row r="172" spans="1:22" ht="16.5" customHeight="1">
      <c r="A172" s="645" t="str">
        <f>A711</f>
        <v>Koeffizient</v>
      </c>
      <c r="B172" s="645" t="s">
        <v>507</v>
      </c>
      <c r="C172" s="809" t="str">
        <f>IF(Eingabe!$V$17=50,Ausgabe!L172,IF(Eingabe!$V$17=51,Ausgabe!N172,IF(Eingabe!$V$17=52,Ausgabe!P172,IF(Eingabe!$V$17=53,Ausgabe!R172,IF(Eingabe!$V$17=54,Ausgabe!T172,"FEHLER")))))</f>
        <v>-</v>
      </c>
      <c r="D172" s="646" t="s">
        <v>124</v>
      </c>
      <c r="E172" s="650"/>
      <c r="F172" s="645"/>
      <c r="G172" s="645"/>
      <c r="H172" s="645"/>
      <c r="I172" s="645"/>
      <c r="K172" s="801" t="str">
        <f t="shared" si="0"/>
        <v>NT</v>
      </c>
      <c r="L172" s="899" t="s">
        <v>124</v>
      </c>
      <c r="N172" s="917">
        <v>1</v>
      </c>
      <c r="O172" s="646" t="s">
        <v>761</v>
      </c>
      <c r="P172" s="933">
        <v>1</v>
      </c>
      <c r="Q172" s="646" t="s">
        <v>761</v>
      </c>
      <c r="R172" s="943">
        <f>1.5*COS(RADIANS(R165))^2+SIN(RADIANS(R165))^2</f>
        <v>1.5</v>
      </c>
      <c r="S172" s="650" t="s">
        <v>762</v>
      </c>
      <c r="T172" s="939">
        <f>1.5*COS(RADIANS(T165))^2+SIN(RADIANS(T165))^2</f>
        <v>1.5</v>
      </c>
      <c r="U172" s="650" t="s">
        <v>762</v>
      </c>
    </row>
    <row r="173" spans="1:22" ht="16.5" customHeight="1">
      <c r="A173" s="645" t="str">
        <f>A712</f>
        <v>char. Ausziehwiderstand</v>
      </c>
      <c r="B173" s="645" t="s">
        <v>518</v>
      </c>
      <c r="C173" s="807">
        <f ca="1">IF(Eingabe!$V$17=50,Ausgabe!L173,IF(Eingabe!$V$17=51,Ausgabe!N173,IF(Eingabe!$V$17=52,Ausgabe!P173,IF(Eingabe!$V$17=53,Ausgabe!R173,IF(Eingabe!$V$17=54,Ausgabe!T173,"FEHLER")))))</f>
        <v>19.477616001459054</v>
      </c>
      <c r="D173" s="646" t="s">
        <v>469</v>
      </c>
      <c r="E173" s="650" t="s">
        <v>581</v>
      </c>
      <c r="F173" s="645"/>
      <c r="G173" s="645"/>
      <c r="H173" s="646"/>
      <c r="I173" s="645"/>
      <c r="K173" s="801" t="str">
        <f t="shared" si="0"/>
        <v>NT</v>
      </c>
      <c r="L173" s="913">
        <f ca="1">L167*L169*L163*L166*L170*1/1000</f>
        <v>19.477616001459054</v>
      </c>
      <c r="M173" s="650" t="s">
        <v>581</v>
      </c>
      <c r="N173" s="919">
        <f ca="1">N167*N169*N163*N166*N170*1/1000</f>
        <v>17.035919999999997</v>
      </c>
      <c r="O173" s="646" t="s">
        <v>582</v>
      </c>
      <c r="P173" s="936">
        <f ca="1">P167*P169*P163*P166*P170*1/1000</f>
        <v>17.035919999999997</v>
      </c>
      <c r="Q173" s="646" t="s">
        <v>583</v>
      </c>
      <c r="R173" s="943">
        <f ca="1">R167*R169*R163*R166*R170*1/R172*1/1000</f>
        <v>60.228000000000002</v>
      </c>
      <c r="S173" s="646" t="s">
        <v>583</v>
      </c>
      <c r="T173" s="939">
        <f ca="1">T167*T169*T163*T166*T170*1/T172*1/1000</f>
        <v>18.928799999999999</v>
      </c>
      <c r="U173" s="646" t="s">
        <v>583</v>
      </c>
    </row>
    <row r="174" spans="1:22" ht="16.5" customHeight="1">
      <c r="A174" s="645" t="str">
        <f>A714</f>
        <v>Teilsicherheitsbeiwert</v>
      </c>
      <c r="B174" s="645" t="s">
        <v>519</v>
      </c>
      <c r="C174" s="807">
        <f>IF(Eingabe!$V$17=50,Ausgabe!L174,IF(Eingabe!$V$17=51,Ausgabe!N174,IF(Eingabe!$V$17=52,Ausgabe!P174,IF(Eingabe!$V$17=53,Ausgabe!R174,IF(Eingabe!$V$17=54,Ausgabe!T174,"FEHLER")))))</f>
        <v>1.3</v>
      </c>
      <c r="D174" s="646" t="s">
        <v>124</v>
      </c>
      <c r="E174" s="646" t="s">
        <v>524</v>
      </c>
      <c r="F174" s="645"/>
      <c r="G174" s="645"/>
      <c r="H174" s="646"/>
      <c r="I174" s="645"/>
      <c r="K174" s="801" t="str">
        <f t="shared" si="0"/>
        <v/>
      </c>
      <c r="L174" s="899">
        <f>Eingabe!$C$33</f>
        <v>1.3</v>
      </c>
      <c r="N174" s="917">
        <f>Eingabe!$C$33</f>
        <v>1.3</v>
      </c>
      <c r="P174" s="933">
        <f>Eingabe!$C$33</f>
        <v>1.3</v>
      </c>
      <c r="R174" s="942">
        <f>Eingabe!$C$33</f>
        <v>1.3</v>
      </c>
      <c r="T174" s="934">
        <f>Eingabe!$C$33</f>
        <v>1.3</v>
      </c>
    </row>
    <row r="175" spans="1:22" ht="16.5" customHeight="1">
      <c r="A175" s="645" t="str">
        <f>A700</f>
        <v>Schraubenlänge</v>
      </c>
      <c r="B175" s="645" t="s">
        <v>112</v>
      </c>
      <c r="C175" s="808">
        <f>IF(Eingabe!$V$16=50,Ausgabe!L175,IF(Eingabe!$V$16=51,Ausgabe!N175,IF(Eingabe!$V$16=52,Ausgabe!P175,IF(Eingabe!$V$16=53,Ausgabe!R175,IF(Eingabe!$V$16=54,Ausgabe!T175,"FEHLER")))))</f>
        <v>160</v>
      </c>
      <c r="D175" s="646" t="s">
        <v>2</v>
      </c>
      <c r="E175" s="646"/>
      <c r="F175" s="645"/>
      <c r="G175" s="645"/>
      <c r="H175" s="646"/>
      <c r="I175" s="645"/>
      <c r="K175" s="801" t="str">
        <f t="shared" ref="K175:K187" si="1">IF(AND(M175=O175,O175=Q175,Q175=S175,S175=U175,M175=""),"","HT")</f>
        <v/>
      </c>
      <c r="L175" s="899">
        <f>HLOOKUP(Ausgabe!$E$52,MKW!$A$116:$AZ$141,5,FALSE)</f>
        <v>160</v>
      </c>
      <c r="N175" s="917">
        <f>HLOOKUP(Ausgabe!$E$52,MKW!$A$116:$AZ$141,5,FALSE)</f>
        <v>160</v>
      </c>
      <c r="P175" s="933">
        <f>HLOOKUP(Ausgabe!$E$52,MKW!$A$116:$AZ$141,5,FALSE)</f>
        <v>160</v>
      </c>
      <c r="R175" s="942">
        <f>HLOOKUP(Ausgabe!$E$52,MKW!$A$116:$AZ$141,5,FALSE)</f>
        <v>160</v>
      </c>
      <c r="T175" s="934">
        <f>HLOOKUP(Ausgabe!$E$52,MKW!$A$116:$AZ$141,5,FALSE)</f>
        <v>160</v>
      </c>
    </row>
    <row r="176" spans="1:22" ht="16.5" customHeight="1">
      <c r="A176" s="645" t="str">
        <f>A701</f>
        <v>Durchmesser</v>
      </c>
      <c r="B176" s="645" t="s">
        <v>111</v>
      </c>
      <c r="C176" s="807">
        <f>IF(Eingabe!$V$16=50,Ausgabe!L176,IF(Eingabe!$V$16=51,Ausgabe!N176,IF(Eingabe!$V$16=52,Ausgabe!P176,IF(Eingabe!$V$16=53,Ausgabe!R176,IF(Eingabe!$V$16=54,Ausgabe!T176,"FEHLER")))))</f>
        <v>8</v>
      </c>
      <c r="D176" s="646" t="s">
        <v>2</v>
      </c>
      <c r="E176" s="646"/>
      <c r="F176" s="645"/>
      <c r="G176" s="645"/>
      <c r="H176" s="646"/>
      <c r="K176" s="801" t="str">
        <f t="shared" si="1"/>
        <v/>
      </c>
      <c r="L176" s="899">
        <f>HLOOKUP(Ausgabe!$E$52,MKW!$A$116:$AZ$141,4,FALSE)</f>
        <v>8</v>
      </c>
      <c r="N176" s="917">
        <f>HLOOKUP(Ausgabe!$E$54,MKW!$A$116:$AZ$143,4,FALSE)</f>
        <v>8</v>
      </c>
      <c r="P176" s="933">
        <f>HLOOKUP(Ausgabe!$E$54,MKW!$A$116:$AZ$143,4,FALSE)</f>
        <v>8</v>
      </c>
      <c r="R176" s="942">
        <f>HLOOKUP(Ausgabe!$E$54,MKW!$A$116:$AZ$143,4,FALSE)</f>
        <v>8</v>
      </c>
      <c r="T176" s="934">
        <f>HLOOKUP(Ausgabe!$E$54,MKW!$A$116:$AZ$143,4,FALSE)</f>
        <v>8</v>
      </c>
    </row>
    <row r="177" spans="1:22" s="429" customFormat="1" ht="16.5" customHeight="1">
      <c r="A177" s="697" t="str">
        <f>A702</f>
        <v>Schrauben-Faser-Winkel</v>
      </c>
      <c r="B177" s="783" t="s">
        <v>479</v>
      </c>
      <c r="C177" s="810">
        <f>IF(Eingabe!$V$16=50,Ausgabe!L177,IF(Eingabe!$V$16=51,Ausgabe!N177,IF(Eingabe!$V$16=52,Ausgabe!P177,IF(Eingabe!$V$16=53,Ausgabe!R177,IF(Eingabe!$V$16=54,Ausgabe!T177,"FEHLER")))))</f>
        <v>90</v>
      </c>
      <c r="D177" s="650" t="s">
        <v>270</v>
      </c>
      <c r="E177" s="650"/>
      <c r="F177" s="697"/>
      <c r="G177" s="697"/>
      <c r="H177" s="650"/>
      <c r="I177" s="776"/>
      <c r="J177" s="873"/>
      <c r="K177" s="756" t="str">
        <f t="shared" si="1"/>
        <v/>
      </c>
      <c r="L177" s="899">
        <f>ABS(HT90Schraube_Mat0_alpha)</f>
        <v>90</v>
      </c>
      <c r="M177" s="650"/>
      <c r="N177" s="918">
        <f>ABS(HT90Schraube_Mat0_alpha)</f>
        <v>90</v>
      </c>
      <c r="O177" s="650"/>
      <c r="P177" s="934">
        <f>ABS(HT90Schraube_Mat1_alpha)</f>
        <v>90</v>
      </c>
      <c r="Q177" s="650"/>
      <c r="R177" s="942">
        <f>ABS(HT90Schraube_Mat23_alpha)</f>
        <v>90</v>
      </c>
      <c r="S177" s="650"/>
      <c r="T177" s="934">
        <f>ABS(HT90Schraube_Mat23_alpha)</f>
        <v>90</v>
      </c>
      <c r="U177" s="650"/>
      <c r="V177" s="926"/>
    </row>
    <row r="178" spans="1:22" s="429" customFormat="1" ht="16.5" customHeight="1">
      <c r="A178" s="697" t="str">
        <f>A703</f>
        <v>Schr.-Deckfläche-Winkel</v>
      </c>
      <c r="B178" s="783" t="s">
        <v>480</v>
      </c>
      <c r="C178" s="806" t="str">
        <f>IF(Eingabe!$V$16=50,Ausgabe!L178,IF(Eingabe!$V$16=51,Ausgabe!N178,IF(Eingabe!$V$16=52,Ausgabe!P178,IF(Eingabe!$V$16=53,Ausgabe!R178,IF(Eingabe!$V$16=54,Ausgabe!T178,"FEHLER")))))</f>
        <v>-</v>
      </c>
      <c r="D178" s="650" t="s">
        <v>270</v>
      </c>
      <c r="E178" s="650"/>
      <c r="F178" s="697"/>
      <c r="G178" s="697"/>
      <c r="H178" s="650"/>
      <c r="I178" s="776"/>
      <c r="J178" s="874" t="s">
        <v>679</v>
      </c>
      <c r="K178" s="756" t="str">
        <f t="shared" si="1"/>
        <v/>
      </c>
      <c r="L178" s="899" t="s">
        <v>124</v>
      </c>
      <c r="M178" s="650"/>
      <c r="N178" s="918" t="s">
        <v>124</v>
      </c>
      <c r="O178" s="650"/>
      <c r="P178" s="934" t="s">
        <v>124</v>
      </c>
      <c r="Q178" s="650"/>
      <c r="R178" s="944">
        <f>ABS(HT90Schraube_Mat23_beta)</f>
        <v>0</v>
      </c>
      <c r="S178" s="650"/>
      <c r="T178" s="934">
        <f>ABS(HT90Schraube_Mat23_beta)</f>
        <v>0</v>
      </c>
      <c r="U178" s="650"/>
      <c r="V178" s="926"/>
    </row>
    <row r="179" spans="1:22" s="429" customFormat="1" ht="16.5" customHeight="1">
      <c r="A179" s="697" t="str">
        <f>A705</f>
        <v>mittlere eff. Schraubenlänge</v>
      </c>
      <c r="B179" s="697" t="s">
        <v>547</v>
      </c>
      <c r="C179" s="807" t="e">
        <f ca="1">IF(Eingabe!$V$16=50,Ausgabe!L179,IF(Eingabe!$V$16=51,Ausgabe!N179,IF(Eingabe!$V$16=52,Ausgabe!P179,IF(Eingabe!$V$16=53,Ausgabe!R179,IF(Eingabe!$V$16=54,Ausgabe!T179,"FEHLER")))))</f>
        <v>#DIV/0!</v>
      </c>
      <c r="D179" s="650" t="s">
        <v>2</v>
      </c>
      <c r="E179" s="650" t="s">
        <v>584</v>
      </c>
      <c r="F179" s="697"/>
      <c r="G179" s="697"/>
      <c r="H179" s="650"/>
      <c r="I179" s="776"/>
      <c r="J179" s="874" t="s">
        <v>94</v>
      </c>
      <c r="K179" s="801" t="str">
        <f t="shared" si="1"/>
        <v>HT</v>
      </c>
      <c r="L179" s="899" t="e">
        <f ca="1">Berechnung_BZoben!C30</f>
        <v>#DIV/0!</v>
      </c>
      <c r="M179" s="650" t="s">
        <v>584</v>
      </c>
      <c r="N179" s="918" t="e">
        <f ca="1">Berechnung_BZoben!C30</f>
        <v>#DIV/0!</v>
      </c>
      <c r="O179" s="650" t="s">
        <v>584</v>
      </c>
      <c r="P179" s="934" t="e">
        <f ca="1">Berechnung_BZoben!C30</f>
        <v>#DIV/0!</v>
      </c>
      <c r="Q179" s="650" t="s">
        <v>584</v>
      </c>
      <c r="R179" s="942" t="e">
        <f ca="1">Berechnung_BZoben!C30</f>
        <v>#DIV/0!</v>
      </c>
      <c r="S179" s="650" t="s">
        <v>584</v>
      </c>
      <c r="T179" s="934" t="e">
        <f ca="1">Berechnung_BZoben!C30</f>
        <v>#DIV/0!</v>
      </c>
      <c r="U179" s="650" t="s">
        <v>584</v>
      </c>
      <c r="V179" s="926"/>
    </row>
    <row r="180" spans="1:22" ht="16.5" customHeight="1">
      <c r="A180" s="645" t="str">
        <f>A707</f>
        <v>eff. Schraubenanzahl</v>
      </c>
      <c r="B180" s="697" t="s">
        <v>521</v>
      </c>
      <c r="C180" s="807">
        <f>IF(Eingabe!$V$16=50,Ausgabe!L180,IF(Eingabe!$V$16=51,Ausgabe!N180,IF(Eingabe!$V$16=52,Ausgabe!P180,IF(Eingabe!$V$16=53,Ausgabe!R180,IF(Eingabe!$V$16=54,Ausgabe!T180,"FEHLER")))))</f>
        <v>3</v>
      </c>
      <c r="D180" s="646" t="s">
        <v>124</v>
      </c>
      <c r="E180" s="650" t="s">
        <v>760</v>
      </c>
      <c r="F180" s="645"/>
      <c r="G180" s="645"/>
      <c r="H180" s="646"/>
      <c r="J180" s="874" t="s">
        <v>484</v>
      </c>
      <c r="K180" s="801" t="str">
        <f t="shared" si="1"/>
        <v>HT</v>
      </c>
      <c r="L180" s="899">
        <f>VLOOKUP(Ausgabe!$C$47,MKW!$A$89:$AZ$111,2,0)</f>
        <v>3</v>
      </c>
      <c r="M180" s="650" t="s">
        <v>760</v>
      </c>
      <c r="N180" s="917">
        <f>VLOOKUP($C$47,MKW!$A$89:$AF$106,2,0)</f>
        <v>3</v>
      </c>
      <c r="O180" s="646" t="s">
        <v>760</v>
      </c>
      <c r="P180" s="933">
        <f>VLOOKUP($C$47,MKW!$A$89:$AF$106,2,0)</f>
        <v>3</v>
      </c>
      <c r="Q180" s="646" t="s">
        <v>760</v>
      </c>
      <c r="R180" s="942">
        <f>VLOOKUP($C$47,MKW!$A$89:$AF$106,2,0)</f>
        <v>3</v>
      </c>
      <c r="S180" s="650" t="s">
        <v>760</v>
      </c>
      <c r="T180" s="934">
        <f>VLOOKUP($C$47,MKW!$A$89:$AF$106,2,0)</f>
        <v>3</v>
      </c>
      <c r="U180" s="650" t="s">
        <v>760</v>
      </c>
    </row>
    <row r="181" spans="1:22" ht="16.5" customHeight="1">
      <c r="A181" s="645" t="str">
        <f>A708</f>
        <v>char. Rohdichte</v>
      </c>
      <c r="B181" s="785" t="s">
        <v>504</v>
      </c>
      <c r="C181" s="808">
        <f>IF(Eingabe!$V$16=50,Ausgabe!L181,IF(Eingabe!$V$16=51,Ausgabe!N181,IF(Eingabe!$V$16=52,Ausgabe!P181,IF(Eingabe!$V$16=53,Ausgabe!R181,IF(Eingabe!$V$16=54,Ausgabe!T181,"FEHLER")))))</f>
        <v>385</v>
      </c>
      <c r="D181" s="646" t="s">
        <v>115</v>
      </c>
      <c r="E181" s="650" t="str">
        <f>HLOOKUP($F$23,MKW!$E$3:$BS$22,3,0)</f>
        <v>DIN EN 14080:2013-09, Tab. 5</v>
      </c>
      <c r="F181" s="645"/>
      <c r="G181" s="645"/>
      <c r="H181" s="646"/>
      <c r="K181" s="801" t="str">
        <f t="shared" si="1"/>
        <v>HT</v>
      </c>
      <c r="L181" s="899">
        <f>HLOOKUP($F$16,MKW!$E$3:$BS$22,19,0)</f>
        <v>385</v>
      </c>
      <c r="M181" s="650" t="str">
        <f>HLOOKUP($F$23,MKW!$E$3:$BS$22,3,0)</f>
        <v>DIN EN 14080:2013-09, Tab. 5</v>
      </c>
      <c r="N181" s="917">
        <f>HLOOKUP($F$16,MKW!$E$3:$BS$22,19,0)</f>
        <v>385</v>
      </c>
      <c r="O181" s="646" t="str">
        <f>HLOOKUP($F$23,MKW!$E$3:$BS$22,3,0)</f>
        <v>DIN EN 14080:2013-09, Tab. 5</v>
      </c>
      <c r="P181" s="933">
        <f>HLOOKUP($F$16,MKW!$E$3:$BS$22,19,0)</f>
        <v>385</v>
      </c>
      <c r="Q181" s="646" t="str">
        <f>HLOOKUP($F$23,MKW!$E$3:$BS$22,3,0)</f>
        <v>DIN EN 14080:2013-09, Tab. 5</v>
      </c>
      <c r="R181" s="942">
        <f>HLOOKUP($F$16,MKW!$E$3:$BS$22,19,0)</f>
        <v>385</v>
      </c>
      <c r="S181" s="650" t="str">
        <f>HLOOKUP($F$23,MKW!$E$3:$BS$22,3,0)</f>
        <v>DIN EN 14080:2013-09, Tab. 5</v>
      </c>
      <c r="T181" s="934">
        <f>HLOOKUP($F$16,MKW!$E$3:$BS$22,19,0)</f>
        <v>385</v>
      </c>
      <c r="U181" s="650" t="str">
        <f>HLOOKUP($F$23,MKW!$E$3:$BS$22,3,0)</f>
        <v>DIN EN 14080:2013-09, Tab. 5</v>
      </c>
    </row>
    <row r="182" spans="1:22" ht="16.5" customHeight="1">
      <c r="A182" s="645" t="str">
        <f>A709</f>
        <v>char. Ausziehparamter</v>
      </c>
      <c r="B182" s="645" t="s">
        <v>517</v>
      </c>
      <c r="C182" s="807" t="e">
        <f ca="1">IF(Eingabe!$V$16=50,Ausgabe!L182,IF(Eingabe!$V$16=51,Ausgabe!N182,IF(Eingabe!$V$16=52,Ausgabe!P182,IF(Eingabe!$V$16=53,Ausgabe!R182,IF(Eingabe!$V$16=54,Ausgabe!T182,"FEHLER")))))</f>
        <v>#DIV/0!</v>
      </c>
      <c r="D182" s="646" t="s">
        <v>3</v>
      </c>
      <c r="E182" s="650" t="s">
        <v>578</v>
      </c>
      <c r="F182" s="645"/>
      <c r="G182" s="645"/>
      <c r="H182" s="646"/>
      <c r="K182" s="801" t="str">
        <f t="shared" si="1"/>
        <v>HT</v>
      </c>
      <c r="L182" s="914" t="e">
        <f ca="1">0.52*L176^(-0.5)*L179^(-0.1)*L181^0.8</f>
        <v>#DIV/0!</v>
      </c>
      <c r="M182" s="650" t="s">
        <v>578</v>
      </c>
      <c r="N182" s="917">
        <f>11</f>
        <v>11</v>
      </c>
      <c r="O182" s="646" t="s">
        <v>585</v>
      </c>
      <c r="P182" s="933">
        <f>11</f>
        <v>11</v>
      </c>
      <c r="Q182" s="646" t="s">
        <v>585</v>
      </c>
      <c r="R182" s="942">
        <v>35</v>
      </c>
      <c r="S182" s="650" t="s">
        <v>586</v>
      </c>
      <c r="T182" s="934">
        <f>11</f>
        <v>11</v>
      </c>
      <c r="U182" s="646" t="s">
        <v>585</v>
      </c>
    </row>
    <row r="183" spans="1:22" ht="16.5" customHeight="1">
      <c r="A183" s="645" t="str">
        <f>A710</f>
        <v>Dimensionskoeffizient</v>
      </c>
      <c r="B183" s="645" t="s">
        <v>506</v>
      </c>
      <c r="C183" s="807">
        <f>IF(Eingabe!$V$16=50,Ausgabe!L183,IF(Eingabe!$V$16=51,Ausgabe!N183,IF(Eingabe!$V$16=52,Ausgabe!P183,IF(Eingabe!$V$16=53,Ausgabe!R183,IF(Eingabe!$V$16=54,Ausgabe!T183,"FEHLER")))))</f>
        <v>1</v>
      </c>
      <c r="D183" s="646" t="s">
        <v>124</v>
      </c>
      <c r="E183" s="650" t="s">
        <v>530</v>
      </c>
      <c r="F183" s="645"/>
      <c r="G183" s="645"/>
      <c r="H183" s="646"/>
      <c r="K183" s="801" t="str">
        <f t="shared" si="1"/>
        <v>HT</v>
      </c>
      <c r="L183" s="899">
        <f>IF(AND(L177&gt;=0,L177&lt;45),0.3+0.7*L177/45,1)</f>
        <v>1</v>
      </c>
      <c r="M183" s="650" t="s">
        <v>530</v>
      </c>
      <c r="N183" s="917">
        <f>IF(AND(N177&gt;=0,N177&lt;45),0.3+0.7*N177/45,1)</f>
        <v>1</v>
      </c>
      <c r="O183" s="646" t="s">
        <v>523</v>
      </c>
      <c r="P183" s="933">
        <f>IF(AND(P177&gt;=0,P177&lt;45),0.3+0.7*P177/45,1)</f>
        <v>1</v>
      </c>
      <c r="Q183" s="646" t="s">
        <v>523</v>
      </c>
      <c r="R183" s="942">
        <f>IF(AND(R177&gt;=0,R177&lt;45),0.5+0.5*R177/45,1)</f>
        <v>1</v>
      </c>
      <c r="S183" s="650" t="s">
        <v>530</v>
      </c>
      <c r="T183" s="934">
        <f>IF(AND(T177&gt;=0,T177&lt;45),0.5+0.5*T177/45,1)</f>
        <v>1</v>
      </c>
      <c r="U183" s="650" t="s">
        <v>530</v>
      </c>
    </row>
    <row r="184" spans="1:22" ht="16.5" customHeight="1">
      <c r="A184" s="645"/>
      <c r="B184" s="645"/>
      <c r="C184" s="807"/>
      <c r="D184" s="646"/>
      <c r="E184" s="650" t="s">
        <v>709</v>
      </c>
      <c r="F184" s="645"/>
      <c r="G184" s="645"/>
      <c r="H184" s="646"/>
      <c r="K184" s="801" t="str">
        <f t="shared" si="1"/>
        <v>HT</v>
      </c>
      <c r="M184" s="650" t="s">
        <v>709</v>
      </c>
      <c r="O184" s="650" t="s">
        <v>709</v>
      </c>
      <c r="Q184" s="650" t="s">
        <v>709</v>
      </c>
      <c r="S184" s="650" t="s">
        <v>709</v>
      </c>
      <c r="U184" s="650" t="s">
        <v>709</v>
      </c>
    </row>
    <row r="185" spans="1:22" ht="16.5" customHeight="1">
      <c r="A185" s="645" t="str">
        <f>A711</f>
        <v>Koeffizient</v>
      </c>
      <c r="B185" s="645" t="s">
        <v>507</v>
      </c>
      <c r="C185" s="807" t="str">
        <f>IF(Eingabe!$V$16=50,Ausgabe!L185,IF(Eingabe!$V$16=51,Ausgabe!N185,IF(Eingabe!$V$16=52,Ausgabe!P185,IF(Eingabe!$V$16=53,Ausgabe!R185,IF(Eingabe!$V$16=54,Ausgabe!T185,"FEHLER")))))</f>
        <v>-</v>
      </c>
      <c r="D185" s="646" t="s">
        <v>124</v>
      </c>
      <c r="E185" s="650"/>
      <c r="F185" s="645"/>
      <c r="G185" s="645"/>
      <c r="H185" s="646"/>
      <c r="K185" s="801" t="str">
        <f t="shared" si="1"/>
        <v>HT</v>
      </c>
      <c r="L185" s="899" t="s">
        <v>124</v>
      </c>
      <c r="N185" s="917">
        <v>1</v>
      </c>
      <c r="O185" s="646" t="s">
        <v>761</v>
      </c>
      <c r="P185" s="933">
        <v>1</v>
      </c>
      <c r="Q185" s="646" t="s">
        <v>761</v>
      </c>
      <c r="R185" s="942">
        <f>1.5*COS(RADIANS(R178))^2+SIN(RADIANS(R178))^2</f>
        <v>1.5</v>
      </c>
      <c r="S185" s="650" t="s">
        <v>762</v>
      </c>
      <c r="T185" s="934">
        <f>1.5*COS(RADIANS(R178))^2+SIN(RADIANS(R178))^2</f>
        <v>1.5</v>
      </c>
      <c r="U185" s="650" t="s">
        <v>762</v>
      </c>
    </row>
    <row r="186" spans="1:22" ht="16.5" customHeight="1">
      <c r="A186" s="645" t="str">
        <f>A712</f>
        <v>char. Ausziehwiderstand</v>
      </c>
      <c r="B186" s="645" t="s">
        <v>520</v>
      </c>
      <c r="C186" s="807" t="e">
        <f ca="1">IF(Eingabe!$V$16=50,Ausgabe!L186,IF(Eingabe!$V$16=51,Ausgabe!N186,IF(Eingabe!$V$16=52,Ausgabe!P186,IF(Eingabe!$V$16=53,Ausgabe!R186,IF(Eingabe!$V$16=54,Ausgabe!T186,"FEHLER")))))</f>
        <v>#DIV/0!</v>
      </c>
      <c r="D186" s="646" t="s">
        <v>469</v>
      </c>
      <c r="E186" s="650" t="s">
        <v>581</v>
      </c>
      <c r="F186" s="645"/>
      <c r="G186" s="645"/>
      <c r="H186" s="646"/>
      <c r="K186" s="801" t="str">
        <f t="shared" si="1"/>
        <v>HT</v>
      </c>
      <c r="L186" s="913" t="e">
        <f ca="1">L180*L182*L176*L179*L183*1/1000</f>
        <v>#DIV/0!</v>
      </c>
      <c r="M186" s="650" t="s">
        <v>581</v>
      </c>
      <c r="N186" s="915" t="e">
        <f ca="1">N180*N182*N176*N179*N183*(N181/350)*1/1000</f>
        <v>#DIV/0!</v>
      </c>
      <c r="O186" s="646" t="s">
        <v>587</v>
      </c>
      <c r="P186" s="938" t="e">
        <f ca="1">P180*P182*P176*P179*P183*(P181/350)*1/1000</f>
        <v>#DIV/0!</v>
      </c>
      <c r="Q186" s="646" t="s">
        <v>587</v>
      </c>
      <c r="R186" s="935" t="e">
        <f ca="1">R180*R182*R176*R179*R183*1/R185*1/1000</f>
        <v>#DIV/0!</v>
      </c>
      <c r="S186" s="646" t="s">
        <v>588</v>
      </c>
      <c r="T186" s="938" t="e">
        <f ca="1">T180*T182*T176*T179*T183*(T181/350)*1/1000</f>
        <v>#DIV/0!</v>
      </c>
      <c r="U186" s="646" t="s">
        <v>587</v>
      </c>
    </row>
    <row r="187" spans="1:22" ht="16.5" customHeight="1">
      <c r="A187" s="645" t="str">
        <f>A714</f>
        <v>Teilsicherheitsbeiwert</v>
      </c>
      <c r="B187" s="645" t="s">
        <v>519</v>
      </c>
      <c r="C187" s="807">
        <f>IF(Eingabe!$V$16=50,Ausgabe!L187,IF(Eingabe!$V$16=51,Ausgabe!N187,IF(Eingabe!$V$16=52,Ausgabe!P187,IF(Eingabe!$V$16=53,Ausgabe!R187,IF(Eingabe!$V$16=54,Ausgabe!T187,"FEHLER")))))</f>
        <v>1.3</v>
      </c>
      <c r="D187" s="646" t="s">
        <v>124</v>
      </c>
      <c r="E187" s="646" t="s">
        <v>524</v>
      </c>
      <c r="F187" s="645"/>
      <c r="G187" s="645"/>
      <c r="K187" s="801" t="str">
        <f t="shared" si="1"/>
        <v/>
      </c>
      <c r="L187" s="899">
        <f>Eingabe!$C$33</f>
        <v>1.3</v>
      </c>
      <c r="N187" s="917">
        <f>Eingabe!$C$33</f>
        <v>1.3</v>
      </c>
      <c r="P187" s="933">
        <f>Eingabe!$C$33</f>
        <v>1.3</v>
      </c>
      <c r="R187" s="942">
        <f>Eingabe!$C$33</f>
        <v>1.3</v>
      </c>
      <c r="T187" s="934">
        <f>Eingabe!$C$33</f>
        <v>1.3</v>
      </c>
    </row>
    <row r="188" spans="1:22" ht="16.5" customHeight="1">
      <c r="A188" s="767" t="str">
        <f>Sprachtexte!A119</f>
        <v>(ii) Zugfestigkeit der horizontalen Schrauben</v>
      </c>
      <c r="B188" s="645"/>
      <c r="C188" s="753"/>
      <c r="D188" s="646"/>
      <c r="E188" s="645"/>
      <c r="F188" s="645"/>
      <c r="G188" s="645"/>
      <c r="H188" s="646"/>
    </row>
    <row r="189" spans="1:22" ht="16.5" customHeight="1">
      <c r="A189" s="645" t="str">
        <f>A715</f>
        <v>char. Zugfestigkeit</v>
      </c>
      <c r="B189" s="645" t="s">
        <v>525</v>
      </c>
      <c r="C189" s="753">
        <f>MIN(HLOOKUP(Ausgabe!$E$52,MKW!$A$116:$AZ$143,8,FALSE),HLOOKUP(Ausgabe!$E$54,MKW!$A$116:$AZ$143,8,FALSE))</f>
        <v>20</v>
      </c>
      <c r="D189" s="646" t="s">
        <v>469</v>
      </c>
      <c r="E189" s="646" t="s">
        <v>705</v>
      </c>
      <c r="F189" s="645"/>
      <c r="G189" s="645"/>
      <c r="H189" s="646"/>
    </row>
    <row r="190" spans="1:22" ht="16.5" customHeight="1">
      <c r="A190" s="645" t="str">
        <f>A706</f>
        <v>Anzahl VM</v>
      </c>
      <c r="B190" s="645" t="s">
        <v>706</v>
      </c>
      <c r="C190" s="753">
        <f>B159</f>
        <v>5</v>
      </c>
      <c r="D190" s="646" t="s">
        <v>124</v>
      </c>
      <c r="E190" s="645"/>
      <c r="F190" s="645"/>
      <c r="G190" s="645"/>
      <c r="H190" s="646"/>
    </row>
    <row r="191" spans="1:22" ht="16.5" customHeight="1">
      <c r="A191" s="645" t="str">
        <f>A719</f>
        <v>char. Zugwiderstand</v>
      </c>
      <c r="B191" s="645" t="s">
        <v>527</v>
      </c>
      <c r="C191" s="753">
        <f>C189*C190</f>
        <v>100</v>
      </c>
      <c r="D191" s="646" t="s">
        <v>469</v>
      </c>
      <c r="E191" s="645"/>
      <c r="F191" s="645"/>
      <c r="G191" s="645"/>
      <c r="H191" s="646"/>
    </row>
    <row r="192" spans="1:22" ht="16.5" customHeight="1">
      <c r="A192" s="645" t="str">
        <f>A714</f>
        <v>Teilsicherheitsbeiwert</v>
      </c>
      <c r="B192" s="645" t="s">
        <v>528</v>
      </c>
      <c r="C192" s="753">
        <f>Eingabe!$C$35</f>
        <v>1.25</v>
      </c>
      <c r="D192" s="646" t="s">
        <v>124</v>
      </c>
      <c r="E192" s="646" t="s">
        <v>485</v>
      </c>
      <c r="F192" s="645"/>
      <c r="G192" s="645"/>
    </row>
    <row r="193" spans="1:22" ht="16.5" customHeight="1">
      <c r="A193" s="767" t="str">
        <f>Sprachtexte!A120</f>
        <v>(iii) Maximale Tragfähigkeit des MEGANT Verbinders</v>
      </c>
      <c r="B193" s="645"/>
      <c r="C193" s="753"/>
      <c r="D193" s="646"/>
      <c r="E193" s="645"/>
      <c r="F193" s="645"/>
      <c r="G193" s="645"/>
      <c r="H193" s="646"/>
      <c r="O193" s="751"/>
    </row>
    <row r="194" spans="1:22" ht="16.5" customHeight="1">
      <c r="A194" s="645" t="str">
        <f>A720</f>
        <v>max. Tragfähigkeit MEGANT</v>
      </c>
      <c r="B194" s="645" t="s">
        <v>567</v>
      </c>
      <c r="C194" s="753">
        <f>VLOOKUP(Ausgabe!$C$47,MKW!$A$89:$AZ$111,25,0)</f>
        <v>36.6</v>
      </c>
      <c r="D194" s="646" t="s">
        <v>469</v>
      </c>
      <c r="E194" s="645"/>
      <c r="F194" s="645"/>
      <c r="G194" s="645"/>
      <c r="H194" s="646"/>
    </row>
    <row r="195" spans="1:22" ht="16.5" customHeight="1">
      <c r="A195" s="645" t="str">
        <f>A714</f>
        <v>Teilsicherheitsbeiwert</v>
      </c>
      <c r="B195" s="645" t="s">
        <v>528</v>
      </c>
      <c r="C195" s="753">
        <f>Eingabe!$C$35</f>
        <v>1.25</v>
      </c>
      <c r="D195" s="646" t="s">
        <v>124</v>
      </c>
      <c r="E195" s="646" t="s">
        <v>486</v>
      </c>
      <c r="F195" s="645"/>
      <c r="G195" s="645"/>
    </row>
    <row r="196" spans="1:22" ht="16.5" customHeight="1">
      <c r="A196" s="645"/>
      <c r="B196" s="645"/>
      <c r="C196" s="753"/>
      <c r="D196" s="646"/>
      <c r="E196" s="646"/>
      <c r="F196" s="645"/>
      <c r="G196" s="645"/>
    </row>
    <row r="197" spans="1:22" ht="16.5" customHeight="1">
      <c r="A197" s="769" t="str">
        <f>Sprachtexte!A121</f>
        <v>Nachweis</v>
      </c>
      <c r="B197" s="645"/>
      <c r="C197" s="753"/>
      <c r="D197" s="645"/>
      <c r="E197" s="645"/>
      <c r="F197" s="645"/>
      <c r="G197" s="645"/>
      <c r="H197" s="645"/>
      <c r="I197" s="645"/>
    </row>
    <row r="198" spans="1:22" ht="16.5" customHeight="1">
      <c r="A198" s="645" t="str">
        <f>Sprachtexte!A122</f>
        <v>maßg. Bemessungswert</v>
      </c>
      <c r="B198" s="645" t="s">
        <v>570</v>
      </c>
      <c r="C198" s="807" t="e">
        <f ca="1">_xlfn.XLOOKUP(H199,Eingabe!$DE$5:$DE$32,Eingabe!$DC$5:$DC$32,0,0,1)</f>
        <v>#DIV/0!</v>
      </c>
      <c r="D198" s="646" t="s">
        <v>469</v>
      </c>
      <c r="E198" s="645" t="s">
        <v>637</v>
      </c>
      <c r="F198" s="779" t="e">
        <f ca="1">_xlfn.XLOOKUP(H199,Eingabe!$DE$5:$DE$32,Eingabe!$CV$5:$CV$32,0,0,1)</f>
        <v>#DIV/0!</v>
      </c>
      <c r="G198" s="1540" t="str">
        <f>Sprachtexte!$A$164</f>
        <v>Ausnutzung</v>
      </c>
      <c r="H198" s="1540"/>
      <c r="I198" s="1540"/>
    </row>
    <row r="199" spans="1:22" ht="16.5" customHeight="1">
      <c r="A199" s="645"/>
      <c r="B199" s="645" t="s">
        <v>571</v>
      </c>
      <c r="C199" s="807" t="e">
        <f ca="1">_xlfn.XLOOKUP(H199,Eingabe!$DE$5:$DE$32,Eingabe!$CP$5:$CP$32,0,0,1)</f>
        <v>#DIV/0!</v>
      </c>
      <c r="D199" s="646" t="s">
        <v>469</v>
      </c>
      <c r="E199" s="751" t="str">
        <f>Sprachtexte!$A$123</f>
        <v>aus</v>
      </c>
      <c r="F199" s="751" t="e">
        <f ca="1">_xlfn.XLOOKUP(H199,Eingabe!$DE$5:$DE$32,Eingabe!$BS$5:$BS$32,0,0,1)</f>
        <v>#DIV/0!</v>
      </c>
      <c r="G199" s="645" t="s">
        <v>638</v>
      </c>
      <c r="H199" s="866" t="e">
        <f ca="1">MAX(Eingabe!$DE$5:$DE$32)</f>
        <v>#DIV/0!</v>
      </c>
      <c r="I199" s="646"/>
    </row>
    <row r="200" spans="1:22" s="740" customFormat="1" ht="16.5" customHeight="1">
      <c r="A200" s="747" t="s">
        <v>880</v>
      </c>
      <c r="B200" s="585" t="str">
        <f>Sprachtexte!A124</f>
        <v>Kraft in Einschubrichtung</v>
      </c>
      <c r="C200" s="585"/>
      <c r="D200" s="585"/>
      <c r="E200" s="585"/>
      <c r="F200" s="585"/>
      <c r="G200" s="585"/>
      <c r="H200" s="585"/>
      <c r="I200" s="585"/>
      <c r="J200" s="872"/>
      <c r="K200" s="801"/>
      <c r="L200" s="899"/>
      <c r="M200" s="650"/>
      <c r="N200" s="917"/>
      <c r="O200" s="646"/>
      <c r="P200" s="933"/>
      <c r="Q200" s="646"/>
      <c r="R200" s="942"/>
      <c r="S200" s="650"/>
      <c r="T200" s="934"/>
      <c r="U200" s="650"/>
      <c r="V200" s="925"/>
    </row>
    <row r="202" spans="1:22" ht="16.5" customHeight="1">
      <c r="A202" s="767" t="str">
        <f>Sprachtexte!A129</f>
        <v>geneigte Schrauben 45° HT</v>
      </c>
      <c r="B202" s="781">
        <f>$C$51</f>
        <v>7</v>
      </c>
      <c r="C202" s="767" t="str">
        <f>$E$51</f>
        <v>SK 8x160</v>
      </c>
      <c r="D202" s="767"/>
      <c r="F202" s="767" t="str">
        <f>HLOOKUP(Ausgabe!$E$51,MKW!$A$116:$AZ$143,2,FALSE)</f>
        <v>Knapp Vollgewindeschraube</v>
      </c>
      <c r="H202" s="767"/>
    </row>
    <row r="203" spans="1:22" ht="16.5" customHeight="1">
      <c r="A203" s="767" t="str">
        <f>Sprachtexte!A130</f>
        <v>geneigte Schrauben 45° NT</v>
      </c>
      <c r="B203" s="781">
        <f>$C$53</f>
        <v>7</v>
      </c>
      <c r="C203" s="767" t="str">
        <f>$E$53</f>
        <v>SK 8x160</v>
      </c>
      <c r="D203" s="767"/>
      <c r="F203" s="767" t="str">
        <f>HLOOKUP(Ausgabe!$E$53,MKW!$A$116:$AZ$143,2,FALSE)</f>
        <v>Knapp Vollgewindeschraube</v>
      </c>
      <c r="H203" s="767"/>
    </row>
    <row r="204" spans="1:22" ht="16.5" customHeight="1">
      <c r="A204" s="767" t="str">
        <f>Sprachtexte!A56</f>
        <v>Gewindestangen</v>
      </c>
      <c r="B204" s="781">
        <f>$C$55</f>
        <v>1</v>
      </c>
      <c r="C204" s="767" t="str">
        <f>E55</f>
        <v>M20 x 340, 8.8</v>
      </c>
      <c r="D204" s="767"/>
      <c r="E204" s="767"/>
      <c r="H204" s="767"/>
      <c r="I204" s="767"/>
    </row>
    <row r="205" spans="1:22" ht="16.5" customHeight="1">
      <c r="A205" s="767"/>
      <c r="B205" s="781"/>
      <c r="C205" s="767"/>
      <c r="D205" s="767"/>
      <c r="E205" s="767"/>
      <c r="H205" s="767"/>
      <c r="I205" s="767"/>
    </row>
    <row r="206" spans="1:22" s="429" customFormat="1" ht="16.5" customHeight="1">
      <c r="A206" s="788" t="str">
        <f>Sprachtexte!A125</f>
        <v>(i) Tragfähigkeit der 45° Schrauben</v>
      </c>
      <c r="B206" s="788"/>
      <c r="C206" s="788"/>
      <c r="D206" s="788"/>
      <c r="E206" s="788"/>
      <c r="F206" s="788"/>
      <c r="G206" s="788"/>
      <c r="H206" s="788"/>
      <c r="I206" s="788"/>
      <c r="J206" s="873"/>
      <c r="K206" s="756" t="str">
        <f t="shared" ref="K206:K222" si="2">IF(AND(M206=O206, O206=Q206, Q206=S206, S206=U206,M206=""),"","NT")</f>
        <v/>
      </c>
      <c r="L206" s="899"/>
      <c r="M206" s="650"/>
      <c r="N206" s="918"/>
      <c r="O206" s="650"/>
      <c r="P206" s="934"/>
      <c r="Q206" s="650"/>
      <c r="R206" s="942"/>
      <c r="S206" s="650"/>
      <c r="T206" s="934"/>
      <c r="U206" s="650"/>
      <c r="V206" s="926"/>
    </row>
    <row r="207" spans="1:22" s="429" customFormat="1" ht="16.5" customHeight="1">
      <c r="A207" s="789" t="str">
        <f>Sprachtexte!A114</f>
        <v>Nebenträger</v>
      </c>
      <c r="B207" s="788"/>
      <c r="C207" s="788"/>
      <c r="D207" s="788"/>
      <c r="E207" s="788"/>
      <c r="F207" s="788"/>
      <c r="G207" s="788"/>
      <c r="H207" s="788"/>
      <c r="I207" s="788"/>
      <c r="J207" s="873"/>
      <c r="K207" s="756"/>
      <c r="L207" s="899"/>
      <c r="M207" s="650"/>
      <c r="N207" s="918"/>
      <c r="O207" s="650"/>
      <c r="P207" s="934"/>
      <c r="Q207" s="650"/>
      <c r="R207" s="942"/>
      <c r="S207" s="650"/>
      <c r="T207" s="934"/>
      <c r="U207" s="650"/>
      <c r="V207" s="926"/>
    </row>
    <row r="208" spans="1:22" s="429" customFormat="1" ht="16.5" customHeight="1">
      <c r="A208" s="697" t="str">
        <f>A700</f>
        <v>Schraubenlänge</v>
      </c>
      <c r="B208" s="697" t="s">
        <v>112</v>
      </c>
      <c r="C208" s="754">
        <f>IF(Eingabe!$V$17=50,Ausgabe!L208,IF(Eingabe!$V$17=51,Ausgabe!N208,IF(Eingabe!$V$17=52,Ausgabe!P208,IF(Eingabe!$V$17=53,Ausgabe!R208,IF(Eingabe!$V$17=54,Ausgabe!T208,"FEHLER")))))</f>
        <v>160</v>
      </c>
      <c r="D208" s="754" t="s">
        <v>2</v>
      </c>
      <c r="E208" s="650"/>
      <c r="F208" s="697"/>
      <c r="G208" s="697"/>
      <c r="H208" s="650"/>
      <c r="I208" s="776"/>
      <c r="J208" s="873"/>
      <c r="K208" s="756" t="str">
        <f t="shared" si="2"/>
        <v/>
      </c>
      <c r="L208" s="916">
        <f>Berechnung_BZoben!$C$44</f>
        <v>160</v>
      </c>
      <c r="M208" s="650"/>
      <c r="N208" s="918">
        <f>Berechnung_BZoben!$C$44</f>
        <v>160</v>
      </c>
      <c r="O208" s="650"/>
      <c r="P208" s="934">
        <f>Berechnung_BZoben!$C$44</f>
        <v>160</v>
      </c>
      <c r="Q208" s="650"/>
      <c r="R208" s="942">
        <f>Berechnung_BZoben!$C$44</f>
        <v>160</v>
      </c>
      <c r="S208" s="650"/>
      <c r="T208" s="934">
        <f>Berechnung_BZoben!$C$44</f>
        <v>160</v>
      </c>
      <c r="U208" s="650"/>
      <c r="V208" s="926"/>
    </row>
    <row r="209" spans="1:22" s="429" customFormat="1" ht="16.5" customHeight="1">
      <c r="A209" s="697" t="str">
        <f>A701</f>
        <v>Durchmesser</v>
      </c>
      <c r="B209" s="697" t="s">
        <v>111</v>
      </c>
      <c r="C209" s="754">
        <f>IF(Eingabe!$V$17=50,Ausgabe!L209,IF(Eingabe!$V$17=51,Ausgabe!N209,IF(Eingabe!$V$17=52,Ausgabe!P209,IF(Eingabe!$V$17=53,Ausgabe!R209,IF(Eingabe!$V$17=54,Ausgabe!T209,"FEHLER")))))</f>
        <v>8</v>
      </c>
      <c r="D209" s="754" t="s">
        <v>2</v>
      </c>
      <c r="E209" s="650"/>
      <c r="F209" s="697"/>
      <c r="G209" s="697"/>
      <c r="H209" s="650"/>
      <c r="I209" s="776"/>
      <c r="J209" s="873"/>
      <c r="K209" s="756" t="str">
        <f t="shared" si="2"/>
        <v/>
      </c>
      <c r="L209" s="899">
        <f>HLOOKUP(Ausgabe!$E$51,MKW!$A$116:$AZ$141,4,FALSE)</f>
        <v>8</v>
      </c>
      <c r="M209" s="650"/>
      <c r="N209" s="918">
        <f>HLOOKUP(Ausgabe!$E$51,MKW!$A$116:$AZ$141,4,FALSE)</f>
        <v>8</v>
      </c>
      <c r="O209" s="650"/>
      <c r="P209" s="934">
        <f>HLOOKUP(Ausgabe!$E$51,MKW!$A$116:$AZ$141,4,FALSE)</f>
        <v>8</v>
      </c>
      <c r="Q209" s="650"/>
      <c r="R209" s="942">
        <f>HLOOKUP(Ausgabe!$E$51,MKW!$A$116:$AZ$141,4,FALSE)</f>
        <v>8</v>
      </c>
      <c r="S209" s="650"/>
      <c r="T209" s="934">
        <f>HLOOKUP(Ausgabe!$E$51,MKW!$A$116:$AZ$141,4,FALSE)</f>
        <v>8</v>
      </c>
      <c r="U209" s="650"/>
      <c r="V209" s="926"/>
    </row>
    <row r="210" spans="1:22" s="429" customFormat="1" ht="16.5" customHeight="1">
      <c r="A210" s="697" t="str">
        <f>A702</f>
        <v>Schrauben-Faser-Winkel</v>
      </c>
      <c r="B210" s="697" t="s">
        <v>479</v>
      </c>
      <c r="C210" s="754">
        <f>IF(Eingabe!$V$17=50,Ausgabe!L210,IF(Eingabe!$V$17=51,Ausgabe!N210,IF(Eingabe!$V$17=52,Ausgabe!P210,IF(Eingabe!$V$17=53,Ausgabe!R210,IF(Eingabe!$V$17=54,Ausgabe!T210,"FEHLER")))))</f>
        <v>45</v>
      </c>
      <c r="D210" s="754" t="s">
        <v>270</v>
      </c>
      <c r="E210" s="650"/>
      <c r="F210" s="697"/>
      <c r="G210" s="697"/>
      <c r="H210" s="650"/>
      <c r="I210" s="776"/>
      <c r="J210" s="874" t="s">
        <v>327</v>
      </c>
      <c r="K210" s="756" t="str">
        <f t="shared" si="2"/>
        <v/>
      </c>
      <c r="L210" s="916">
        <f>ABS(NT45Schraube_Mat0_alpha)</f>
        <v>45</v>
      </c>
      <c r="M210" s="650"/>
      <c r="N210" s="920">
        <f>ABS(NT45Schraube_Mat0_alpha)</f>
        <v>45</v>
      </c>
      <c r="O210" s="650"/>
      <c r="P210" s="937">
        <f>ABS(NT45Schraube_Mat1_alpha)</f>
        <v>45</v>
      </c>
      <c r="Q210" s="650"/>
      <c r="R210" s="942">
        <f>ABS(NT45Schraube_Mat23_alpha)</f>
        <v>45</v>
      </c>
      <c r="S210" s="650"/>
      <c r="T210" s="934">
        <f>ABS(NT45Schraube_Mat23_alpha)</f>
        <v>45</v>
      </c>
      <c r="U210" s="650"/>
      <c r="V210" s="926"/>
    </row>
    <row r="211" spans="1:22" s="429" customFormat="1" ht="16.5" customHeight="1">
      <c r="A211" s="697" t="str">
        <f>A703</f>
        <v>Schr.-Deckfläche-Winkel</v>
      </c>
      <c r="B211" s="697" t="s">
        <v>480</v>
      </c>
      <c r="C211" s="754">
        <f>IF(Eingabe!$V$17=50,Ausgabe!L211,IF(Eingabe!$V$17=51,Ausgabe!N211,IF(Eingabe!$V$17=52,Ausgabe!P211,IF(Eingabe!$V$17=53,Ausgabe!R211,IF(Eingabe!$V$17=54,Ausgabe!T211,"FEHLER")))))</f>
        <v>0</v>
      </c>
      <c r="D211" s="754" t="s">
        <v>270</v>
      </c>
      <c r="E211" s="650"/>
      <c r="F211" s="697"/>
      <c r="G211" s="697"/>
      <c r="H211" s="650"/>
      <c r="I211" s="776"/>
      <c r="J211" s="874" t="s">
        <v>95</v>
      </c>
      <c r="K211" s="756" t="str">
        <f t="shared" si="2"/>
        <v/>
      </c>
      <c r="L211" s="899">
        <f>Berechnung_BZoben!$H$38</f>
        <v>0</v>
      </c>
      <c r="M211" s="650"/>
      <c r="N211" s="920">
        <f>Berechnung_BZoben!$H$38</f>
        <v>0</v>
      </c>
      <c r="O211" s="650"/>
      <c r="P211" s="934">
        <f>Berechnung_BZoben!$H$38</f>
        <v>0</v>
      </c>
      <c r="Q211" s="650"/>
      <c r="R211" s="944">
        <f>ABS(NT45Schraube_Mat23_beta)</f>
        <v>45</v>
      </c>
      <c r="S211" s="650"/>
      <c r="T211" s="934">
        <f>ABS(NT45Schraube_Mat23_beta)</f>
        <v>45</v>
      </c>
      <c r="U211" s="650"/>
      <c r="V211" s="926"/>
    </row>
    <row r="212" spans="1:22" s="429" customFormat="1" ht="16.5" customHeight="1">
      <c r="A212" s="697" t="str">
        <f>A705</f>
        <v>mittlere eff. Schraubenlänge</v>
      </c>
      <c r="B212" s="697" t="s">
        <v>547</v>
      </c>
      <c r="C212" s="754">
        <f ca="1">IF(Eingabe!$V$17=50,Ausgabe!L212,IF(Eingabe!$V$17=51,Ausgabe!N212,IF(Eingabe!$V$17=52,Ausgabe!P212,IF(Eingabe!$V$17=53,Ausgabe!R212,IF(Eingabe!$V$17=54,Ausgabe!T212,"FEHLER")))))</f>
        <v>142.5</v>
      </c>
      <c r="D212" s="754" t="s">
        <v>2</v>
      </c>
      <c r="E212" s="650" t="s">
        <v>584</v>
      </c>
      <c r="F212" s="697"/>
      <c r="G212" s="697"/>
      <c r="H212" s="650"/>
      <c r="I212" s="776"/>
      <c r="J212" s="874" t="s">
        <v>487</v>
      </c>
      <c r="K212" s="756" t="str">
        <f t="shared" si="2"/>
        <v>NT</v>
      </c>
      <c r="L212" s="899">
        <f ca="1">Berechnung_BZoben!$C$46</f>
        <v>142.5</v>
      </c>
      <c r="M212" s="650" t="s">
        <v>584</v>
      </c>
      <c r="N212" s="918">
        <f ca="1">Berechnung_BZoben!$C$46</f>
        <v>142.5</v>
      </c>
      <c r="O212" s="650" t="s">
        <v>584</v>
      </c>
      <c r="P212" s="934">
        <f ca="1">Berechnung_BZoben!$C$46</f>
        <v>142.5</v>
      </c>
      <c r="Q212" s="650" t="s">
        <v>584</v>
      </c>
      <c r="R212" s="942">
        <f ca="1">Berechnung_BZoben!$C$46</f>
        <v>142.5</v>
      </c>
      <c r="S212" s="650" t="s">
        <v>584</v>
      </c>
      <c r="T212" s="934">
        <f ca="1">Berechnung_BZoben!$C$46</f>
        <v>142.5</v>
      </c>
      <c r="U212" s="650" t="s">
        <v>584</v>
      </c>
      <c r="V212" s="926"/>
    </row>
    <row r="213" spans="1:22" s="429" customFormat="1" ht="16.5" customHeight="1">
      <c r="A213" s="697" t="str">
        <f>A707</f>
        <v>eff. Schraubenanzahl</v>
      </c>
      <c r="B213" s="697" t="s">
        <v>521</v>
      </c>
      <c r="C213" s="754">
        <f>IF(Eingabe!$V$17=50,Ausgabe!L213,IF(Eingabe!$V$17=51,Ausgabe!N213,IF(Eingabe!$V$17=52,Ausgabe!P213,IF(Eingabe!$V$17=53,Ausgabe!R213,IF(Eingabe!$V$17=54,Ausgabe!T213,"FEHLER")))))</f>
        <v>7</v>
      </c>
      <c r="D213" s="754" t="s">
        <v>124</v>
      </c>
      <c r="E213" s="650"/>
      <c r="F213" s="697"/>
      <c r="G213" s="697"/>
      <c r="H213" s="650"/>
      <c r="I213" s="776"/>
      <c r="J213" s="873"/>
      <c r="K213" s="756" t="str">
        <f t="shared" si="2"/>
        <v/>
      </c>
      <c r="L213" s="899">
        <f>$B$202</f>
        <v>7</v>
      </c>
      <c r="M213" s="650"/>
      <c r="N213" s="918">
        <f>$B$202</f>
        <v>7</v>
      </c>
      <c r="O213" s="650"/>
      <c r="P213" s="934">
        <f>$B$202</f>
        <v>7</v>
      </c>
      <c r="Q213" s="650"/>
      <c r="R213" s="942">
        <f>$B$202</f>
        <v>7</v>
      </c>
      <c r="S213" s="650"/>
      <c r="T213" s="934">
        <f>$B$202</f>
        <v>7</v>
      </c>
      <c r="U213" s="650"/>
      <c r="V213" s="926"/>
    </row>
    <row r="214" spans="1:22" s="429" customFormat="1" ht="16.5" customHeight="1">
      <c r="A214" s="697" t="str">
        <f>A708</f>
        <v>char. Rohdichte</v>
      </c>
      <c r="B214" s="784" t="s">
        <v>2425</v>
      </c>
      <c r="C214" s="754">
        <f>IF(Eingabe!$V$17=50,Ausgabe!L214,IF(Eingabe!$V$17=51,Ausgabe!N214,IF(Eingabe!$V$17=52,Ausgabe!P214,IF(Eingabe!$V$17=53,Ausgabe!R214,IF(Eingabe!$V$17=54,Ausgabe!T214,"FEHLER")))))</f>
        <v>385</v>
      </c>
      <c r="D214" s="754" t="s">
        <v>115</v>
      </c>
      <c r="E214" s="650" t="str">
        <f>HLOOKUP($F$23,MKW!$E$3:$BS$22,3,0)</f>
        <v>DIN EN 14080:2013-09, Tab. 5</v>
      </c>
      <c r="F214" s="697"/>
      <c r="G214" s="697"/>
      <c r="H214" s="650"/>
      <c r="I214" s="776"/>
      <c r="J214" s="873"/>
      <c r="K214" s="756" t="str">
        <f t="shared" si="2"/>
        <v>NT</v>
      </c>
      <c r="L214" s="899">
        <f>HLOOKUP($F$23,MKW!$E$3:$BS$22,19,0)</f>
        <v>385</v>
      </c>
      <c r="M214" s="650" t="str">
        <f>HLOOKUP($F$23,MKW!$E$3:$BS$22,3,0)</f>
        <v>DIN EN 14080:2013-09, Tab. 5</v>
      </c>
      <c r="N214" s="918">
        <f>HLOOKUP($F$23,MKW!$E$3:$BS$22,19,0)</f>
        <v>385</v>
      </c>
      <c r="O214" s="650" t="str">
        <f>HLOOKUP($F$23,MKW!$E$3:$BS$22,3,0)</f>
        <v>DIN EN 14080:2013-09, Tab. 5</v>
      </c>
      <c r="P214" s="934">
        <f>HLOOKUP($F$23,MKW!$E$3:$BS$22,19,0)</f>
        <v>385</v>
      </c>
      <c r="Q214" s="650" t="str">
        <f>HLOOKUP($F$23,MKW!$E$3:$BS$22,3,0)</f>
        <v>DIN EN 14080:2013-09, Tab. 5</v>
      </c>
      <c r="R214" s="942">
        <f>HLOOKUP($F$23,MKW!$E$3:$BS$22,19,0)</f>
        <v>385</v>
      </c>
      <c r="S214" s="650" t="str">
        <f>HLOOKUP($F$23,MKW!$E$3:$BS$22,3,0)</f>
        <v>DIN EN 14080:2013-09, Tab. 5</v>
      </c>
      <c r="T214" s="934">
        <f>HLOOKUP($F$23,MKW!$E$3:$BS$22,19,0)</f>
        <v>385</v>
      </c>
      <c r="U214" s="650" t="str">
        <f>HLOOKUP($F$23,MKW!$E$3:$BS$22,3,0)</f>
        <v>DIN EN 14080:2013-09, Tab. 5</v>
      </c>
      <c r="V214" s="926"/>
    </row>
    <row r="215" spans="1:22" s="429" customFormat="1" ht="16.5" customHeight="1">
      <c r="A215" s="697" t="str">
        <f>A709</f>
        <v>char. Ausziehparamter</v>
      </c>
      <c r="B215" s="697" t="s">
        <v>2426</v>
      </c>
      <c r="C215" s="806">
        <f ca="1">IF(Eingabe!$V$17=50,Ausgabe!L215,IF(Eingabe!$V$17=51,Ausgabe!N215,IF(Eingabe!$V$17=52,Ausgabe!P215,IF(Eingabe!$V$17=53,Ausgabe!R215,IF(Eingabe!$V$17=54,Ausgabe!T215,"FEHLER")))))</f>
        <v>13.105254140356388</v>
      </c>
      <c r="D215" s="754" t="s">
        <v>3</v>
      </c>
      <c r="E215" s="650" t="s">
        <v>578</v>
      </c>
      <c r="F215" s="697"/>
      <c r="G215" s="697"/>
      <c r="H215" s="650"/>
      <c r="I215" s="776"/>
      <c r="J215" s="873"/>
      <c r="K215" s="756" t="str">
        <f t="shared" si="2"/>
        <v>NT</v>
      </c>
      <c r="L215" s="913">
        <f ca="1">0.52*L209^(-0.5)*L212^(-0.1)*L214^0.8</f>
        <v>13.105254140356388</v>
      </c>
      <c r="M215" s="650" t="s">
        <v>578</v>
      </c>
      <c r="N215" s="918">
        <f>11</f>
        <v>11</v>
      </c>
      <c r="O215" s="650" t="s">
        <v>707</v>
      </c>
      <c r="P215" s="934">
        <f>11</f>
        <v>11</v>
      </c>
      <c r="Q215" s="650" t="s">
        <v>707</v>
      </c>
      <c r="R215" s="942">
        <v>35</v>
      </c>
      <c r="S215" s="650" t="s">
        <v>586</v>
      </c>
      <c r="T215" s="934">
        <f>11</f>
        <v>11</v>
      </c>
      <c r="U215" s="650" t="s">
        <v>707</v>
      </c>
      <c r="V215" s="926"/>
    </row>
    <row r="216" spans="1:22" s="429" customFormat="1" ht="16.5" customHeight="1">
      <c r="A216" s="697" t="str">
        <f>A710</f>
        <v>Dimensionskoeffizient</v>
      </c>
      <c r="B216" s="697" t="s">
        <v>2427</v>
      </c>
      <c r="C216" s="754">
        <f>IF(Eingabe!$V$17=50,Ausgabe!L216,IF(Eingabe!$V$17=51,Ausgabe!N216,IF(Eingabe!$V$17=52,Ausgabe!P216,IF(Eingabe!$V$17=53,Ausgabe!R216,IF(Eingabe!$V$17=54,Ausgabe!T216,"FEHLER")))))</f>
        <v>1</v>
      </c>
      <c r="D216" s="650" t="s">
        <v>124</v>
      </c>
      <c r="E216" s="650" t="s">
        <v>530</v>
      </c>
      <c r="F216" s="776"/>
      <c r="G216" s="776"/>
      <c r="H216" s="776"/>
      <c r="I216" s="776"/>
      <c r="J216" s="873"/>
      <c r="K216" s="756" t="str">
        <f t="shared" si="2"/>
        <v>NT</v>
      </c>
      <c r="L216" s="914">
        <f>IF(AND(L210&gt;=0,L210&lt;45),0.3+0.7*L210/45,1)</f>
        <v>1</v>
      </c>
      <c r="M216" s="650" t="s">
        <v>530</v>
      </c>
      <c r="N216" s="918">
        <f>IF(AND(N210&gt;=0,N210&lt;45),0.3+0.7*N210/45,1)</f>
        <v>1</v>
      </c>
      <c r="O216" s="650" t="s">
        <v>530</v>
      </c>
      <c r="P216" s="934">
        <f>IF(AND(P210&gt;=0,P210&lt;45),0.3+0.7*P210/45,1)</f>
        <v>1</v>
      </c>
      <c r="Q216" s="650" t="s">
        <v>530</v>
      </c>
      <c r="R216" s="942">
        <f>IF(AND(R210&gt;=0,R210&lt;45),0.5+0.5*R210/45,1)</f>
        <v>1</v>
      </c>
      <c r="S216" s="650" t="s">
        <v>530</v>
      </c>
      <c r="T216" s="934">
        <f>IF(AND(T210&gt;=0,T210&lt;45),0.5+0.5*T210/45,1)</f>
        <v>1</v>
      </c>
      <c r="U216" s="650" t="s">
        <v>530</v>
      </c>
      <c r="V216" s="926"/>
    </row>
    <row r="217" spans="1:22" s="429" customFormat="1" ht="16.5" customHeight="1">
      <c r="A217" s="776"/>
      <c r="B217" s="776"/>
      <c r="C217" s="776"/>
      <c r="D217" s="790"/>
      <c r="E217" s="650" t="s">
        <v>709</v>
      </c>
      <c r="F217" s="776"/>
      <c r="G217" s="776"/>
      <c r="H217" s="776"/>
      <c r="I217" s="776"/>
      <c r="J217" s="873"/>
      <c r="K217" s="756" t="str">
        <f t="shared" si="2"/>
        <v>NT</v>
      </c>
      <c r="L217" s="899"/>
      <c r="M217" s="650" t="s">
        <v>709</v>
      </c>
      <c r="N217" s="918"/>
      <c r="O217" s="650" t="s">
        <v>708</v>
      </c>
      <c r="P217" s="934"/>
      <c r="Q217" s="650" t="s">
        <v>708</v>
      </c>
      <c r="R217" s="942"/>
      <c r="S217" s="650" t="s">
        <v>708</v>
      </c>
      <c r="T217" s="934"/>
      <c r="U217" s="650" t="s">
        <v>708</v>
      </c>
      <c r="V217" s="926"/>
    </row>
    <row r="218" spans="1:22" s="429" customFormat="1" ht="16.5" customHeight="1">
      <c r="A218" s="697" t="str">
        <f>A711</f>
        <v>Koeffizient</v>
      </c>
      <c r="B218" s="697" t="s">
        <v>2428</v>
      </c>
      <c r="C218" s="754" t="str">
        <f>IF(Eingabe!$V$17=50,Ausgabe!L218,IF(Eingabe!$V$17=51,Ausgabe!N218,IF(Eingabe!$V$17=52,Ausgabe!P218,IF(Eingabe!$V$17=53,Ausgabe!R218,IF(Eingabe!$V$17=54,Ausgabe!T218,"FEHLER")))))</f>
        <v>-</v>
      </c>
      <c r="D218" s="650" t="s">
        <v>124</v>
      </c>
      <c r="E218" s="650"/>
      <c r="F218" s="776"/>
      <c r="G218" s="776"/>
      <c r="H218" s="776"/>
      <c r="I218" s="776"/>
      <c r="J218" s="873"/>
      <c r="K218" s="756" t="str">
        <f t="shared" si="2"/>
        <v>NT</v>
      </c>
      <c r="L218" s="899" t="s">
        <v>124</v>
      </c>
      <c r="M218" s="650"/>
      <c r="N218" s="918">
        <v>1</v>
      </c>
      <c r="O218" s="650" t="s">
        <v>591</v>
      </c>
      <c r="P218" s="934">
        <v>1</v>
      </c>
      <c r="Q218" s="650" t="s">
        <v>591</v>
      </c>
      <c r="R218" s="942">
        <f>1.5*COS(RADIANS(R211))^2+SIN(RADIANS(R211))^2</f>
        <v>1.25</v>
      </c>
      <c r="S218" s="650" t="s">
        <v>762</v>
      </c>
      <c r="T218" s="934">
        <f>1.5*COS(RADIANS(T211))^2+SIN(RADIANS(T211))^2</f>
        <v>1.25</v>
      </c>
      <c r="U218" s="650" t="s">
        <v>762</v>
      </c>
      <c r="V218" s="926"/>
    </row>
    <row r="219" spans="1:22" s="429" customFormat="1" ht="16.5" customHeight="1">
      <c r="A219" s="697" t="str">
        <f>A715</f>
        <v>char. Zugfestigkeit</v>
      </c>
      <c r="B219" s="697" t="s">
        <v>2429</v>
      </c>
      <c r="C219" s="754">
        <f>HLOOKUP(Ausgabe!$E$52,MKW!$A$116:$AZ$143,8,FALSE)</f>
        <v>20</v>
      </c>
      <c r="D219" s="650" t="s">
        <v>469</v>
      </c>
      <c r="E219" s="650" t="str">
        <f>HLOOKUP(Ausgabe!$E$52,MKW!$A$116:$AZ$143,3,FALSE)</f>
        <v>ETA-15/0667</v>
      </c>
      <c r="F219" s="776"/>
      <c r="G219" s="776"/>
      <c r="H219" s="776"/>
      <c r="I219" s="776"/>
      <c r="J219" s="873"/>
      <c r="K219" s="756" t="str">
        <f t="shared" si="2"/>
        <v>NT</v>
      </c>
      <c r="L219" s="899">
        <f>HLOOKUP(Ausgabe!$E$53,MKW!$A$116:$AZ$143,8,FALSE)</f>
        <v>20</v>
      </c>
      <c r="M219" s="650" t="str">
        <f>HLOOKUP(Ausgabe!$E$52,MKW!$A$116:$AZ$143,3,FALSE)</f>
        <v>ETA-15/0667</v>
      </c>
      <c r="N219" s="918">
        <f>HLOOKUP(Ausgabe!$E$53,MKW!$A$116:$AZ$143,8,FALSE)</f>
        <v>20</v>
      </c>
      <c r="O219" s="650" t="str">
        <f>HLOOKUP(Ausgabe!$E$52,MKW!$A$116:$AZ$143,3,FALSE)</f>
        <v>ETA-15/0667</v>
      </c>
      <c r="P219" s="934">
        <f>HLOOKUP(Ausgabe!$E$53,MKW!$A$116:$AZ$143,8,FALSE)</f>
        <v>20</v>
      </c>
      <c r="Q219" s="650" t="str">
        <f>HLOOKUP(Ausgabe!$E$52,MKW!$A$116:$AZ$143,3,FALSE)</f>
        <v>ETA-15/0667</v>
      </c>
      <c r="R219" s="942">
        <f>HLOOKUP(Ausgabe!$E$53,MKW!$A$116:$AZ$143,8,FALSE)</f>
        <v>20</v>
      </c>
      <c r="S219" s="650" t="str">
        <f>HLOOKUP(Ausgabe!$E$52,MKW!$A$116:$AZ$143,3,FALSE)</f>
        <v>ETA-15/0667</v>
      </c>
      <c r="T219" s="934">
        <f>HLOOKUP(Ausgabe!$E$53,MKW!$A$116:$AZ$143,8,FALSE)</f>
        <v>20</v>
      </c>
      <c r="U219" s="650" t="str">
        <f>HLOOKUP(Ausgabe!$E$52,MKW!$A$116:$AZ$143,3,FALSE)</f>
        <v>ETA-15/0667</v>
      </c>
      <c r="V219" s="926"/>
    </row>
    <row r="220" spans="1:22" s="429" customFormat="1" ht="16.5" customHeight="1">
      <c r="A220" s="697" t="str">
        <f>A718</f>
        <v>char. Ausziehwiderstand</v>
      </c>
      <c r="B220" s="697" t="s">
        <v>2430</v>
      </c>
      <c r="C220" s="806">
        <f ca="1">IF(Eingabe!$V$17=50,Ausgabe!L220,IF(Eingabe!$V$17=51,Ausgabe!N220,IF(Eingabe!$V$17=52,Ausgabe!P220,IF(Eingabe!$V$17=53,Ausgabe!R220,IF(Eingabe!$V$17=54,Ausgabe!T220,"FEHLER")))))</f>
        <v>14.939989720006283</v>
      </c>
      <c r="D220" s="650" t="s">
        <v>469</v>
      </c>
      <c r="E220" s="650" t="s">
        <v>711</v>
      </c>
      <c r="F220" s="776"/>
      <c r="G220" s="776"/>
      <c r="H220" s="776"/>
      <c r="I220" s="776"/>
      <c r="J220" s="873"/>
      <c r="K220" s="756" t="str">
        <f t="shared" si="2"/>
        <v>NT</v>
      </c>
      <c r="L220" s="916">
        <f ca="1">L209*L212*L216*L215*1/1000</f>
        <v>14.939989720006283</v>
      </c>
      <c r="M220" s="650" t="s">
        <v>711</v>
      </c>
      <c r="N220" s="915">
        <f ca="1">N209*N212*N216*N215*(N214/350)^0.8*1/N218*1/1000</f>
        <v>13.533548530048092</v>
      </c>
      <c r="O220" s="650" t="s">
        <v>710</v>
      </c>
      <c r="P220" s="938">
        <f ca="1">P209*P212*P216*P215*(P214/350)^0.8*1/P218*1/1000</f>
        <v>13.533548530048092</v>
      </c>
      <c r="Q220" s="650" t="s">
        <v>710</v>
      </c>
      <c r="R220" s="943">
        <f ca="1">R209*R212*R216*R215*(R214/730)^0.8*1/R218*1/1000</f>
        <v>19.132564151302503</v>
      </c>
      <c r="S220" s="754" t="s">
        <v>712</v>
      </c>
      <c r="T220" s="938">
        <f ca="1">T209*T212*T216*T215*(T214/350)^0.8*1/T218*1/1000</f>
        <v>10.826838824038473</v>
      </c>
      <c r="U220" s="650" t="s">
        <v>710</v>
      </c>
      <c r="V220" s="926"/>
    </row>
    <row r="221" spans="1:22" s="429" customFormat="1" ht="16.5" customHeight="1">
      <c r="A221" s="697" t="str">
        <f>A713</f>
        <v>char. Tragfähigkeit</v>
      </c>
      <c r="B221" s="697" t="s">
        <v>2431</v>
      </c>
      <c r="C221" s="806">
        <f ca="1">IF(Eingabe!$V$17=50,Ausgabe!L221,IF(Eingabe!$V$17=51,Ausgabe!N221,IF(Eingabe!$V$17=52,Ausgabe!P221,IF(Eingabe!$V$17=53,Ausgabe!R221,IF(Eingabe!$V$17=54,Ausgabe!T221,"FEHLER")))))</f>
        <v>92.436470366395326</v>
      </c>
      <c r="D221" s="650" t="s">
        <v>469</v>
      </c>
      <c r="E221" s="805" t="s">
        <v>2154</v>
      </c>
      <c r="F221" s="776"/>
      <c r="G221" s="776"/>
      <c r="H221" s="776"/>
      <c r="I221" s="776"/>
      <c r="J221" s="873"/>
      <c r="K221" s="756" t="str">
        <f t="shared" si="2"/>
        <v>NT</v>
      </c>
      <c r="L221" s="913">
        <f ca="1">1.25*L213/SQRT(2)*MIN(L220,1.15*L219)</f>
        <v>92.436470366395326</v>
      </c>
      <c r="M221" s="805" t="s">
        <v>2154</v>
      </c>
      <c r="N221" s="915">
        <f ca="1">1.25*N213/SQRT(2)*MIN(N220,1.15*N219)</f>
        <v>83.734559467249582</v>
      </c>
      <c r="O221" s="805" t="s">
        <v>2154</v>
      </c>
      <c r="P221" s="938">
        <f ca="1">1.25*P213/SQRT(2)*MIN(P220,1.15*P219)</f>
        <v>83.734559467249582</v>
      </c>
      <c r="Q221" s="805" t="s">
        <v>2154</v>
      </c>
      <c r="R221" s="935">
        <f ca="1">1.25*R213/SQRT(2)*MIN(R220,1.15*R219)</f>
        <v>118.37670121263561</v>
      </c>
      <c r="S221" s="805" t="s">
        <v>2154</v>
      </c>
      <c r="T221" s="938">
        <f ca="1">1.25*T213/SQRT(2)*MIN(T220,1.15*T219)</f>
        <v>66.987647573799663</v>
      </c>
      <c r="U221" s="805" t="s">
        <v>2154</v>
      </c>
      <c r="V221" s="926"/>
    </row>
    <row r="222" spans="1:22" s="429" customFormat="1" ht="16.5" customHeight="1">
      <c r="A222" s="697" t="str">
        <f>A714</f>
        <v>Teilsicherheitsbeiwert</v>
      </c>
      <c r="B222" s="697" t="s">
        <v>713</v>
      </c>
      <c r="C222" s="754">
        <f>IF(Eingabe!$V$17=50,Ausgabe!L222,IF(Eingabe!$V$17=51,Ausgabe!N222,IF(Eingabe!$V$17=52,Ausgabe!P222,IF(Eingabe!$V$17=53,Ausgabe!R222,IF(Eingabe!$V$17=54,Ausgabe!T222,"FEHLER")))))</f>
        <v>1.3</v>
      </c>
      <c r="D222" s="650" t="s">
        <v>124</v>
      </c>
      <c r="E222" s="650" t="s">
        <v>524</v>
      </c>
      <c r="F222" s="776"/>
      <c r="G222" s="776"/>
      <c r="H222" s="776"/>
      <c r="I222" s="776"/>
      <c r="J222" s="873"/>
      <c r="K222" s="756" t="str">
        <f t="shared" si="2"/>
        <v>NT</v>
      </c>
      <c r="L222" s="899">
        <f>Eingabe!$C$33</f>
        <v>1.3</v>
      </c>
      <c r="M222" s="650" t="s">
        <v>524</v>
      </c>
      <c r="N222" s="918">
        <f>Eingabe!$C$33</f>
        <v>1.3</v>
      </c>
      <c r="O222" s="650" t="s">
        <v>524</v>
      </c>
      <c r="P222" s="934">
        <f>Eingabe!$C$33</f>
        <v>1.3</v>
      </c>
      <c r="Q222" s="650" t="s">
        <v>524</v>
      </c>
      <c r="R222" s="942">
        <f>Eingabe!$C$33</f>
        <v>1.3</v>
      </c>
      <c r="S222" s="650" t="s">
        <v>524</v>
      </c>
      <c r="T222" s="934">
        <f>Eingabe!$C$33</f>
        <v>1.3</v>
      </c>
      <c r="U222" s="650" t="s">
        <v>524</v>
      </c>
      <c r="V222" s="926"/>
    </row>
    <row r="223" spans="1:22" s="429" customFormat="1" ht="16.5" customHeight="1">
      <c r="A223" s="697"/>
      <c r="B223" s="697"/>
      <c r="C223" s="754"/>
      <c r="D223" s="650"/>
      <c r="E223" s="650"/>
      <c r="F223" s="776"/>
      <c r="G223" s="776"/>
      <c r="H223" s="776"/>
      <c r="I223" s="776"/>
      <c r="J223" s="873"/>
      <c r="K223" s="756"/>
      <c r="L223" s="899"/>
      <c r="M223" s="650"/>
      <c r="N223" s="918"/>
      <c r="O223" s="650"/>
      <c r="P223" s="934"/>
      <c r="Q223" s="650"/>
      <c r="R223" s="942"/>
      <c r="S223" s="650"/>
      <c r="T223" s="934"/>
      <c r="U223" s="650"/>
      <c r="V223" s="926"/>
    </row>
    <row r="224" spans="1:22" s="429" customFormat="1" ht="16.5" customHeight="1">
      <c r="A224" s="789" t="str">
        <f>IF(Eingabe!C28=Eingabe!BL27,Sprachtexte!A112,IF(Eingabe!C28=Eingabe!BL28,Sprachtexte!A113,NA()))</f>
        <v>Hauptträger</v>
      </c>
      <c r="B224" s="788"/>
      <c r="C224" s="788"/>
      <c r="D224" s="789"/>
      <c r="E224" s="776"/>
      <c r="F224" s="788"/>
      <c r="G224" s="788"/>
      <c r="H224" s="788"/>
      <c r="I224" s="788"/>
      <c r="J224" s="873"/>
      <c r="K224" s="756" t="str">
        <f t="shared" ref="K224:K240" si="3">IF(AND(M224=O224,O224=Q224,Q224=S224,S224=U224,M224=""),"","HT")</f>
        <v/>
      </c>
      <c r="L224" s="899"/>
      <c r="M224" s="650"/>
      <c r="N224" s="918"/>
      <c r="O224" s="650"/>
      <c r="P224" s="934"/>
      <c r="Q224" s="650"/>
      <c r="R224" s="942"/>
      <c r="S224" s="650"/>
      <c r="T224" s="934"/>
      <c r="U224" s="650"/>
      <c r="V224" s="926"/>
    </row>
    <row r="225" spans="1:22" s="429" customFormat="1" ht="16.5" customHeight="1">
      <c r="A225" s="697" t="str">
        <f>A700</f>
        <v>Schraubenlänge</v>
      </c>
      <c r="B225" s="697" t="s">
        <v>112</v>
      </c>
      <c r="C225" s="810">
        <f>IF(Eingabe!$V$16=50,Ausgabe!L225,IF(Eingabe!$V$16=51,Ausgabe!N225,IF(Eingabe!$V$16=52,Ausgabe!P225,IF(Eingabe!$V$16=53,Ausgabe!R225,IF(Eingabe!$V$16=54,Ausgabe!T225,"FEHLER")))))</f>
        <v>160</v>
      </c>
      <c r="D225" s="650" t="s">
        <v>2</v>
      </c>
      <c r="E225" s="650"/>
      <c r="F225" s="776"/>
      <c r="G225" s="776"/>
      <c r="H225" s="776"/>
      <c r="I225" s="776"/>
      <c r="J225" s="873"/>
      <c r="K225" s="756" t="str">
        <f t="shared" si="3"/>
        <v/>
      </c>
      <c r="L225" s="899">
        <f>HLOOKUP(Ausgabe!$E$51,MKW!$A$116:$AZ$141,5,FALSE)</f>
        <v>160</v>
      </c>
      <c r="M225" s="650"/>
      <c r="N225" s="918">
        <f>HLOOKUP(Ausgabe!$E$51,MKW!$A$116:$AZ$141,5,FALSE)</f>
        <v>160</v>
      </c>
      <c r="O225" s="650"/>
      <c r="P225" s="934">
        <f>HLOOKUP(Ausgabe!$E$51,MKW!$A$116:$AZ$141,5,FALSE)</f>
        <v>160</v>
      </c>
      <c r="Q225" s="650"/>
      <c r="R225" s="942">
        <f>HLOOKUP(Ausgabe!$E$51,MKW!$A$116:$AZ$141,5,FALSE)</f>
        <v>160</v>
      </c>
      <c r="S225" s="650"/>
      <c r="T225" s="934">
        <f>HLOOKUP(Ausgabe!$E$51,MKW!$A$116:$AZ$141,5,FALSE)</f>
        <v>160</v>
      </c>
      <c r="U225" s="650"/>
      <c r="V225" s="926"/>
    </row>
    <row r="226" spans="1:22" s="429" customFormat="1" ht="16.5" customHeight="1">
      <c r="A226" s="697" t="str">
        <f>A701</f>
        <v>Durchmesser</v>
      </c>
      <c r="B226" s="697" t="s">
        <v>111</v>
      </c>
      <c r="C226" s="806">
        <f>IF(Eingabe!$V$16=50,Ausgabe!L226,IF(Eingabe!$V$16=51,Ausgabe!N226,IF(Eingabe!$V$16=52,Ausgabe!P226,IF(Eingabe!$V$16=53,Ausgabe!R226,IF(Eingabe!$V$16=54,Ausgabe!T226,"FEHLER")))))</f>
        <v>8</v>
      </c>
      <c r="D226" s="650" t="s">
        <v>2</v>
      </c>
      <c r="E226" s="650"/>
      <c r="F226" s="776"/>
      <c r="G226" s="776"/>
      <c r="H226" s="776"/>
      <c r="I226" s="776"/>
      <c r="J226" s="873"/>
      <c r="K226" s="756" t="str">
        <f t="shared" si="3"/>
        <v/>
      </c>
      <c r="L226" s="899">
        <f>HLOOKUP(Ausgabe!$E$51,MKW!$A$116:$AZ$141,4,FALSE)</f>
        <v>8</v>
      </c>
      <c r="M226" s="650"/>
      <c r="N226" s="918">
        <f>HLOOKUP(Ausgabe!$E$51,MKW!$A$116:$AZ$141,4,FALSE)</f>
        <v>8</v>
      </c>
      <c r="O226" s="650"/>
      <c r="P226" s="934">
        <f>HLOOKUP(Ausgabe!$E$51,MKW!$A$116:$AZ$141,4,FALSE)</f>
        <v>8</v>
      </c>
      <c r="Q226" s="650"/>
      <c r="R226" s="942">
        <f>HLOOKUP(Ausgabe!$E$51,MKW!$A$116:$AZ$141,4,FALSE)</f>
        <v>8</v>
      </c>
      <c r="S226" s="650"/>
      <c r="T226" s="934">
        <f>HLOOKUP(Ausgabe!$E$51,MKW!$A$116:$AZ$141,4,FALSE)</f>
        <v>8</v>
      </c>
      <c r="U226" s="650"/>
      <c r="V226" s="926"/>
    </row>
    <row r="227" spans="1:22" s="429" customFormat="1" ht="16.5" customHeight="1">
      <c r="A227" s="697" t="str">
        <f>A702</f>
        <v>Schrauben-Faser-Winkel</v>
      </c>
      <c r="B227" s="697" t="s">
        <v>479</v>
      </c>
      <c r="C227" s="806">
        <f>IF(Eingabe!$V$16=50,Ausgabe!L227,IF(Eingabe!$V$16=51,Ausgabe!N227,IF(Eingabe!$V$16=52,Ausgabe!P227,IF(Eingabe!$V$16=53,Ausgabe!R227,IF(Eingabe!$V$16=54,Ausgabe!T227,"FEHLER")))))</f>
        <v>90</v>
      </c>
      <c r="D227" s="650" t="s">
        <v>270</v>
      </c>
      <c r="E227" s="650"/>
      <c r="F227" s="776"/>
      <c r="G227" s="776"/>
      <c r="H227" s="776"/>
      <c r="I227" s="776"/>
      <c r="J227" s="873"/>
      <c r="K227" s="756" t="str">
        <f t="shared" si="3"/>
        <v/>
      </c>
      <c r="L227" s="899">
        <f>ABS(HT45Schraube_Mat0_alpha)</f>
        <v>90</v>
      </c>
      <c r="M227" s="650"/>
      <c r="N227" s="918">
        <f>ABS(HT45Schraube_Mat0_alpha)</f>
        <v>90</v>
      </c>
      <c r="O227" s="650"/>
      <c r="P227" s="934">
        <f>ABS(HT90Schraube_Mat1_alpha)</f>
        <v>90</v>
      </c>
      <c r="Q227" s="650"/>
      <c r="R227" s="942">
        <f>ABS(HT90Schraube_Mat23_alpha)</f>
        <v>90</v>
      </c>
      <c r="S227" s="650"/>
      <c r="T227" s="934">
        <f>ABS(HT90Schraube_Mat23_alpha)</f>
        <v>90</v>
      </c>
      <c r="U227" s="650"/>
      <c r="V227" s="926"/>
    </row>
    <row r="228" spans="1:22" s="429" customFormat="1" ht="16.5" customHeight="1">
      <c r="A228" s="697" t="str">
        <f>A703</f>
        <v>Schr.-Deckfläche-Winkel</v>
      </c>
      <c r="B228" s="697" t="s">
        <v>480</v>
      </c>
      <c r="C228" s="806" t="str">
        <f>IF(Eingabe!$V$16=50,Ausgabe!L228,IF(Eingabe!$V$16=51,Ausgabe!N228,IF(Eingabe!$V$16=52,Ausgabe!P228,IF(Eingabe!$V$16=53,Ausgabe!R228,IF(Eingabe!$V$16=54,Ausgabe!T228,"FEHLER")))))</f>
        <v>-</v>
      </c>
      <c r="D228" s="650" t="s">
        <v>270</v>
      </c>
      <c r="E228" s="650"/>
      <c r="F228" s="776"/>
      <c r="G228" s="776"/>
      <c r="H228" s="776"/>
      <c r="I228" s="776"/>
      <c r="J228" s="874" t="s">
        <v>327</v>
      </c>
      <c r="K228" s="756" t="str">
        <f t="shared" si="3"/>
        <v/>
      </c>
      <c r="L228" s="899" t="s">
        <v>124</v>
      </c>
      <c r="M228" s="650"/>
      <c r="N228" s="918" t="s">
        <v>124</v>
      </c>
      <c r="O228" s="650"/>
      <c r="P228" s="934" t="s">
        <v>124</v>
      </c>
      <c r="Q228" s="650"/>
      <c r="R228" s="942">
        <f>ABS(HT45Schraube_Mat23_beta)</f>
        <v>45</v>
      </c>
      <c r="S228" s="650"/>
      <c r="T228" s="934">
        <f>ABS(HT45Schraube_Mat23_beta)</f>
        <v>45</v>
      </c>
      <c r="U228" s="650"/>
      <c r="V228" s="926"/>
    </row>
    <row r="229" spans="1:22" s="429" customFormat="1" ht="16.5" customHeight="1">
      <c r="A229" s="697" t="str">
        <f>A705</f>
        <v>mittlere eff. Schraubenlänge</v>
      </c>
      <c r="B229" s="697" t="s">
        <v>547</v>
      </c>
      <c r="C229" s="806">
        <f ca="1">IF(Eingabe!$V$16=50,Ausgabe!L229,IF(Eingabe!$V$16=51,Ausgabe!N229,IF(Eingabe!$V$16=52,Ausgabe!P229,IF(Eingabe!$V$16=53,Ausgabe!R229,IF(Eingabe!$V$16=54,Ausgabe!T229,"FEHLER")))))</f>
        <v>142.5</v>
      </c>
      <c r="D229" s="650" t="s">
        <v>2</v>
      </c>
      <c r="E229" s="650" t="s">
        <v>584</v>
      </c>
      <c r="F229" s="776"/>
      <c r="G229" s="776"/>
      <c r="H229" s="776"/>
      <c r="I229" s="776"/>
      <c r="J229" s="874" t="s">
        <v>94</v>
      </c>
      <c r="K229" s="756" t="str">
        <f t="shared" si="3"/>
        <v>HT</v>
      </c>
      <c r="L229" s="916">
        <f ca="1">Berechnung_BZoben!$C$29</f>
        <v>142.5</v>
      </c>
      <c r="M229" s="650" t="s">
        <v>584</v>
      </c>
      <c r="N229" s="918">
        <f ca="1">Berechnung_BZoben!$C$29</f>
        <v>142.5</v>
      </c>
      <c r="O229" s="650" t="s">
        <v>584</v>
      </c>
      <c r="P229" s="934">
        <f ca="1">Berechnung_BZoben!$C$29</f>
        <v>142.5</v>
      </c>
      <c r="Q229" s="650" t="s">
        <v>584</v>
      </c>
      <c r="R229" s="942">
        <f ca="1">Berechnung_BZoben!$C$29</f>
        <v>142.5</v>
      </c>
      <c r="S229" s="650" t="s">
        <v>584</v>
      </c>
      <c r="T229" s="934">
        <f ca="1">Berechnung_BZoben!$C$29</f>
        <v>142.5</v>
      </c>
      <c r="U229" s="650" t="s">
        <v>584</v>
      </c>
      <c r="V229" s="926"/>
    </row>
    <row r="230" spans="1:22" s="429" customFormat="1" ht="16.5" customHeight="1">
      <c r="A230" s="697" t="str">
        <f>A707</f>
        <v>eff. Schraubenanzahl</v>
      </c>
      <c r="B230" s="697" t="s">
        <v>521</v>
      </c>
      <c r="C230" s="806">
        <f>IF(Eingabe!$V$16=50,Ausgabe!L230,IF(Eingabe!$V$16=51,Ausgabe!N230,IF(Eingabe!$V$16=52,Ausgabe!P230,IF(Eingabe!$V$16=53,Ausgabe!R230,IF(Eingabe!$V$16=54,Ausgabe!T230,"FEHLER")))))</f>
        <v>7</v>
      </c>
      <c r="D230" s="650" t="s">
        <v>124</v>
      </c>
      <c r="E230" s="650"/>
      <c r="F230" s="776"/>
      <c r="G230" s="776"/>
      <c r="H230" s="776"/>
      <c r="I230" s="776"/>
      <c r="J230" s="874" t="s">
        <v>487</v>
      </c>
      <c r="K230" s="756" t="str">
        <f t="shared" si="3"/>
        <v/>
      </c>
      <c r="L230" s="899">
        <f>$B$202</f>
        <v>7</v>
      </c>
      <c r="M230" s="650"/>
      <c r="N230" s="918">
        <f>$B$202</f>
        <v>7</v>
      </c>
      <c r="O230" s="650"/>
      <c r="P230" s="934">
        <f>$B$202</f>
        <v>7</v>
      </c>
      <c r="Q230" s="650"/>
      <c r="R230" s="942">
        <f>$B$202</f>
        <v>7</v>
      </c>
      <c r="S230" s="650"/>
      <c r="T230" s="934">
        <f>$B$202</f>
        <v>7</v>
      </c>
      <c r="U230" s="650"/>
      <c r="V230" s="926"/>
    </row>
    <row r="231" spans="1:22" s="429" customFormat="1" ht="16.5" customHeight="1">
      <c r="A231" s="697" t="str">
        <f>A708</f>
        <v>char. Rohdichte</v>
      </c>
      <c r="B231" s="784" t="s">
        <v>2425</v>
      </c>
      <c r="C231" s="810">
        <f>IF(Eingabe!$V$16=50,Ausgabe!L231,IF(Eingabe!$V$16=51,Ausgabe!N231,IF(Eingabe!$V$16=52,Ausgabe!P231,IF(Eingabe!$V$16=53,Ausgabe!R231,IF(Eingabe!$V$16=54,Ausgabe!T231,"FEHLER")))))</f>
        <v>385</v>
      </c>
      <c r="D231" s="650" t="s">
        <v>115</v>
      </c>
      <c r="E231" s="1528" t="s">
        <v>23</v>
      </c>
      <c r="F231" s="1528"/>
      <c r="G231" s="1528"/>
      <c r="H231" s="1528"/>
      <c r="I231" s="1528"/>
      <c r="J231" s="873"/>
      <c r="K231" s="756" t="str">
        <f t="shared" si="3"/>
        <v>HT</v>
      </c>
      <c r="L231" s="899">
        <f>HLOOKUP($F$16,MKW!$E$3:$BS$22,19,0)</f>
        <v>385</v>
      </c>
      <c r="M231" s="650" t="str">
        <f>HLOOKUP($F$16,MKW!$E$3:$BS$22,3,0)</f>
        <v>DIN EN 14080:2013-09, Tab. 5</v>
      </c>
      <c r="N231" s="918">
        <f>HLOOKUP($F$16,MKW!$E$3:$BS$22,19,0)</f>
        <v>385</v>
      </c>
      <c r="O231" s="650" t="str">
        <f>HLOOKUP($F$16,MKW!$E$3:$BS$22,3,0)</f>
        <v>DIN EN 14080:2013-09, Tab. 5</v>
      </c>
      <c r="P231" s="934">
        <f>HLOOKUP($F$16,MKW!$E$3:$BS$22,19,0)</f>
        <v>385</v>
      </c>
      <c r="Q231" s="650" t="str">
        <f>HLOOKUP($F$16,MKW!$E$3:$BS$22,3,0)</f>
        <v>DIN EN 14080:2013-09, Tab. 5</v>
      </c>
      <c r="R231" s="942">
        <f>HLOOKUP($F$16,MKW!$E$3:$BS$22,19,0)</f>
        <v>385</v>
      </c>
      <c r="S231" s="650" t="str">
        <f>HLOOKUP($F$16,MKW!$E$3:$BS$22,3,0)</f>
        <v>DIN EN 14080:2013-09, Tab. 5</v>
      </c>
      <c r="T231" s="934">
        <f>HLOOKUP($F$16,MKW!$E$3:$BS$22,19,0)</f>
        <v>385</v>
      </c>
      <c r="U231" s="650" t="str">
        <f>HLOOKUP($F$16,MKW!$E$3:$BS$22,3,0)</f>
        <v>DIN EN 14080:2013-09, Tab. 5</v>
      </c>
      <c r="V231" s="926"/>
    </row>
    <row r="232" spans="1:22" s="429" customFormat="1" ht="12.95" customHeight="1">
      <c r="A232" s="697"/>
      <c r="B232" s="784"/>
      <c r="C232" s="810"/>
      <c r="D232" s="650"/>
      <c r="E232" s="1528"/>
      <c r="F232" s="1528"/>
      <c r="G232" s="1528"/>
      <c r="H232" s="1528"/>
      <c r="I232" s="1528"/>
      <c r="J232" s="873"/>
      <c r="K232" s="756"/>
      <c r="L232" s="899"/>
      <c r="M232" s="650"/>
      <c r="N232" s="918"/>
      <c r="O232" s="650"/>
      <c r="P232" s="934"/>
      <c r="Q232" s="650"/>
      <c r="R232" s="942"/>
      <c r="S232" s="650"/>
      <c r="T232" s="934"/>
      <c r="U232" s="650"/>
      <c r="V232" s="926"/>
    </row>
    <row r="233" spans="1:22" s="429" customFormat="1" ht="16.5" customHeight="1">
      <c r="A233" s="697" t="str">
        <f>A709</f>
        <v>char. Ausziehparamter</v>
      </c>
      <c r="B233" s="697" t="s">
        <v>2426</v>
      </c>
      <c r="C233" s="806">
        <f ca="1">IF(Eingabe!$V$16=50,Ausgabe!L233,IF(Eingabe!$V$16=51,Ausgabe!N233,IF(Eingabe!$V$16=52,Ausgabe!P233,IF(Eingabe!$V$16=53,Ausgabe!R233,IF(Eingabe!$V$16=54,Ausgabe!T233,"FEHLER")))))</f>
        <v>13.105254140356388</v>
      </c>
      <c r="D233" s="650" t="s">
        <v>3</v>
      </c>
      <c r="E233" s="650" t="s">
        <v>529</v>
      </c>
      <c r="F233" s="697"/>
      <c r="G233" s="697"/>
      <c r="H233" s="650"/>
      <c r="I233" s="776"/>
      <c r="J233" s="873"/>
      <c r="K233" s="756" t="str">
        <f t="shared" si="3"/>
        <v>HT</v>
      </c>
      <c r="L233" s="913">
        <f ca="1">0.52*L226^(-0.5)*L229^(-0.1)*L231^0.8</f>
        <v>13.105254140356388</v>
      </c>
      <c r="M233" s="650" t="s">
        <v>529</v>
      </c>
      <c r="N233" s="918">
        <f>11</f>
        <v>11</v>
      </c>
      <c r="O233" s="650" t="s">
        <v>714</v>
      </c>
      <c r="P233" s="934">
        <f>11</f>
        <v>11</v>
      </c>
      <c r="Q233" s="650" t="s">
        <v>714</v>
      </c>
      <c r="R233" s="942">
        <v>35</v>
      </c>
      <c r="S233" s="650" t="s">
        <v>532</v>
      </c>
      <c r="T233" s="934">
        <f>11</f>
        <v>11</v>
      </c>
      <c r="U233" s="650" t="s">
        <v>714</v>
      </c>
      <c r="V233" s="926"/>
    </row>
    <row r="234" spans="1:22" s="429" customFormat="1" ht="16.5" customHeight="1">
      <c r="A234" s="697" t="str">
        <f>A710</f>
        <v>Dimensionskoeffizient</v>
      </c>
      <c r="B234" s="697" t="s">
        <v>2432</v>
      </c>
      <c r="C234" s="806">
        <f>IF(Eingabe!$V$16=50,Ausgabe!L234,IF(Eingabe!$V$16=51,Ausgabe!N234,IF(Eingabe!$V$16=52,Ausgabe!P234,IF(Eingabe!$V$16=53,Ausgabe!R234,IF(Eingabe!$V$16=54,Ausgabe!T234,"FEHLER")))))</f>
        <v>1</v>
      </c>
      <c r="D234" s="650" t="s">
        <v>124</v>
      </c>
      <c r="E234" s="650" t="s">
        <v>530</v>
      </c>
      <c r="F234" s="776"/>
      <c r="G234" s="757"/>
      <c r="H234" s="776"/>
      <c r="I234" s="776"/>
      <c r="J234" s="873"/>
      <c r="K234" s="756" t="str">
        <f t="shared" si="3"/>
        <v>HT</v>
      </c>
      <c r="L234" s="914">
        <f>IF(AND(L227&gt;=0,L227&lt;45),0.3+0.7*L227/45,1)</f>
        <v>1</v>
      </c>
      <c r="M234" s="650" t="s">
        <v>530</v>
      </c>
      <c r="N234" s="921">
        <f>IF(AND(N227&gt;=0,N227&lt;45),0.3+0.7*N227/45,1)</f>
        <v>1</v>
      </c>
      <c r="O234" s="650" t="s">
        <v>530</v>
      </c>
      <c r="P234" s="939">
        <f>IF(AND(P227&gt;=0,P227&lt;45),0.3+0.7*P227/45,1)</f>
        <v>1</v>
      </c>
      <c r="Q234" s="650" t="s">
        <v>530</v>
      </c>
      <c r="R234" s="943">
        <f>IF(AND(R227&gt;=0,R227&lt;45),0.5+0.5*R227/45,1)</f>
        <v>1</v>
      </c>
      <c r="S234" s="650" t="s">
        <v>530</v>
      </c>
      <c r="T234" s="939">
        <f>IF(AND(T227&gt;=0,T227&lt;45),0.5+0.5*T227/45,1)</f>
        <v>1</v>
      </c>
      <c r="U234" s="650" t="s">
        <v>530</v>
      </c>
      <c r="V234" s="926"/>
    </row>
    <row r="235" spans="1:22" s="429" customFormat="1" ht="16.5" customHeight="1">
      <c r="A235" s="776"/>
      <c r="B235" s="776"/>
      <c r="C235" s="806"/>
      <c r="D235" s="790"/>
      <c r="E235" s="650" t="s">
        <v>531</v>
      </c>
      <c r="F235" s="776"/>
      <c r="G235" s="776"/>
      <c r="H235" s="776"/>
      <c r="I235" s="776"/>
      <c r="J235" s="873"/>
      <c r="K235" s="756" t="str">
        <f t="shared" si="3"/>
        <v>HT</v>
      </c>
      <c r="L235" s="899"/>
      <c r="M235" s="650" t="s">
        <v>531</v>
      </c>
      <c r="N235" s="918"/>
      <c r="O235" s="650" t="s">
        <v>531</v>
      </c>
      <c r="P235" s="934"/>
      <c r="Q235" s="650" t="s">
        <v>531</v>
      </c>
      <c r="R235" s="942"/>
      <c r="S235" s="650" t="s">
        <v>531</v>
      </c>
      <c r="T235" s="934"/>
      <c r="U235" s="650" t="s">
        <v>531</v>
      </c>
      <c r="V235" s="926"/>
    </row>
    <row r="236" spans="1:22" s="429" customFormat="1" ht="16.5" customHeight="1">
      <c r="A236" s="697" t="str">
        <f>A711</f>
        <v>Koeffizient</v>
      </c>
      <c r="B236" s="697" t="s">
        <v>2428</v>
      </c>
      <c r="C236" s="806" t="str">
        <f>IF(Eingabe!$V$16=50,Ausgabe!L236,IF(Eingabe!$V$16=51,Ausgabe!N236,IF(Eingabe!$V$16=52,Ausgabe!P236,IF(Eingabe!$V$16=53,Ausgabe!R236,IF(Eingabe!$V$16=54,Ausgabe!T236,"FEHLER")))))</f>
        <v>-</v>
      </c>
      <c r="D236" s="650"/>
      <c r="E236" s="650" t="s">
        <v>124</v>
      </c>
      <c r="F236" s="776"/>
      <c r="G236" s="776"/>
      <c r="H236" s="776"/>
      <c r="I236" s="776"/>
      <c r="J236" s="873"/>
      <c r="K236" s="756" t="str">
        <f t="shared" si="3"/>
        <v>HT</v>
      </c>
      <c r="L236" s="899" t="s">
        <v>124</v>
      </c>
      <c r="M236" s="650" t="s">
        <v>124</v>
      </c>
      <c r="N236" s="918">
        <v>1</v>
      </c>
      <c r="O236" s="650" t="s">
        <v>591</v>
      </c>
      <c r="P236" s="934">
        <v>1</v>
      </c>
      <c r="Q236" s="650"/>
      <c r="R236" s="943">
        <f>1.5*COS(RADIANS(R228))^2+SIN(RADIANS(R228))^2</f>
        <v>1.25</v>
      </c>
      <c r="S236" s="650"/>
      <c r="T236" s="939">
        <f>1.5*COS(RADIANS(T228))^2+SIN(RADIANS(T228))^2</f>
        <v>1.25</v>
      </c>
      <c r="U236" s="650"/>
      <c r="V236" s="926"/>
    </row>
    <row r="237" spans="1:22" s="429" customFormat="1" ht="16.5" customHeight="1">
      <c r="A237" s="697" t="str">
        <f>A715</f>
        <v>char. Zugfestigkeit</v>
      </c>
      <c r="B237" s="697" t="s">
        <v>2429</v>
      </c>
      <c r="C237" s="806">
        <f>IF(Eingabe!$V$16=50,Ausgabe!L237,IF(Eingabe!$V$16=51,Ausgabe!N237,IF(Eingabe!$V$16=52,Ausgabe!P237,IF(Eingabe!$V$16=53,Ausgabe!R237,IF(Eingabe!$V$16=54,Ausgabe!T237,"FEHLER")))))</f>
        <v>20</v>
      </c>
      <c r="D237" s="650" t="s">
        <v>469</v>
      </c>
      <c r="E237" s="650" t="str">
        <f>HLOOKUP(Ausgabe!$E$52,MKW!$A$116:$AZ$143,3,FALSE)</f>
        <v>ETA-15/0667</v>
      </c>
      <c r="F237" s="776"/>
      <c r="G237" s="776"/>
      <c r="H237" s="776"/>
      <c r="I237" s="776"/>
      <c r="J237" s="873"/>
      <c r="K237" s="756" t="str">
        <f t="shared" si="3"/>
        <v>HT</v>
      </c>
      <c r="L237" s="899">
        <f>HLOOKUP(Ausgabe!$E$51,MKW!$A$116:$AZ$143,8,FALSE)</f>
        <v>20</v>
      </c>
      <c r="M237" s="650" t="str">
        <f>HLOOKUP(Ausgabe!$E$52,MKW!$A$116:$AZ$143,3,FALSE)</f>
        <v>ETA-15/0667</v>
      </c>
      <c r="N237" s="918">
        <f>HLOOKUP(Ausgabe!$E$51,MKW!$A$116:$AZ$143,8,FALSE)</f>
        <v>20</v>
      </c>
      <c r="O237" s="650" t="str">
        <f>HLOOKUP(Ausgabe!$E$52,MKW!$A$116:$AZ$143,3,FALSE)</f>
        <v>ETA-15/0667</v>
      </c>
      <c r="P237" s="934">
        <f>HLOOKUP(Ausgabe!$E$51,MKW!$A$116:$AZ$143,8,FALSE)</f>
        <v>20</v>
      </c>
      <c r="Q237" s="650" t="str">
        <f>HLOOKUP(Ausgabe!$E$52,MKW!$A$116:$AZ$143,3,FALSE)</f>
        <v>ETA-15/0667</v>
      </c>
      <c r="R237" s="942">
        <f>HLOOKUP(Ausgabe!$E$51,MKW!$A$116:$AZ$143,8,FALSE)</f>
        <v>20</v>
      </c>
      <c r="S237" s="650" t="str">
        <f>HLOOKUP(Ausgabe!$E$52,MKW!$A$116:$AZ$143,3,FALSE)</f>
        <v>ETA-15/0667</v>
      </c>
      <c r="T237" s="934">
        <f>HLOOKUP(Ausgabe!$E$51,MKW!$A$116:$AZ$143,8,FALSE)</f>
        <v>20</v>
      </c>
      <c r="U237" s="650" t="str">
        <f>HLOOKUP(Ausgabe!$E$52,MKW!$A$116:$AZ$143,3,FALSE)</f>
        <v>ETA-15/0667</v>
      </c>
      <c r="V237" s="926"/>
    </row>
    <row r="238" spans="1:22" s="429" customFormat="1" ht="16.5" customHeight="1">
      <c r="A238" s="697" t="str">
        <f>A718</f>
        <v>char. Ausziehwiderstand</v>
      </c>
      <c r="B238" s="697" t="s">
        <v>2433</v>
      </c>
      <c r="C238" s="806">
        <f ca="1">IF(Eingabe!$V$16=50,Ausgabe!L238,IF(Eingabe!$V$16=51,Ausgabe!N238,IF(Eingabe!$V$16=52,Ausgabe!P238,IF(Eingabe!$V$16=53,Ausgabe!R238,IF(Eingabe!$V$16=54,Ausgabe!T238,"FEHLER")))))</f>
        <v>14.939989720006283</v>
      </c>
      <c r="D238" s="650" t="s">
        <v>469</v>
      </c>
      <c r="E238" s="650" t="s">
        <v>640</v>
      </c>
      <c r="F238" s="776"/>
      <c r="G238" s="776"/>
      <c r="H238" s="776"/>
      <c r="I238" s="776"/>
      <c r="J238" s="873"/>
      <c r="K238" s="756" t="str">
        <f t="shared" si="3"/>
        <v>HT</v>
      </c>
      <c r="L238" s="916">
        <f ca="1">L226*L229*L234*L233*1/1000</f>
        <v>14.939989720006283</v>
      </c>
      <c r="M238" s="650" t="s">
        <v>640</v>
      </c>
      <c r="N238" s="915">
        <f ca="1">N226*N229*N234*N233*(N231/350)^0.8*1/N236*1/1000</f>
        <v>13.533548530048092</v>
      </c>
      <c r="O238" s="650" t="s">
        <v>716</v>
      </c>
      <c r="P238" s="938">
        <f ca="1">P226*P229*P234*P233*(P231/350)^0.8*1/P236*1/1000</f>
        <v>13.533548530048092</v>
      </c>
      <c r="Q238" s="650" t="s">
        <v>716</v>
      </c>
      <c r="R238" s="943">
        <f ca="1">R226*R229*R234*R233*(R231/730)^0.8*1/R236*1/1000</f>
        <v>19.132564151302503</v>
      </c>
      <c r="S238" s="754" t="s">
        <v>715</v>
      </c>
      <c r="T238" s="938">
        <f ca="1">T226*T229*T234*T233*(T231/350)^0.8*1/T236*1/1000</f>
        <v>10.826838824038473</v>
      </c>
      <c r="U238" s="650" t="s">
        <v>716</v>
      </c>
      <c r="V238" s="926"/>
    </row>
    <row r="239" spans="1:22" s="429" customFormat="1" ht="16.5" customHeight="1">
      <c r="A239" s="697" t="str">
        <f>A713</f>
        <v>char. Tragfähigkeit</v>
      </c>
      <c r="B239" s="697" t="s">
        <v>2434</v>
      </c>
      <c r="C239" s="806">
        <f ca="1">IF(Eingabe!$V$16=50,Ausgabe!L239,IF(Eingabe!$V$16=51,Ausgabe!N239,IF(Eingabe!$V$16=52,Ausgabe!P239,IF(Eingabe!$V$16=53,Ausgabe!R239,IF(Eingabe!$V$16=54,Ausgabe!T239,"FEHLER")))))</f>
        <v>92.436470366395326</v>
      </c>
      <c r="D239" s="650" t="s">
        <v>469</v>
      </c>
      <c r="E239" s="805" t="s">
        <v>2154</v>
      </c>
      <c r="F239" s="776"/>
      <c r="G239" s="776"/>
      <c r="H239" s="776"/>
      <c r="I239" s="776"/>
      <c r="J239" s="873"/>
      <c r="K239" s="756" t="str">
        <f t="shared" si="3"/>
        <v>HT</v>
      </c>
      <c r="L239" s="913">
        <f ca="1">1.25*L230/SQRT(2)*MIN(L238,1.15*L237)</f>
        <v>92.436470366395326</v>
      </c>
      <c r="M239" s="805" t="s">
        <v>2154</v>
      </c>
      <c r="N239" s="915">
        <f ca="1">1.25*N230/SQRT(2)*MIN(N238,1.15*N237)</f>
        <v>83.734559467249582</v>
      </c>
      <c r="O239" s="805" t="s">
        <v>2154</v>
      </c>
      <c r="P239" s="938">
        <f ca="1">1.25*P230/SQRT(2)*MIN(P238,1.15*P237)</f>
        <v>83.734559467249582</v>
      </c>
      <c r="Q239" s="805" t="s">
        <v>2154</v>
      </c>
      <c r="R239" s="935">
        <f ca="1">1.25*R230/SQRT(2)*MIN(R238,1.15*R237)</f>
        <v>118.37670121263561</v>
      </c>
      <c r="S239" s="805" t="s">
        <v>2154</v>
      </c>
      <c r="T239" s="938">
        <f ca="1">1.25*T230/SQRT(2)*MIN(T238,1.15*T237)</f>
        <v>66.987647573799663</v>
      </c>
      <c r="U239" s="805" t="s">
        <v>2154</v>
      </c>
      <c r="V239" s="926"/>
    </row>
    <row r="240" spans="1:22" s="429" customFormat="1" ht="16.5" customHeight="1">
      <c r="A240" s="697" t="str">
        <f>A714</f>
        <v>Teilsicherheitsbeiwert</v>
      </c>
      <c r="B240" s="697" t="s">
        <v>713</v>
      </c>
      <c r="C240" s="806">
        <f>IF(Eingabe!$V$16=50,Ausgabe!L240,IF(Eingabe!$V$16=51,Ausgabe!N240,IF(Eingabe!$V$16=52,Ausgabe!P240,IF(Eingabe!$V$16=53,Ausgabe!R240,IF(Eingabe!$V$16=54,Ausgabe!T240,"FEHLER")))))</f>
        <v>1.3</v>
      </c>
      <c r="D240" s="650" t="s">
        <v>124</v>
      </c>
      <c r="E240" s="650" t="s">
        <v>524</v>
      </c>
      <c r="F240" s="776"/>
      <c r="G240" s="776"/>
      <c r="H240" s="776"/>
      <c r="I240" s="776"/>
      <c r="J240" s="873"/>
      <c r="K240" s="756" t="str">
        <f t="shared" si="3"/>
        <v>HT</v>
      </c>
      <c r="L240" s="899">
        <f>Eingabe!$C$33</f>
        <v>1.3</v>
      </c>
      <c r="M240" s="650" t="s">
        <v>524</v>
      </c>
      <c r="N240" s="918">
        <f>Eingabe!$C$33</f>
        <v>1.3</v>
      </c>
      <c r="O240" s="650" t="s">
        <v>524</v>
      </c>
      <c r="P240" s="934">
        <f>Eingabe!$C$33</f>
        <v>1.3</v>
      </c>
      <c r="Q240" s="650" t="s">
        <v>524</v>
      </c>
      <c r="R240" s="942">
        <f>Eingabe!$C$33</f>
        <v>1.3</v>
      </c>
      <c r="S240" s="650" t="s">
        <v>524</v>
      </c>
      <c r="T240" s="934">
        <f>Eingabe!$C$33</f>
        <v>1.3</v>
      </c>
      <c r="U240" s="650" t="s">
        <v>524</v>
      </c>
      <c r="V240" s="926"/>
    </row>
    <row r="241" spans="1:22" s="429" customFormat="1" ht="16.5" customHeight="1">
      <c r="A241" s="697"/>
      <c r="B241" s="697"/>
      <c r="C241" s="806"/>
      <c r="D241" s="650"/>
      <c r="E241" s="650"/>
      <c r="F241" s="776"/>
      <c r="G241" s="776"/>
      <c r="H241" s="776"/>
      <c r="I241" s="776"/>
      <c r="J241" s="873"/>
      <c r="K241" s="756"/>
      <c r="L241" s="899"/>
      <c r="M241" s="650"/>
      <c r="N241" s="918"/>
      <c r="O241" s="650"/>
      <c r="P241" s="934"/>
      <c r="Q241" s="650"/>
      <c r="R241" s="942"/>
      <c r="S241" s="650"/>
      <c r="T241" s="934"/>
      <c r="U241" s="650"/>
      <c r="V241" s="926"/>
    </row>
    <row r="242" spans="1:22" ht="16.5" customHeight="1">
      <c r="A242" s="767" t="str">
        <f>Sprachtexte!A126</f>
        <v>(ii) Maximale Tragfähigkeit des MEGANT Verbinders</v>
      </c>
      <c r="B242" s="767"/>
      <c r="C242" s="767"/>
      <c r="D242" s="769"/>
      <c r="E242" s="767"/>
      <c r="F242" s="767"/>
    </row>
    <row r="243" spans="1:22" ht="16.5" customHeight="1">
      <c r="A243" s="645" t="str">
        <f>IF(Eingabe!C28=Eingabe!BL27,Sprachtexte!A112,IF(Eingabe!C28=Eingabe!BL28,Sprachtexte!A113,NA()))</f>
        <v>Hauptträger</v>
      </c>
      <c r="B243" s="645"/>
      <c r="C243" s="807" t="str">
        <f>IF(F19=Eingabe!BP21,Sprachtexte!A131,Sprachtexte!A132)</f>
        <v>torsionsstarr</v>
      </c>
      <c r="D243" s="645"/>
      <c r="E243" s="791"/>
      <c r="F243" s="791"/>
    </row>
    <row r="244" spans="1:22" ht="16.5" customHeight="1">
      <c r="A244" s="645"/>
      <c r="B244" s="645" t="s">
        <v>2435</v>
      </c>
      <c r="C244" s="753">
        <f>F17/2+VLOOKUP(Ausgabe!$C$47,MKW!$A$89:$AZ$111,23,0)/2</f>
        <v>20</v>
      </c>
      <c r="D244" s="646" t="s">
        <v>2</v>
      </c>
      <c r="E244" s="791"/>
      <c r="F244" s="646" t="s">
        <v>919</v>
      </c>
      <c r="G244" s="767"/>
      <c r="H244" s="767"/>
      <c r="I244" s="767"/>
    </row>
    <row r="245" spans="1:22" ht="16.5" customHeight="1">
      <c r="A245" s="645"/>
      <c r="B245" s="645" t="s">
        <v>2436</v>
      </c>
      <c r="C245" s="809">
        <f>IF(C243="torsionsweich",IF(VLOOKUP(Ausgabe!$C$47,MKW!$A$89:$AZ$111,16,0)=60,IF(AND($C$244&lt;=90,$F$17&lt;=140),1,IF(AND($C$244&gt;90,$C$244&lt;=180,$F$17&gt;140,$F$17&lt;=320),(270-$C$244)/180,"Exzentrizität zu groß")),IF(VLOOKUP(Ausgabe!$C$47,MKW!$A$89:$AZ$111,16,0)=100,IF(AND($C$244&lt;=90,$F$17&lt;=140),1,IF(AND($C$244&gt;90,$C$244&lt;=200,$F$17&gt;140,$F$17&lt;=360),(310-$C$244)/220,"Exzentrizität zu groß")),IF(VLOOKUP(Ausgabe!$C$47,MKW!$A$89:$AZ$111,16,0)=150,IF(AND($C$244&lt;=125,$F$17&lt;=200),1,IF(AND($C$244&gt;125,$C$244&lt;=250,$F$17&gt;200,$F$17&lt;=450),(375-$C$244)/250,"Exzentrizität zu groß"))))),1)</f>
        <v>1</v>
      </c>
      <c r="D245" s="646" t="s">
        <v>124</v>
      </c>
      <c r="E245" s="791"/>
      <c r="F245" s="791"/>
    </row>
    <row r="246" spans="1:22" ht="16.5" customHeight="1">
      <c r="A246" s="645" t="str">
        <f>A720</f>
        <v>max. Tragfähigkeit MEGANT</v>
      </c>
      <c r="B246" s="645" t="s">
        <v>568</v>
      </c>
      <c r="C246" s="807">
        <f>IF(C243=Sprachtexte!A132,VLOOKUP(Ausgabe!$C$47,MKW!$A$89:$AZ$111,28,0)*C245,IF(C243=Sprachtexte!A131,VLOOKUP(Ausgabe!$C$47,MKW!$A$89:$AZ$111,29,0),"Fehler"))</f>
        <v>150.4</v>
      </c>
      <c r="D246" s="646" t="s">
        <v>469</v>
      </c>
      <c r="E246" s="791"/>
      <c r="F246" s="646" t="s">
        <v>755</v>
      </c>
    </row>
    <row r="247" spans="1:22" ht="16.5" customHeight="1">
      <c r="A247" s="645" t="str">
        <f>A714</f>
        <v>Teilsicherheitsbeiwert</v>
      </c>
      <c r="B247" s="645" t="s">
        <v>1077</v>
      </c>
      <c r="C247" s="753">
        <f>Eingabe!$C$34</f>
        <v>1.1000000000000001</v>
      </c>
      <c r="D247" s="646" t="s">
        <v>124</v>
      </c>
      <c r="E247" s="791"/>
      <c r="F247" s="791"/>
    </row>
    <row r="248" spans="1:22" ht="16.5" customHeight="1">
      <c r="A248" s="645"/>
      <c r="B248" s="645"/>
      <c r="C248" s="753"/>
      <c r="D248" s="646"/>
      <c r="E248" s="791"/>
      <c r="F248" s="791"/>
    </row>
    <row r="249" spans="1:22" ht="16.5" customHeight="1">
      <c r="A249" s="767" t="str">
        <f>Sprachtexte!A127</f>
        <v>(iii) Zugfestigkeit der Gewindestangen</v>
      </c>
      <c r="B249" s="767"/>
      <c r="C249" s="767"/>
      <c r="D249" s="769"/>
      <c r="E249" s="767"/>
      <c r="F249" s="767"/>
      <c r="J249" s="875"/>
    </row>
    <row r="250" spans="1:22" ht="16.5" customHeight="1">
      <c r="A250" s="645" t="str">
        <f>A706</f>
        <v>Anzahl VM</v>
      </c>
      <c r="B250" s="645" t="s">
        <v>10</v>
      </c>
      <c r="C250" s="807">
        <f>VLOOKUP(Ausgabe!$C$47,MKW!$A$89:$AZ$111,10,0)</f>
        <v>1</v>
      </c>
      <c r="D250" s="646" t="s">
        <v>124</v>
      </c>
      <c r="E250" s="791"/>
      <c r="F250" s="791"/>
      <c r="J250" s="875"/>
    </row>
    <row r="251" spans="1:22" ht="16.5" customHeight="1">
      <c r="A251" s="645" t="str">
        <f>A721</f>
        <v>Faktor</v>
      </c>
      <c r="B251" s="645" t="s">
        <v>556</v>
      </c>
      <c r="C251" s="753">
        <v>0.9</v>
      </c>
      <c r="D251" s="646" t="s">
        <v>124</v>
      </c>
      <c r="E251" s="791"/>
      <c r="F251" s="646"/>
      <c r="G251" s="767"/>
      <c r="H251" s="767"/>
      <c r="I251" s="767"/>
      <c r="J251" s="875"/>
    </row>
    <row r="252" spans="1:22" ht="16.5" customHeight="1">
      <c r="A252" s="645" t="str">
        <f>A715</f>
        <v>char. Zugfestigkeit</v>
      </c>
      <c r="B252" s="645" t="s">
        <v>557</v>
      </c>
      <c r="C252" s="808">
        <f>HLOOKUP(MID(Ausgabe!$E$55,1,3),MKW!A144:AZ161,5,FALSE)</f>
        <v>800</v>
      </c>
      <c r="D252" s="646" t="s">
        <v>3</v>
      </c>
      <c r="E252" s="791"/>
      <c r="F252" s="792"/>
      <c r="H252" s="791"/>
      <c r="I252" s="791"/>
      <c r="J252" s="875"/>
    </row>
    <row r="253" spans="1:22" ht="16.5" customHeight="1">
      <c r="A253" s="645" t="str">
        <f>A722</f>
        <v>Querschnittfläche</v>
      </c>
      <c r="B253" s="645" t="s">
        <v>558</v>
      </c>
      <c r="C253" s="807">
        <f>HLOOKUP(MID(Ausgabe!$E$55,1,3),MKW!A144:AZ161,4,FALSE)</f>
        <v>245</v>
      </c>
      <c r="D253" s="646" t="s">
        <v>254</v>
      </c>
      <c r="E253" s="791"/>
      <c r="F253" s="791"/>
      <c r="H253" s="791"/>
      <c r="I253" s="791"/>
      <c r="J253" s="875"/>
    </row>
    <row r="254" spans="1:22" ht="16.5" customHeight="1">
      <c r="A254" s="645" t="str">
        <f>A717</f>
        <v>char. Zugwiderstand</v>
      </c>
      <c r="B254" s="645" t="s">
        <v>2437</v>
      </c>
      <c r="C254" s="807">
        <f>C250*C251*C252*C253*1/1000</f>
        <v>176.4</v>
      </c>
      <c r="D254" s="646" t="s">
        <v>469</v>
      </c>
      <c r="E254" s="791"/>
      <c r="F254" s="791"/>
      <c r="H254" s="791"/>
      <c r="J254" s="875"/>
    </row>
    <row r="255" spans="1:22" ht="16.5" customHeight="1">
      <c r="A255" s="645" t="str">
        <f>A714</f>
        <v>Teilsicherheitsbeiwert</v>
      </c>
      <c r="B255" s="645" t="s">
        <v>528</v>
      </c>
      <c r="C255" s="809">
        <f>Eingabe!$C$35</f>
        <v>1.25</v>
      </c>
      <c r="D255" s="646" t="s">
        <v>124</v>
      </c>
      <c r="E255" s="791"/>
      <c r="F255" s="791"/>
      <c r="H255" s="791"/>
      <c r="I255" s="791"/>
      <c r="J255" s="875"/>
    </row>
    <row r="256" spans="1:22" ht="16.5" customHeight="1">
      <c r="A256" s="645"/>
      <c r="B256" s="645"/>
      <c r="C256" s="809"/>
      <c r="D256" s="645"/>
      <c r="E256" s="791"/>
      <c r="F256" s="791"/>
      <c r="H256" s="791"/>
      <c r="I256" s="791"/>
      <c r="J256" s="875"/>
    </row>
    <row r="257" spans="1:10" ht="16.5" customHeight="1">
      <c r="A257" s="767" t="str">
        <f>Sprachtexte!A128</f>
        <v>(iv) Lochleibungsfestigkeit des Gewindes im Aluminium</v>
      </c>
      <c r="B257" s="767"/>
      <c r="C257" s="767"/>
      <c r="D257" s="767"/>
      <c r="E257" s="767"/>
      <c r="F257" s="767"/>
      <c r="H257" s="791"/>
      <c r="I257" s="791"/>
      <c r="J257" s="875"/>
    </row>
    <row r="258" spans="1:10" ht="16.5" customHeight="1">
      <c r="A258" s="645" t="str">
        <f>A723</f>
        <v>0,2% Streckgrenze</v>
      </c>
      <c r="B258" s="645" t="s">
        <v>559</v>
      </c>
      <c r="C258" s="807">
        <v>240</v>
      </c>
      <c r="D258" s="646" t="s">
        <v>3</v>
      </c>
      <c r="E258" s="791"/>
      <c r="F258" s="646" t="s">
        <v>756</v>
      </c>
      <c r="H258" s="791"/>
      <c r="I258" s="791"/>
      <c r="J258" s="875"/>
    </row>
    <row r="259" spans="1:10" ht="16.5" customHeight="1">
      <c r="A259" s="645" t="str">
        <f>A724</f>
        <v>Gewindedurchmesser</v>
      </c>
      <c r="B259" s="645" t="s">
        <v>560</v>
      </c>
      <c r="C259" s="753">
        <f>HLOOKUP(MID(Ausgabe!$E$55,1,3),MKW!A144:AZ161,3,FALSE)</f>
        <v>20</v>
      </c>
      <c r="D259" s="646" t="s">
        <v>2</v>
      </c>
      <c r="E259" s="791"/>
      <c r="F259" s="646"/>
      <c r="G259" s="767"/>
      <c r="H259" s="767"/>
      <c r="I259" s="767"/>
      <c r="J259" s="875"/>
    </row>
    <row r="260" spans="1:10" ht="16.5" customHeight="1">
      <c r="A260" s="645" t="str">
        <f>A725</f>
        <v>Gewindelänge im Aluminium</v>
      </c>
      <c r="B260" s="645" t="s">
        <v>329</v>
      </c>
      <c r="C260" s="807">
        <f>VLOOKUP(Ausgabe!$C$47,MKW!$A$89:$AZ$111,19,0)-20</f>
        <v>30</v>
      </c>
      <c r="D260" s="646" t="s">
        <v>2</v>
      </c>
      <c r="E260" s="791"/>
      <c r="F260" s="646" t="str">
        <f>Sprachtexte!A133</f>
        <v>Spannbackenhöhe - 20mm</v>
      </c>
      <c r="J260" s="875"/>
    </row>
    <row r="261" spans="1:10" ht="16.5" customHeight="1">
      <c r="A261" s="645" t="str">
        <f>A726</f>
        <v>Gewindefläche</v>
      </c>
      <c r="B261" s="645" t="s">
        <v>561</v>
      </c>
      <c r="C261" s="807">
        <f>B204*C259*C260*PI()</f>
        <v>1884.9555921538758</v>
      </c>
      <c r="D261" s="646" t="s">
        <v>254</v>
      </c>
      <c r="E261" s="791"/>
      <c r="F261" s="646" t="s">
        <v>549</v>
      </c>
      <c r="J261" s="875"/>
    </row>
    <row r="262" spans="1:10" ht="16.5" customHeight="1">
      <c r="A262" s="645" t="str">
        <f>A727</f>
        <v>Abminderungsfaktor</v>
      </c>
      <c r="B262" s="645" t="s">
        <v>562</v>
      </c>
      <c r="C262" s="753">
        <v>0.4</v>
      </c>
      <c r="D262" s="646" t="s">
        <v>124</v>
      </c>
      <c r="E262" s="791"/>
      <c r="F262" s="791"/>
      <c r="J262" s="875"/>
    </row>
    <row r="263" spans="1:10" ht="16.5" customHeight="1">
      <c r="A263" s="645" t="str">
        <f>A717</f>
        <v>char. Zugwiderstand</v>
      </c>
      <c r="B263" s="645" t="s">
        <v>1076</v>
      </c>
      <c r="C263" s="807">
        <f>C258*C261*C262*1/1000</f>
        <v>180.95573684677208</v>
      </c>
      <c r="D263" s="646" t="s">
        <v>469</v>
      </c>
      <c r="E263" s="791"/>
      <c r="F263" s="791"/>
      <c r="J263" s="875"/>
    </row>
    <row r="264" spans="1:10" ht="16.5" customHeight="1">
      <c r="A264" s="645" t="str">
        <f>A714</f>
        <v>Teilsicherheitsbeiwert</v>
      </c>
      <c r="B264" s="645" t="s">
        <v>1077</v>
      </c>
      <c r="C264" s="807">
        <f>Eingabe!$C$34</f>
        <v>1.1000000000000001</v>
      </c>
      <c r="D264" s="646" t="s">
        <v>124</v>
      </c>
      <c r="E264" s="791"/>
      <c r="F264" s="791"/>
      <c r="J264" s="875"/>
    </row>
    <row r="265" spans="1:10" ht="16.5" customHeight="1">
      <c r="J265" s="875"/>
    </row>
    <row r="266" spans="1:10" ht="16.5" customHeight="1">
      <c r="A266" s="769" t="str">
        <f>Sprachtexte!A121</f>
        <v>Nachweis</v>
      </c>
      <c r="B266" s="645"/>
      <c r="C266" s="753"/>
      <c r="D266" s="645"/>
      <c r="E266" s="645"/>
      <c r="F266" s="645"/>
      <c r="H266" s="753"/>
      <c r="I266" s="753"/>
      <c r="J266" s="875"/>
    </row>
    <row r="267" spans="1:10" ht="16.5" customHeight="1">
      <c r="A267" s="645" t="str">
        <f>Sprachtexte!A122</f>
        <v>maßg. Bemessungswert</v>
      </c>
      <c r="B267" s="645" t="s">
        <v>572</v>
      </c>
      <c r="C267" s="807" t="e">
        <f ca="1">_xlfn.XLOOKUP(H268,Eingabe!$DP$5:$DP$32,Eingabe!$DN$5:$DN$32,0,0,1)</f>
        <v>#DIV/0!</v>
      </c>
      <c r="D267" s="646" t="s">
        <v>469</v>
      </c>
      <c r="E267" s="645" t="s">
        <v>637</v>
      </c>
      <c r="F267" s="779" t="e">
        <f ca="1">_xlfn.XLOOKUP(H268,Eingabe!$DP$5:$DP$32,Eingabe!$CV$5:$CV$32,0,0,1)</f>
        <v>#DIV/0!</v>
      </c>
      <c r="G267" s="1540" t="str">
        <f>Sprachtexte!$A$164</f>
        <v>Ausnutzung</v>
      </c>
      <c r="H267" s="1540"/>
      <c r="I267" s="1540"/>
    </row>
    <row r="268" spans="1:10" ht="16.5" customHeight="1">
      <c r="A268" s="645"/>
      <c r="B268" s="645" t="s">
        <v>577</v>
      </c>
      <c r="C268" s="807" t="e">
        <f ca="1">_xlfn.XLOOKUP(H268,Eingabe!$DP$5:$DP$32,Eingabe!$CQ$5:$CQ$32,0,0,1)</f>
        <v>#DIV/0!</v>
      </c>
      <c r="D268" s="646" t="s">
        <v>469</v>
      </c>
      <c r="E268" s="751" t="str">
        <f>Sprachtexte!$A$123</f>
        <v>aus</v>
      </c>
      <c r="F268" s="751" t="e">
        <f ca="1">_xlfn.XLOOKUP(H268,Eingabe!$DP$5:$DP$32,Eingabe!$BS$5:$BS$32,0,0,1)</f>
        <v>#DIV/0!</v>
      </c>
      <c r="G268" s="645" t="s">
        <v>638</v>
      </c>
      <c r="H268" s="866" t="e">
        <f ca="1">MAX(Eingabe!$DP$5:$DP$32)</f>
        <v>#DIV/0!</v>
      </c>
      <c r="I268" s="646"/>
    </row>
    <row r="269" spans="1:10" ht="16.5" customHeight="1">
      <c r="A269" s="645"/>
      <c r="B269" s="645"/>
      <c r="C269" s="809"/>
      <c r="D269" s="646"/>
      <c r="E269" s="645"/>
      <c r="F269" s="645"/>
      <c r="G269" s="645"/>
      <c r="H269" s="645"/>
      <c r="I269" s="645"/>
    </row>
    <row r="270" spans="1:10" ht="16.5" customHeight="1">
      <c r="A270" s="585" t="str">
        <f>Sprachtexte!A267</f>
        <v>Nachweis der Ausklinkung am Nebenträger</v>
      </c>
      <c r="B270" s="585"/>
      <c r="C270" s="585"/>
      <c r="D270" s="585"/>
      <c r="E270" s="585"/>
      <c r="F270" s="585"/>
      <c r="G270" s="585"/>
      <c r="H270" s="585"/>
      <c r="I270" s="585"/>
    </row>
    <row r="271" spans="1:10" ht="16.5" customHeight="1">
      <c r="A271" s="646" t="s">
        <v>2312</v>
      </c>
      <c r="C271" s="645"/>
      <c r="D271" s="645"/>
      <c r="E271" s="645"/>
      <c r="F271" s="645"/>
      <c r="G271" s="645"/>
      <c r="H271" s="645"/>
      <c r="I271" s="645"/>
    </row>
    <row r="272" spans="1:10" ht="16.5" customHeight="1">
      <c r="A272" s="645"/>
      <c r="B272" s="631" t="s">
        <v>1107</v>
      </c>
      <c r="C272" s="787" t="e">
        <f ca="1">Eingabe!FF5</f>
        <v>#DIV/0!</v>
      </c>
      <c r="D272" s="569" t="s">
        <v>5</v>
      </c>
      <c r="E272" s="569"/>
      <c r="F272" s="645"/>
      <c r="G272" s="645"/>
      <c r="H272" s="645"/>
      <c r="I272" s="645"/>
    </row>
    <row r="273" spans="1:9" ht="16.5" customHeight="1">
      <c r="A273" s="645"/>
      <c r="B273" s="631" t="s">
        <v>422</v>
      </c>
      <c r="C273" s="779" t="e">
        <f ca="1">Eingabe!FF6</f>
        <v>#DIV/0!</v>
      </c>
      <c r="D273" s="569" t="s">
        <v>370</v>
      </c>
      <c r="E273" s="631"/>
      <c r="F273" s="645"/>
      <c r="G273" s="645"/>
      <c r="H273" s="645"/>
      <c r="I273" s="645"/>
    </row>
    <row r="274" spans="1:9" ht="16.5" customHeight="1">
      <c r="A274" s="645"/>
      <c r="B274" s="631" t="s">
        <v>1072</v>
      </c>
      <c r="C274" s="787">
        <f>Eingabe!FF7</f>
        <v>0</v>
      </c>
      <c r="D274" s="569" t="s">
        <v>2</v>
      </c>
      <c r="E274" s="569"/>
      <c r="F274" s="645"/>
      <c r="G274" s="645"/>
      <c r="H274" s="645"/>
      <c r="I274" s="645"/>
    </row>
    <row r="275" spans="1:9" ht="16.5" customHeight="1">
      <c r="A275" s="645"/>
      <c r="B275" s="631" t="s">
        <v>2013</v>
      </c>
      <c r="C275" s="787">
        <f ca="1">Eingabe!FF8</f>
        <v>344.19774516162744</v>
      </c>
      <c r="D275" s="569" t="s">
        <v>2</v>
      </c>
      <c r="E275" s="569" t="s">
        <v>2316</v>
      </c>
      <c r="F275" s="645"/>
      <c r="G275" s="645"/>
      <c r="H275" s="645"/>
      <c r="I275" s="645"/>
    </row>
    <row r="276" spans="1:9" ht="16.5" customHeight="1">
      <c r="A276" s="645"/>
      <c r="B276" s="631" t="s">
        <v>2014</v>
      </c>
      <c r="C276" s="787">
        <f>Eingabe!FF9</f>
        <v>0</v>
      </c>
      <c r="D276" s="569" t="s">
        <v>2</v>
      </c>
      <c r="E276" s="569" t="s">
        <v>2315</v>
      </c>
      <c r="F276" s="645"/>
      <c r="G276" s="645"/>
      <c r="H276" s="645"/>
      <c r="I276" s="645"/>
    </row>
    <row r="277" spans="1:9" ht="16.5" customHeight="1">
      <c r="A277" s="645"/>
      <c r="B277" s="631" t="s">
        <v>2012</v>
      </c>
      <c r="C277" s="779">
        <f>Eingabe!FF10</f>
        <v>0.7142857142857143</v>
      </c>
      <c r="D277" s="569" t="s">
        <v>370</v>
      </c>
      <c r="E277" s="1562" t="e" vm="21">
        <v>#VALUE!</v>
      </c>
      <c r="F277" s="1562"/>
      <c r="G277" s="765"/>
      <c r="H277" s="765"/>
      <c r="I277" s="645"/>
    </row>
    <row r="278" spans="1:9" ht="16.5" customHeight="1">
      <c r="A278" s="645"/>
      <c r="B278" s="631" t="s">
        <v>2015</v>
      </c>
      <c r="C278" s="1220" t="e">
        <f ca="1">Eingabe!FF11</f>
        <v>#DIV/0!</v>
      </c>
      <c r="D278" s="569" t="s">
        <v>370</v>
      </c>
      <c r="E278" s="1562"/>
      <c r="F278" s="1562"/>
      <c r="G278" s="765"/>
      <c r="H278" s="765"/>
      <c r="I278" s="645"/>
    </row>
    <row r="279" spans="1:9" ht="16.5" customHeight="1">
      <c r="A279" s="645"/>
      <c r="B279" s="631" t="s">
        <v>2008</v>
      </c>
      <c r="C279" s="778">
        <f>Eingabe!FF12</f>
        <v>6.5</v>
      </c>
      <c r="D279" s="569" t="s">
        <v>370</v>
      </c>
      <c r="E279" s="1562"/>
      <c r="F279" s="1562"/>
      <c r="G279" s="765"/>
      <c r="H279" s="765"/>
      <c r="I279" s="645"/>
    </row>
    <row r="280" spans="1:9" ht="16.5" customHeight="1">
      <c r="A280" s="645"/>
      <c r="B280" s="631" t="s">
        <v>2005</v>
      </c>
      <c r="C280" s="787">
        <f>Eingabe!FF13</f>
        <v>0</v>
      </c>
      <c r="D280" s="569" t="s">
        <v>370</v>
      </c>
      <c r="E280" s="765"/>
      <c r="F280" s="765"/>
      <c r="G280" s="765"/>
      <c r="H280" s="765"/>
      <c r="I280" s="645"/>
    </row>
    <row r="281" spans="1:9" ht="16.5" customHeight="1">
      <c r="A281" s="645"/>
      <c r="B281" s="631" t="s">
        <v>247</v>
      </c>
      <c r="C281" s="787">
        <f ca="1">Eingabe!FF14</f>
        <v>140.76271631908301</v>
      </c>
      <c r="D281" s="569" t="s">
        <v>2</v>
      </c>
      <c r="E281" s="569" t="s">
        <v>2037</v>
      </c>
      <c r="F281" s="645"/>
      <c r="G281" s="645"/>
      <c r="H281" s="645"/>
      <c r="I281" s="645"/>
    </row>
    <row r="282" spans="1:9" ht="16.5" customHeight="1">
      <c r="A282" s="645"/>
      <c r="B282" s="783" t="s">
        <v>479</v>
      </c>
      <c r="C282" s="779" t="e">
        <f ca="1">Eingabe!FF15</f>
        <v>#DIV/0!</v>
      </c>
      <c r="D282" s="569" t="s">
        <v>370</v>
      </c>
      <c r="E282" s="569" t="s">
        <v>2314</v>
      </c>
      <c r="F282" s="645"/>
      <c r="G282" s="645"/>
      <c r="H282" s="645"/>
      <c r="I282" s="645"/>
    </row>
    <row r="283" spans="1:9" ht="16.5" customHeight="1">
      <c r="A283" s="769" t="str">
        <f>Sprachtexte!A264</f>
        <v>Nachweis ohne Verstärkung:</v>
      </c>
      <c r="C283" s="779"/>
      <c r="D283" s="569"/>
      <c r="E283" s="569"/>
      <c r="F283" s="645"/>
      <c r="G283" s="645"/>
      <c r="H283" s="645"/>
      <c r="I283" s="645"/>
    </row>
    <row r="284" spans="1:9" ht="16.5" customHeight="1">
      <c r="A284" s="645" t="str">
        <f>Sprachtexte!A122</f>
        <v>maßg. Bemessungswert</v>
      </c>
      <c r="B284" s="631" t="s">
        <v>2317</v>
      </c>
      <c r="C284" s="779" t="e">
        <f ca="1">Eingabe!FF18</f>
        <v>#DIV/0!</v>
      </c>
      <c r="D284" s="569" t="s">
        <v>3</v>
      </c>
      <c r="E284" s="569" t="s">
        <v>2017</v>
      </c>
      <c r="G284" s="1540" t="str">
        <f>Sprachtexte!$A$164</f>
        <v>Ausnutzung</v>
      </c>
      <c r="H284" s="1540"/>
      <c r="I284" s="1540"/>
    </row>
    <row r="285" spans="1:9" ht="16.5" customHeight="1">
      <c r="A285" s="645"/>
      <c r="B285" s="631" t="s">
        <v>2016</v>
      </c>
      <c r="C285" s="779" t="e">
        <f ca="1">Eingabe!FF17</f>
        <v>#DIV/0!</v>
      </c>
      <c r="D285" s="569" t="s">
        <v>3</v>
      </c>
      <c r="E285" s="569" t="s">
        <v>2313</v>
      </c>
      <c r="F285" s="645"/>
      <c r="G285" s="646" t="s">
        <v>2018</v>
      </c>
      <c r="H285" s="866" t="e">
        <f ca="1">Eingabe!FF19</f>
        <v>#DIV/0!</v>
      </c>
      <c r="I285" s="645"/>
    </row>
    <row r="286" spans="1:9" ht="16.5" customHeight="1">
      <c r="A286" s="645"/>
      <c r="B286" s="569" t="e">
        <f ca="1">IF(H285&gt;1,Sprachtexte!A276,Sprachtexte!A275)</f>
        <v>#DIV/0!</v>
      </c>
      <c r="C286" s="787"/>
      <c r="D286" s="569"/>
      <c r="E286" s="569"/>
      <c r="F286" s="645"/>
      <c r="G286" s="645"/>
      <c r="H286" s="645"/>
      <c r="I286" s="645"/>
    </row>
    <row r="287" spans="1:9" ht="16.5" customHeight="1">
      <c r="A287" s="769" t="str">
        <f>Sprachtexte!A263</f>
        <v>Nachweis mit Verstärkung</v>
      </c>
      <c r="B287" s="631" t="s">
        <v>2024</v>
      </c>
      <c r="C287" s="787">
        <f>Eingabe!FF23</f>
        <v>0</v>
      </c>
      <c r="D287" s="569" t="s">
        <v>4</v>
      </c>
      <c r="E287" s="569"/>
      <c r="F287" s="645"/>
      <c r="G287" s="1540" t="str">
        <f>Sprachtexte!$A$164</f>
        <v>Ausnutzung</v>
      </c>
      <c r="H287" s="1540"/>
      <c r="I287" s="1540"/>
    </row>
    <row r="288" spans="1:9" ht="16.5" customHeight="1">
      <c r="A288" s="645"/>
      <c r="B288" s="631" t="s">
        <v>10</v>
      </c>
      <c r="C288" s="787">
        <f>Eingabe!FF24</f>
        <v>0</v>
      </c>
      <c r="D288" s="569" t="s">
        <v>1935</v>
      </c>
      <c r="E288" s="569"/>
      <c r="F288" s="645"/>
      <c r="G288" s="646" t="s">
        <v>2018</v>
      </c>
      <c r="H288" s="866" t="e">
        <f ca="1">Eingabe!FF27</f>
        <v>#DIV/0!</v>
      </c>
      <c r="I288" s="645"/>
    </row>
    <row r="289" spans="1:22" ht="16.5" customHeight="1">
      <c r="A289" s="645"/>
      <c r="B289" s="631" t="s">
        <v>2021</v>
      </c>
      <c r="C289" s="787" t="e">
        <f ca="1">Eingabe!$FF$25</f>
        <v>#DIV/0!</v>
      </c>
      <c r="D289" s="569" t="s">
        <v>5</v>
      </c>
      <c r="E289" s="569"/>
      <c r="F289" s="645"/>
      <c r="G289" s="645"/>
      <c r="H289" s="645"/>
      <c r="I289" s="645"/>
    </row>
    <row r="290" spans="1:22" ht="16.5" customHeight="1">
      <c r="A290" s="645"/>
      <c r="B290" s="631" t="s">
        <v>2022</v>
      </c>
      <c r="C290" s="787" t="e">
        <f ca="1">Eingabe!$FF$26</f>
        <v>#DIV/0!</v>
      </c>
      <c r="D290" s="569" t="s">
        <v>5</v>
      </c>
      <c r="E290" s="569"/>
      <c r="F290" s="645"/>
      <c r="G290" s="645"/>
      <c r="H290" s="645"/>
      <c r="I290" s="645"/>
    </row>
    <row r="291" spans="1:22" ht="16.5" customHeight="1">
      <c r="A291" s="646" t="str">
        <f>Sprachtexte!A277</f>
        <v>Der Querzugnachweis im Hauptträger ist gesondert nachzuweisen</v>
      </c>
      <c r="B291" s="569"/>
      <c r="C291" s="787"/>
      <c r="D291" s="569"/>
      <c r="E291" s="569"/>
      <c r="F291" s="645"/>
      <c r="G291" s="645"/>
      <c r="H291" s="645"/>
      <c r="I291" s="645"/>
    </row>
    <row r="292" spans="1:22" s="740" customFormat="1" ht="16.5" customHeight="1">
      <c r="A292" s="747" t="s">
        <v>888</v>
      </c>
      <c r="B292" s="585" t="str">
        <f>Sprachtexte!A134</f>
        <v>Kraft gegen Einschubrichtung</v>
      </c>
      <c r="C292" s="585"/>
      <c r="D292" s="585"/>
      <c r="E292" s="585"/>
      <c r="F292" s="585"/>
      <c r="G292" s="585"/>
      <c r="H292" s="585"/>
      <c r="I292" s="585"/>
      <c r="J292" s="872"/>
      <c r="K292" s="801"/>
      <c r="L292" s="899"/>
      <c r="M292" s="650"/>
      <c r="N292" s="917"/>
      <c r="O292" s="646"/>
      <c r="P292" s="933"/>
      <c r="Q292" s="646"/>
      <c r="R292" s="942"/>
      <c r="S292" s="650"/>
      <c r="T292" s="934"/>
      <c r="U292" s="650"/>
      <c r="V292" s="925"/>
    </row>
    <row r="294" spans="1:22" ht="16.5" customHeight="1">
      <c r="A294" s="767" t="str">
        <f>Sprachtexte!A129</f>
        <v>geneigte Schrauben 45° HT</v>
      </c>
      <c r="B294" s="781">
        <f>$C$51</f>
        <v>7</v>
      </c>
      <c r="C294" s="767" t="str">
        <f>$E$51</f>
        <v>SK 8x160</v>
      </c>
      <c r="D294" s="767"/>
      <c r="F294" s="767" t="str">
        <f>HLOOKUP(Ausgabe!$E$51,MKW!$A$116:$AZ$143,2,FALSE)</f>
        <v>Knapp Vollgewindeschraube</v>
      </c>
      <c r="G294" s="791"/>
      <c r="H294" s="791"/>
      <c r="I294" s="791"/>
    </row>
    <row r="295" spans="1:22" ht="16.5" customHeight="1">
      <c r="A295" s="767" t="str">
        <f>Sprachtexte!A130</f>
        <v>geneigte Schrauben 45° NT</v>
      </c>
      <c r="B295" s="781">
        <f>$C$53</f>
        <v>7</v>
      </c>
      <c r="C295" s="767" t="str">
        <f>$E$53</f>
        <v>SK 8x160</v>
      </c>
      <c r="D295" s="767"/>
      <c r="E295" s="767"/>
      <c r="F295" s="767" t="str">
        <f>HLOOKUP(Ausgabe!$E$53,MKW!$A$116:$AZ$143,2,FALSE)</f>
        <v>Knapp Vollgewindeschraube</v>
      </c>
      <c r="G295" s="791"/>
      <c r="H295" s="791"/>
      <c r="I295" s="791"/>
    </row>
    <row r="296" spans="1:22" ht="16.5" customHeight="1">
      <c r="A296" s="767" t="str">
        <f>Sprachtexte!A117</f>
        <v xml:space="preserve">Schrauben HT: α = 90° </v>
      </c>
      <c r="B296" s="781">
        <f>$C$52</f>
        <v>5</v>
      </c>
      <c r="C296" s="767" t="str">
        <f>$E$52</f>
        <v>SK 8x160</v>
      </c>
      <c r="D296" s="767"/>
      <c r="F296" s="767" t="str">
        <f>HLOOKUP(Ausgabe!$E$52,MKW!$A$116:$AZ$143,2,FALSE)</f>
        <v>Knapp Vollgewindeschraube</v>
      </c>
      <c r="H296" s="791"/>
    </row>
    <row r="297" spans="1:22" ht="16.5" customHeight="1">
      <c r="A297" s="767" t="str">
        <f>Sprachtexte!A116</f>
        <v xml:space="preserve">Schrauben NT: α = 0° </v>
      </c>
      <c r="B297" s="781">
        <f>$C$54</f>
        <v>5</v>
      </c>
      <c r="C297" s="767" t="str">
        <f>$E$54</f>
        <v>SK 8x240</v>
      </c>
      <c r="D297" s="767"/>
      <c r="F297" s="767" t="str">
        <f>HLOOKUP(Ausgabe!$E$54,MKW!$A$116:$AZ$143,2,FALSE)</f>
        <v>Knapp Vollgewindeschraube</v>
      </c>
      <c r="H297" s="791"/>
    </row>
    <row r="298" spans="1:22" ht="16.5" customHeight="1">
      <c r="A298" s="791"/>
      <c r="C298" s="791"/>
      <c r="D298" s="791"/>
      <c r="E298" s="791"/>
      <c r="H298" s="791"/>
    </row>
    <row r="299" spans="1:22" ht="16.5" customHeight="1">
      <c r="A299" s="767" t="str">
        <f>Sprachtexte!A135</f>
        <v>Nebenträger 0°-Schrauben</v>
      </c>
      <c r="B299" s="645"/>
      <c r="C299" s="807"/>
      <c r="D299" s="645"/>
      <c r="E299" s="791"/>
      <c r="F299" s="791"/>
      <c r="G299" s="791"/>
      <c r="H299" s="791"/>
      <c r="I299" s="791"/>
      <c r="K299" s="801" t="str">
        <f t="shared" ref="K299:K342" si="4">IF(AND(M299=O299, O299=Q299, Q299=S299, S299=U299,M299=""),"","NT")</f>
        <v/>
      </c>
    </row>
    <row r="300" spans="1:22" ht="16.5" customHeight="1">
      <c r="A300" s="645" t="str">
        <f>A700</f>
        <v>Schraubenlänge</v>
      </c>
      <c r="B300" s="645" t="s">
        <v>112</v>
      </c>
      <c r="C300" s="753">
        <f>IF(Eingabe!$V$17=50,Ausgabe!L300,IF(Eingabe!$V$17=51,Ausgabe!N300,IF(Eingabe!$V$17=52,Ausgabe!P300,IF(Eingabe!$V$17=53,Ausgabe!R300,IF(Eingabe!$V$17=54,Ausgabe!T300,"FEHLER")))))</f>
        <v>240</v>
      </c>
      <c r="D300" s="646" t="s">
        <v>2</v>
      </c>
      <c r="E300" s="650"/>
      <c r="F300" s="791"/>
      <c r="G300" s="791"/>
      <c r="H300" s="791"/>
      <c r="I300" s="791"/>
      <c r="K300" s="801" t="str">
        <f t="shared" si="4"/>
        <v/>
      </c>
      <c r="L300" s="899">
        <f>HLOOKUP(Ausgabe!$E$54,MKW!$A$116:$AZ$143,5,FALSE)</f>
        <v>240</v>
      </c>
      <c r="N300" s="917">
        <f>HLOOKUP(Ausgabe!$E$54,MKW!$A$116:$AZ$143,5,FALSE)</f>
        <v>240</v>
      </c>
      <c r="P300" s="933">
        <f>HLOOKUP(Ausgabe!$E$54,MKW!$A$116:$AZ$143,5,FALSE)</f>
        <v>240</v>
      </c>
      <c r="R300" s="942">
        <f>HLOOKUP(Ausgabe!$E$54,MKW!$A$116:$AZ$143,5,FALSE)</f>
        <v>240</v>
      </c>
      <c r="T300" s="934">
        <f>HLOOKUP(Ausgabe!$E$54,MKW!$A$116:$AZ$143,5,FALSE)</f>
        <v>240</v>
      </c>
    </row>
    <row r="301" spans="1:22" ht="16.5" customHeight="1">
      <c r="A301" s="645" t="str">
        <f>A701</f>
        <v>Durchmesser</v>
      </c>
      <c r="B301" s="645" t="s">
        <v>111</v>
      </c>
      <c r="C301" s="753">
        <f>IF(Eingabe!$V$17=50,Ausgabe!L301,IF(Eingabe!$V$17=51,Ausgabe!N301,IF(Eingabe!$V$17=52,Ausgabe!P301,IF(Eingabe!$V$17=53,Ausgabe!R301,IF(Eingabe!$V$17=54,Ausgabe!T301,"FEHLER")))))</f>
        <v>8</v>
      </c>
      <c r="D301" s="646" t="s">
        <v>2</v>
      </c>
      <c r="E301" s="650"/>
      <c r="F301" s="791"/>
      <c r="G301" s="791"/>
      <c r="H301" s="791"/>
      <c r="I301" s="791"/>
      <c r="K301" s="801" t="str">
        <f t="shared" si="4"/>
        <v/>
      </c>
      <c r="L301" s="899">
        <f>HLOOKUP(Ausgabe!$E$54,MKW!$A$116:$AZ$143,4,FALSE)</f>
        <v>8</v>
      </c>
      <c r="N301" s="917">
        <f>HLOOKUP(Ausgabe!$E$54,MKW!$A$116:$AZ$143,4,FALSE)</f>
        <v>8</v>
      </c>
      <c r="P301" s="933">
        <f>HLOOKUP(Ausgabe!$E$54,MKW!$A$116:$AZ$143,4,FALSE)</f>
        <v>8</v>
      </c>
      <c r="R301" s="942">
        <f>HLOOKUP(Ausgabe!$E$54,MKW!$A$116:$AZ$143,4,FALSE)</f>
        <v>8</v>
      </c>
      <c r="T301" s="934">
        <f>HLOOKUP(Ausgabe!$E$54,MKW!$A$116:$AZ$143,4,FALSE)</f>
        <v>8</v>
      </c>
    </row>
    <row r="302" spans="1:22" s="429" customFormat="1" ht="16.5" customHeight="1">
      <c r="A302" s="697" t="str">
        <f>A705</f>
        <v>mittlere eff. Schraubenlänge</v>
      </c>
      <c r="B302" s="697" t="s">
        <v>2438</v>
      </c>
      <c r="C302" s="807">
        <f ca="1">IF(Eingabe!$V$17=50,Ausgabe!L302,IF(Eingabe!$V$17=51,Ausgabe!N302,IF(Eingabe!$V$17=52,Ausgabe!P302,IF(Eingabe!$V$17=53,Ausgabe!R302,IF(Eingabe!$V$17=54,Ausgabe!T302,"FEHLER")))))</f>
        <v>215.1</v>
      </c>
      <c r="D302" s="650" t="s">
        <v>2</v>
      </c>
      <c r="E302" s="650" t="s">
        <v>584</v>
      </c>
      <c r="F302" s="791"/>
      <c r="G302" s="791"/>
      <c r="H302" s="791"/>
      <c r="I302" s="791"/>
      <c r="J302" s="874" t="s">
        <v>328</v>
      </c>
      <c r="K302" s="801" t="str">
        <f t="shared" si="4"/>
        <v>NT</v>
      </c>
      <c r="L302" s="899">
        <f ca="1">Berechnung_BZoben!$C$47</f>
        <v>215.1</v>
      </c>
      <c r="M302" s="650" t="s">
        <v>584</v>
      </c>
      <c r="N302" s="918">
        <f ca="1">Berechnung_BZoben!$C$47</f>
        <v>215.1</v>
      </c>
      <c r="O302" s="650" t="s">
        <v>584</v>
      </c>
      <c r="P302" s="934">
        <f ca="1">Berechnung_BZoben!$C$47</f>
        <v>215.1</v>
      </c>
      <c r="Q302" s="650" t="s">
        <v>584</v>
      </c>
      <c r="R302" s="942">
        <f ca="1">Berechnung_BZoben!$C$47</f>
        <v>215.1</v>
      </c>
      <c r="S302" s="650" t="s">
        <v>584</v>
      </c>
      <c r="T302" s="934">
        <f ca="1">Berechnung_BZoben!$C$47</f>
        <v>215.1</v>
      </c>
      <c r="U302" s="650" t="s">
        <v>548</v>
      </c>
      <c r="V302" s="926"/>
    </row>
    <row r="303" spans="1:22" s="429" customFormat="1" ht="16.5" customHeight="1">
      <c r="A303" s="697" t="str">
        <f>A707</f>
        <v>eff. Schraubenanzahl</v>
      </c>
      <c r="B303" s="697" t="s">
        <v>521</v>
      </c>
      <c r="C303" s="753">
        <f>IF(Eingabe!$V$17=50,Ausgabe!L303,IF(Eingabe!$V$17=51,Ausgabe!N303,IF(Eingabe!$V$17=52,Ausgabe!P303,IF(Eingabe!$V$17=53,Ausgabe!R303,IF(Eingabe!$V$17=54,Ausgabe!T303,"FEHLER")))))</f>
        <v>5</v>
      </c>
      <c r="D303" s="650" t="s">
        <v>124</v>
      </c>
      <c r="E303" s="650" t="s">
        <v>949</v>
      </c>
      <c r="F303" s="791"/>
      <c r="G303" s="791"/>
      <c r="H303" s="791"/>
      <c r="I303" s="791"/>
      <c r="J303" s="874" t="s">
        <v>95</v>
      </c>
      <c r="K303" s="801" t="str">
        <f t="shared" si="4"/>
        <v>NT</v>
      </c>
      <c r="L303" s="899">
        <f>MIN($B$297,8)</f>
        <v>5</v>
      </c>
      <c r="M303" s="650" t="s">
        <v>949</v>
      </c>
      <c r="N303" s="918">
        <f>MIN($B$297,8)</f>
        <v>5</v>
      </c>
      <c r="O303" s="650" t="s">
        <v>949</v>
      </c>
      <c r="P303" s="934">
        <f>MIN($B$297,8)</f>
        <v>5</v>
      </c>
      <c r="Q303" s="650" t="s">
        <v>949</v>
      </c>
      <c r="R303" s="942">
        <f>MIN($B$297,8)</f>
        <v>5</v>
      </c>
      <c r="S303" s="650" t="s">
        <v>949</v>
      </c>
      <c r="T303" s="934">
        <f>MIN($B$297,8)</f>
        <v>5</v>
      </c>
      <c r="U303" s="650" t="s">
        <v>949</v>
      </c>
      <c r="V303" s="926"/>
    </row>
    <row r="304" spans="1:22" ht="16.5" customHeight="1">
      <c r="A304" s="645" t="str">
        <f>A708</f>
        <v>char. Rohdichte</v>
      </c>
      <c r="B304" s="645" t="s">
        <v>504</v>
      </c>
      <c r="C304" s="753">
        <f>IF(Eingabe!$V$17=50,Ausgabe!L304,IF(Eingabe!$V$17=51,Ausgabe!N304,IF(Eingabe!$V$17=52,Ausgabe!P304,IF(Eingabe!$V$17=53,Ausgabe!R304,IF(Eingabe!$V$17=54,Ausgabe!T304,"FEHLER")))))</f>
        <v>385</v>
      </c>
      <c r="D304" s="646" t="s">
        <v>115</v>
      </c>
      <c r="E304" s="650" t="str">
        <f>HLOOKUP($F$23,MKW!$E$3:$BS$22,3,0)</f>
        <v>DIN EN 14080:2013-09, Tab. 5</v>
      </c>
      <c r="F304" s="791"/>
      <c r="G304" s="791"/>
      <c r="H304" s="791"/>
      <c r="I304" s="791"/>
      <c r="J304" s="874" t="s">
        <v>482</v>
      </c>
      <c r="K304" s="801" t="str">
        <f t="shared" si="4"/>
        <v>NT</v>
      </c>
      <c r="L304" s="899">
        <f>HLOOKUP($F$23,MKW!$E$3:$BS$22,19,0)</f>
        <v>385</v>
      </c>
      <c r="M304" s="650" t="str">
        <f>HLOOKUP($F$23,MKW!$E$3:$BS$22,3,0)</f>
        <v>DIN EN 14080:2013-09, Tab. 5</v>
      </c>
      <c r="N304" s="917">
        <f>HLOOKUP($F$23,MKW!$E$3:$BS$22,19,0)</f>
        <v>385</v>
      </c>
      <c r="O304" s="650" t="str">
        <f>HLOOKUP($F$23,MKW!$E$3:$BS$22,3,0)</f>
        <v>DIN EN 14080:2013-09, Tab. 5</v>
      </c>
      <c r="P304" s="933">
        <f>HLOOKUP($F$23,MKW!$E$3:$BS$22,19,0)</f>
        <v>385</v>
      </c>
      <c r="Q304" s="650" t="str">
        <f>HLOOKUP($F$23,MKW!$E$3:$BS$22,3,0)</f>
        <v>DIN EN 14080:2013-09, Tab. 5</v>
      </c>
      <c r="R304" s="942">
        <f>HLOOKUP($F$23,MKW!$E$3:$BS$22,19,0)</f>
        <v>385</v>
      </c>
      <c r="S304" s="650" t="str">
        <f>HLOOKUP($F$23,MKW!$E$3:$BS$22,3,0)</f>
        <v>DIN EN 14080:2013-09, Tab. 5</v>
      </c>
      <c r="T304" s="934">
        <f>HLOOKUP($F$23,MKW!$E$3:$BS$22,19,0)</f>
        <v>385</v>
      </c>
      <c r="U304" s="650" t="str">
        <f>HLOOKUP($F$23,MKW!$E$3:$BS$22,3,0)</f>
        <v>DIN EN 14080:2013-09, Tab. 5</v>
      </c>
    </row>
    <row r="305" spans="1:22" s="429" customFormat="1" ht="16.5" customHeight="1">
      <c r="A305" s="697" t="str">
        <f>IF(Eingabe!$BC$44=2,Sprachtexte!A141,A702)</f>
        <v>Schrauben-Faser-Winkel</v>
      </c>
      <c r="B305" s="645" t="s">
        <v>479</v>
      </c>
      <c r="C305" s="754">
        <f>IF(Eingabe!$V$17=50,Ausgabe!L305,IF(Eingabe!$V$17=51,Ausgabe!N305,IF(Eingabe!$V$17=52,Ausgabe!P305,IF(Eingabe!$V$17=53,Ausgabe!R305,IF(Eingabe!$V$17=54,Ausgabe!T305,"FEHLER")))))</f>
        <v>0</v>
      </c>
      <c r="D305" s="650" t="s">
        <v>270</v>
      </c>
      <c r="E305" s="650"/>
      <c r="F305" s="776"/>
      <c r="G305" s="776"/>
      <c r="H305" s="776"/>
      <c r="I305" s="776"/>
      <c r="J305" s="873"/>
      <c r="K305" s="756" t="str">
        <f t="shared" si="4"/>
        <v/>
      </c>
      <c r="L305" s="899">
        <f>ABS(NT0Schraube_Mat0_alpha)</f>
        <v>0</v>
      </c>
      <c r="M305" s="650"/>
      <c r="N305" s="918">
        <f>ABS(NT0Schraube_Mat0_alpha)</f>
        <v>0</v>
      </c>
      <c r="O305" s="650"/>
      <c r="P305" s="934">
        <f>ABS(NT0Schraube_Mat1_alpha)</f>
        <v>0</v>
      </c>
      <c r="Q305" s="650"/>
      <c r="R305" s="942">
        <f>ABS(NT0Schraube_Mat23_alphaF3)</f>
        <v>90</v>
      </c>
      <c r="S305" s="650"/>
      <c r="T305" s="934">
        <f>ABS(NT0Schraube_Mat23_alphaF3)</f>
        <v>90</v>
      </c>
      <c r="U305" s="650"/>
      <c r="V305" s="926"/>
    </row>
    <row r="306" spans="1:22" s="429" customFormat="1" ht="16.5" customHeight="1">
      <c r="A306" s="697" t="str">
        <f>A703</f>
        <v>Schr.-Deckfläche-Winkel</v>
      </c>
      <c r="B306" s="645" t="s">
        <v>480</v>
      </c>
      <c r="C306" s="754" t="str">
        <f>IF(Eingabe!$V$17=50,Ausgabe!L306,IF(Eingabe!$V$17=51,Ausgabe!N306,IF(Eingabe!$V$17=52,Ausgabe!P306,IF(Eingabe!$V$17=53,Ausgabe!R306,IF(Eingabe!$V$17=54,Ausgabe!T306,"FEHLER")))))</f>
        <v>-</v>
      </c>
      <c r="D306" s="650" t="s">
        <v>270</v>
      </c>
      <c r="E306" s="650"/>
      <c r="F306" s="776"/>
      <c r="G306" s="776"/>
      <c r="H306" s="776"/>
      <c r="I306" s="776"/>
      <c r="J306" s="873"/>
      <c r="K306" s="756" t="str">
        <f t="shared" si="4"/>
        <v/>
      </c>
      <c r="L306" s="899" t="s">
        <v>124</v>
      </c>
      <c r="M306" s="650"/>
      <c r="N306" s="918" t="s">
        <v>124</v>
      </c>
      <c r="O306" s="650"/>
      <c r="P306" s="934" t="s">
        <v>124</v>
      </c>
      <c r="Q306" s="650"/>
      <c r="R306" s="942">
        <f>ABS(NT0Schraube_Mat23_beta)</f>
        <v>0</v>
      </c>
      <c r="S306" s="650"/>
      <c r="T306" s="934">
        <f>ABS(NT0Schraube_Mat23_beta)</f>
        <v>0</v>
      </c>
      <c r="U306" s="650"/>
      <c r="V306" s="926"/>
    </row>
    <row r="307" spans="1:22" s="429" customFormat="1" ht="16.5" customHeight="1">
      <c r="A307" s="697" t="str">
        <f>A704</f>
        <v>Schrauben-Faser-Winkel</v>
      </c>
      <c r="B307" s="1431" t="s">
        <v>2435</v>
      </c>
      <c r="C307" s="754" t="str">
        <f>IF(Eingabe!$V$17=50,Ausgabe!L307,IF(Eingabe!$V$17=51,Ausgabe!N307,IF(Eingabe!$V$17=52,Ausgabe!P307,IF(Eingabe!$V$17=53,Ausgabe!R307,IF(Eingabe!$V$17=54,Ausgabe!T307,"FEHLER")))))</f>
        <v>-</v>
      </c>
      <c r="D307" s="650" t="s">
        <v>270</v>
      </c>
      <c r="E307" s="650"/>
      <c r="F307" s="776"/>
      <c r="G307" s="776"/>
      <c r="H307" s="776"/>
      <c r="I307" s="776"/>
      <c r="J307" s="873"/>
      <c r="K307" s="756" t="str">
        <f t="shared" si="4"/>
        <v/>
      </c>
      <c r="L307" s="899" t="s">
        <v>124</v>
      </c>
      <c r="M307" s="650"/>
      <c r="N307" s="918" t="s">
        <v>124</v>
      </c>
      <c r="O307" s="650"/>
      <c r="P307" s="934" t="s">
        <v>124</v>
      </c>
      <c r="Q307" s="650"/>
      <c r="R307" s="942">
        <f>ABS(NT0Schraube_Mat23_epsilon)</f>
        <v>0</v>
      </c>
      <c r="S307" s="650"/>
      <c r="T307" s="934">
        <f>ABS(NT0Schraube_Mat23_epsilon)</f>
        <v>0</v>
      </c>
      <c r="U307" s="650"/>
      <c r="V307" s="926"/>
    </row>
    <row r="308" spans="1:22" ht="16.5" customHeight="1">
      <c r="A308" s="645" t="str">
        <f>A728</f>
        <v>char. Fließmoment</v>
      </c>
      <c r="B308" s="645" t="s">
        <v>505</v>
      </c>
      <c r="C308" s="753">
        <f>IF(Eingabe!$V$17=50,Ausgabe!L308,IF(Eingabe!$V$17=51,Ausgabe!N308,IF(Eingabe!$V$17=52,Ausgabe!P308,IF(Eingabe!$V$17=53,Ausgabe!R308,IF(Eingabe!$V$17=54,Ausgabe!T308,"FEHLER")))))</f>
        <v>20</v>
      </c>
      <c r="D308" s="646" t="s">
        <v>493</v>
      </c>
      <c r="E308" s="650" t="str">
        <f>HLOOKUP(Ausgabe!$E$54,MKW!$A$116:$AZ$143,3,FALSE)</f>
        <v>ETA-15/0667</v>
      </c>
      <c r="F308" s="791"/>
      <c r="G308" s="791"/>
      <c r="H308" s="791"/>
      <c r="I308" s="791"/>
      <c r="K308" s="801" t="str">
        <f t="shared" si="4"/>
        <v>NT</v>
      </c>
      <c r="L308" s="899">
        <f>HLOOKUP(Ausgabe!$E$54,MKW!$A$116:$AZ$141,9,FALSE)</f>
        <v>20</v>
      </c>
      <c r="M308" s="650" t="str">
        <f>HLOOKUP(Ausgabe!$E$54,MKW!$A$116:$AZ$143,3,FALSE)</f>
        <v>ETA-15/0667</v>
      </c>
      <c r="N308" s="917">
        <f>HLOOKUP(Ausgabe!$E$54,MKW!$A$116:$AZ$141,9,FALSE)</f>
        <v>20</v>
      </c>
      <c r="O308" s="646" t="str">
        <f>HLOOKUP(Ausgabe!$E$54,MKW!$A$116:$AZ$143,3,FALSE)</f>
        <v>ETA-15/0667</v>
      </c>
      <c r="P308" s="933">
        <f>HLOOKUP(Ausgabe!$E$54,MKW!$A$116:$AZ$141,9,FALSE)</f>
        <v>20</v>
      </c>
      <c r="Q308" s="646" t="str">
        <f>HLOOKUP(Ausgabe!$E$54,MKW!$A$116:$AZ$143,3,FALSE)</f>
        <v>ETA-15/0667</v>
      </c>
      <c r="R308" s="942">
        <f>HLOOKUP(Ausgabe!$E$54,MKW!$A$116:$AZ$141,9,FALSE)</f>
        <v>20</v>
      </c>
      <c r="S308" s="650" t="str">
        <f>HLOOKUP(Ausgabe!$E$54,MKW!$A$116:$AZ$143,3,FALSE)</f>
        <v>ETA-15/0667</v>
      </c>
      <c r="T308" s="934">
        <f>HLOOKUP(Ausgabe!$E$54,MKW!$A$116:$AZ$141,9,FALSE)</f>
        <v>20</v>
      </c>
      <c r="U308" s="650" t="str">
        <f>HLOOKUP(Ausgabe!$E$54,MKW!$A$116:$AZ$143,3,FALSE)</f>
        <v>ETA-15/0667</v>
      </c>
    </row>
    <row r="309" spans="1:22" ht="16.5" customHeight="1">
      <c r="A309" s="645" t="str">
        <f>A710</f>
        <v>Dimensionskoeffizient</v>
      </c>
      <c r="B309" s="645" t="s">
        <v>506</v>
      </c>
      <c r="C309" s="753">
        <f>IF(Eingabe!$V$17=50,Ausgabe!L309,IF(Eingabe!$V$17=51,Ausgabe!N309,IF(Eingabe!$V$17=52,Ausgabe!P309,IF(Eingabe!$V$17=53,Ausgabe!R309,IF(Eingabe!$V$17=54,Ausgabe!T309,"FEHLER")))))</f>
        <v>0.3</v>
      </c>
      <c r="D309" s="646" t="s">
        <v>124</v>
      </c>
      <c r="E309" s="650" t="s">
        <v>530</v>
      </c>
      <c r="F309" s="791"/>
      <c r="G309" s="791"/>
      <c r="H309" s="791"/>
      <c r="I309" s="791"/>
      <c r="K309" s="801" t="str">
        <f t="shared" si="4"/>
        <v>NT</v>
      </c>
      <c r="L309" s="899">
        <f>IF(AND(L305&gt;=0,L305&lt;45),0.3+0.7*L305/45,1)</f>
        <v>0.3</v>
      </c>
      <c r="M309" s="650" t="s">
        <v>530</v>
      </c>
      <c r="N309" s="917">
        <f>IF(AND(N305&gt;=0,N305&lt;45),0.3+0.7*N305/45,1)</f>
        <v>0.3</v>
      </c>
      <c r="O309" s="646" t="s">
        <v>530</v>
      </c>
      <c r="P309" s="933">
        <f>IF(AND(P305&gt;=0,P305&lt;45),0.3+0.7*P305/45,1)</f>
        <v>0.3</v>
      </c>
      <c r="Q309" s="646" t="s">
        <v>530</v>
      </c>
      <c r="R309" s="942">
        <f>IF(AND(R305&gt;=0,R305&lt;45),0.5+0.5*R305/45,1)</f>
        <v>1</v>
      </c>
      <c r="S309" s="650" t="s">
        <v>530</v>
      </c>
      <c r="T309" s="934">
        <f>IF(AND(T305&gt;=0,T305&lt;45),0.5+0.5*T305/45,1)</f>
        <v>1</v>
      </c>
      <c r="U309" s="646" t="s">
        <v>530</v>
      </c>
    </row>
    <row r="310" spans="1:22" ht="16.5" customHeight="1">
      <c r="A310" s="645"/>
      <c r="B310" s="645"/>
      <c r="C310" s="753"/>
      <c r="D310" s="646"/>
      <c r="E310" s="650" t="s">
        <v>589</v>
      </c>
      <c r="F310" s="791"/>
      <c r="G310" s="791"/>
      <c r="H310" s="791"/>
      <c r="I310" s="791"/>
      <c r="K310" s="801" t="str">
        <f t="shared" si="4"/>
        <v>NT</v>
      </c>
      <c r="M310" s="650" t="s">
        <v>589</v>
      </c>
      <c r="O310" s="646" t="s">
        <v>590</v>
      </c>
      <c r="Q310" s="646" t="s">
        <v>590</v>
      </c>
      <c r="S310" s="646" t="s">
        <v>590</v>
      </c>
      <c r="U310" s="646" t="s">
        <v>590</v>
      </c>
    </row>
    <row r="311" spans="1:22" ht="16.5" customHeight="1">
      <c r="A311" s="645" t="str">
        <f>A711</f>
        <v>Koeffizient</v>
      </c>
      <c r="B311" s="645" t="s">
        <v>507</v>
      </c>
      <c r="C311" s="753" t="str">
        <f>IF(Eingabe!$V$17=50,Ausgabe!L311,IF(Eingabe!$V$17=51,Ausgabe!N311,IF(Eingabe!$V$17=52,Ausgabe!P311,IF(Eingabe!$V$17=53,Ausgabe!R311,IF(Eingabe!$V$17=54,Ausgabe!T311,"FEHLER")))))</f>
        <v>-</v>
      </c>
      <c r="D311" s="646" t="s">
        <v>124</v>
      </c>
      <c r="E311" s="650" t="s">
        <v>124</v>
      </c>
      <c r="F311" s="791"/>
      <c r="G311" s="791"/>
      <c r="H311" s="791"/>
      <c r="I311" s="791"/>
      <c r="K311" s="801" t="str">
        <f t="shared" si="4"/>
        <v>NT</v>
      </c>
      <c r="L311" s="899" t="s">
        <v>124</v>
      </c>
      <c r="M311" s="650" t="s">
        <v>124</v>
      </c>
      <c r="N311" s="917">
        <v>1</v>
      </c>
      <c r="O311" s="646" t="s">
        <v>591</v>
      </c>
      <c r="P311" s="933">
        <v>1</v>
      </c>
      <c r="Q311" s="646" t="s">
        <v>591</v>
      </c>
      <c r="R311" s="942">
        <f>1.5*COS(RADIANS(R306))^2+SIN(RADIANS(R306))^2</f>
        <v>1.5</v>
      </c>
      <c r="S311" s="646" t="s">
        <v>592</v>
      </c>
      <c r="T311" s="934">
        <f>1.5*COS(RADIANS(T306))^2+SIN(RADIANS(T306))^2</f>
        <v>1.5</v>
      </c>
      <c r="U311" s="646" t="s">
        <v>592</v>
      </c>
    </row>
    <row r="312" spans="1:22" ht="16.5" customHeight="1">
      <c r="A312" s="645" t="str">
        <f>A718</f>
        <v>char. Ausziehwiderstand</v>
      </c>
      <c r="B312" s="645" t="s">
        <v>514</v>
      </c>
      <c r="C312" s="807">
        <f ca="1">IF(Eingabe!$V$17=50,Ausgabe!L312,IF(Eingabe!$V$17=51,Ausgabe!N312,IF(Eingabe!$V$17=52,Ausgabe!P312,IF(Eingabe!$V$17=53,Ausgabe!R312,IF(Eingabe!$V$17=54,Ausgabe!T312,"FEHLER")))))</f>
        <v>6.4925386671530214</v>
      </c>
      <c r="D312" s="646" t="s">
        <v>469</v>
      </c>
      <c r="E312" s="650" t="s">
        <v>593</v>
      </c>
      <c r="F312" s="791"/>
      <c r="G312" s="791"/>
      <c r="H312" s="791"/>
      <c r="I312" s="791"/>
      <c r="K312" s="801" t="str">
        <f t="shared" si="4"/>
        <v>NT</v>
      </c>
      <c r="L312" s="914">
        <f ca="1">0.52*L301^0.5*L302^0.9*L304^0.8*L309*1/1000</f>
        <v>6.4925386671530214</v>
      </c>
      <c r="M312" s="650" t="s">
        <v>593</v>
      </c>
      <c r="N312" s="919">
        <f ca="1">N309*11*N301*N302*(N304/350)^0.8*1/N311*1/1000</f>
        <v>6.128560608028093</v>
      </c>
      <c r="O312" s="646" t="s">
        <v>594</v>
      </c>
      <c r="P312" s="936">
        <f ca="1">P309*11*P301*P302*(P304/350)^0.8*1/P311*1/1000</f>
        <v>6.128560608028093</v>
      </c>
      <c r="Q312" s="650" t="s">
        <v>595</v>
      </c>
      <c r="R312" s="943">
        <f ca="1">R309*35*R301*R302*(R304/720)^0.8*1/R311*1/1000</f>
        <v>24.333790748198599</v>
      </c>
      <c r="S312" s="646" t="s">
        <v>596</v>
      </c>
      <c r="T312" s="939">
        <f ca="1">T309*11*T301*T302*(T304/350)^0.8*1/T311*1/1000</f>
        <v>13.619023573395765</v>
      </c>
      <c r="U312" s="650" t="s">
        <v>595</v>
      </c>
    </row>
    <row r="313" spans="1:22" ht="30" customHeight="1">
      <c r="A313" s="645" t="str">
        <f>A729</f>
        <v>char. Lochleibungsfestigkeit</v>
      </c>
      <c r="B313" s="645" t="s">
        <v>515</v>
      </c>
      <c r="C313" s="807">
        <f>IF(Eingabe!$V$17=50,Ausgabe!L313,IF(Eingabe!$V$17=51,Ausgabe!N313,IF(Eingabe!$V$17=52,Ausgabe!P313,IF(Eingabe!$V$17=53,Ausgabe!R313,IF(Eingabe!$V$17=54,Ausgabe!T313,"FEHLER")))))</f>
        <v>6.808440920761802</v>
      </c>
      <c r="D313" s="646" t="s">
        <v>3</v>
      </c>
      <c r="E313" s="1563" t="s">
        <v>2665</v>
      </c>
      <c r="F313" s="1563"/>
      <c r="G313" s="1563"/>
      <c r="H313" s="1563"/>
      <c r="I313" s="1563"/>
      <c r="K313" s="801" t="str">
        <f t="shared" si="4"/>
        <v>NT</v>
      </c>
      <c r="L313" s="914">
        <f>0.033*L304*L301^(-0.3)</f>
        <v>6.808440920761802</v>
      </c>
      <c r="M313" s="754" t="s">
        <v>763</v>
      </c>
      <c r="N313" s="919">
        <f>(0.082*N304*N301^(-0.3))/(2.5*COS(RADIANS(N305))^2+SIN(RADIANS(N305))^2)</f>
        <v>6.767177642454155</v>
      </c>
      <c r="O313" s="642" t="s">
        <v>764</v>
      </c>
      <c r="P313" s="936">
        <f>(0.082*P304*(1-0.01*P301))/(2.5*COS(RADIANS(P305))^2+SIN(RADIANS(P305))^2)</f>
        <v>11.617760000000001</v>
      </c>
      <c r="Q313" s="642" t="s">
        <v>765</v>
      </c>
      <c r="R313" s="943">
        <f>(0.082*R304*R301^(-0.15))/(((0.5+0.024*R301)*SIN(RADIANS(R305))^2+COS(RADIANS(R305))^2)*(1.2*COS(RADIANS(R306))^2+SIN(RADIANS(R306))^2)*(2.5*COS(RADIANS(R307))^2+SIN(RADIANS(R307))^2))</f>
        <v>11.132270091763827</v>
      </c>
      <c r="S313" s="642" t="s">
        <v>669</v>
      </c>
      <c r="T313" s="939">
        <f>(0.082*T304*T301^(-0.3))/(2.5*COS(RADIANS(T305))^2+SIN(RADIANS(T305))^2)</f>
        <v>16.917944106135387</v>
      </c>
      <c r="U313" s="755" t="s">
        <v>766</v>
      </c>
    </row>
    <row r="314" spans="1:22" ht="16.5" customHeight="1">
      <c r="A314" s="645"/>
      <c r="B314" s="645" t="s">
        <v>2439</v>
      </c>
      <c r="C314" s="809">
        <f ca="1">IF(Eingabe!$V$17=50,Ausgabe!L314,IF(Eingabe!$V$17=51,Ausgabe!N314,IF(Eingabe!$V$17=52,Ausgabe!P314,IF(Eingabe!$V$17=53,Ausgabe!R314,IF(Eingabe!$V$17=54,Ausgabe!T314,"FEHLER")))))</f>
        <v>1.6231346667882554</v>
      </c>
      <c r="D314" s="753" t="s">
        <v>469</v>
      </c>
      <c r="E314" s="754" t="s">
        <v>2155</v>
      </c>
      <c r="F314" s="642"/>
      <c r="G314" s="642"/>
      <c r="H314" s="642"/>
      <c r="I314" s="642"/>
      <c r="K314" s="801" t="s">
        <v>7</v>
      </c>
      <c r="L314" s="914">
        <f ca="1">MIN(L312/4,2.3*SQRT(L308*1000*L313*L301)*1/1000)</f>
        <v>1.6231346667882554</v>
      </c>
      <c r="M314" s="754" t="s">
        <v>2155</v>
      </c>
      <c r="N314" s="919">
        <f ca="1">MIN(N312/4,2.3*SQRT(N308*1000*N313*N301)*1/1000)</f>
        <v>1.5321401520070232</v>
      </c>
      <c r="O314" s="754" t="s">
        <v>2155</v>
      </c>
      <c r="P314" s="936">
        <f ca="1">MIN(P312/4,2.3*SQRT(P308*1000*P313*P301)*1/1000)</f>
        <v>1.5321401520070232</v>
      </c>
      <c r="Q314" s="754" t="s">
        <v>2155</v>
      </c>
      <c r="R314" s="943">
        <f ca="1">MIN(R312/4,2.3*SQRT(R308*1000*R313*R301)*1/1000)</f>
        <v>3.0695852172026274</v>
      </c>
      <c r="S314" s="754" t="s">
        <v>2155</v>
      </c>
      <c r="T314" s="939">
        <f ca="1">MIN(T312/4,2.3*SQRT(T308*1000*T313*T301)*1/1000)</f>
        <v>3.4047558933489412</v>
      </c>
      <c r="U314" s="754" t="s">
        <v>2155</v>
      </c>
    </row>
    <row r="315" spans="1:22" ht="16.5" customHeight="1">
      <c r="A315" s="645" t="str">
        <f>A730</f>
        <v>char. Tragfähigkeit pro VM</v>
      </c>
      <c r="B315" s="645" t="s">
        <v>516</v>
      </c>
      <c r="C315" s="807">
        <f ca="1">IF(Eingabe!$V$17=50,Ausgabe!L315,IF(Eingabe!$V$17=51,Ausgabe!N315,IF(Eingabe!$V$17=52,Ausgabe!P315,IF(Eingabe!$V$17=53,Ausgabe!R315,IF(Eingabe!$V$17=54,Ausgabe!T315,"FEHLER")))))</f>
        <v>4.0236896849731725</v>
      </c>
      <c r="D315" s="646" t="s">
        <v>469</v>
      </c>
      <c r="E315" s="650" t="s">
        <v>2156</v>
      </c>
      <c r="G315" s="645"/>
      <c r="H315" s="791"/>
      <c r="I315" s="791"/>
      <c r="K315" s="801" t="str">
        <f t="shared" si="4"/>
        <v>NT</v>
      </c>
      <c r="L315" s="914">
        <f ca="1">2.3*SQRT(L308*1000*L313*L301)*1/1000+L314</f>
        <v>4.0236896849731725</v>
      </c>
      <c r="M315" s="650" t="s">
        <v>2156</v>
      </c>
      <c r="N315" s="919">
        <f ca="1">2.3*SQRT(N308*1000*N313*N301)*1/1000+N314</f>
        <v>3.9254097056873425</v>
      </c>
      <c r="O315" s="650" t="s">
        <v>2156</v>
      </c>
      <c r="P315" s="936">
        <f ca="1">2.3*SQRT(P308*1000*P313*P301)*1/1000+P314</f>
        <v>4.6679450030779561</v>
      </c>
      <c r="Q315" s="650" t="s">
        <v>2156</v>
      </c>
      <c r="R315" s="943">
        <f ca="1">2.3*SQRT(R308*1000*R313*R301)*1/1000+R314</f>
        <v>6.1391704344052549</v>
      </c>
      <c r="S315" s="650" t="s">
        <v>2156</v>
      </c>
      <c r="T315" s="939">
        <f ca="1">2.3*SQRT(T308*1000*T313*T301)*1/1000+T314</f>
        <v>7.1888473155311523</v>
      </c>
      <c r="U315" s="650" t="s">
        <v>2156</v>
      </c>
    </row>
    <row r="316" spans="1:22" ht="16.5" customHeight="1">
      <c r="A316" s="645"/>
      <c r="B316" s="645"/>
      <c r="C316" s="807"/>
      <c r="D316" s="646"/>
      <c r="E316" s="650"/>
      <c r="G316" s="645"/>
      <c r="H316" s="791"/>
      <c r="I316" s="791"/>
      <c r="L316" s="914"/>
      <c r="N316" s="919"/>
      <c r="P316" s="936"/>
      <c r="R316" s="943"/>
      <c r="T316" s="939"/>
    </row>
    <row r="317" spans="1:22" s="429" customFormat="1" ht="16.5" customHeight="1">
      <c r="A317" s="788" t="str">
        <f>Sprachtexte!A136</f>
        <v>Nebenträger 45°-Schrauben</v>
      </c>
      <c r="B317" s="776"/>
      <c r="C317" s="776"/>
      <c r="D317" s="790"/>
      <c r="E317" s="776"/>
      <c r="F317" s="776"/>
      <c r="G317" s="697"/>
      <c r="H317" s="776"/>
      <c r="I317" s="776"/>
      <c r="J317" s="873"/>
      <c r="K317" s="756" t="str">
        <f t="shared" si="4"/>
        <v/>
      </c>
      <c r="L317" s="899"/>
      <c r="M317" s="650"/>
      <c r="N317" s="918"/>
      <c r="O317" s="650"/>
      <c r="P317" s="934"/>
      <c r="Q317" s="650"/>
      <c r="R317" s="942"/>
      <c r="S317" s="650"/>
      <c r="T317" s="934"/>
      <c r="U317" s="650"/>
      <c r="V317" s="926"/>
    </row>
    <row r="318" spans="1:22" s="429" customFormat="1" ht="16.5" customHeight="1">
      <c r="A318" s="697" t="str">
        <f>A700</f>
        <v>Schraubenlänge</v>
      </c>
      <c r="B318" s="697" t="s">
        <v>112</v>
      </c>
      <c r="C318" s="754">
        <f>IF(Eingabe!$V$17=50,Ausgabe!L318,IF(Eingabe!$V$17=51,Ausgabe!N318,IF(Eingabe!$V$17=52,Ausgabe!P318,IF(Eingabe!$V$17=53,Ausgabe!R318,IF(Eingabe!$V$17=54,Ausgabe!T318,"FEHLER")))))</f>
        <v>160</v>
      </c>
      <c r="D318" s="650" t="s">
        <v>2</v>
      </c>
      <c r="E318" s="650"/>
      <c r="F318" s="776"/>
      <c r="G318" s="776"/>
      <c r="H318" s="776"/>
      <c r="I318" s="776"/>
      <c r="J318" s="873"/>
      <c r="K318" s="756" t="str">
        <f t="shared" si="4"/>
        <v/>
      </c>
      <c r="L318" s="899">
        <f>HLOOKUP(Ausgabe!$E$53,MKW!$A$116:$AZ$143,5,FALSE)</f>
        <v>160</v>
      </c>
      <c r="M318" s="650"/>
      <c r="N318" s="918">
        <f>HLOOKUP(Ausgabe!$E$53,MKW!$A$116:$AZ$143,5,FALSE)</f>
        <v>160</v>
      </c>
      <c r="O318" s="650"/>
      <c r="P318" s="934">
        <f>HLOOKUP(Ausgabe!$E$53,MKW!$A$116:$AZ$143,5,FALSE)</f>
        <v>160</v>
      </c>
      <c r="Q318" s="650"/>
      <c r="R318" s="942">
        <f>HLOOKUP(Ausgabe!$E$53,MKW!$A$116:$AZ$143,5,FALSE)</f>
        <v>160</v>
      </c>
      <c r="S318" s="650"/>
      <c r="T318" s="934">
        <f>HLOOKUP(Ausgabe!$E$53,MKW!$A$116:$AZ$143,5,FALSE)</f>
        <v>160</v>
      </c>
      <c r="U318" s="650"/>
      <c r="V318" s="926"/>
    </row>
    <row r="319" spans="1:22" s="429" customFormat="1" ht="16.5" customHeight="1">
      <c r="A319" s="697" t="str">
        <f>A701</f>
        <v>Durchmesser</v>
      </c>
      <c r="B319" s="697" t="s">
        <v>111</v>
      </c>
      <c r="C319" s="754">
        <f>IF(Eingabe!$V$17=50,Ausgabe!L319,IF(Eingabe!$V$17=51,Ausgabe!N319,IF(Eingabe!$V$17=52,Ausgabe!P319,IF(Eingabe!$V$17=53,Ausgabe!R319,IF(Eingabe!$V$17=54,Ausgabe!T319,"FEHLER")))))</f>
        <v>8</v>
      </c>
      <c r="D319" s="650" t="s">
        <v>2</v>
      </c>
      <c r="E319" s="650"/>
      <c r="F319" s="776"/>
      <c r="G319" s="776"/>
      <c r="H319" s="776"/>
      <c r="I319" s="776"/>
      <c r="J319" s="873"/>
      <c r="K319" s="756" t="str">
        <f t="shared" si="4"/>
        <v/>
      </c>
      <c r="L319" s="899">
        <f>HLOOKUP(Ausgabe!$E$53,MKW!$A$116:$AZ$143,4,FALSE)</f>
        <v>8</v>
      </c>
      <c r="M319" s="650"/>
      <c r="N319" s="918">
        <f>HLOOKUP(Ausgabe!$E$53,MKW!$A$116:$AZ$143,4,FALSE)</f>
        <v>8</v>
      </c>
      <c r="O319" s="650"/>
      <c r="P319" s="934">
        <f>HLOOKUP(Ausgabe!$E$53,MKW!$A$116:$AZ$143,4,FALSE)</f>
        <v>8</v>
      </c>
      <c r="Q319" s="650"/>
      <c r="R319" s="942">
        <f>HLOOKUP(Ausgabe!$E$53,MKW!$A$116:$AZ$143,4,FALSE)</f>
        <v>8</v>
      </c>
      <c r="S319" s="650"/>
      <c r="T319" s="934">
        <f>HLOOKUP(Ausgabe!$E$53,MKW!$A$116:$AZ$143,4,FALSE)</f>
        <v>8</v>
      </c>
      <c r="U319" s="650"/>
      <c r="V319" s="926"/>
    </row>
    <row r="320" spans="1:22" s="429" customFormat="1" ht="16.5" customHeight="1">
      <c r="A320" s="697" t="str">
        <f>A705</f>
        <v>mittlere eff. Schraubenlänge</v>
      </c>
      <c r="B320" s="697" t="s">
        <v>547</v>
      </c>
      <c r="C320" s="810">
        <f ca="1">IF(Eingabe!$V$17=50,Ausgabe!L320,IF(Eingabe!$V$17=51,Ausgabe!N320,IF(Eingabe!$V$17=52,Ausgabe!P320,IF(Eingabe!$V$17=53,Ausgabe!R320,IF(Eingabe!$V$17=54,Ausgabe!T320,"FEHLER")))))</f>
        <v>142.5</v>
      </c>
      <c r="D320" s="650" t="s">
        <v>2</v>
      </c>
      <c r="E320" s="650" t="s">
        <v>584</v>
      </c>
      <c r="F320" s="776"/>
      <c r="G320" s="776"/>
      <c r="H320" s="776"/>
      <c r="I320" s="776"/>
      <c r="J320" s="873"/>
      <c r="K320" s="756" t="str">
        <f t="shared" si="4"/>
        <v>NT</v>
      </c>
      <c r="L320" s="916">
        <f ca="1">Berechnung_BZoben!$C$46</f>
        <v>142.5</v>
      </c>
      <c r="M320" s="650" t="s">
        <v>584</v>
      </c>
      <c r="N320" s="920">
        <f ca="1">Berechnung_BZoben!$C$46</f>
        <v>142.5</v>
      </c>
      <c r="O320" s="650" t="s">
        <v>584</v>
      </c>
      <c r="P320" s="937">
        <f ca="1">Berechnung_BZoben!$C$46</f>
        <v>142.5</v>
      </c>
      <c r="Q320" s="650" t="s">
        <v>584</v>
      </c>
      <c r="R320" s="942">
        <f ca="1">Berechnung_BZoben!$C$46</f>
        <v>142.5</v>
      </c>
      <c r="S320" s="650" t="s">
        <v>584</v>
      </c>
      <c r="T320" s="934">
        <f ca="1">Berechnung_BZoben!$C$46</f>
        <v>142.5</v>
      </c>
      <c r="U320" s="650" t="s">
        <v>584</v>
      </c>
      <c r="V320" s="926"/>
    </row>
    <row r="321" spans="1:22" s="429" customFormat="1" ht="16.5" customHeight="1">
      <c r="A321" s="697" t="str">
        <f>A707</f>
        <v>eff. Schraubenanzahl</v>
      </c>
      <c r="B321" s="697" t="s">
        <v>521</v>
      </c>
      <c r="C321" s="754">
        <f>IF(Eingabe!$V$17=50,Ausgabe!L321,IF(Eingabe!$V$17=51,Ausgabe!N321,IF(Eingabe!$V$17=52,Ausgabe!P321,IF(Eingabe!$V$17=53,Ausgabe!R321,IF(Eingabe!$V$17=54,Ausgabe!T321,"FEHLER")))))</f>
        <v>7</v>
      </c>
      <c r="D321" s="650" t="s">
        <v>124</v>
      </c>
      <c r="E321" s="650" t="s">
        <v>945</v>
      </c>
      <c r="F321" s="776"/>
      <c r="G321" s="776"/>
      <c r="H321" s="776"/>
      <c r="I321" s="776"/>
      <c r="J321" s="874" t="s">
        <v>328</v>
      </c>
      <c r="K321" s="756" t="str">
        <f t="shared" si="4"/>
        <v>NT</v>
      </c>
      <c r="L321" s="899">
        <f>MIN($B$295,28)</f>
        <v>7</v>
      </c>
      <c r="M321" s="650" t="s">
        <v>945</v>
      </c>
      <c r="N321" s="918">
        <f>MIN($B$295,28)</f>
        <v>7</v>
      </c>
      <c r="O321" s="650" t="s">
        <v>945</v>
      </c>
      <c r="P321" s="934">
        <f>MIN($B$295,28)</f>
        <v>7</v>
      </c>
      <c r="Q321" s="650" t="s">
        <v>945</v>
      </c>
      <c r="R321" s="942">
        <f>MIN($B$295,28)</f>
        <v>7</v>
      </c>
      <c r="S321" s="650" t="s">
        <v>945</v>
      </c>
      <c r="T321" s="934">
        <f>MIN($B$295,28)</f>
        <v>7</v>
      </c>
      <c r="U321" s="650" t="s">
        <v>944</v>
      </c>
      <c r="V321" s="926"/>
    </row>
    <row r="322" spans="1:22" s="429" customFormat="1" ht="16.5" customHeight="1">
      <c r="A322" s="697" t="str">
        <f>A708</f>
        <v>char. Rohdichte</v>
      </c>
      <c r="B322" s="697" t="s">
        <v>2425</v>
      </c>
      <c r="C322" s="754">
        <f>IF(Eingabe!$V$17=50,Ausgabe!L322,IF(Eingabe!$V$17=51,Ausgabe!N322,IF(Eingabe!$V$17=52,Ausgabe!P322,IF(Eingabe!$V$17=53,Ausgabe!R322,IF(Eingabe!$V$17=54,Ausgabe!T322,"FEHLER")))))</f>
        <v>385</v>
      </c>
      <c r="D322" s="650" t="s">
        <v>115</v>
      </c>
      <c r="E322" s="650" t="str">
        <f>HLOOKUP($F$23,MKW!$E$3:$BS$22,3,0)</f>
        <v>DIN EN 14080:2013-09, Tab. 5</v>
      </c>
      <c r="F322" s="776"/>
      <c r="G322" s="776"/>
      <c r="H322" s="776"/>
      <c r="I322" s="776"/>
      <c r="J322" s="874" t="s">
        <v>95</v>
      </c>
      <c r="K322" s="756" t="str">
        <f t="shared" si="4"/>
        <v>NT</v>
      </c>
      <c r="L322" s="899">
        <f>HLOOKUP($F$23,MKW!$E$3:$BS$22,19,0)</f>
        <v>385</v>
      </c>
      <c r="M322" s="650" t="str">
        <f>HLOOKUP($F$23,MKW!$E$3:$BS$22,3,0)</f>
        <v>DIN EN 14080:2013-09, Tab. 5</v>
      </c>
      <c r="N322" s="918">
        <f>HLOOKUP($F$23,MKW!$E$3:$BS$22,19,0)</f>
        <v>385</v>
      </c>
      <c r="O322" s="650" t="str">
        <f>HLOOKUP($F$23,MKW!$E$3:$BS$22,3,0)</f>
        <v>DIN EN 14080:2013-09, Tab. 5</v>
      </c>
      <c r="P322" s="934">
        <f>HLOOKUP($F$23,MKW!$E$3:$BS$22,19,0)</f>
        <v>385</v>
      </c>
      <c r="Q322" s="650" t="str">
        <f>HLOOKUP($F$23,MKW!$E$3:$BS$22,3,0)</f>
        <v>DIN EN 14080:2013-09, Tab. 5</v>
      </c>
      <c r="R322" s="942">
        <f>HLOOKUP($F$23,MKW!$E$3:$BS$22,19,0)</f>
        <v>385</v>
      </c>
      <c r="S322" s="650" t="str">
        <f>HLOOKUP($F$23,MKW!$E$3:$BS$22,3,0)</f>
        <v>DIN EN 14080:2013-09, Tab. 5</v>
      </c>
      <c r="T322" s="934">
        <f>HLOOKUP($F$23,MKW!$E$3:$BS$22,19,0)</f>
        <v>385</v>
      </c>
      <c r="U322" s="650" t="str">
        <f>HLOOKUP($F$23,MKW!$E$3:$BS$22,3,0)</f>
        <v>DIN EN 14080:2013-09, Tab. 5</v>
      </c>
      <c r="V322" s="926"/>
    </row>
    <row r="323" spans="1:22" s="429" customFormat="1" ht="16.5" customHeight="1">
      <c r="A323" s="697" t="str">
        <f>IF(Eingabe!$BC$44=2,Sprachtexte!A141,A702)</f>
        <v>Schrauben-Faser-Winkel</v>
      </c>
      <c r="B323" s="697" t="s">
        <v>479</v>
      </c>
      <c r="C323" s="754">
        <f>IF(Eingabe!$V$17=50,Ausgabe!L323,IF(Eingabe!$V$17=51,Ausgabe!N323,IF(Eingabe!$V$17=52,Ausgabe!P323,IF(Eingabe!$V$17=53,Ausgabe!R323,IF(Eingabe!$V$17=54,Ausgabe!T323,"FEHLER")))))</f>
        <v>45</v>
      </c>
      <c r="D323" s="650" t="s">
        <v>270</v>
      </c>
      <c r="E323" s="650"/>
      <c r="F323" s="776"/>
      <c r="G323" s="776"/>
      <c r="H323" s="776"/>
      <c r="I323" s="776"/>
      <c r="J323" s="874" t="s">
        <v>487</v>
      </c>
      <c r="K323" s="756" t="str">
        <f t="shared" si="4"/>
        <v/>
      </c>
      <c r="L323" s="899">
        <f>ABS(NT45Schraube_Mat0_alpha)</f>
        <v>45</v>
      </c>
      <c r="M323" s="650"/>
      <c r="N323" s="918">
        <f>ABS(NT45Schraube_Mat0_alpha)</f>
        <v>45</v>
      </c>
      <c r="O323" s="650"/>
      <c r="P323" s="934">
        <f>ABS(NT45Schraube_Mat1_alpha)</f>
        <v>45</v>
      </c>
      <c r="Q323" s="650"/>
      <c r="R323" s="942">
        <f>ABS(NT45Schraube_Mat23_alphaF3)</f>
        <v>90</v>
      </c>
      <c r="S323" s="650"/>
      <c r="T323" s="934">
        <f>ABS(NT45Schraube_Mat23_alphaF3)</f>
        <v>90</v>
      </c>
      <c r="U323" s="650"/>
      <c r="V323" s="926"/>
    </row>
    <row r="324" spans="1:22" s="429" customFormat="1" ht="16.5" customHeight="1">
      <c r="A324" s="697" t="str">
        <f>A703</f>
        <v>Schr.-Deckfläche-Winkel</v>
      </c>
      <c r="B324" s="697" t="s">
        <v>480</v>
      </c>
      <c r="C324" s="754" t="str">
        <f>IF(Eingabe!$V$17=50,Ausgabe!L324,IF(Eingabe!$V$17=51,Ausgabe!N324,IF(Eingabe!$V$17=52,Ausgabe!P324,IF(Eingabe!$V$17=53,Ausgabe!R324,IF(Eingabe!$V$17=54,Ausgabe!T324,"FEHLER")))))</f>
        <v>-</v>
      </c>
      <c r="D324" s="650" t="s">
        <v>270</v>
      </c>
      <c r="E324" s="650"/>
      <c r="F324" s="776"/>
      <c r="G324" s="776"/>
      <c r="H324" s="776"/>
      <c r="I324" s="776"/>
      <c r="J324" s="873"/>
      <c r="K324" s="756" t="str">
        <f t="shared" si="4"/>
        <v/>
      </c>
      <c r="L324" s="899" t="s">
        <v>124</v>
      </c>
      <c r="M324" s="650"/>
      <c r="N324" s="918" t="s">
        <v>124</v>
      </c>
      <c r="O324" s="650"/>
      <c r="P324" s="934" t="s">
        <v>124</v>
      </c>
      <c r="Q324" s="650"/>
      <c r="R324" s="942">
        <f>ABS(NT45Schraube_Mat23_beta)</f>
        <v>45</v>
      </c>
      <c r="S324" s="650"/>
      <c r="T324" s="934">
        <f>ABS(NT45Schraube_Mat23_beta)</f>
        <v>45</v>
      </c>
      <c r="U324" s="650"/>
      <c r="V324" s="926"/>
    </row>
    <row r="325" spans="1:22" s="429" customFormat="1" ht="16.5" customHeight="1">
      <c r="A325" s="697" t="str">
        <f>A704</f>
        <v>Schrauben-Faser-Winkel</v>
      </c>
      <c r="B325" s="697" t="s">
        <v>503</v>
      </c>
      <c r="C325" s="754" t="str">
        <f>IF(Eingabe!$V$17=50,Ausgabe!L325,IF(Eingabe!$V$17=51,Ausgabe!N325,IF(Eingabe!$V$17=52,Ausgabe!P325,IF(Eingabe!$V$17=53,Ausgabe!R325,IF(Eingabe!$V$17=54,Ausgabe!T325,"FEHLER")))))</f>
        <v>-</v>
      </c>
      <c r="D325" s="650" t="s">
        <v>270</v>
      </c>
      <c r="E325" s="650"/>
      <c r="F325" s="776"/>
      <c r="G325" s="776"/>
      <c r="H325" s="776"/>
      <c r="I325" s="776"/>
      <c r="J325" s="873"/>
      <c r="K325" s="756" t="str">
        <f t="shared" si="4"/>
        <v/>
      </c>
      <c r="L325" s="899" t="s">
        <v>124</v>
      </c>
      <c r="M325" s="650"/>
      <c r="N325" s="918" t="s">
        <v>124</v>
      </c>
      <c r="O325" s="650"/>
      <c r="P325" s="934" t="s">
        <v>124</v>
      </c>
      <c r="Q325" s="650"/>
      <c r="R325" s="942">
        <f>ABS(NT45Schraube_Mat23_epsilon)</f>
        <v>45</v>
      </c>
      <c r="S325" s="650"/>
      <c r="T325" s="934">
        <f>ABS(NT45Schraube_Mat23_epsilon)</f>
        <v>45</v>
      </c>
      <c r="U325" s="650"/>
      <c r="V325" s="926"/>
    </row>
    <row r="326" spans="1:22" s="429" customFormat="1" ht="16.5" customHeight="1">
      <c r="A326" s="697" t="str">
        <f>A728</f>
        <v>char. Fließmoment</v>
      </c>
      <c r="B326" s="697" t="s">
        <v>2440</v>
      </c>
      <c r="C326" s="754">
        <f>IF(Eingabe!$V$17=50,Ausgabe!L326,IF(Eingabe!$V$17=51,Ausgabe!N326,IF(Eingabe!$V$17=52,Ausgabe!P326,IF(Eingabe!$V$17=53,Ausgabe!R326,IF(Eingabe!$V$17=54,Ausgabe!T326,"FEHLER")))))</f>
        <v>20</v>
      </c>
      <c r="D326" s="650" t="s">
        <v>493</v>
      </c>
      <c r="E326" s="650" t="str">
        <f>HLOOKUP(Ausgabe!$E$54,MKW!$A$116:$AZ$143,3,FALSE)</f>
        <v>ETA-15/0667</v>
      </c>
      <c r="F326" s="776"/>
      <c r="G326" s="776"/>
      <c r="H326" s="776"/>
      <c r="I326" s="776"/>
      <c r="J326" s="873"/>
      <c r="K326" s="756" t="str">
        <f t="shared" si="4"/>
        <v>NT</v>
      </c>
      <c r="L326" s="899">
        <f>HLOOKUP(Ausgabe!$E$51,MKW!$A$116:$AZ$141,9,FALSE)</f>
        <v>20</v>
      </c>
      <c r="M326" s="650" t="str">
        <f>HLOOKUP(Ausgabe!$E$54,MKW!$A$116:$AZ$143,3,FALSE)</f>
        <v>ETA-15/0667</v>
      </c>
      <c r="N326" s="918">
        <f>HLOOKUP(Ausgabe!$E$51,MKW!$A$116:$AZ$141,9,FALSE)</f>
        <v>20</v>
      </c>
      <c r="O326" s="650" t="str">
        <f>HLOOKUP(Ausgabe!$E$54,MKW!$A$116:$AZ$143,3,FALSE)</f>
        <v>ETA-15/0667</v>
      </c>
      <c r="P326" s="934">
        <f>HLOOKUP(Ausgabe!$E$51,MKW!$A$116:$AZ$141,9,FALSE)</f>
        <v>20</v>
      </c>
      <c r="Q326" s="650" t="str">
        <f>HLOOKUP(Ausgabe!$E$54,MKW!$A$116:$AZ$143,3,FALSE)</f>
        <v>ETA-15/0667</v>
      </c>
      <c r="R326" s="942">
        <f>HLOOKUP(Ausgabe!$E$51,MKW!$A$116:$AZ$141,9,FALSE)</f>
        <v>20</v>
      </c>
      <c r="S326" s="650" t="str">
        <f>HLOOKUP(Ausgabe!$E$54,MKW!$A$116:$AZ$143,3,FALSE)</f>
        <v>ETA-15/0667</v>
      </c>
      <c r="T326" s="934">
        <f>HLOOKUP(Ausgabe!$E$51,MKW!$A$116:$AZ$141,9,FALSE)</f>
        <v>20</v>
      </c>
      <c r="U326" s="650" t="str">
        <f>HLOOKUP(Ausgabe!$E$54,MKW!$A$116:$AZ$143,3,FALSE)</f>
        <v>ETA-15/0667</v>
      </c>
      <c r="V326" s="926"/>
    </row>
    <row r="327" spans="1:22" s="429" customFormat="1" ht="16.5" customHeight="1">
      <c r="A327" s="697" t="str">
        <f>A710</f>
        <v>Dimensionskoeffizient</v>
      </c>
      <c r="B327" s="697" t="s">
        <v>2432</v>
      </c>
      <c r="C327" s="754">
        <f>IF(Eingabe!$V$17=50,Ausgabe!L327,IF(Eingabe!$V$17=51,Ausgabe!N327,IF(Eingabe!$V$17=52,Ausgabe!P327,IF(Eingabe!$V$17=53,Ausgabe!R327,IF(Eingabe!$V$17=54,Ausgabe!T327,"FEHLER")))))</f>
        <v>1</v>
      </c>
      <c r="D327" s="650" t="s">
        <v>124</v>
      </c>
      <c r="E327" s="650" t="s">
        <v>530</v>
      </c>
      <c r="F327" s="776"/>
      <c r="G327" s="776"/>
      <c r="H327" s="776"/>
      <c r="I327" s="776"/>
      <c r="J327" s="873"/>
      <c r="K327" s="756" t="str">
        <f t="shared" si="4"/>
        <v>NT</v>
      </c>
      <c r="L327" s="899">
        <f>IF(AND(L323&gt;=0,L323&lt;45),0.3+0.7*L323/45,1)</f>
        <v>1</v>
      </c>
      <c r="M327" s="650" t="s">
        <v>530</v>
      </c>
      <c r="N327" s="918">
        <f>IF(AND(N323&gt;=0,N323&lt;45),0.3+0.7*N323/45,1)</f>
        <v>1</v>
      </c>
      <c r="O327" s="650" t="s">
        <v>530</v>
      </c>
      <c r="P327" s="934">
        <f>IF(AND(P323&gt;=0,P323&lt;45),0.3+0.7*P323/45,1)</f>
        <v>1</v>
      </c>
      <c r="Q327" s="650" t="s">
        <v>530</v>
      </c>
      <c r="R327" s="942">
        <f>IF(AND(R323&gt;=0,R323&lt;45),0.5+0.5*R323/45,1)</f>
        <v>1</v>
      </c>
      <c r="S327" s="650" t="s">
        <v>530</v>
      </c>
      <c r="T327" s="934">
        <f>IF(AND(T323&gt;=0,T323&lt;45),0.5+0.5*T323/45,1)</f>
        <v>1</v>
      </c>
      <c r="U327" s="650" t="s">
        <v>530</v>
      </c>
      <c r="V327" s="926"/>
    </row>
    <row r="328" spans="1:22" s="429" customFormat="1" ht="16.5" customHeight="1">
      <c r="A328" s="697"/>
      <c r="B328" s="697"/>
      <c r="C328" s="754"/>
      <c r="D328" s="650"/>
      <c r="E328" s="650" t="s">
        <v>589</v>
      </c>
      <c r="F328" s="776"/>
      <c r="G328" s="776"/>
      <c r="H328" s="776"/>
      <c r="I328" s="776"/>
      <c r="J328" s="873"/>
      <c r="K328" s="756" t="str">
        <f t="shared" si="4"/>
        <v>NT</v>
      </c>
      <c r="L328" s="899"/>
      <c r="M328" s="650" t="s">
        <v>589</v>
      </c>
      <c r="N328" s="918"/>
      <c r="O328" s="650" t="s">
        <v>717</v>
      </c>
      <c r="P328" s="934"/>
      <c r="Q328" s="650" t="s">
        <v>717</v>
      </c>
      <c r="R328" s="942"/>
      <c r="S328" s="650" t="s">
        <v>717</v>
      </c>
      <c r="T328" s="934"/>
      <c r="U328" s="650" t="s">
        <v>717</v>
      </c>
      <c r="V328" s="926"/>
    </row>
    <row r="329" spans="1:22" s="429" customFormat="1" ht="16.5" customHeight="1">
      <c r="A329" s="697" t="str">
        <f>A711</f>
        <v>Koeffizient</v>
      </c>
      <c r="B329" s="697" t="s">
        <v>2428</v>
      </c>
      <c r="C329" s="811" t="str">
        <f>IF(Eingabe!$V$17=50,Ausgabe!L329,IF(Eingabe!$V$17=51,Ausgabe!N329,IF(Eingabe!$V$17=52,Ausgabe!P329,IF(Eingabe!$V$17=53,Ausgabe!R329,IF(Eingabe!$V$17=54,Ausgabe!T329,"FEHLER")))))</f>
        <v>-</v>
      </c>
      <c r="D329" s="650" t="s">
        <v>124</v>
      </c>
      <c r="E329" s="650" t="s">
        <v>124</v>
      </c>
      <c r="F329" s="776"/>
      <c r="G329" s="776"/>
      <c r="H329" s="776"/>
      <c r="I329" s="776"/>
      <c r="J329" s="873"/>
      <c r="K329" s="756" t="str">
        <f t="shared" si="4"/>
        <v>NT</v>
      </c>
      <c r="L329" s="899" t="s">
        <v>124</v>
      </c>
      <c r="M329" s="650" t="s">
        <v>124</v>
      </c>
      <c r="N329" s="918">
        <v>1</v>
      </c>
      <c r="O329" s="650" t="s">
        <v>591</v>
      </c>
      <c r="P329" s="934">
        <v>1</v>
      </c>
      <c r="Q329" s="650" t="s">
        <v>597</v>
      </c>
      <c r="R329" s="943">
        <f>1.5*COS(RADIANS(R324))^2+SIN(RADIANS(R324))^2</f>
        <v>1.25</v>
      </c>
      <c r="S329" s="650" t="s">
        <v>718</v>
      </c>
      <c r="T329" s="939">
        <f>1.5*COS(RADIANS(T324))^2+SIN(RADIANS(T324))^2</f>
        <v>1.25</v>
      </c>
      <c r="U329" s="650" t="s">
        <v>718</v>
      </c>
      <c r="V329" s="926"/>
    </row>
    <row r="330" spans="1:22" s="698" customFormat="1" ht="16.5" customHeight="1">
      <c r="A330" s="697" t="str">
        <f>A729</f>
        <v>char. Lochleibungsfestigkeit</v>
      </c>
      <c r="B330" s="697" t="s">
        <v>2441</v>
      </c>
      <c r="C330" s="811">
        <f>IF(Eingabe!$V$17=50,Ausgabe!L330,IF(Eingabe!$V$17=51,Ausgabe!N330,IF(Eingabe!$V$17=52,Ausgabe!P330,IF(Eingabe!$V$17=53,Ausgabe!R330,IF(Eingabe!$V$17=54,Ausgabe!T330,"FEHLER")))))</f>
        <v>6.808440920761802</v>
      </c>
      <c r="D330" s="650" t="s">
        <v>3</v>
      </c>
      <c r="E330" s="1528" t="s">
        <v>2665</v>
      </c>
      <c r="F330" s="1528"/>
      <c r="G330" s="1528"/>
      <c r="H330" s="1528"/>
      <c r="I330" s="1528"/>
      <c r="J330" s="876"/>
      <c r="K330" s="756" t="str">
        <f t="shared" si="4"/>
        <v>NT</v>
      </c>
      <c r="L330" s="914">
        <f>0.033*L322*L319^(-0.3)</f>
        <v>6.808440920761802</v>
      </c>
      <c r="M330" s="754" t="s">
        <v>763</v>
      </c>
      <c r="N330" s="921">
        <f>(0.082*N322*N319^(-0.3))/(2.5*COS(RADIANS(N323))^2+SIN(RADIANS(N323))^2)</f>
        <v>9.6673966320773648</v>
      </c>
      <c r="O330" s="755" t="s">
        <v>767</v>
      </c>
      <c r="P330" s="939">
        <f>(0.082*P322*(1-0.01*P319))/(2.5*COS(RADIANS(P323))^2+SIN(RADIANS(P323))^2)</f>
        <v>16.596800000000002</v>
      </c>
      <c r="Q330" s="755" t="s">
        <v>768</v>
      </c>
      <c r="R330" s="943">
        <f>(0.082*R322*R319^(-0.15))/(((0.5+0.024*R319)*SIN(RADIANS(R323))^2+COS(RADIANS(R323))^2)*(1.2*COS(RADIANS(R324))^2+SIN(RADIANS(R324))^2)*(2.5*COS(RADIANS(R325))^2+SIN(RADIANS(R325))^2))</f>
        <v>17.348992350800764</v>
      </c>
      <c r="S330" s="755" t="s">
        <v>719</v>
      </c>
      <c r="T330" s="939">
        <f>(0.082*T322*T319^(-0.3))/(2.5*COS(RADIANS(T323))^2+SIN(RADIANS(T323))^2)</f>
        <v>16.917944106135387</v>
      </c>
      <c r="U330" s="755" t="s">
        <v>769</v>
      </c>
      <c r="V330" s="927"/>
    </row>
    <row r="331" spans="1:22" s="429" customFormat="1" ht="16.5" customHeight="1">
      <c r="A331" s="697" t="str">
        <f>A730</f>
        <v>char. Tragfähigkeit pro VM</v>
      </c>
      <c r="B331" s="697" t="s">
        <v>2442</v>
      </c>
      <c r="C331" s="806">
        <f>IF(Eingabe!$V$17=50,Ausgabe!L331,IF(Eingabe!$V$17=51,Ausgabe!N331,IF(Eingabe!$V$17=52,Ausgabe!P331,IF(Eingabe!$V$17=53,Ausgabe!R331,IF(Eingabe!$V$17=54,Ausgabe!T331,"FEHLER")))))</f>
        <v>2.4005550181849169</v>
      </c>
      <c r="D331" s="650" t="s">
        <v>469</v>
      </c>
      <c r="E331" s="650" t="s">
        <v>599</v>
      </c>
      <c r="F331" s="776"/>
      <c r="G331" s="776"/>
      <c r="H331" s="776"/>
      <c r="I331" s="776"/>
      <c r="J331" s="873"/>
      <c r="K331" s="756" t="str">
        <f t="shared" si="4"/>
        <v>NT</v>
      </c>
      <c r="L331" s="914">
        <f>2.3*SQRT(L326*1000*L330*L319)*1/1000</f>
        <v>2.4005550181849169</v>
      </c>
      <c r="M331" s="650" t="s">
        <v>599</v>
      </c>
      <c r="N331" s="921">
        <f>2.3*SQRT(N326*1000*N330*N319)*1/1000</f>
        <v>2.8605042404076735</v>
      </c>
      <c r="O331" s="650" t="s">
        <v>599</v>
      </c>
      <c r="P331" s="939">
        <f>2.3*SQRT(P326*1000*P330*P319)*1/1000</f>
        <v>3.748003671289557</v>
      </c>
      <c r="Q331" s="650" t="s">
        <v>599</v>
      </c>
      <c r="R331" s="943">
        <f>2.3*SQRT(R326*1000*R330*R319)*1/1000</f>
        <v>3.8319951886344747</v>
      </c>
      <c r="S331" s="650" t="s">
        <v>599</v>
      </c>
      <c r="T331" s="939">
        <f>2.3*SQRT(T326*1000*T330*T319)*1/1000</f>
        <v>3.7840914221822115</v>
      </c>
      <c r="U331" s="650" t="s">
        <v>599</v>
      </c>
      <c r="V331" s="926"/>
    </row>
    <row r="332" spans="1:22" s="429" customFormat="1" ht="16.5" customHeight="1">
      <c r="A332" s="697" t="str">
        <f>A713</f>
        <v>char. Tragfähigkeit</v>
      </c>
      <c r="B332" s="697" t="s">
        <v>2443</v>
      </c>
      <c r="C332" s="806">
        <f ca="1">IF(Eingabe!$V$17=50,Ausgabe!L332,IF(Eingabe!$V$17=51,Ausgabe!N332,IF(Eingabe!$V$17=52,Ausgabe!P332,IF(Eingabe!$V$17=53,Ausgabe!R332,IF(Eingabe!$V$17=54,Ausgabe!T332,"FEHLER")))))</f>
        <v>36.922333552160282</v>
      </c>
      <c r="D332" s="650" t="s">
        <v>469</v>
      </c>
      <c r="E332" s="650" t="s">
        <v>600</v>
      </c>
      <c r="F332" s="776"/>
      <c r="G332" s="776"/>
      <c r="H332" s="776"/>
      <c r="I332" s="776"/>
      <c r="J332" s="873"/>
      <c r="K332" s="756" t="str">
        <f t="shared" si="4"/>
        <v>NT</v>
      </c>
      <c r="L332" s="914">
        <f ca="1">L303*L315+L321*L331</f>
        <v>36.922333552160282</v>
      </c>
      <c r="M332" s="650" t="s">
        <v>600</v>
      </c>
      <c r="N332" s="921">
        <f ca="1">N303*N315+N321*N331</f>
        <v>39.650578211290423</v>
      </c>
      <c r="O332" s="650" t="s">
        <v>600</v>
      </c>
      <c r="P332" s="939">
        <f ca="1">P303*P315+P321*P331</f>
        <v>49.575750714416685</v>
      </c>
      <c r="Q332" s="650" t="s">
        <v>600</v>
      </c>
      <c r="R332" s="943">
        <f ca="1">R303*R315+R321*R331</f>
        <v>57.519818492467593</v>
      </c>
      <c r="S332" s="650" t="s">
        <v>600</v>
      </c>
      <c r="T332" s="939">
        <f ca="1">T303*T315+T321*T331</f>
        <v>62.432876532931239</v>
      </c>
      <c r="U332" s="650" t="s">
        <v>600</v>
      </c>
      <c r="V332" s="926"/>
    </row>
    <row r="333" spans="1:22" s="429" customFormat="1" ht="16.5" customHeight="1">
      <c r="A333" s="697"/>
      <c r="B333" s="697"/>
      <c r="C333" s="806"/>
      <c r="D333" s="650"/>
      <c r="E333" s="650"/>
      <c r="F333" s="776"/>
      <c r="G333" s="776"/>
      <c r="H333" s="776"/>
      <c r="I333" s="776"/>
      <c r="J333" s="873"/>
      <c r="K333" s="756"/>
      <c r="L333" s="914"/>
      <c r="M333" s="650"/>
      <c r="N333" s="921"/>
      <c r="O333" s="650"/>
      <c r="P333" s="939"/>
      <c r="Q333" s="650"/>
      <c r="R333" s="943"/>
      <c r="S333" s="650"/>
      <c r="T333" s="939"/>
      <c r="U333" s="650"/>
      <c r="V333" s="926"/>
    </row>
    <row r="334" spans="1:22" ht="16.5" customHeight="1">
      <c r="A334" s="767" t="str">
        <f>IF(Eingabe!C28=Eingabe!BL27,Sprachtexte!A137,IF(Eingabe!C28=Eingabe!BL28,Sprachtexte!A139,NA()))</f>
        <v>Hauptträger 90°-Schrauben</v>
      </c>
      <c r="C334" s="807"/>
      <c r="D334" s="791"/>
      <c r="E334" s="791"/>
      <c r="F334" s="791"/>
      <c r="G334" s="791"/>
      <c r="H334" s="791"/>
      <c r="I334" s="791"/>
      <c r="K334" s="801" t="str">
        <f t="shared" si="4"/>
        <v/>
      </c>
    </row>
    <row r="335" spans="1:22" ht="16.5" customHeight="1">
      <c r="A335" s="645" t="str">
        <f>A700</f>
        <v>Schraubenlänge</v>
      </c>
      <c r="B335" s="645" t="s">
        <v>112</v>
      </c>
      <c r="C335" s="808">
        <f>IF(Eingabe!$V$16=50,Ausgabe!L335,IF(Eingabe!$V$16=51,Ausgabe!N335,IF(Eingabe!$V$16=52,Ausgabe!P335,IF(Eingabe!$V$16=53,Ausgabe!R335,IF(Eingabe!$V$16=54,Ausgabe!T335,"FEHLER")))))</f>
        <v>160</v>
      </c>
      <c r="D335" s="646" t="s">
        <v>2</v>
      </c>
      <c r="E335" s="650"/>
      <c r="H335" s="791"/>
      <c r="I335" s="791"/>
      <c r="K335" s="801" t="str">
        <f t="shared" si="4"/>
        <v/>
      </c>
      <c r="L335" s="899">
        <f>HLOOKUP(Ausgabe!$E$52,MKW!$A$116:$AZ$143,5,FALSE)</f>
        <v>160</v>
      </c>
      <c r="N335" s="917">
        <f>HLOOKUP(Ausgabe!$E$52,MKW!$A$116:$AZ$143,5,FALSE)</f>
        <v>160</v>
      </c>
      <c r="P335" s="933">
        <f>HLOOKUP(Ausgabe!$E$52,MKW!$A$116:$AZ$143,5,FALSE)</f>
        <v>160</v>
      </c>
      <c r="R335" s="942">
        <f>HLOOKUP(Ausgabe!$E$52,MKW!$A$116:$AZ$143,5,FALSE)</f>
        <v>160</v>
      </c>
      <c r="T335" s="934">
        <f>HLOOKUP(Ausgabe!$E$52,MKW!$A$116:$AZ$143,5,FALSE)</f>
        <v>160</v>
      </c>
    </row>
    <row r="336" spans="1:22" ht="16.5" customHeight="1">
      <c r="A336" s="645" t="str">
        <f>A701</f>
        <v>Durchmesser</v>
      </c>
      <c r="B336" s="645" t="s">
        <v>111</v>
      </c>
      <c r="C336" s="807">
        <f>IF(Eingabe!$V$16=50,Ausgabe!L336,IF(Eingabe!$V$16=51,Ausgabe!N336,IF(Eingabe!$V$16=52,Ausgabe!P336,IF(Eingabe!$V$16=53,Ausgabe!R336,IF(Eingabe!$V$16=54,Ausgabe!T336,"FEHLER")))))</f>
        <v>8</v>
      </c>
      <c r="D336" s="646" t="s">
        <v>2</v>
      </c>
      <c r="E336" s="650"/>
      <c r="H336" s="791"/>
      <c r="I336" s="791"/>
      <c r="K336" s="801" t="str">
        <f t="shared" si="4"/>
        <v/>
      </c>
      <c r="L336" s="899">
        <f>HLOOKUP(Ausgabe!$E$52,MKW!$A$116:$AZ$143,4,FALSE)</f>
        <v>8</v>
      </c>
      <c r="N336" s="917">
        <f>HLOOKUP(Ausgabe!$E$52,MKW!$A$116:$AZ$143,4,FALSE)</f>
        <v>8</v>
      </c>
      <c r="P336" s="933">
        <f>HLOOKUP(Ausgabe!$E$52,MKW!$A$116:$AZ$143,4,FALSE)</f>
        <v>8</v>
      </c>
      <c r="R336" s="942">
        <f>HLOOKUP(Ausgabe!$E$52,MKW!$A$116:$AZ$143,4,FALSE)</f>
        <v>8</v>
      </c>
      <c r="T336" s="934">
        <f>HLOOKUP(Ausgabe!$E$52,MKW!$A$116:$AZ$143,4,FALSE)</f>
        <v>8</v>
      </c>
    </row>
    <row r="337" spans="1:22" ht="16.5" customHeight="1">
      <c r="A337" s="645" t="str">
        <f>A705</f>
        <v>mittlere eff. Schraubenlänge</v>
      </c>
      <c r="B337" s="645" t="s">
        <v>547</v>
      </c>
      <c r="C337" s="807" t="e">
        <f ca="1">IF(Eingabe!$V$16=50,Ausgabe!L337,IF(Eingabe!$V$16=51,Ausgabe!N337,IF(Eingabe!$V$16=52,Ausgabe!P337,IF(Eingabe!$V$16=53,Ausgabe!R337,IF(Eingabe!$V$16=54,Ausgabe!T337,"FEHLER")))))</f>
        <v>#DIV/0!</v>
      </c>
      <c r="D337" s="646" t="s">
        <v>2</v>
      </c>
      <c r="E337" s="650" t="s">
        <v>584</v>
      </c>
      <c r="H337" s="791"/>
      <c r="I337" s="791"/>
      <c r="K337" s="801" t="s">
        <v>6</v>
      </c>
      <c r="L337" s="899" t="e">
        <f ca="1">Berechnung_BZoben!$C$30</f>
        <v>#DIV/0!</v>
      </c>
      <c r="M337" s="650" t="s">
        <v>584</v>
      </c>
      <c r="N337" s="917" t="e">
        <f ca="1">Berechnung_BZoben!$C$30</f>
        <v>#DIV/0!</v>
      </c>
      <c r="O337" s="650" t="s">
        <v>584</v>
      </c>
      <c r="P337" s="933" t="e">
        <f ca="1">Berechnung_BZoben!$C$30</f>
        <v>#DIV/0!</v>
      </c>
      <c r="Q337" s="650" t="s">
        <v>584</v>
      </c>
      <c r="R337" s="942" t="e">
        <f ca="1">Berechnung_BZoben!$C$30</f>
        <v>#DIV/0!</v>
      </c>
      <c r="S337" s="650" t="s">
        <v>584</v>
      </c>
      <c r="T337" s="934" t="e">
        <f ca="1">Berechnung_BZoben!$C$30</f>
        <v>#DIV/0!</v>
      </c>
      <c r="U337" s="650" t="s">
        <v>584</v>
      </c>
    </row>
    <row r="338" spans="1:22" ht="16.5" customHeight="1">
      <c r="A338" s="645" t="str">
        <f>A707</f>
        <v>eff. Schraubenanzahl</v>
      </c>
      <c r="B338" s="645" t="s">
        <v>521</v>
      </c>
      <c r="C338" s="807">
        <f>IF(Eingabe!$V$16=50,Ausgabe!L338,IF(Eingabe!$V$16=51,Ausgabe!N338,IF(Eingabe!$V$16=52,Ausgabe!P338,IF(Eingabe!$V$16=53,Ausgabe!R338,IF(Eingabe!$V$16=54,Ausgabe!T338,"FEHLER")))))</f>
        <v>5</v>
      </c>
      <c r="D338" s="646" t="s">
        <v>124</v>
      </c>
      <c r="E338" s="650" t="s">
        <v>946</v>
      </c>
      <c r="H338" s="791"/>
      <c r="I338" s="791"/>
      <c r="K338" s="801" t="s">
        <v>6</v>
      </c>
      <c r="L338" s="899">
        <f>MIN($B$296,8)</f>
        <v>5</v>
      </c>
      <c r="M338" s="650" t="s">
        <v>946</v>
      </c>
      <c r="N338" s="917">
        <f>MIN($B$296,8)</f>
        <v>5</v>
      </c>
      <c r="O338" s="650" t="s">
        <v>946</v>
      </c>
      <c r="P338" s="933">
        <f>MIN($B$296,8)</f>
        <v>5</v>
      </c>
      <c r="Q338" s="650" t="s">
        <v>946</v>
      </c>
      <c r="R338" s="942">
        <f>MIN($B$296,8)</f>
        <v>5</v>
      </c>
      <c r="S338" s="650" t="s">
        <v>946</v>
      </c>
      <c r="T338" s="934">
        <f>MIN($B$296,8)</f>
        <v>5</v>
      </c>
      <c r="U338" s="650" t="s">
        <v>946</v>
      </c>
    </row>
    <row r="339" spans="1:22" ht="16.5" customHeight="1">
      <c r="A339" s="645" t="str">
        <f>A708</f>
        <v>char. Rohdichte</v>
      </c>
      <c r="B339" s="645" t="s">
        <v>504</v>
      </c>
      <c r="C339" s="808">
        <f>IF(Eingabe!$V$16=50,Ausgabe!L339,IF(Eingabe!$V$16=51,Ausgabe!N339,IF(Eingabe!$V$16=52,Ausgabe!P339,IF(Eingabe!$V$16=53,Ausgabe!R339,IF(Eingabe!$V$16=54,Ausgabe!T339,"FEHLER")))))</f>
        <v>385</v>
      </c>
      <c r="D339" s="646" t="s">
        <v>115</v>
      </c>
      <c r="E339" s="650" t="str">
        <f>HLOOKUP($F$16,MKW!$E$3:$BS$22,3,0)</f>
        <v>DIN EN 14080:2013-09, Tab. 5</v>
      </c>
      <c r="H339" s="791"/>
      <c r="I339" s="791"/>
      <c r="J339" s="874" t="s">
        <v>328</v>
      </c>
      <c r="K339" s="801" t="s">
        <v>6</v>
      </c>
      <c r="L339" s="899">
        <f>HLOOKUP($F$16,MKW!$E$3:$BS$22,19,0)</f>
        <v>385</v>
      </c>
      <c r="M339" s="650" t="str">
        <f>HLOOKUP($F$16,MKW!$E$3:$BS$22,3,0)</f>
        <v>DIN EN 14080:2013-09, Tab. 5</v>
      </c>
      <c r="N339" s="917">
        <f>HLOOKUP($F$16,MKW!$E$3:$BS$22,19,0)</f>
        <v>385</v>
      </c>
      <c r="O339" s="646" t="str">
        <f>HLOOKUP($F$16,MKW!$E$3:$BS$22,3,0)</f>
        <v>DIN EN 14080:2013-09, Tab. 5</v>
      </c>
      <c r="P339" s="933">
        <f>HLOOKUP($F$16,MKW!$E$3:$BS$22,19,0)</f>
        <v>385</v>
      </c>
      <c r="Q339" s="646" t="str">
        <f>HLOOKUP($F$16,MKW!$E$3:$BS$22,3,0)</f>
        <v>DIN EN 14080:2013-09, Tab. 5</v>
      </c>
      <c r="R339" s="942">
        <f>HLOOKUP($F$16,MKW!$E$3:$BS$22,19,0)</f>
        <v>385</v>
      </c>
      <c r="S339" s="650" t="str">
        <f>HLOOKUP($F$16,MKW!$E$3:$BS$22,3,0)</f>
        <v>DIN EN 14080:2013-09, Tab. 5</v>
      </c>
      <c r="T339" s="934">
        <f>HLOOKUP($F$16,MKW!$E$3:$BS$22,19,0)</f>
        <v>385</v>
      </c>
      <c r="U339" s="650" t="str">
        <f>HLOOKUP($F$16,MKW!$E$3:$BS$22,3,0)</f>
        <v>DIN EN 14080:2013-09, Tab. 5</v>
      </c>
    </row>
    <row r="340" spans="1:22" s="429" customFormat="1" ht="16.5" customHeight="1">
      <c r="A340" s="697" t="str">
        <f>IF(Eingabe!$BC$43=2,Sprachtexte!A141,A702)</f>
        <v>Schrauben-Faser-Winkel</v>
      </c>
      <c r="B340" s="645" t="s">
        <v>479</v>
      </c>
      <c r="C340" s="806">
        <f>IF(Eingabe!$V$16=50,Ausgabe!L340,IF(Eingabe!$V$16=51,Ausgabe!N340,IF(Eingabe!$V$16=52,Ausgabe!P340,IF(Eingabe!$V$16=53,Ausgabe!R340,IF(Eingabe!$V$16=54,Ausgabe!T340,"FEHLER")))))</f>
        <v>90</v>
      </c>
      <c r="D340" s="650" t="s">
        <v>270</v>
      </c>
      <c r="E340" s="650"/>
      <c r="F340" s="776"/>
      <c r="G340" s="776"/>
      <c r="H340" s="776"/>
      <c r="I340" s="776"/>
      <c r="J340" s="874" t="s">
        <v>94</v>
      </c>
      <c r="K340" s="756" t="str">
        <f t="shared" si="4"/>
        <v/>
      </c>
      <c r="L340" s="899">
        <f>ABS(HT90Schraube_Mat0_alpha)</f>
        <v>90</v>
      </c>
      <c r="M340" s="650"/>
      <c r="N340" s="918">
        <f>ABS(HT90Schraube_Mat0_alpha)</f>
        <v>90</v>
      </c>
      <c r="O340" s="650"/>
      <c r="P340" s="934">
        <f>ABS(HT90Schraube_Mat1_alpha)</f>
        <v>90</v>
      </c>
      <c r="Q340" s="650"/>
      <c r="R340" s="942">
        <f>ABS(HT90Schraube_Mat23_alphaF3)</f>
        <v>90</v>
      </c>
      <c r="S340" s="650"/>
      <c r="T340" s="934">
        <f>ABS(HT90Schraube_Mat23_alphaF3)</f>
        <v>90</v>
      </c>
      <c r="U340" s="650"/>
      <c r="V340" s="926"/>
    </row>
    <row r="341" spans="1:22" s="429" customFormat="1" ht="16.5" customHeight="1">
      <c r="A341" s="697" t="str">
        <f>A703</f>
        <v>Schr.-Deckfläche-Winkel</v>
      </c>
      <c r="B341" s="645" t="s">
        <v>480</v>
      </c>
      <c r="C341" s="806" t="str">
        <f>IF(Eingabe!$V$16=50,Ausgabe!L341,IF(Eingabe!$V$16=51,Ausgabe!N341,IF(Eingabe!$V$16=52,Ausgabe!P341,IF(Eingabe!$V$16=53,Ausgabe!R341,IF(Eingabe!$V$16=54,Ausgabe!T341,"FEHLER")))))</f>
        <v>-</v>
      </c>
      <c r="D341" s="650" t="s">
        <v>270</v>
      </c>
      <c r="E341" s="650"/>
      <c r="F341" s="776"/>
      <c r="G341" s="776"/>
      <c r="H341" s="776"/>
      <c r="I341" s="776"/>
      <c r="J341" s="874" t="s">
        <v>484</v>
      </c>
      <c r="K341" s="756" t="str">
        <f t="shared" si="4"/>
        <v/>
      </c>
      <c r="L341" s="899" t="s">
        <v>124</v>
      </c>
      <c r="M341" s="650"/>
      <c r="N341" s="918" t="s">
        <v>124</v>
      </c>
      <c r="O341" s="650"/>
      <c r="P341" s="934" t="s">
        <v>124</v>
      </c>
      <c r="Q341" s="650"/>
      <c r="R341" s="942">
        <f>ABS(HT90Schraube_Mat23_beta)</f>
        <v>0</v>
      </c>
      <c r="S341" s="650"/>
      <c r="T341" s="934">
        <f>ABS(HT90Schraube_Mat23_beta)</f>
        <v>0</v>
      </c>
      <c r="U341" s="650"/>
      <c r="V341" s="926"/>
    </row>
    <row r="342" spans="1:22" s="429" customFormat="1" ht="16.5" customHeight="1">
      <c r="A342" s="697" t="str">
        <f>A704</f>
        <v>Schrauben-Faser-Winkel</v>
      </c>
      <c r="B342" s="645" t="s">
        <v>503</v>
      </c>
      <c r="C342" s="806" t="str">
        <f>IF(Eingabe!$V$16=50,Ausgabe!L342,IF(Eingabe!$V$16=51,Ausgabe!N342,IF(Eingabe!$V$16=52,Ausgabe!P342,IF(Eingabe!$V$16=53,Ausgabe!R342,IF(Eingabe!$V$16=54,Ausgabe!T342,"FEHLER")))))</f>
        <v>-</v>
      </c>
      <c r="D342" s="650" t="s">
        <v>270</v>
      </c>
      <c r="E342" s="650"/>
      <c r="F342" s="776"/>
      <c r="G342" s="776"/>
      <c r="H342" s="776"/>
      <c r="I342" s="776"/>
      <c r="J342" s="873"/>
      <c r="K342" s="756" t="str">
        <f t="shared" si="4"/>
        <v/>
      </c>
      <c r="L342" s="899" t="s">
        <v>124</v>
      </c>
      <c r="M342" s="650"/>
      <c r="N342" s="918" t="s">
        <v>124</v>
      </c>
      <c r="O342" s="650"/>
      <c r="P342" s="934" t="s">
        <v>124</v>
      </c>
      <c r="Q342" s="650"/>
      <c r="R342" s="942">
        <f>ABS(HT90Schraube_Mat23_epsilon)</f>
        <v>90</v>
      </c>
      <c r="S342" s="650"/>
      <c r="T342" s="934">
        <f>ABS(HT90Schraube_Mat23_epsilon)</f>
        <v>90</v>
      </c>
      <c r="U342" s="650"/>
      <c r="V342" s="926"/>
    </row>
    <row r="343" spans="1:22" ht="16.5" customHeight="1">
      <c r="A343" s="645" t="str">
        <f>A728</f>
        <v>char. Fließmoment</v>
      </c>
      <c r="B343" s="645" t="s">
        <v>505</v>
      </c>
      <c r="C343" s="807">
        <f>IF(Eingabe!$V$16=50,Ausgabe!L343,IF(Eingabe!$V$16=51,Ausgabe!N343,IF(Eingabe!$V$16=52,Ausgabe!P343,IF(Eingabe!$V$16=53,Ausgabe!R343,IF(Eingabe!$V$16=54,Ausgabe!T343,"FEHLER")))))</f>
        <v>20</v>
      </c>
      <c r="D343" s="646" t="s">
        <v>493</v>
      </c>
      <c r="E343" s="650" t="str">
        <f>HLOOKUP(Ausgabe!$E$52,MKW!$A$116:$AZ$143,3,FALSE)</f>
        <v>ETA-15/0667</v>
      </c>
      <c r="H343" s="791"/>
      <c r="I343" s="791"/>
      <c r="K343" s="801" t="s">
        <v>6</v>
      </c>
      <c r="L343" s="899">
        <f>HLOOKUP(Ausgabe!$E$52,MKW!$A$116:$AZ$141,9,FALSE)</f>
        <v>20</v>
      </c>
      <c r="M343" s="650" t="str">
        <f>HLOOKUP(Ausgabe!$E$52,MKW!$A$116:$AZ$143,3,FALSE)</f>
        <v>ETA-15/0667</v>
      </c>
      <c r="N343" s="917">
        <f>HLOOKUP(Ausgabe!$E$52,MKW!$A$116:$AZ$141,9,FALSE)</f>
        <v>20</v>
      </c>
      <c r="O343" s="646" t="str">
        <f>HLOOKUP(Ausgabe!$E$52,MKW!$A$116:$AZ$143,3,FALSE)</f>
        <v>ETA-15/0667</v>
      </c>
      <c r="P343" s="933">
        <f>HLOOKUP(Ausgabe!$E$52,MKW!$A$116:$AZ$141,9,FALSE)</f>
        <v>20</v>
      </c>
      <c r="Q343" s="646" t="str">
        <f>HLOOKUP(Ausgabe!$E$52,MKW!$A$116:$AZ$143,3,FALSE)</f>
        <v>ETA-15/0667</v>
      </c>
      <c r="R343" s="942">
        <f>HLOOKUP(Ausgabe!$E$52,MKW!$A$116:$AZ$141,9,FALSE)</f>
        <v>20</v>
      </c>
      <c r="S343" s="650" t="str">
        <f>HLOOKUP(Ausgabe!$E$52,MKW!$A$116:$AZ$143,3,FALSE)</f>
        <v>ETA-15/0667</v>
      </c>
      <c r="T343" s="934">
        <f>HLOOKUP(Ausgabe!$E$52,MKW!$A$116:$AZ$141,9,FALSE)</f>
        <v>20</v>
      </c>
      <c r="U343" s="650" t="str">
        <f>HLOOKUP(Ausgabe!$E$52,MKW!$A$116:$AZ$143,3,FALSE)</f>
        <v>ETA-15/0667</v>
      </c>
    </row>
    <row r="344" spans="1:22" ht="16.5" customHeight="1">
      <c r="A344" s="645" t="str">
        <f>A710</f>
        <v>Dimensionskoeffizient</v>
      </c>
      <c r="B344" s="645" t="s">
        <v>506</v>
      </c>
      <c r="C344" s="807">
        <f>IF(Eingabe!$V$16=50,Ausgabe!L344,IF(Eingabe!$V$16=51,Ausgabe!N344,IF(Eingabe!$V$16=52,Ausgabe!P344,IF(Eingabe!$V$16=53,Ausgabe!R344,IF(Eingabe!$V$16=54,Ausgabe!T344,"FEHLER")))))</f>
        <v>1</v>
      </c>
      <c r="D344" s="646" t="s">
        <v>124</v>
      </c>
      <c r="E344" s="650" t="s">
        <v>770</v>
      </c>
      <c r="H344" s="791"/>
      <c r="I344" s="791"/>
      <c r="K344" s="801" t="s">
        <v>6</v>
      </c>
      <c r="L344" s="899">
        <f>IF(AND(L340&gt;=0,L340&lt;45),0.3+0.7*L340/45,1)</f>
        <v>1</v>
      </c>
      <c r="M344" s="650" t="s">
        <v>770</v>
      </c>
      <c r="N344" s="917">
        <f>IF(AND(N340&gt;=0,N340&lt;45),0.3+0.7*N340/45,1)</f>
        <v>1</v>
      </c>
      <c r="O344" s="650" t="s">
        <v>770</v>
      </c>
      <c r="P344" s="933">
        <f>IF(AND(P340&gt;=0,P340&lt;45),0.3+0.7*P340/45,1)</f>
        <v>1</v>
      </c>
      <c r="Q344" s="650" t="s">
        <v>770</v>
      </c>
      <c r="R344" s="942">
        <f>IF(AND(R340&gt;=0,R340&lt;45),0.5+0.5*R340/45,1)</f>
        <v>1</v>
      </c>
      <c r="S344" s="650" t="s">
        <v>770</v>
      </c>
      <c r="T344" s="934">
        <f>IF(AND(T340&gt;=0,T340&lt;45),0.5+0.5*T340/45,1)</f>
        <v>1</v>
      </c>
      <c r="U344" s="650" t="s">
        <v>770</v>
      </c>
    </row>
    <row r="345" spans="1:22" ht="16.5" customHeight="1">
      <c r="A345" s="645"/>
      <c r="B345" s="645"/>
      <c r="C345" s="807"/>
      <c r="D345" s="646"/>
      <c r="E345" s="650" t="s">
        <v>771</v>
      </c>
      <c r="H345" s="791"/>
      <c r="I345" s="791"/>
      <c r="K345" s="801" t="s">
        <v>6</v>
      </c>
      <c r="M345" s="650" t="s">
        <v>771</v>
      </c>
      <c r="O345" s="650" t="s">
        <v>771</v>
      </c>
      <c r="Q345" s="650" t="s">
        <v>771</v>
      </c>
      <c r="S345" s="650" t="s">
        <v>771</v>
      </c>
      <c r="U345" s="650" t="s">
        <v>771</v>
      </c>
    </row>
    <row r="346" spans="1:22" ht="16.5" customHeight="1">
      <c r="A346" s="645" t="str">
        <f>A711</f>
        <v>Koeffizient</v>
      </c>
      <c r="B346" s="645" t="s">
        <v>2444</v>
      </c>
      <c r="C346" s="807" t="str">
        <f>IF(Eingabe!$V$16=50,Ausgabe!L346,IF(Eingabe!$V$16=51,Ausgabe!N346,IF(Eingabe!$V$16=52,Ausgabe!P346,IF(Eingabe!$V$16=53,Ausgabe!R346,IF(Eingabe!$V$16=54,Ausgabe!T346,"FEHLER")))))</f>
        <v>-</v>
      </c>
      <c r="D346" s="646" t="s">
        <v>124</v>
      </c>
      <c r="E346" s="650"/>
      <c r="H346" s="791"/>
      <c r="I346" s="791"/>
      <c r="K346" s="801" t="s">
        <v>6</v>
      </c>
      <c r="L346" s="899" t="s">
        <v>124</v>
      </c>
      <c r="N346" s="917">
        <v>1</v>
      </c>
      <c r="O346" s="646" t="s">
        <v>591</v>
      </c>
      <c r="P346" s="933">
        <v>1</v>
      </c>
      <c r="Q346" s="646" t="s">
        <v>591</v>
      </c>
      <c r="R346" s="942">
        <f>1.5*COS(RADIANS(R341))^2+SIN(RADIANS(R341))^2</f>
        <v>1.5</v>
      </c>
      <c r="S346" s="646" t="s">
        <v>598</v>
      </c>
      <c r="T346" s="934">
        <f>1.5*COS(RADIANS(T341))^2+SIN(RADIANS(T341))^2</f>
        <v>1.5</v>
      </c>
      <c r="U346" s="646" t="s">
        <v>598</v>
      </c>
    </row>
    <row r="347" spans="1:22" ht="16.5" customHeight="1">
      <c r="A347" s="645" t="str">
        <f>A718</f>
        <v>char. Ausziehwiderstand</v>
      </c>
      <c r="B347" s="645" t="s">
        <v>552</v>
      </c>
      <c r="C347" s="807" t="e">
        <f ca="1">IF(Eingabe!$V$16=50,Ausgabe!L347,IF(Eingabe!$V$16=51,Ausgabe!N347,IF(Eingabe!$V$16=52,Ausgabe!P347,IF(Eingabe!$V$16=53,Ausgabe!R347,IF(Eingabe!$V$16=54,Ausgabe!T347,"FEHLER")))))</f>
        <v>#DIV/0!</v>
      </c>
      <c r="D347" s="646" t="s">
        <v>469</v>
      </c>
      <c r="E347" s="650" t="s">
        <v>602</v>
      </c>
      <c r="H347" s="791"/>
      <c r="I347" s="791"/>
      <c r="K347" s="801" t="s">
        <v>6</v>
      </c>
      <c r="L347" s="914" t="e">
        <f ca="1">0.52*L336^0.5*L337^0.9*L339^0.8*L344*1/1000</f>
        <v>#DIV/0!</v>
      </c>
      <c r="M347" s="650" t="s">
        <v>602</v>
      </c>
      <c r="N347" s="919" t="e">
        <f ca="1">N344*11*N336*N337*(N339/350)^0.8*1/N346*1/1000</f>
        <v>#DIV/0!</v>
      </c>
      <c r="O347" s="646" t="s">
        <v>594</v>
      </c>
      <c r="P347" s="939" t="e">
        <f ca="1">P344*11*P336*P337*(P339/350)^0.8*1/P346*1/1000</f>
        <v>#DIV/0!</v>
      </c>
      <c r="Q347" s="646" t="s">
        <v>594</v>
      </c>
      <c r="R347" s="945" t="e">
        <f ca="1">R344*35*R336*R337*(R339/720)^0.8*1/R346*1/1000</f>
        <v>#DIV/0!</v>
      </c>
      <c r="S347" s="646" t="s">
        <v>601</v>
      </c>
      <c r="T347" s="939" t="e">
        <f ca="1">T344*11*T336*T337*(T339/350)^0.8*1/T346*1/1000</f>
        <v>#DIV/0!</v>
      </c>
      <c r="U347" s="646" t="s">
        <v>594</v>
      </c>
    </row>
    <row r="348" spans="1:22" s="647" customFormat="1" ht="33" customHeight="1">
      <c r="A348" s="645" t="str">
        <f>A729</f>
        <v>char. Lochleibungsfestigkeit</v>
      </c>
      <c r="B348" s="645" t="s">
        <v>553</v>
      </c>
      <c r="C348" s="807">
        <f>IF(Eingabe!$V$16=50,Ausgabe!L348,IF(Eingabe!$V$16=51,Ausgabe!N348,IF(Eingabe!$V$16=52,Ausgabe!P348,IF(Eingabe!$V$16=53,Ausgabe!R348,IF(Eingabe!$V$16=54,Ausgabe!T348,"FEHLER")))))</f>
        <v>16.917944106135387</v>
      </c>
      <c r="D348" s="646" t="s">
        <v>3</v>
      </c>
      <c r="E348" s="1520" t="s">
        <v>2666</v>
      </c>
      <c r="F348" s="1520"/>
      <c r="G348" s="1520"/>
      <c r="H348" s="1520"/>
      <c r="I348" s="1520"/>
      <c r="J348" s="877"/>
      <c r="K348" s="801" t="s">
        <v>6</v>
      </c>
      <c r="L348" s="914">
        <f>0.082*L339*L336^(-0.3)</f>
        <v>16.917944106135387</v>
      </c>
      <c r="M348" s="755" t="s">
        <v>772</v>
      </c>
      <c r="N348" s="919">
        <f>(0.082*N339*N336^(-0.3))/(2.5*COS(RADIANS(N340))^2+SIN(RADIANS(N340))^2)</f>
        <v>16.917944106135387</v>
      </c>
      <c r="O348" s="642" t="s">
        <v>764</v>
      </c>
      <c r="P348" s="939">
        <f>(0.082*P339*(1-0.01*P336))/(2.5*COS(RADIANS(P340))^2+SIN(RADIANS(P340))^2)</f>
        <v>29.044400000000003</v>
      </c>
      <c r="Q348" s="642" t="s">
        <v>765</v>
      </c>
      <c r="R348" s="945">
        <f>(0.082*R339*R336^(-0.15))/(((0.5+0.024*R336)*SIN(RADIANS(R340))^2+COS(RADIANS(R340))^2)*(1.2*COS(RADIANS(R341))^2+SIN(RADIANS(R341))^2)*(2.5*COS(RADIANS(R342))^2+SIN(RADIANS(R342))^2))</f>
        <v>27.830675229409565</v>
      </c>
      <c r="S348" s="642" t="s">
        <v>669</v>
      </c>
      <c r="T348" s="939">
        <f>(0.082*T339*T336^(-0.3))/(2.5*COS(RADIANS(T340))^2+SIN(RADIANS(T340))^2)</f>
        <v>16.917944106135387</v>
      </c>
      <c r="U348" s="755" t="s">
        <v>766</v>
      </c>
      <c r="V348" s="928"/>
    </row>
    <row r="349" spans="1:22" s="647" customFormat="1" ht="16.5" customHeight="1">
      <c r="A349" s="645"/>
      <c r="B349" s="645" t="s">
        <v>2439</v>
      </c>
      <c r="C349" s="807" t="e">
        <f ca="1">IF(Eingabe!$V$16=50,Ausgabe!L349,IF(Eingabe!$V$16=51,Ausgabe!N349,IF(Eingabe!$V$16=52,Ausgabe!P349,IF(Eingabe!$V$16=53,Ausgabe!R349,IF(Eingabe!$V$16=54,Ausgabe!T349,"FEHLER")))))</f>
        <v>#DIV/0!</v>
      </c>
      <c r="D349" s="753" t="s">
        <v>469</v>
      </c>
      <c r="E349" s="754" t="s">
        <v>2155</v>
      </c>
      <c r="F349" s="677"/>
      <c r="G349" s="677"/>
      <c r="H349" s="677"/>
      <c r="I349" s="677"/>
      <c r="J349" s="877"/>
      <c r="K349" s="801" t="s">
        <v>6</v>
      </c>
      <c r="L349" s="914" t="e">
        <f ca="1">MIN(L347/4,2.3*SQRT(L343*1000*L348*L336)*1/1000)</f>
        <v>#DIV/0!</v>
      </c>
      <c r="M349" s="754" t="s">
        <v>2155</v>
      </c>
      <c r="N349" s="919" t="e">
        <f ca="1">MIN(N347/4,2.3*SQRT(N343*1000*N348*N336)*1/1000)</f>
        <v>#DIV/0!</v>
      </c>
      <c r="O349" s="754" t="s">
        <v>2155</v>
      </c>
      <c r="P349" s="936" t="e">
        <f ca="1">MIN(P347/4,2.3*SQRT(P343*1000*P348*P336)*1/1000)</f>
        <v>#DIV/0!</v>
      </c>
      <c r="Q349" s="754" t="s">
        <v>2155</v>
      </c>
      <c r="R349" s="943" t="e">
        <f ca="1">MIN(R347/4,2.3*SQRT(R343*1000*R348*R336)*1/1000)</f>
        <v>#DIV/0!</v>
      </c>
      <c r="S349" s="754" t="s">
        <v>2155</v>
      </c>
      <c r="T349" s="939" t="e">
        <f ca="1">MIN(T347/4,2.3*SQRT(T343*1000*T348*T336)*1/1000)</f>
        <v>#DIV/0!</v>
      </c>
      <c r="U349" s="754" t="s">
        <v>2155</v>
      </c>
      <c r="V349" s="928"/>
    </row>
    <row r="350" spans="1:22" ht="16.5" customHeight="1">
      <c r="A350" s="645" t="str">
        <f>A730</f>
        <v>char. Tragfähigkeit pro VM</v>
      </c>
      <c r="B350" s="645" t="s">
        <v>554</v>
      </c>
      <c r="C350" s="807" t="e">
        <f ca="1">IF(Eingabe!$V$16=50,Ausgabe!L350,IF(Eingabe!$V$16=51,Ausgabe!N350,IF(Eingabe!$V$16=52,Ausgabe!P350,IF(Eingabe!$V$16=53,Ausgabe!R350,IF(Eingabe!$V$16=54,Ausgabe!T350,"FEHLER")))))</f>
        <v>#DIV/0!</v>
      </c>
      <c r="D350" s="753" t="s">
        <v>469</v>
      </c>
      <c r="E350" s="650" t="s">
        <v>2156</v>
      </c>
      <c r="H350" s="791"/>
      <c r="I350" s="791"/>
      <c r="K350" s="801" t="s">
        <v>6</v>
      </c>
      <c r="L350" s="914" t="e">
        <f ca="1">2.3*SQRT(L343*1000*L348*L336)*1/1000+L349</f>
        <v>#DIV/0!</v>
      </c>
      <c r="M350" s="650" t="s">
        <v>2156</v>
      </c>
      <c r="N350" s="919" t="e">
        <f ca="1">2.3*SQRT(N343*1000*N348*N336)*1/1000+N349</f>
        <v>#DIV/0!</v>
      </c>
      <c r="O350" s="650" t="s">
        <v>2156</v>
      </c>
      <c r="P350" s="936" t="e">
        <f ca="1">2.3*SQRT(P343*1000*P348*P336)*1/1000+P349</f>
        <v>#DIV/0!</v>
      </c>
      <c r="Q350" s="650" t="s">
        <v>2156</v>
      </c>
      <c r="R350" s="943" t="e">
        <f ca="1">2.3*SQRT(R343*1000*R348*R336)*1/1000+R349</f>
        <v>#DIV/0!</v>
      </c>
      <c r="S350" s="650" t="s">
        <v>2156</v>
      </c>
      <c r="T350" s="939" t="e">
        <f ca="1">2.3*SQRT(T343*1000*T348*T336)*1/1000+T349</f>
        <v>#DIV/0!</v>
      </c>
      <c r="U350" s="650" t="s">
        <v>2156</v>
      </c>
    </row>
    <row r="351" spans="1:22" ht="16.5" customHeight="1">
      <c r="A351" s="645"/>
      <c r="B351" s="645"/>
      <c r="C351" s="807"/>
      <c r="D351" s="753"/>
      <c r="E351" s="646"/>
      <c r="H351" s="791"/>
      <c r="I351" s="791"/>
      <c r="L351" s="914"/>
      <c r="N351" s="919"/>
      <c r="P351" s="936"/>
    </row>
    <row r="352" spans="1:22" s="429" customFormat="1" ht="16.5" customHeight="1">
      <c r="A352" s="788" t="str">
        <f>IF(Eingabe!C28=Eingabe!BL27,Sprachtexte!A138,IF(Eingabe!C28=Eingabe!BL28,Sprachtexte!A140,NA()))</f>
        <v>Hauptträger 45°-Schrauben</v>
      </c>
      <c r="B352" s="776"/>
      <c r="C352" s="806"/>
      <c r="D352" s="776"/>
      <c r="E352" s="650"/>
      <c r="F352" s="776"/>
      <c r="G352" s="776"/>
      <c r="H352" s="776"/>
      <c r="I352" s="776"/>
      <c r="J352" s="873"/>
      <c r="K352" s="756" t="str">
        <f t="shared" ref="K352:K389" si="5">IF(AND(M352=O352,O352=Q352,Q352=S352,S352=U352,M352=""),"","HT")</f>
        <v/>
      </c>
      <c r="L352" s="899"/>
      <c r="M352" s="650"/>
      <c r="N352" s="918"/>
      <c r="O352" s="650"/>
      <c r="P352" s="934"/>
      <c r="Q352" s="650"/>
      <c r="R352" s="942"/>
      <c r="S352" s="650"/>
      <c r="T352" s="934"/>
      <c r="U352" s="650"/>
      <c r="V352" s="926"/>
    </row>
    <row r="353" spans="1:22" s="429" customFormat="1" ht="16.5" customHeight="1">
      <c r="A353" s="697" t="str">
        <f>A700</f>
        <v>Schraubenlänge</v>
      </c>
      <c r="B353" s="697" t="s">
        <v>112</v>
      </c>
      <c r="C353" s="810">
        <f>IF(Eingabe!$V$16=50,Ausgabe!L353,IF(Eingabe!$V$16=51,Ausgabe!N353,IF(Eingabe!$V$16=52,Ausgabe!P353,IF(Eingabe!$V$16=53,Ausgabe!R353,IF(Eingabe!$V$16=54,Ausgabe!T353,"FEHLER")))))</f>
        <v>160</v>
      </c>
      <c r="D353" s="754" t="s">
        <v>2</v>
      </c>
      <c r="E353" s="650"/>
      <c r="F353" s="776"/>
      <c r="G353" s="776"/>
      <c r="H353" s="776"/>
      <c r="I353" s="776"/>
      <c r="J353" s="873"/>
      <c r="K353" s="756" t="str">
        <f t="shared" si="5"/>
        <v/>
      </c>
      <c r="L353" s="899">
        <f>HLOOKUP(Ausgabe!$E$51,MKW!$A$116:$AZ$143,5,FALSE)</f>
        <v>160</v>
      </c>
      <c r="M353" s="650"/>
      <c r="N353" s="918">
        <f>HLOOKUP(Ausgabe!$E$51,MKW!$A$116:$AZ$143,5,FALSE)</f>
        <v>160</v>
      </c>
      <c r="O353" s="650"/>
      <c r="P353" s="934">
        <f>HLOOKUP(Ausgabe!$E$51,MKW!$A$116:$AZ$143,5,FALSE)</f>
        <v>160</v>
      </c>
      <c r="Q353" s="650"/>
      <c r="R353" s="942">
        <f>HLOOKUP(Ausgabe!$E$51,MKW!$A$116:$AZ$143,5,FALSE)</f>
        <v>160</v>
      </c>
      <c r="S353" s="650"/>
      <c r="T353" s="934">
        <f>HLOOKUP(Ausgabe!$E$51,MKW!$A$116:$AZ$143,5,FALSE)</f>
        <v>160</v>
      </c>
      <c r="U353" s="650"/>
      <c r="V353" s="926"/>
    </row>
    <row r="354" spans="1:22" s="429" customFormat="1" ht="16.5" customHeight="1">
      <c r="A354" s="697" t="str">
        <f>A701</f>
        <v>Durchmesser</v>
      </c>
      <c r="B354" s="697" t="s">
        <v>111</v>
      </c>
      <c r="C354" s="806">
        <f>IF(Eingabe!$V$16=50,Ausgabe!L354,IF(Eingabe!$V$16=51,Ausgabe!N354,IF(Eingabe!$V$16=52,Ausgabe!P354,IF(Eingabe!$V$16=53,Ausgabe!R354,IF(Eingabe!$V$16=54,Ausgabe!T354,"FEHLER")))))</f>
        <v>8</v>
      </c>
      <c r="D354" s="754" t="s">
        <v>2</v>
      </c>
      <c r="E354" s="650"/>
      <c r="F354" s="776"/>
      <c r="G354" s="776"/>
      <c r="H354" s="776"/>
      <c r="I354" s="776"/>
      <c r="J354" s="873"/>
      <c r="K354" s="756" t="str">
        <f t="shared" si="5"/>
        <v/>
      </c>
      <c r="L354" s="899">
        <f>HLOOKUP(Ausgabe!$E$51,MKW!$A$116:$AZ$143,4,FALSE)</f>
        <v>8</v>
      </c>
      <c r="M354" s="650"/>
      <c r="N354" s="918">
        <f>HLOOKUP(Ausgabe!$E$51,MKW!$A$116:$AZ$143,4,FALSE)</f>
        <v>8</v>
      </c>
      <c r="O354" s="650"/>
      <c r="P354" s="934">
        <f>HLOOKUP(Ausgabe!$E$51,MKW!$A$116:$AZ$143,4,FALSE)</f>
        <v>8</v>
      </c>
      <c r="Q354" s="650"/>
      <c r="R354" s="942">
        <f>HLOOKUP(Ausgabe!$E$51,MKW!$A$116:$AZ$143,4,FALSE)</f>
        <v>8</v>
      </c>
      <c r="S354" s="650"/>
      <c r="T354" s="934">
        <f>HLOOKUP(Ausgabe!$E$51,MKW!$A$116:$AZ$143,4,FALSE)</f>
        <v>8</v>
      </c>
      <c r="U354" s="650"/>
      <c r="V354" s="926"/>
    </row>
    <row r="355" spans="1:22" s="429" customFormat="1" ht="16.5" customHeight="1">
      <c r="A355" s="697" t="str">
        <f>A705</f>
        <v>mittlere eff. Schraubenlänge</v>
      </c>
      <c r="B355" s="697" t="s">
        <v>547</v>
      </c>
      <c r="C355" s="806">
        <f ca="1">IF(Eingabe!$V$16=50,Ausgabe!L355,IF(Eingabe!$V$16=51,Ausgabe!N355,IF(Eingabe!$V$16=52,Ausgabe!P355,IF(Eingabe!$V$16=53,Ausgabe!R355,IF(Eingabe!$V$16=54,Ausgabe!T355,"FEHLER")))))</f>
        <v>142.5</v>
      </c>
      <c r="D355" s="754" t="s">
        <v>2</v>
      </c>
      <c r="E355" s="650" t="s">
        <v>584</v>
      </c>
      <c r="F355" s="776"/>
      <c r="G355" s="776"/>
      <c r="H355" s="776"/>
      <c r="I355" s="776"/>
      <c r="J355" s="873"/>
      <c r="K355" s="756" t="str">
        <f t="shared" si="5"/>
        <v>HT</v>
      </c>
      <c r="L355" s="899">
        <f ca="1">Berechnung_BZoben!$C$29</f>
        <v>142.5</v>
      </c>
      <c r="M355" s="650" t="s">
        <v>584</v>
      </c>
      <c r="N355" s="918">
        <f ca="1">Berechnung_BZoben!$C$29</f>
        <v>142.5</v>
      </c>
      <c r="O355" s="650" t="s">
        <v>584</v>
      </c>
      <c r="P355" s="934">
        <f ca="1">Berechnung_BZoben!$C$29</f>
        <v>142.5</v>
      </c>
      <c r="Q355" s="650" t="s">
        <v>584</v>
      </c>
      <c r="R355" s="942">
        <f ca="1">Berechnung_BZoben!$C$29</f>
        <v>142.5</v>
      </c>
      <c r="S355" s="650" t="s">
        <v>584</v>
      </c>
      <c r="T355" s="934">
        <f ca="1">Berechnung_BZoben!$C$29</f>
        <v>142.5</v>
      </c>
      <c r="U355" s="650" t="s">
        <v>584</v>
      </c>
      <c r="V355" s="926"/>
    </row>
    <row r="356" spans="1:22" s="429" customFormat="1" ht="16.5" customHeight="1">
      <c r="A356" s="697" t="str">
        <f>A707</f>
        <v>eff. Schraubenanzahl</v>
      </c>
      <c r="B356" s="697" t="s">
        <v>521</v>
      </c>
      <c r="C356" s="806">
        <f>IF(Eingabe!$V$16=50,Ausgabe!L356,IF(Eingabe!$V$16=51,Ausgabe!N356,IF(Eingabe!$V$16=52,Ausgabe!P356,IF(Eingabe!$V$16=53,Ausgabe!R356,IF(Eingabe!$V$16=54,Ausgabe!T356,"FEHLER")))))</f>
        <v>7</v>
      </c>
      <c r="D356" s="754" t="s">
        <v>124</v>
      </c>
      <c r="E356" s="650" t="s">
        <v>947</v>
      </c>
      <c r="F356" s="776"/>
      <c r="G356" s="776"/>
      <c r="H356" s="776"/>
      <c r="I356" s="776"/>
      <c r="J356" s="873"/>
      <c r="K356" s="756" t="str">
        <f t="shared" si="5"/>
        <v>HT</v>
      </c>
      <c r="L356" s="899">
        <f>MIN($B$294,28)</f>
        <v>7</v>
      </c>
      <c r="M356" s="650" t="s">
        <v>947</v>
      </c>
      <c r="N356" s="918">
        <f>MIN($B$294,28)</f>
        <v>7</v>
      </c>
      <c r="O356" s="650" t="s">
        <v>947</v>
      </c>
      <c r="P356" s="934">
        <f>MIN($B$294,28)</f>
        <v>7</v>
      </c>
      <c r="Q356" s="650" t="s">
        <v>947</v>
      </c>
      <c r="R356" s="942">
        <f>MIN($B$294,28)</f>
        <v>7</v>
      </c>
      <c r="S356" s="650" t="s">
        <v>947</v>
      </c>
      <c r="T356" s="934">
        <f>MIN($B$294,28)</f>
        <v>7</v>
      </c>
      <c r="U356" s="650" t="s">
        <v>947</v>
      </c>
      <c r="V356" s="926"/>
    </row>
    <row r="357" spans="1:22" s="429" customFormat="1" ht="16.5" customHeight="1">
      <c r="A357" s="697" t="str">
        <f>A708</f>
        <v>char. Rohdichte</v>
      </c>
      <c r="B357" s="697" t="s">
        <v>2425</v>
      </c>
      <c r="C357" s="806">
        <f>IF(Eingabe!$V$16=50,Ausgabe!L357,IF(Eingabe!$V$16=51,Ausgabe!N357,IF(Eingabe!$V$16=52,Ausgabe!P357,IF(Eingabe!$V$16=53,Ausgabe!R357,IF(Eingabe!$V$16=54,Ausgabe!T357,"FEHLER")))))</f>
        <v>385</v>
      </c>
      <c r="D357" s="754" t="s">
        <v>115</v>
      </c>
      <c r="E357" s="650" t="str">
        <f>HLOOKUP($F$16,MKW!$E$3:$BS$22,3,0)</f>
        <v>DIN EN 14080:2013-09, Tab. 5</v>
      </c>
      <c r="F357" s="776"/>
      <c r="G357" s="776"/>
      <c r="H357" s="776"/>
      <c r="I357" s="776"/>
      <c r="J357" s="873"/>
      <c r="K357" s="756" t="str">
        <f t="shared" si="5"/>
        <v>HT</v>
      </c>
      <c r="L357" s="899">
        <f>HLOOKUP($F$23,MKW!$E$3:$BS$22,19,0)</f>
        <v>385</v>
      </c>
      <c r="M357" s="650" t="str">
        <f>HLOOKUP($F$16,MKW!$E$3:$BS$22,3,0)</f>
        <v>DIN EN 14080:2013-09, Tab. 5</v>
      </c>
      <c r="N357" s="918">
        <f>HLOOKUP($F$23,MKW!$E$3:$BS$22,19,0)</f>
        <v>385</v>
      </c>
      <c r="O357" s="650" t="str">
        <f>HLOOKUP($F$16,MKW!$E$3:$BS$22,3,0)</f>
        <v>DIN EN 14080:2013-09, Tab. 5</v>
      </c>
      <c r="P357" s="934">
        <f>HLOOKUP($F$23,MKW!$E$3:$BS$22,19,0)</f>
        <v>385</v>
      </c>
      <c r="Q357" s="650" t="str">
        <f>HLOOKUP($F$16,MKW!$E$3:$BS$22,3,0)</f>
        <v>DIN EN 14080:2013-09, Tab. 5</v>
      </c>
      <c r="R357" s="942">
        <f>HLOOKUP($F$23,MKW!$E$3:$BS$22,19,0)</f>
        <v>385</v>
      </c>
      <c r="S357" s="650" t="str">
        <f>HLOOKUP($F$16,MKW!$E$3:$BS$22,3,0)</f>
        <v>DIN EN 14080:2013-09, Tab. 5</v>
      </c>
      <c r="T357" s="934">
        <f>HLOOKUP($F$23,MKW!$E$3:$BS$22,19,0)</f>
        <v>385</v>
      </c>
      <c r="U357" s="650" t="str">
        <f>HLOOKUP($F$16,MKW!$E$3:$BS$22,3,0)</f>
        <v>DIN EN 14080:2013-09, Tab. 5</v>
      </c>
      <c r="V357" s="926"/>
    </row>
    <row r="358" spans="1:22" s="429" customFormat="1" ht="16.5" customHeight="1">
      <c r="A358" s="697" t="str">
        <f>IF(Eingabe!$BC$43=2,Sprachtexte!A141,A702)</f>
        <v>Schrauben-Faser-Winkel</v>
      </c>
      <c r="B358" s="697" t="s">
        <v>479</v>
      </c>
      <c r="C358" s="806">
        <f>IF(Eingabe!$V$16=50,Ausgabe!L358,IF(Eingabe!$V$16=51,Ausgabe!N358,IF(Eingabe!$V$16=52,Ausgabe!P358,IF(Eingabe!$V$16=53,Ausgabe!R358,IF(Eingabe!$V$16=54,Ausgabe!T358,"FEHLER")))))</f>
        <v>90</v>
      </c>
      <c r="D358" s="754" t="s">
        <v>270</v>
      </c>
      <c r="E358" s="650"/>
      <c r="F358" s="776"/>
      <c r="G358" s="776"/>
      <c r="H358" s="776"/>
      <c r="I358" s="776"/>
      <c r="J358" s="873"/>
      <c r="K358" s="756" t="str">
        <f t="shared" si="5"/>
        <v/>
      </c>
      <c r="L358" s="916">
        <f>ABS(HT45Schraube_Mat0_alpha)</f>
        <v>90</v>
      </c>
      <c r="M358" s="650"/>
      <c r="N358" s="918">
        <f>ABS(HT45Schraube_Mat0_alpha)</f>
        <v>90</v>
      </c>
      <c r="O358" s="650"/>
      <c r="P358" s="934">
        <f>ABS(HT45Schraube_Mat1_alpha)</f>
        <v>90</v>
      </c>
      <c r="Q358" s="650"/>
      <c r="R358" s="942">
        <f>ABS(HT45Schraube_Mat23_alphaF3)</f>
        <v>90</v>
      </c>
      <c r="S358" s="650"/>
      <c r="T358" s="934">
        <f>ABS(HT45Schraube_Mat23_alphaF3)</f>
        <v>90</v>
      </c>
      <c r="U358" s="650"/>
      <c r="V358" s="926"/>
    </row>
    <row r="359" spans="1:22" s="429" customFormat="1" ht="16.5" customHeight="1">
      <c r="A359" s="697" t="str">
        <f>A703</f>
        <v>Schr.-Deckfläche-Winkel</v>
      </c>
      <c r="B359" s="697" t="s">
        <v>480</v>
      </c>
      <c r="C359" s="806" t="str">
        <f>IF(Eingabe!$V$16=50,Ausgabe!L359,IF(Eingabe!$V$16=51,Ausgabe!N359,IF(Eingabe!$V$16=52,Ausgabe!P359,IF(Eingabe!$V$16=53,Ausgabe!R359,IF(Eingabe!$V$16=54,Ausgabe!T359,"FEHLER")))))</f>
        <v>-</v>
      </c>
      <c r="D359" s="754" t="s">
        <v>270</v>
      </c>
      <c r="E359" s="650"/>
      <c r="F359" s="776"/>
      <c r="G359" s="776"/>
      <c r="H359" s="776"/>
      <c r="I359" s="776"/>
      <c r="J359" s="873"/>
      <c r="K359" s="756" t="str">
        <f t="shared" si="5"/>
        <v/>
      </c>
      <c r="L359" s="899" t="s">
        <v>124</v>
      </c>
      <c r="M359" s="650"/>
      <c r="N359" s="918" t="s">
        <v>124</v>
      </c>
      <c r="O359" s="650"/>
      <c r="P359" s="934" t="s">
        <v>124</v>
      </c>
      <c r="Q359" s="650"/>
      <c r="R359" s="942">
        <f>ABS(HT45Schraube_Mat23_beta)</f>
        <v>45</v>
      </c>
      <c r="S359" s="650"/>
      <c r="T359" s="934">
        <f>ABS(HT45Schraube_Mat23_beta)</f>
        <v>45</v>
      </c>
      <c r="U359" s="650"/>
      <c r="V359" s="926"/>
    </row>
    <row r="360" spans="1:22" s="429" customFormat="1" ht="16.5" customHeight="1">
      <c r="A360" s="697" t="str">
        <f>A704</f>
        <v>Schrauben-Faser-Winkel</v>
      </c>
      <c r="B360" s="697" t="s">
        <v>503</v>
      </c>
      <c r="C360" s="806" t="str">
        <f>IF(Eingabe!$V$16=50,Ausgabe!L360,IF(Eingabe!$V$16=51,Ausgabe!N360,IF(Eingabe!$V$16=52,Ausgabe!P360,IF(Eingabe!$V$16=53,Ausgabe!R360,IF(Eingabe!$V$16=54,Ausgabe!T360,"FEHLER")))))</f>
        <v>-</v>
      </c>
      <c r="D360" s="754" t="s">
        <v>270</v>
      </c>
      <c r="E360" s="650"/>
      <c r="F360" s="776"/>
      <c r="G360" s="776"/>
      <c r="H360" s="776"/>
      <c r="I360" s="776"/>
      <c r="J360" s="874" t="s">
        <v>328</v>
      </c>
      <c r="K360" s="756" t="str">
        <f t="shared" si="5"/>
        <v/>
      </c>
      <c r="L360" s="899" t="s">
        <v>124</v>
      </c>
      <c r="M360" s="650"/>
      <c r="N360" s="918" t="s">
        <v>124</v>
      </c>
      <c r="O360" s="650"/>
      <c r="P360" s="934" t="s">
        <v>124</v>
      </c>
      <c r="Q360" s="650"/>
      <c r="R360" s="942">
        <f>ABS(HT45Schraube_Mat23_epsilon)</f>
        <v>90</v>
      </c>
      <c r="S360" s="650"/>
      <c r="T360" s="934">
        <f>ABS(HT45Schraube_Mat23_epsilon)</f>
        <v>90</v>
      </c>
      <c r="U360" s="650"/>
      <c r="V360" s="926"/>
    </row>
    <row r="361" spans="1:22" s="429" customFormat="1" ht="16.5" customHeight="1">
      <c r="A361" s="697" t="str">
        <f>A728</f>
        <v>char. Fließmoment</v>
      </c>
      <c r="B361" s="697" t="s">
        <v>2440</v>
      </c>
      <c r="C361" s="806">
        <f>IF(Eingabe!$V$16=50,Ausgabe!L361,IF(Eingabe!$V$16=51,Ausgabe!N361,IF(Eingabe!$V$16=52,Ausgabe!P361,IF(Eingabe!$V$16=53,Ausgabe!R361,IF(Eingabe!$V$16=54,Ausgabe!T361,"FEHLER")))))</f>
        <v>20</v>
      </c>
      <c r="D361" s="754" t="s">
        <v>493</v>
      </c>
      <c r="E361" s="650" t="str">
        <f>HLOOKUP(Ausgabe!$E$51,MKW!$A$116:$AZ$143,3,FALSE)</f>
        <v>ETA-15/0667</v>
      </c>
      <c r="F361" s="776"/>
      <c r="G361" s="776"/>
      <c r="H361" s="776"/>
      <c r="I361" s="776"/>
      <c r="J361" s="874" t="s">
        <v>94</v>
      </c>
      <c r="K361" s="756" t="str">
        <f t="shared" si="5"/>
        <v>HT</v>
      </c>
      <c r="L361" s="899">
        <f>HLOOKUP(Ausgabe!$E$51,MKW!$A$116:$AZ$141,9,FALSE)</f>
        <v>20</v>
      </c>
      <c r="M361" s="650" t="str">
        <f>HLOOKUP(Ausgabe!$E$51,MKW!$A$116:$AZ$143,3,FALSE)</f>
        <v>ETA-15/0667</v>
      </c>
      <c r="N361" s="918">
        <f>HLOOKUP(Ausgabe!$E$51,MKW!$A$116:$AZ$141,9,FALSE)</f>
        <v>20</v>
      </c>
      <c r="O361" s="650" t="str">
        <f>HLOOKUP(Ausgabe!$E$52,MKW!$A$116:$AZ$143,3,FALSE)</f>
        <v>ETA-15/0667</v>
      </c>
      <c r="P361" s="934">
        <f>HLOOKUP(Ausgabe!$E$51,MKW!$A$116:$AZ$141,9,FALSE)</f>
        <v>20</v>
      </c>
      <c r="Q361" s="650" t="str">
        <f>HLOOKUP(Ausgabe!$E$52,MKW!$A$116:$AZ$143,3,FALSE)</f>
        <v>ETA-15/0667</v>
      </c>
      <c r="R361" s="942">
        <f>HLOOKUP(Ausgabe!$E$51,MKW!$A$116:$AZ$141,9,FALSE)</f>
        <v>20</v>
      </c>
      <c r="S361" s="650" t="str">
        <f>HLOOKUP(Ausgabe!$E$52,MKW!$A$116:$AZ$143,3,FALSE)</f>
        <v>ETA-15/0667</v>
      </c>
      <c r="T361" s="934">
        <f>HLOOKUP(Ausgabe!$E$51,MKW!$A$116:$AZ$141,9,FALSE)</f>
        <v>20</v>
      </c>
      <c r="U361" s="650" t="str">
        <f>HLOOKUP(Ausgabe!$E$52,MKW!$A$116:$AZ$143,3,FALSE)</f>
        <v>ETA-15/0667</v>
      </c>
      <c r="V361" s="926"/>
    </row>
    <row r="362" spans="1:22" s="429" customFormat="1" ht="16.5" customHeight="1">
      <c r="A362" s="697" t="str">
        <f>A710</f>
        <v>Dimensionskoeffizient</v>
      </c>
      <c r="B362" s="697" t="s">
        <v>2432</v>
      </c>
      <c r="C362" s="806">
        <f>IF(Eingabe!$V$16=50,Ausgabe!L362,IF(Eingabe!$V$16=51,Ausgabe!N362,IF(Eingabe!$V$16=52,Ausgabe!P362,IF(Eingabe!$V$16=53,Ausgabe!R362,IF(Eingabe!$V$16=54,Ausgabe!T362,"FEHLER")))))</f>
        <v>1</v>
      </c>
      <c r="D362" s="754" t="s">
        <v>124</v>
      </c>
      <c r="E362" s="650" t="s">
        <v>530</v>
      </c>
      <c r="F362" s="776"/>
      <c r="G362" s="776"/>
      <c r="H362" s="776"/>
      <c r="I362" s="776"/>
      <c r="J362" s="874" t="s">
        <v>487</v>
      </c>
      <c r="K362" s="756" t="str">
        <f t="shared" si="5"/>
        <v>HT</v>
      </c>
      <c r="L362" s="899">
        <f>IF(AND(L358&gt;=0,L358&lt;45),0.3+0.7*L358/45,1)</f>
        <v>1</v>
      </c>
      <c r="M362" s="650" t="s">
        <v>530</v>
      </c>
      <c r="N362" s="918">
        <f>IF(AND(N358&gt;=0,N358&lt;45),0.3+0.7*N358/45,1)</f>
        <v>1</v>
      </c>
      <c r="O362" s="650" t="s">
        <v>530</v>
      </c>
      <c r="P362" s="934">
        <f>IF(AND(P358&gt;=0,P358&lt;45),0.3+0.7*P358/45,1)</f>
        <v>1</v>
      </c>
      <c r="Q362" s="650" t="s">
        <v>530</v>
      </c>
      <c r="R362" s="942">
        <f>IF(AND(R358&gt;=0,R358&lt;45),0.5+0.5*R358/45,1)</f>
        <v>1</v>
      </c>
      <c r="S362" s="650" t="s">
        <v>530</v>
      </c>
      <c r="T362" s="934">
        <f>IF(AND(T358&gt;=0,T358&lt;45),0.5+0.5*T358/45,1)</f>
        <v>1</v>
      </c>
      <c r="U362" s="650" t="s">
        <v>530</v>
      </c>
      <c r="V362" s="926"/>
    </row>
    <row r="363" spans="1:22" s="429" customFormat="1" ht="16.5" customHeight="1">
      <c r="A363" s="697"/>
      <c r="B363" s="697"/>
      <c r="C363" s="806"/>
      <c r="D363" s="697"/>
      <c r="E363" s="650" t="s">
        <v>589</v>
      </c>
      <c r="F363" s="776"/>
      <c r="G363" s="776"/>
      <c r="H363" s="776"/>
      <c r="I363" s="776"/>
      <c r="J363" s="873"/>
      <c r="K363" s="756" t="str">
        <f t="shared" si="5"/>
        <v>HT</v>
      </c>
      <c r="L363" s="899"/>
      <c r="M363" s="650" t="s">
        <v>589</v>
      </c>
      <c r="N363" s="918"/>
      <c r="O363" s="650" t="s">
        <v>589</v>
      </c>
      <c r="P363" s="934"/>
      <c r="Q363" s="650" t="s">
        <v>589</v>
      </c>
      <c r="R363" s="942"/>
      <c r="S363" s="650" t="s">
        <v>589</v>
      </c>
      <c r="T363" s="934"/>
      <c r="U363" s="650" t="s">
        <v>589</v>
      </c>
      <c r="V363" s="926"/>
    </row>
    <row r="364" spans="1:22" s="429" customFormat="1" ht="16.5" customHeight="1">
      <c r="A364" s="697" t="str">
        <f>A711</f>
        <v>Koeffizient</v>
      </c>
      <c r="B364" s="697" t="s">
        <v>2428</v>
      </c>
      <c r="C364" s="811" t="str">
        <f>IF(Eingabe!$V$16=50,Ausgabe!L364,IF(Eingabe!$V$16=51,Ausgabe!N364,IF(Eingabe!$V$16=52,Ausgabe!P364,IF(Eingabe!$V$16=53,Ausgabe!R364,IF(Eingabe!$V$16=54,Ausgabe!T364,"FEHLER")))))</f>
        <v>-</v>
      </c>
      <c r="D364" s="650" t="s">
        <v>124</v>
      </c>
      <c r="E364" s="650" t="s">
        <v>124</v>
      </c>
      <c r="F364" s="776"/>
      <c r="G364" s="776"/>
      <c r="H364" s="776"/>
      <c r="I364" s="776"/>
      <c r="J364" s="873"/>
      <c r="K364" s="756" t="str">
        <f t="shared" si="5"/>
        <v>HT</v>
      </c>
      <c r="L364" s="899" t="s">
        <v>124</v>
      </c>
      <c r="M364" s="650" t="s">
        <v>124</v>
      </c>
      <c r="N364" s="918">
        <v>1</v>
      </c>
      <c r="O364" s="650" t="s">
        <v>591</v>
      </c>
      <c r="P364" s="934">
        <v>1</v>
      </c>
      <c r="Q364" s="650" t="s">
        <v>591</v>
      </c>
      <c r="R364" s="942">
        <f>1.5*COS(RADIANS(R359))^2+SIN(RADIANS(R359))^2</f>
        <v>1.25</v>
      </c>
      <c r="S364" s="650" t="s">
        <v>718</v>
      </c>
      <c r="T364" s="934">
        <f>1.5*COS(RADIANS(T359))^2+SIN(RADIANS(T359))^2</f>
        <v>1.25</v>
      </c>
      <c r="U364" s="650" t="s">
        <v>718</v>
      </c>
      <c r="V364" s="926"/>
    </row>
    <row r="365" spans="1:22" s="429" customFormat="1" ht="33" customHeight="1">
      <c r="A365" s="697" t="str">
        <f>A729</f>
        <v>char. Lochleibungsfestigkeit</v>
      </c>
      <c r="B365" s="697" t="s">
        <v>2445</v>
      </c>
      <c r="C365" s="806">
        <f>IF(Eingabe!$V$16=50,Ausgabe!L365,IF(Eingabe!$V$16=51,Ausgabe!N365,IF(Eingabe!$V$16=52,Ausgabe!P365,IF(Eingabe!$V$16=53,Ausgabe!R365,IF(Eingabe!$V$16=54,Ausgabe!T365,"FEHLER")))))</f>
        <v>16.917944106135387</v>
      </c>
      <c r="D365" s="650" t="s">
        <v>3</v>
      </c>
      <c r="E365" s="1528" t="s">
        <v>2666</v>
      </c>
      <c r="F365" s="1528"/>
      <c r="G365" s="1528"/>
      <c r="H365" s="1528"/>
      <c r="I365" s="1528"/>
      <c r="J365" s="873"/>
      <c r="K365" s="756" t="str">
        <f t="shared" si="5"/>
        <v>HT</v>
      </c>
      <c r="L365" s="914">
        <f>0.082*L357*L354^(-0.3)</f>
        <v>16.917944106135387</v>
      </c>
      <c r="M365" s="755" t="s">
        <v>772</v>
      </c>
      <c r="N365" s="921">
        <f>(0.082*N357*N354^(-0.3))/(2.5*COS(RADIANS(N358))^2+SIN(RADIANS(N358))^2)</f>
        <v>16.917944106135387</v>
      </c>
      <c r="O365" s="642" t="s">
        <v>764</v>
      </c>
      <c r="P365" s="939">
        <f>(0.082*P357*(1-0.01*P354))/(2.5*COS(RADIANS(P358))^2+SIN(RADIANS(P358))^2)</f>
        <v>29.044400000000003</v>
      </c>
      <c r="Q365" s="642" t="s">
        <v>765</v>
      </c>
      <c r="R365" s="943">
        <f>(0.082*R357*R354^(-0.15))/(((0.5+0.024*R354)*SIN(RADIANS(R358))^2+COS(RADIANS(R358))^2)*(1.2*COS(RADIANS(R359))^2+SIN(RADIANS(R359))^2)*(2.5*COS(RADIANS(R360))^2+SIN(RADIANS(R360))^2))</f>
        <v>30.360736613901338</v>
      </c>
      <c r="S365" s="755" t="s">
        <v>719</v>
      </c>
      <c r="T365" s="939">
        <f>(0.082*T357*T354^(-0.3))/(2.5*COS(RADIANS(T358))^2+SIN(RADIANS(T358))^2)</f>
        <v>16.917944106135387</v>
      </c>
      <c r="U365" s="755" t="s">
        <v>766</v>
      </c>
      <c r="V365" s="926"/>
    </row>
    <row r="366" spans="1:22" s="429" customFormat="1" ht="16.5" customHeight="1">
      <c r="A366" s="697" t="str">
        <f>A730</f>
        <v>char. Tragfähigkeit pro VM</v>
      </c>
      <c r="B366" s="697" t="s">
        <v>2446</v>
      </c>
      <c r="C366" s="806">
        <f>IF(Eingabe!$V$16=50,Ausgabe!L366,IF(Eingabe!$V$16=51,Ausgabe!N366,IF(Eingabe!$V$16=52,Ausgabe!P366,IF(Eingabe!$V$16=53,Ausgabe!R366,IF(Eingabe!$V$16=54,Ausgabe!T366,"FEHLER")))))</f>
        <v>3.7840914221822115</v>
      </c>
      <c r="D366" s="650" t="s">
        <v>469</v>
      </c>
      <c r="E366" s="650" t="s">
        <v>599</v>
      </c>
      <c r="F366" s="776"/>
      <c r="G366" s="776"/>
      <c r="H366" s="776"/>
      <c r="I366" s="776"/>
      <c r="J366" s="873"/>
      <c r="K366" s="756" t="str">
        <f t="shared" si="5"/>
        <v>HT</v>
      </c>
      <c r="L366" s="914">
        <f>2.3*SQRT(L361*1000*L365*L354)*1/1000</f>
        <v>3.7840914221822115</v>
      </c>
      <c r="M366" s="650" t="s">
        <v>599</v>
      </c>
      <c r="N366" s="921">
        <f>2.3*SQRT(N361*1000*N365*N354)*1/1000</f>
        <v>3.7840914221822115</v>
      </c>
      <c r="O366" s="650" t="s">
        <v>599</v>
      </c>
      <c r="P366" s="939">
        <f>2.3*SQRT(P361*1000*P365*P354)*1/1000</f>
        <v>4.9581428135946224</v>
      </c>
      <c r="Q366" s="650" t="s">
        <v>599</v>
      </c>
      <c r="R366" s="943">
        <f>2.3*SQRT(R361*1000*R365*R354)*1/1000</f>
        <v>5.069253147161433</v>
      </c>
      <c r="S366" s="650" t="s">
        <v>599</v>
      </c>
      <c r="T366" s="939">
        <f>2.3*SQRT(T361*1000*T365*T354)*1/1000</f>
        <v>3.7840914221822115</v>
      </c>
      <c r="U366" s="650" t="s">
        <v>599</v>
      </c>
      <c r="V366" s="926"/>
    </row>
    <row r="367" spans="1:22" s="429" customFormat="1" ht="16.5" customHeight="1">
      <c r="A367" s="697" t="str">
        <f>A713</f>
        <v>char. Tragfähigkeit</v>
      </c>
      <c r="B367" s="697" t="s">
        <v>2447</v>
      </c>
      <c r="C367" s="806" t="e">
        <f ca="1">IF(Eingabe!$V$16=50,Ausgabe!L367,IF(Eingabe!$V$16=51,Ausgabe!N367,IF(Eingabe!$V$16=52,Ausgabe!P367,IF(Eingabe!$V$16=53,Ausgabe!R367,IF(Eingabe!$V$16=54,Ausgabe!T367,"FEHLER")))))</f>
        <v>#DIV/0!</v>
      </c>
      <c r="D367" s="650" t="s">
        <v>469</v>
      </c>
      <c r="E367" s="650" t="s">
        <v>603</v>
      </c>
      <c r="F367" s="776"/>
      <c r="G367" s="776"/>
      <c r="H367" s="776"/>
      <c r="I367" s="776"/>
      <c r="J367" s="873"/>
      <c r="K367" s="756" t="str">
        <f t="shared" si="5"/>
        <v>HT</v>
      </c>
      <c r="L367" s="913" t="e">
        <f ca="1">L338*L350+L356*L366</f>
        <v>#DIV/0!</v>
      </c>
      <c r="M367" s="650" t="s">
        <v>603</v>
      </c>
      <c r="N367" s="915" t="e">
        <f ca="1">N338*N350+N356*N366</f>
        <v>#DIV/0!</v>
      </c>
      <c r="O367" s="650" t="s">
        <v>603</v>
      </c>
      <c r="P367" s="938" t="e">
        <f ca="1">P338*P350+P356*P366</f>
        <v>#DIV/0!</v>
      </c>
      <c r="Q367" s="650" t="s">
        <v>603</v>
      </c>
      <c r="R367" s="935" t="e">
        <f ca="1">R338*R350+R356*R366</f>
        <v>#DIV/0!</v>
      </c>
      <c r="S367" s="650" t="s">
        <v>603</v>
      </c>
      <c r="T367" s="938" t="e">
        <f ca="1">T338*T350+T356*T366</f>
        <v>#DIV/0!</v>
      </c>
      <c r="U367" s="650" t="s">
        <v>603</v>
      </c>
      <c r="V367" s="926"/>
    </row>
    <row r="368" spans="1:22" s="429" customFormat="1" ht="16.5" customHeight="1">
      <c r="A368" s="697"/>
      <c r="B368" s="776"/>
      <c r="C368" s="806"/>
      <c r="D368" s="790"/>
      <c r="E368" s="776"/>
      <c r="F368" s="776"/>
      <c r="G368" s="776"/>
      <c r="H368" s="776"/>
      <c r="I368" s="776"/>
      <c r="J368" s="873"/>
      <c r="K368" s="756" t="str">
        <f t="shared" si="5"/>
        <v/>
      </c>
      <c r="L368" s="914"/>
      <c r="M368" s="650"/>
      <c r="N368" s="918"/>
      <c r="O368" s="650"/>
      <c r="P368" s="939"/>
      <c r="Q368" s="650"/>
      <c r="R368" s="942"/>
      <c r="S368" s="650"/>
      <c r="T368" s="934"/>
      <c r="U368" s="650"/>
      <c r="V368" s="926"/>
    </row>
    <row r="369" spans="1:22" s="429" customFormat="1" ht="16.5" customHeight="1">
      <c r="A369" s="697" t="str">
        <f>A713</f>
        <v>char. Tragfähigkeit</v>
      </c>
      <c r="B369" s="697" t="s">
        <v>2291</v>
      </c>
      <c r="C369" s="806" t="e">
        <f ca="1">IF(Eingabe!$V$16=50,Ausgabe!L369,IF(Eingabe!$V$16=51,Ausgabe!N369,IF(Eingabe!$V$16=52,Ausgabe!P369,IF(Eingabe!$V$16=53,Ausgabe!R369,IF(Eingabe!$V$16=54,Ausgabe!T369,"FEHLER")))))</f>
        <v>#DIV/0!</v>
      </c>
      <c r="D369" s="650" t="s">
        <v>469</v>
      </c>
      <c r="E369" s="650" t="s">
        <v>1079</v>
      </c>
      <c r="F369" s="697"/>
      <c r="G369" s="697"/>
      <c r="H369" s="697"/>
      <c r="I369" s="697"/>
      <c r="J369" s="873"/>
      <c r="K369" s="756" t="str">
        <f t="shared" si="5"/>
        <v>HT</v>
      </c>
      <c r="L369" s="913" t="e">
        <f ca="1">MIN(L332,L367)</f>
        <v>#DIV/0!</v>
      </c>
      <c r="M369" s="650" t="s">
        <v>1079</v>
      </c>
      <c r="N369" s="915" t="e">
        <f ca="1">MIN(N332,N367)</f>
        <v>#DIV/0!</v>
      </c>
      <c r="O369" s="650" t="s">
        <v>1079</v>
      </c>
      <c r="P369" s="938" t="e">
        <f ca="1">MIN(P332,P367)</f>
        <v>#DIV/0!</v>
      </c>
      <c r="Q369" s="650" t="s">
        <v>1079</v>
      </c>
      <c r="R369" s="935" t="e">
        <f ca="1">MIN(R332,R367)</f>
        <v>#DIV/0!</v>
      </c>
      <c r="S369" s="650" t="s">
        <v>1079</v>
      </c>
      <c r="T369" s="938" t="e">
        <f ca="1">MIN(T332,T367)</f>
        <v>#DIV/0!</v>
      </c>
      <c r="U369" s="650" t="s">
        <v>1079</v>
      </c>
      <c r="V369" s="926"/>
    </row>
    <row r="370" spans="1:22" s="429" customFormat="1" ht="16.5" customHeight="1">
      <c r="A370" s="697" t="str">
        <f>A714</f>
        <v>Teilsicherheitsbeiwert</v>
      </c>
      <c r="B370" s="697" t="s">
        <v>713</v>
      </c>
      <c r="C370" s="806">
        <f>Eingabe!$C$33</f>
        <v>1.3</v>
      </c>
      <c r="D370" s="650"/>
      <c r="E370" s="650" t="s">
        <v>524</v>
      </c>
      <c r="F370" s="697"/>
      <c r="G370" s="697"/>
      <c r="H370" s="697"/>
      <c r="I370" s="697"/>
      <c r="J370" s="873"/>
      <c r="K370" s="756"/>
      <c r="L370" s="914"/>
      <c r="M370" s="650"/>
      <c r="N370" s="921"/>
      <c r="O370" s="650"/>
      <c r="P370" s="939"/>
      <c r="Q370" s="650"/>
      <c r="R370" s="942"/>
      <c r="S370" s="650"/>
      <c r="T370" s="939"/>
      <c r="U370" s="650"/>
      <c r="V370" s="926"/>
    </row>
    <row r="371" spans="1:22" s="429" customFormat="1" ht="16.5" customHeight="1">
      <c r="A371" s="697"/>
      <c r="B371" s="697"/>
      <c r="C371" s="806"/>
      <c r="D371" s="754"/>
      <c r="E371" s="650"/>
      <c r="F371" s="697"/>
      <c r="G371" s="697"/>
      <c r="H371" s="697"/>
      <c r="I371" s="697"/>
      <c r="J371" s="873"/>
      <c r="K371" s="756"/>
      <c r="L371" s="914"/>
      <c r="M371" s="650"/>
      <c r="N371" s="921"/>
      <c r="O371" s="650"/>
      <c r="P371" s="939"/>
      <c r="Q371" s="650"/>
      <c r="R371" s="942"/>
      <c r="S371" s="650"/>
      <c r="T371" s="939"/>
      <c r="U371" s="650"/>
      <c r="V371" s="926"/>
    </row>
    <row r="372" spans="1:22" ht="16.5" customHeight="1">
      <c r="A372" s="769" t="str">
        <f>Sprachtexte!A121</f>
        <v>Nachweis</v>
      </c>
      <c r="K372" s="801" t="str">
        <f t="shared" si="5"/>
        <v/>
      </c>
    </row>
    <row r="373" spans="1:22" ht="16.5" customHeight="1">
      <c r="A373" s="645" t="str">
        <f>Sprachtexte!A122</f>
        <v>maßg. Bemessungswert</v>
      </c>
      <c r="B373" s="645" t="s">
        <v>575</v>
      </c>
      <c r="C373" s="807" t="e">
        <f ca="1">_xlfn.XLOOKUP(H374,Eingabe!$DU$5:$DU$32,Eingabe!$DS$5:$DS$32,0,0,1)</f>
        <v>#DIV/0!</v>
      </c>
      <c r="D373" s="646" t="s">
        <v>469</v>
      </c>
      <c r="E373" s="645" t="s">
        <v>637</v>
      </c>
      <c r="F373" s="779" t="e">
        <f ca="1">_xlfn.XLOOKUP(H374,Eingabe!$DU$5:$DU$32,Eingabe!$CV$5:$CV$32,0,0,1)</f>
        <v>#DIV/0!</v>
      </c>
      <c r="G373" s="1540" t="str">
        <f>Sprachtexte!$A$164</f>
        <v>Ausnutzung</v>
      </c>
      <c r="H373" s="1540"/>
      <c r="I373" s="1540"/>
      <c r="K373" s="801" t="str">
        <f t="shared" si="5"/>
        <v/>
      </c>
    </row>
    <row r="374" spans="1:22" ht="16.5" customHeight="1">
      <c r="A374" s="645"/>
      <c r="B374" s="645" t="s">
        <v>573</v>
      </c>
      <c r="C374" s="807" t="e">
        <f ca="1">_xlfn.XLOOKUP(H374,Eingabe!$DU$5:$DU$32,Eingabe!$CR$5:$CR$32,0,0,1)</f>
        <v>#DIV/0!</v>
      </c>
      <c r="D374" s="646" t="s">
        <v>469</v>
      </c>
      <c r="E374" s="751" t="str">
        <f>Sprachtexte!$A$123</f>
        <v>aus</v>
      </c>
      <c r="F374" s="751" t="e">
        <f ca="1">_xlfn.XLOOKUP(H374,Eingabe!$DU$5:$DU$32,Eingabe!$BS$5:$BS$32,0,0,1)</f>
        <v>#DIV/0!</v>
      </c>
      <c r="G374" s="645" t="s">
        <v>638</v>
      </c>
      <c r="H374" s="866" t="e">
        <f ca="1">MAX(Eingabe!$DU$5:$DU$32)</f>
        <v>#DIV/0!</v>
      </c>
      <c r="I374" s="646"/>
      <c r="K374" s="801" t="str">
        <f t="shared" si="5"/>
        <v/>
      </c>
    </row>
    <row r="375" spans="1:22" ht="16.5" customHeight="1">
      <c r="K375" s="801" t="str">
        <f t="shared" si="5"/>
        <v/>
      </c>
    </row>
    <row r="376" spans="1:22" s="800" customFormat="1" ht="16.5" customHeight="1">
      <c r="A376" s="747" t="s">
        <v>894</v>
      </c>
      <c r="B376" s="585" t="str">
        <f>Sprachtexte!A142</f>
        <v>Kraft normal zur Einschubrichtung</v>
      </c>
      <c r="C376" s="585"/>
      <c r="D376" s="585"/>
      <c r="E376" s="585"/>
      <c r="F376" s="585"/>
      <c r="G376" s="585"/>
      <c r="H376" s="585"/>
      <c r="I376" s="585"/>
      <c r="J376" s="878"/>
      <c r="K376" s="801" t="str">
        <f t="shared" si="5"/>
        <v/>
      </c>
      <c r="L376" s="899"/>
      <c r="M376" s="650"/>
      <c r="N376" s="917"/>
      <c r="O376" s="646"/>
      <c r="P376" s="933"/>
      <c r="Q376" s="646"/>
      <c r="R376" s="942"/>
      <c r="S376" s="650"/>
      <c r="T376" s="934"/>
      <c r="U376" s="650"/>
      <c r="V376" s="929"/>
    </row>
    <row r="377" spans="1:22" ht="16.5" customHeight="1">
      <c r="A377" s="791"/>
      <c r="B377" s="791"/>
      <c r="C377" s="791"/>
      <c r="D377" s="791"/>
      <c r="E377" s="791"/>
      <c r="F377" s="791"/>
      <c r="G377" s="791"/>
      <c r="H377" s="791"/>
      <c r="I377" s="791"/>
      <c r="K377" s="801" t="str">
        <f t="shared" si="5"/>
        <v/>
      </c>
      <c r="L377" s="899" t="s">
        <v>471</v>
      </c>
      <c r="N377" s="917" t="s">
        <v>471</v>
      </c>
      <c r="P377" s="933" t="s">
        <v>472</v>
      </c>
      <c r="R377" s="942" t="s">
        <v>289</v>
      </c>
      <c r="T377" s="934" t="s">
        <v>473</v>
      </c>
    </row>
    <row r="378" spans="1:22" ht="16.5" customHeight="1">
      <c r="A378" s="767" t="str">
        <f>Sprachtexte!A129</f>
        <v>geneigte Schrauben 45° HT</v>
      </c>
      <c r="B378" s="781">
        <f>$C$51</f>
        <v>7</v>
      </c>
      <c r="C378" s="767" t="str">
        <f>$E$51</f>
        <v>SK 8x160</v>
      </c>
      <c r="D378" s="767"/>
      <c r="E378" s="767"/>
      <c r="F378" s="767" t="str">
        <f>HLOOKUP(Ausgabe!$E$51,MKW!$A$116:$AZ$143,2,FALSE)</f>
        <v>Knapp Vollgewindeschraube</v>
      </c>
      <c r="G378" s="767"/>
      <c r="H378" s="791"/>
      <c r="I378" s="791"/>
      <c r="K378" s="801" t="str">
        <f t="shared" si="5"/>
        <v/>
      </c>
      <c r="L378" s="899">
        <v>0</v>
      </c>
      <c r="N378" s="917">
        <v>0</v>
      </c>
      <c r="P378" s="933">
        <v>1</v>
      </c>
      <c r="R378" s="942">
        <v>2</v>
      </c>
      <c r="T378" s="934">
        <v>3</v>
      </c>
    </row>
    <row r="379" spans="1:22" ht="16.5" customHeight="1">
      <c r="A379" s="767" t="str">
        <f>Sprachtexte!A130</f>
        <v>geneigte Schrauben 45° NT</v>
      </c>
      <c r="B379" s="781">
        <f>$C$53</f>
        <v>7</v>
      </c>
      <c r="C379" s="767" t="str">
        <f>$E$53</f>
        <v>SK 8x160</v>
      </c>
      <c r="D379" s="769"/>
      <c r="E379" s="767"/>
      <c r="F379" s="767" t="str">
        <f>HLOOKUP(Ausgabe!$E$53,MKW!$A$116:$AZ$143,2,FALSE)</f>
        <v>Knapp Vollgewindeschraube</v>
      </c>
      <c r="G379" s="767"/>
      <c r="H379" s="791"/>
      <c r="I379" s="791"/>
    </row>
    <row r="380" spans="1:22" ht="16.5" customHeight="1">
      <c r="A380" s="791"/>
      <c r="B380" s="791"/>
      <c r="C380" s="791"/>
      <c r="D380" s="793"/>
      <c r="E380" s="791"/>
      <c r="H380" s="791"/>
      <c r="K380" s="801" t="str">
        <f t="shared" si="5"/>
        <v/>
      </c>
    </row>
    <row r="381" spans="1:22" s="429" customFormat="1" ht="16.5" customHeight="1">
      <c r="A381" s="788" t="str">
        <f>Sprachtexte!A136</f>
        <v>Nebenträger 45°-Schrauben</v>
      </c>
      <c r="B381" s="776"/>
      <c r="C381" s="776"/>
      <c r="D381" s="790"/>
      <c r="E381" s="776"/>
      <c r="F381" s="776"/>
      <c r="G381" s="776"/>
      <c r="H381" s="776"/>
      <c r="I381" s="776"/>
      <c r="J381" s="873"/>
      <c r="K381" s="756" t="str">
        <f t="shared" si="5"/>
        <v/>
      </c>
      <c r="L381" s="899"/>
      <c r="M381" s="650"/>
      <c r="N381" s="918"/>
      <c r="O381" s="650"/>
      <c r="P381" s="934"/>
      <c r="Q381" s="650"/>
      <c r="R381" s="942"/>
      <c r="S381" s="650"/>
      <c r="T381" s="934"/>
      <c r="U381" s="650"/>
      <c r="V381" s="926"/>
    </row>
    <row r="382" spans="1:22" s="429" customFormat="1" ht="16.5" customHeight="1">
      <c r="A382" s="697" t="str">
        <f>A700</f>
        <v>Schraubenlänge</v>
      </c>
      <c r="B382" s="697" t="s">
        <v>112</v>
      </c>
      <c r="C382" s="806">
        <f>IF(Eingabe!$V$17=50,Ausgabe!L382,IF(Eingabe!$V$17=51,Ausgabe!N382,IF(Eingabe!$V$17=52,Ausgabe!P382,IF(Eingabe!$V$17=53,Ausgabe!R382,IF(Eingabe!$V$17=54,Ausgabe!T382,"FEHLER")))))</f>
        <v>160</v>
      </c>
      <c r="D382" s="650" t="s">
        <v>2</v>
      </c>
      <c r="E382" s="650"/>
      <c r="F382" s="776"/>
      <c r="G382" s="776"/>
      <c r="H382" s="776"/>
      <c r="I382" s="776"/>
      <c r="J382" s="873"/>
      <c r="K382" s="756" t="str">
        <f t="shared" si="5"/>
        <v/>
      </c>
      <c r="L382" s="899">
        <f>HLOOKUP(Ausgabe!$E$53,MKW!$A$116:$AZ$143,5,FALSE)</f>
        <v>160</v>
      </c>
      <c r="M382" s="650"/>
      <c r="N382" s="918">
        <f>HLOOKUP(Ausgabe!$E$53,MKW!$A$116:$AZ$143,5,FALSE)</f>
        <v>160</v>
      </c>
      <c r="O382" s="650"/>
      <c r="P382" s="934">
        <f>HLOOKUP(Ausgabe!$E$53,MKW!$A$116:$AZ$143,5,FALSE)</f>
        <v>160</v>
      </c>
      <c r="Q382" s="650"/>
      <c r="R382" s="942">
        <f>HLOOKUP(Ausgabe!$E$53,MKW!$A$116:$AZ$143,5,FALSE)</f>
        <v>160</v>
      </c>
      <c r="S382" s="650"/>
      <c r="T382" s="934">
        <f>HLOOKUP(Ausgabe!$E$53,MKW!$A$116:$AZ$143,5,FALSE)</f>
        <v>160</v>
      </c>
      <c r="U382" s="650"/>
      <c r="V382" s="926"/>
    </row>
    <row r="383" spans="1:22" s="429" customFormat="1" ht="16.5" customHeight="1">
      <c r="A383" s="697" t="str">
        <f>A701</f>
        <v>Durchmesser</v>
      </c>
      <c r="B383" s="697" t="s">
        <v>111</v>
      </c>
      <c r="C383" s="806">
        <f>IF(Eingabe!$V$17=50,Ausgabe!L383,IF(Eingabe!$V$17=51,Ausgabe!N383,IF(Eingabe!$V$17=52,Ausgabe!P383,IF(Eingabe!$V$17=53,Ausgabe!R383,IF(Eingabe!$V$17=54,Ausgabe!T383,"FEHLER")))))</f>
        <v>8</v>
      </c>
      <c r="D383" s="650" t="s">
        <v>2</v>
      </c>
      <c r="E383" s="650"/>
      <c r="F383" s="776"/>
      <c r="G383" s="776"/>
      <c r="H383" s="776"/>
      <c r="I383" s="776"/>
      <c r="J383" s="873"/>
      <c r="K383" s="756" t="str">
        <f t="shared" si="5"/>
        <v/>
      </c>
      <c r="L383" s="899">
        <f>HLOOKUP(Ausgabe!$E$53,MKW!$A$116:$AZ$143,4,FALSE)</f>
        <v>8</v>
      </c>
      <c r="M383" s="650"/>
      <c r="N383" s="918">
        <f>HLOOKUP(Ausgabe!$E$53,MKW!$A$116:$AZ$143,4,FALSE)</f>
        <v>8</v>
      </c>
      <c r="O383" s="650"/>
      <c r="P383" s="934">
        <f>HLOOKUP(Ausgabe!$E$53,MKW!$A$116:$AZ$143,4,FALSE)</f>
        <v>8</v>
      </c>
      <c r="Q383" s="650"/>
      <c r="R383" s="942">
        <f>HLOOKUP(Ausgabe!$E$53,MKW!$A$116:$AZ$143,4,FALSE)</f>
        <v>8</v>
      </c>
      <c r="S383" s="650"/>
      <c r="T383" s="934">
        <f>HLOOKUP(Ausgabe!$E$53,MKW!$A$116:$AZ$143,4,FALSE)</f>
        <v>8</v>
      </c>
      <c r="U383" s="650"/>
      <c r="V383" s="926"/>
    </row>
    <row r="384" spans="1:22" s="429" customFormat="1" ht="16.5" customHeight="1">
      <c r="A384" s="697" t="str">
        <f>A705</f>
        <v>mittlere eff. Schraubenlänge</v>
      </c>
      <c r="B384" s="697" t="s">
        <v>547</v>
      </c>
      <c r="C384" s="806">
        <f ca="1">IF(Eingabe!$V$17=50,Ausgabe!L384,IF(Eingabe!$V$17=51,Ausgabe!N384,IF(Eingabe!$V$17=52,Ausgabe!P384,IF(Eingabe!$V$17=53,Ausgabe!R384,IF(Eingabe!$V$17=54,Ausgabe!T384,"FEHLER")))))</f>
        <v>142.5</v>
      </c>
      <c r="D384" s="650" t="s">
        <v>2</v>
      </c>
      <c r="E384" s="650" t="s">
        <v>584</v>
      </c>
      <c r="F384" s="776"/>
      <c r="G384" s="776"/>
      <c r="H384" s="776"/>
      <c r="I384" s="776"/>
      <c r="J384" s="873"/>
      <c r="K384" s="756" t="s">
        <v>7</v>
      </c>
      <c r="L384" s="916">
        <f ca="1">Berechnung_BZoben!$C$46</f>
        <v>142.5</v>
      </c>
      <c r="M384" s="650" t="s">
        <v>584</v>
      </c>
      <c r="N384" s="918">
        <f ca="1">Berechnung_BZoben!$C$46</f>
        <v>142.5</v>
      </c>
      <c r="O384" s="650" t="s">
        <v>584</v>
      </c>
      <c r="P384" s="934">
        <f ca="1">Berechnung_BZoben!$C$46</f>
        <v>142.5</v>
      </c>
      <c r="Q384" s="650" t="s">
        <v>584</v>
      </c>
      <c r="R384" s="942">
        <f ca="1">Berechnung_BZoben!$C$46</f>
        <v>142.5</v>
      </c>
      <c r="S384" s="650" t="s">
        <v>584</v>
      </c>
      <c r="T384" s="934">
        <f ca="1">Berechnung_BZoben!$C$46</f>
        <v>142.5</v>
      </c>
      <c r="U384" s="650" t="s">
        <v>584</v>
      </c>
      <c r="V384" s="926"/>
    </row>
    <row r="385" spans="1:22" s="429" customFormat="1" ht="16.5" customHeight="1">
      <c r="A385" s="697" t="str">
        <f>A707</f>
        <v>eff. Schraubenanzahl</v>
      </c>
      <c r="B385" s="697" t="s">
        <v>521</v>
      </c>
      <c r="C385" s="806">
        <f>IF(Eingabe!$V$17=50,Ausgabe!L385,IF(Eingabe!$V$17=51,Ausgabe!N385,IF(Eingabe!$V$17=52,Ausgabe!P385,IF(Eingabe!$V$17=53,Ausgabe!R385,IF(Eingabe!$V$17=54,Ausgabe!T385,"FEHLER")))))</f>
        <v>7</v>
      </c>
      <c r="D385" s="650" t="s">
        <v>124</v>
      </c>
      <c r="E385" s="650" t="s">
        <v>947</v>
      </c>
      <c r="F385" s="776"/>
      <c r="G385" s="776"/>
      <c r="H385" s="776"/>
      <c r="I385" s="776"/>
      <c r="J385" s="873"/>
      <c r="K385" s="756" t="s">
        <v>7</v>
      </c>
      <c r="L385" s="899">
        <f>MIN($B$379,28)</f>
        <v>7</v>
      </c>
      <c r="M385" s="650" t="s">
        <v>947</v>
      </c>
      <c r="N385" s="918">
        <f>MIN($B$379,28)</f>
        <v>7</v>
      </c>
      <c r="O385" s="650" t="s">
        <v>947</v>
      </c>
      <c r="P385" s="934">
        <f>MIN($B$379,28)</f>
        <v>7</v>
      </c>
      <c r="Q385" s="650" t="s">
        <v>947</v>
      </c>
      <c r="R385" s="942">
        <f>MIN($B$379,28)</f>
        <v>7</v>
      </c>
      <c r="S385" s="650" t="s">
        <v>947</v>
      </c>
      <c r="T385" s="934">
        <f>MIN($B$379,28)</f>
        <v>7</v>
      </c>
      <c r="U385" s="650" t="s">
        <v>947</v>
      </c>
      <c r="V385" s="926"/>
    </row>
    <row r="386" spans="1:22" s="429" customFormat="1" ht="16.5" customHeight="1">
      <c r="A386" s="697" t="str">
        <f>A708</f>
        <v>char. Rohdichte</v>
      </c>
      <c r="B386" s="784" t="s">
        <v>2425</v>
      </c>
      <c r="C386" s="806">
        <f>IF(Eingabe!$V$17=50,Ausgabe!L386,IF(Eingabe!$V$17=51,Ausgabe!N386,IF(Eingabe!$V$17=52,Ausgabe!P386,IF(Eingabe!$V$17=53,Ausgabe!R386,IF(Eingabe!$V$17=54,Ausgabe!T386,"FEHLER")))))</f>
        <v>385</v>
      </c>
      <c r="D386" s="650" t="s">
        <v>115</v>
      </c>
      <c r="E386" s="650" t="str">
        <f>HLOOKUP($F$23,MKW!$E$3:$BS$22,3,0)</f>
        <v>DIN EN 14080:2013-09, Tab. 5</v>
      </c>
      <c r="F386" s="776"/>
      <c r="G386" s="776"/>
      <c r="H386" s="776"/>
      <c r="I386" s="776"/>
      <c r="J386" s="874" t="s">
        <v>929</v>
      </c>
      <c r="K386" s="756" t="s">
        <v>7</v>
      </c>
      <c r="L386" s="899">
        <f>HLOOKUP($F$23,MKW!$E$3:$BS$22,19,0)</f>
        <v>385</v>
      </c>
      <c r="M386" s="650" t="str">
        <f>HLOOKUP($F$23,MKW!$E$3:$BS$22,3,0)</f>
        <v>DIN EN 14080:2013-09, Tab. 5</v>
      </c>
      <c r="N386" s="918">
        <f>HLOOKUP($F$23,MKW!$E$3:$BS$22,19,0)</f>
        <v>385</v>
      </c>
      <c r="O386" s="650" t="str">
        <f>HLOOKUP($F$23,MKW!$E$3:$BS$22,3,0)</f>
        <v>DIN EN 14080:2013-09, Tab. 5</v>
      </c>
      <c r="P386" s="934">
        <f>HLOOKUP($F$23,MKW!$E$3:$BS$22,19,0)</f>
        <v>385</v>
      </c>
      <c r="Q386" s="650" t="str">
        <f>HLOOKUP($F$23,MKW!$E$3:$BS$22,3,0)</f>
        <v>DIN EN 14080:2013-09, Tab. 5</v>
      </c>
      <c r="R386" s="942">
        <f>HLOOKUP($F$23,MKW!$E$3:$BS$22,19,0)</f>
        <v>385</v>
      </c>
      <c r="S386" s="650" t="str">
        <f>HLOOKUP($F$23,MKW!$E$3:$BS$22,3,0)</f>
        <v>DIN EN 14080:2013-09, Tab. 5</v>
      </c>
      <c r="T386" s="934">
        <f>HLOOKUP($F$23,MKW!$E$3:$BS$22,19,0)</f>
        <v>385</v>
      </c>
      <c r="U386" s="650" t="str">
        <f>HLOOKUP($F$23,MKW!$E$3:$BS$22,3,0)</f>
        <v>DIN EN 14080:2013-09, Tab. 5</v>
      </c>
      <c r="V386" s="926"/>
    </row>
    <row r="387" spans="1:22" s="429" customFormat="1" ht="16.5" customHeight="1">
      <c r="A387" s="697" t="str">
        <f>IF(Eingabe!$BC$44=2,Sprachtexte!A141,A702)</f>
        <v>Schrauben-Faser-Winkel</v>
      </c>
      <c r="B387" s="783" t="s">
        <v>479</v>
      </c>
      <c r="C387" s="806">
        <f>IF(Eingabe!$V$17=50,Ausgabe!L387,IF(Eingabe!$V$17=51,Ausgabe!N387,IF(Eingabe!$V$17=52,Ausgabe!P387,IF(Eingabe!$V$17=53,Ausgabe!R387,IF(Eingabe!$V$17=54,Ausgabe!T387,"FEHLER")))))</f>
        <v>45</v>
      </c>
      <c r="D387" s="650" t="s">
        <v>270</v>
      </c>
      <c r="E387" s="650"/>
      <c r="F387" s="776"/>
      <c r="G387" s="776"/>
      <c r="H387" s="776"/>
      <c r="I387" s="776"/>
      <c r="J387" s="874" t="s">
        <v>95</v>
      </c>
      <c r="K387" s="756" t="str">
        <f t="shared" si="5"/>
        <v/>
      </c>
      <c r="L387" s="916">
        <f>ABS(NT45Schraube_Mat0_alpha)</f>
        <v>45</v>
      </c>
      <c r="M387" s="650"/>
      <c r="N387" s="918">
        <f>ABS(NT45Schraube_Mat0_alpha)</f>
        <v>45</v>
      </c>
      <c r="O387" s="650"/>
      <c r="P387" s="934">
        <f>ABS(NT45Schraube_Mat1_alpha)</f>
        <v>45</v>
      </c>
      <c r="Q387" s="650"/>
      <c r="R387" s="942">
        <f>ABS(NT45Schraube_Mat23_alphaF45)</f>
        <v>90</v>
      </c>
      <c r="S387" s="650"/>
      <c r="T387" s="934">
        <f>ABS(NT45Schraube_Mat23_alphaF45)</f>
        <v>90</v>
      </c>
      <c r="U387" s="650"/>
      <c r="V387" s="926"/>
    </row>
    <row r="388" spans="1:22" s="429" customFormat="1" ht="16.5" customHeight="1">
      <c r="A388" s="697" t="str">
        <f>A703</f>
        <v>Schr.-Deckfläche-Winkel</v>
      </c>
      <c r="B388" s="783" t="s">
        <v>480</v>
      </c>
      <c r="C388" s="806" t="str">
        <f>IF(Eingabe!$V$17=50,Ausgabe!L388,IF(Eingabe!$V$17=51,Ausgabe!N388,IF(Eingabe!$V$17=52,Ausgabe!P388,IF(Eingabe!$V$17=53,Ausgabe!R388,IF(Eingabe!$V$17=54,Ausgabe!T388,"FEHLER")))))</f>
        <v>-</v>
      </c>
      <c r="D388" s="650" t="s">
        <v>270</v>
      </c>
      <c r="E388" s="650"/>
      <c r="F388" s="776"/>
      <c r="G388" s="776"/>
      <c r="H388" s="776"/>
      <c r="I388" s="776"/>
      <c r="J388" s="874" t="s">
        <v>487</v>
      </c>
      <c r="K388" s="756" t="str">
        <f t="shared" si="5"/>
        <v/>
      </c>
      <c r="L388" s="899" t="s">
        <v>124</v>
      </c>
      <c r="M388" s="650"/>
      <c r="N388" s="918" t="s">
        <v>124</v>
      </c>
      <c r="O388" s="650"/>
      <c r="P388" s="934" t="s">
        <v>124</v>
      </c>
      <c r="Q388" s="650"/>
      <c r="R388" s="942">
        <f>ABS(NT45Schraube_Mat23_beta)</f>
        <v>45</v>
      </c>
      <c r="S388" s="650"/>
      <c r="T388" s="934">
        <f>ABS(NT45Schraube_Mat23_beta)</f>
        <v>45</v>
      </c>
      <c r="U388" s="650"/>
      <c r="V388" s="926"/>
    </row>
    <row r="389" spans="1:22" s="429" customFormat="1" ht="16.5" customHeight="1">
      <c r="A389" s="697" t="str">
        <f>A704</f>
        <v>Schrauben-Faser-Winkel</v>
      </c>
      <c r="B389" s="783" t="s">
        <v>503</v>
      </c>
      <c r="C389" s="806" t="str">
        <f>IF(Eingabe!$V$17=50,Ausgabe!L389,IF(Eingabe!$V$17=51,Ausgabe!N389,IF(Eingabe!$V$17=52,Ausgabe!P389,IF(Eingabe!$V$17=53,Ausgabe!R389,IF(Eingabe!$V$17=54,Ausgabe!T389,"FEHLER")))))</f>
        <v>-</v>
      </c>
      <c r="D389" s="650" t="s">
        <v>270</v>
      </c>
      <c r="E389" s="650"/>
      <c r="F389" s="776"/>
      <c r="G389" s="776"/>
      <c r="H389" s="776"/>
      <c r="I389" s="776"/>
      <c r="J389" s="873"/>
      <c r="K389" s="756" t="str">
        <f t="shared" si="5"/>
        <v/>
      </c>
      <c r="L389" s="899" t="s">
        <v>124</v>
      </c>
      <c r="M389" s="650"/>
      <c r="N389" s="918" t="s">
        <v>124</v>
      </c>
      <c r="O389" s="650"/>
      <c r="P389" s="934" t="s">
        <v>124</v>
      </c>
      <c r="Q389" s="650"/>
      <c r="R389" s="942">
        <f>ABS(NT45Schraube_Mat23_epsilon)</f>
        <v>45</v>
      </c>
      <c r="S389" s="650"/>
      <c r="T389" s="934">
        <f>ABS(NT45Schraube_Mat23_epsilon)</f>
        <v>45</v>
      </c>
      <c r="U389" s="650"/>
      <c r="V389" s="926"/>
    </row>
    <row r="390" spans="1:22" s="429" customFormat="1" ht="16.5" customHeight="1">
      <c r="A390" s="697" t="str">
        <f>A728</f>
        <v>char. Fließmoment</v>
      </c>
      <c r="B390" s="697" t="s">
        <v>2440</v>
      </c>
      <c r="C390" s="806">
        <f>IF(Eingabe!$V$17=50,Ausgabe!L390,IF(Eingabe!$V$17=51,Ausgabe!N390,IF(Eingabe!$V$17=52,Ausgabe!P390,IF(Eingabe!$V$17=53,Ausgabe!R390,IF(Eingabe!$V$17=54,Ausgabe!T390,"FEHLER")))))</f>
        <v>20</v>
      </c>
      <c r="D390" s="650" t="s">
        <v>493</v>
      </c>
      <c r="E390" s="650" t="str">
        <f>HLOOKUP(Ausgabe!$E$51,MKW!$A$116:$AZ$143,3,FALSE)</f>
        <v>ETA-15/0667</v>
      </c>
      <c r="F390" s="776"/>
      <c r="G390" s="776"/>
      <c r="H390" s="776"/>
      <c r="I390" s="776"/>
      <c r="J390" s="873"/>
      <c r="K390" s="756" t="s">
        <v>7</v>
      </c>
      <c r="L390" s="899">
        <f>HLOOKUP(Ausgabe!$E$53,MKW!$A$116:$AZ$141,9,FALSE)</f>
        <v>20</v>
      </c>
      <c r="M390" s="650" t="str">
        <f>HLOOKUP(Ausgabe!$E$51,MKW!$A$116:$AZ$143,3,FALSE)</f>
        <v>ETA-15/0667</v>
      </c>
      <c r="N390" s="918">
        <f>HLOOKUP(Ausgabe!$E$53,MKW!$A$116:$AZ$141,9,FALSE)</f>
        <v>20</v>
      </c>
      <c r="O390" s="650"/>
      <c r="P390" s="934">
        <f>HLOOKUP(Ausgabe!$E$53,MKW!$A$116:$AZ$141,9,FALSE)</f>
        <v>20</v>
      </c>
      <c r="Q390" s="650"/>
      <c r="R390" s="942">
        <f>HLOOKUP(Ausgabe!$E$53,MKW!$A$116:$AZ$141,9,FALSE)</f>
        <v>20</v>
      </c>
      <c r="S390" s="650"/>
      <c r="T390" s="934">
        <f>HLOOKUP(Ausgabe!$E$53,MKW!$A$116:$AZ$141,9,FALSE)</f>
        <v>20</v>
      </c>
      <c r="U390" s="650"/>
      <c r="V390" s="926"/>
    </row>
    <row r="391" spans="1:22" s="429" customFormat="1" ht="16.5" customHeight="1">
      <c r="A391" s="697" t="str">
        <f>A710</f>
        <v>Dimensionskoeffizient</v>
      </c>
      <c r="B391" s="697" t="s">
        <v>2432</v>
      </c>
      <c r="C391" s="806">
        <f>IF(Eingabe!$V$17=50,Ausgabe!L391,IF(Eingabe!$V$17=51,Ausgabe!N391,IF(Eingabe!$V$17=52,Ausgabe!P391,IF(Eingabe!$V$17=53,Ausgabe!R391,IF(Eingabe!$V$17=54,Ausgabe!T391,"FEHLER")))))</f>
        <v>1</v>
      </c>
      <c r="D391" s="650" t="s">
        <v>124</v>
      </c>
      <c r="E391" s="650" t="s">
        <v>770</v>
      </c>
      <c r="F391" s="776"/>
      <c r="G391" s="776"/>
      <c r="H391" s="776"/>
      <c r="I391" s="776"/>
      <c r="J391" s="873"/>
      <c r="K391" s="756" t="s">
        <v>7</v>
      </c>
      <c r="L391" s="899">
        <f>IF(AND(L387&gt;=0,L387&lt;45),0.3+0.7*L387/45,1)</f>
        <v>1</v>
      </c>
      <c r="M391" s="650" t="s">
        <v>770</v>
      </c>
      <c r="N391" s="918">
        <f>IF(AND(N387&gt;=0,N387&lt;45),0.3+0.7*N387/45,1)</f>
        <v>1</v>
      </c>
      <c r="O391" s="650" t="s">
        <v>773</v>
      </c>
      <c r="P391" s="934">
        <f>IF(AND(P387&gt;=0,P387&lt;45),0.3+0.7*P387/45,1)</f>
        <v>1</v>
      </c>
      <c r="Q391" s="650" t="s">
        <v>773</v>
      </c>
      <c r="R391" s="942">
        <f>IF(AND(R387&gt;=0,R387&lt;45),0.5+0.5*R387/45,1)</f>
        <v>1</v>
      </c>
      <c r="S391" s="650" t="s">
        <v>773</v>
      </c>
      <c r="T391" s="934">
        <f>IF(AND(T387&gt;=0,T387&lt;45),0.5+0.5*T387/45,1)</f>
        <v>1</v>
      </c>
      <c r="U391" s="650" t="s">
        <v>773</v>
      </c>
      <c r="V391" s="926"/>
    </row>
    <row r="392" spans="1:22" s="429" customFormat="1" ht="16.5" customHeight="1">
      <c r="A392" s="697"/>
      <c r="B392" s="697"/>
      <c r="C392" s="806"/>
      <c r="D392" s="650"/>
      <c r="E392" s="650" t="s">
        <v>771</v>
      </c>
      <c r="F392" s="776"/>
      <c r="G392" s="776"/>
      <c r="H392" s="776"/>
      <c r="I392" s="776"/>
      <c r="J392" s="873"/>
      <c r="K392" s="756" t="s">
        <v>7</v>
      </c>
      <c r="L392" s="899"/>
      <c r="M392" s="650" t="s">
        <v>771</v>
      </c>
      <c r="N392" s="918"/>
      <c r="O392" s="650" t="s">
        <v>771</v>
      </c>
      <c r="P392" s="934"/>
      <c r="Q392" s="650" t="s">
        <v>771</v>
      </c>
      <c r="R392" s="942"/>
      <c r="S392" s="650" t="s">
        <v>771</v>
      </c>
      <c r="T392" s="934"/>
      <c r="U392" s="650" t="s">
        <v>771</v>
      </c>
      <c r="V392" s="926"/>
    </row>
    <row r="393" spans="1:22" s="429" customFormat="1" ht="16.5" customHeight="1">
      <c r="A393" s="697" t="str">
        <f>A711</f>
        <v>Koeffizient</v>
      </c>
      <c r="B393" s="697" t="s">
        <v>2428</v>
      </c>
      <c r="C393" s="811" t="str">
        <f>IF(Eingabe!$V$17=50,Ausgabe!L393,IF(Eingabe!$V$17=51,Ausgabe!N393,IF(Eingabe!$V$17=52,Ausgabe!P393,IF(Eingabe!$V$17=53,Ausgabe!R393,IF(Eingabe!$V$17=54,Ausgabe!T393,"FEHLER")))))</f>
        <v>-</v>
      </c>
      <c r="D393" s="650" t="s">
        <v>124</v>
      </c>
      <c r="E393" s="650" t="s">
        <v>124</v>
      </c>
      <c r="F393" s="776"/>
      <c r="G393" s="776"/>
      <c r="H393" s="776"/>
      <c r="I393" s="776"/>
      <c r="J393" s="873"/>
      <c r="K393" s="756" t="s">
        <v>7</v>
      </c>
      <c r="L393" s="899" t="s">
        <v>124</v>
      </c>
      <c r="M393" s="650" t="s">
        <v>124</v>
      </c>
      <c r="N393" s="918">
        <v>1</v>
      </c>
      <c r="O393" s="650" t="s">
        <v>591</v>
      </c>
      <c r="P393" s="934">
        <v>1</v>
      </c>
      <c r="Q393" s="650" t="s">
        <v>591</v>
      </c>
      <c r="R393" s="942">
        <f>1.5*COS(RADIANS(R388))^2+SIN(RADIANS(R388))^2</f>
        <v>1.25</v>
      </c>
      <c r="S393" s="650" t="s">
        <v>718</v>
      </c>
      <c r="T393" s="934">
        <f>1.5*COS(RADIANS(T388))^2+SIN(RADIANS(T388))^2</f>
        <v>1.25</v>
      </c>
      <c r="U393" s="650" t="s">
        <v>718</v>
      </c>
      <c r="V393" s="926"/>
    </row>
    <row r="394" spans="1:22" s="429" customFormat="1" ht="16.5" customHeight="1">
      <c r="A394" s="697" t="str">
        <f>A718</f>
        <v>char. Ausziehwiderstand</v>
      </c>
      <c r="B394" s="697" t="s">
        <v>2448</v>
      </c>
      <c r="C394" s="806">
        <f ca="1">IF(Eingabe!$V$17=50,Ausgabe!L394,IF(Eingabe!$V$17=51,Ausgabe!N394,IF(Eingabe!$V$17=52,Ausgabe!P394,IF(Eingabe!$V$17=53,Ausgabe!R394,IF(Eingabe!$V$17=54,Ausgabe!T394,"FEHLER")))))</f>
        <v>14.939989720006295</v>
      </c>
      <c r="D394" s="650" t="s">
        <v>469</v>
      </c>
      <c r="E394" s="650" t="s">
        <v>550</v>
      </c>
      <c r="F394" s="776"/>
      <c r="G394" s="776"/>
      <c r="H394" s="776"/>
      <c r="I394" s="776"/>
      <c r="J394" s="873"/>
      <c r="K394" s="756" t="s">
        <v>7</v>
      </c>
      <c r="L394" s="914">
        <f ca="1">0.52*L383^0.5*L384^0.9*L386^0.8*L391*1/1000</f>
        <v>14.939989720006295</v>
      </c>
      <c r="M394" s="650" t="s">
        <v>550</v>
      </c>
      <c r="N394" s="921">
        <f ca="1">N391*11*N383*N384*(N386/350)^0.8*1/N393*1/1000</f>
        <v>13.533548530048092</v>
      </c>
      <c r="O394" s="650" t="s">
        <v>2305</v>
      </c>
      <c r="P394" s="939">
        <f ca="1">P391*11*P383*P384*(P386/350)^0.8*1/P393*1/1000</f>
        <v>13.533548530048092</v>
      </c>
      <c r="Q394" s="650" t="s">
        <v>2305</v>
      </c>
      <c r="R394" s="943">
        <f ca="1">R391*35*R383*R384*(R386/720)^0.8*1/R393*1/1000</f>
        <v>19.344854569697628</v>
      </c>
      <c r="S394" s="650" t="s">
        <v>2306</v>
      </c>
      <c r="T394" s="939">
        <f ca="1">T391*11*T383*T384*(T386/350)^0.8*1/T393*1/1000</f>
        <v>10.826838824038473</v>
      </c>
      <c r="U394" s="650" t="s">
        <v>2305</v>
      </c>
      <c r="V394" s="926"/>
    </row>
    <row r="395" spans="1:22" s="429" customFormat="1" ht="16.5" customHeight="1">
      <c r="A395" s="697"/>
      <c r="B395" s="697" t="s">
        <v>2449</v>
      </c>
      <c r="C395" s="806">
        <f>IF(Eingabe!$V$17=50,Ausgabe!L395,IF(Eingabe!$V$17=51,Ausgabe!N395,IF(Eingabe!$V$17=52,Ausgabe!P395,IF(Eingabe!$V$17=53,Ausgabe!R395,IF(Eingabe!$V$17=54,Ausgabe!T395,"FEHLER")))))</f>
        <v>6.808440920761802</v>
      </c>
      <c r="D395" s="650" t="s">
        <v>3</v>
      </c>
      <c r="E395" s="650" t="s">
        <v>774</v>
      </c>
      <c r="F395" s="755"/>
      <c r="G395" s="755"/>
      <c r="H395" s="755"/>
      <c r="I395" s="755"/>
      <c r="J395" s="873"/>
      <c r="K395" s="756" t="s">
        <v>7</v>
      </c>
      <c r="L395" s="914">
        <f>0.033*L386*L383^(-0.3)</f>
        <v>6.808440920761802</v>
      </c>
      <c r="M395" s="650" t="s">
        <v>774</v>
      </c>
      <c r="N395" s="921">
        <f>(0.082*N386*N383^(-0.3))/(2.5*COS(RADIANS(N387))^2+SIN(RADIANS(N387))^2)</f>
        <v>9.6673966320773648</v>
      </c>
      <c r="O395" s="755" t="s">
        <v>768</v>
      </c>
      <c r="P395" s="939">
        <f>(0.082*P386*(1-0.01*P383))/(2.5*COS(RADIANS(P387))^2+SIN(RADIANS(P387))^2)</f>
        <v>16.596800000000002</v>
      </c>
      <c r="Q395" s="755" t="s">
        <v>768</v>
      </c>
      <c r="R395" s="943">
        <f>(0.082*R386*R383^(-0.15))/(((0.5+0.024*R383)*SIN(RADIANS(R387))^2+COS(RADIANS(R387))^2)*(1.2*COS(RADIANS(R388))^2+SIN(RADIANS(R388))^2)*(2.5*COS(RADIANS(R389))^2+SIN(RADIANS(R389))^2))</f>
        <v>17.348992350800764</v>
      </c>
      <c r="S395" s="755" t="s">
        <v>719</v>
      </c>
      <c r="T395" s="939">
        <f>(0.082*T386*T383^(-0.3))/(2.5*COS(RADIANS(T387))^2+SIN(RADIANS(T387))^2)</f>
        <v>16.917944106135387</v>
      </c>
      <c r="U395" s="755" t="s">
        <v>766</v>
      </c>
      <c r="V395" s="926"/>
    </row>
    <row r="396" spans="1:22" s="429" customFormat="1" ht="12.95" customHeight="1">
      <c r="A396" s="697"/>
      <c r="B396" s="645" t="s">
        <v>2439</v>
      </c>
      <c r="C396" s="806">
        <f ca="1">IF(Eingabe!$V$17=50,Ausgabe!L396,IF(Eingabe!$V$17=51,Ausgabe!N396,IF(Eingabe!$V$17=52,Ausgabe!P396,IF(Eingabe!$V$17=53,Ausgabe!R396,IF(Eingabe!$V$17=54,Ausgabe!T396,"FEHLER")))))</f>
        <v>2.4005550181849169</v>
      </c>
      <c r="D396" s="650" t="s">
        <v>469</v>
      </c>
      <c r="E396" s="754" t="s">
        <v>2155</v>
      </c>
      <c r="F396" s="742"/>
      <c r="G396" s="742"/>
      <c r="H396" s="742"/>
      <c r="I396" s="742"/>
      <c r="J396" s="873"/>
      <c r="K396" s="756" t="s">
        <v>7</v>
      </c>
      <c r="L396" s="914">
        <f ca="1">MIN(L394/4,2.3*SQRT(L390*1000*L395*L383)*1/1000)</f>
        <v>2.4005550181849169</v>
      </c>
      <c r="M396" s="754" t="s">
        <v>2155</v>
      </c>
      <c r="N396" s="921">
        <f ca="1">MIN(N394/4,2.3*SQRT(N390*1000*N395*N383)*1/1000)</f>
        <v>2.8605042404076735</v>
      </c>
      <c r="O396" s="754" t="s">
        <v>2155</v>
      </c>
      <c r="P396" s="939">
        <f ca="1">MIN(P394/4,2.3*SQRT(P390*1000*P395*P383)*1/1000)</f>
        <v>3.3833871325120231</v>
      </c>
      <c r="Q396" s="754" t="s">
        <v>2155</v>
      </c>
      <c r="R396" s="943">
        <f ca="1">MIN(R394/4,2.3*SQRT(R390*1000*R395*R383)*1/1000)</f>
        <v>3.8319951886344747</v>
      </c>
      <c r="S396" s="754" t="s">
        <v>2155</v>
      </c>
      <c r="T396" s="939">
        <f ca="1">MIN(T394/4,2.3*SQRT(T390*1000*T395*T383)*1/1000)</f>
        <v>2.7067097060096184</v>
      </c>
      <c r="U396" s="754" t="s">
        <v>2155</v>
      </c>
      <c r="V396" s="926"/>
    </row>
    <row r="397" spans="1:22" s="429" customFormat="1" ht="16.5" customHeight="1">
      <c r="A397" s="697" t="str">
        <f>A730</f>
        <v>char. Tragfähigkeit pro VM</v>
      </c>
      <c r="B397" s="697" t="s">
        <v>2450</v>
      </c>
      <c r="C397" s="806">
        <f ca="1">IF(Eingabe!$V$17=50,Ausgabe!L397,IF(Eingabe!$V$17=51,Ausgabe!N397,IF(Eingabe!$V$17=52,Ausgabe!P397,IF(Eingabe!$V$17=53,Ausgabe!R397,IF(Eingabe!$V$17=54,Ausgabe!T397,"FEHLER")))))</f>
        <v>4.8011100363698338</v>
      </c>
      <c r="D397" s="650" t="s">
        <v>469</v>
      </c>
      <c r="E397" s="650" t="s">
        <v>2156</v>
      </c>
      <c r="F397" s="776"/>
      <c r="G397" s="776"/>
      <c r="H397" s="776"/>
      <c r="I397" s="776"/>
      <c r="J397" s="873"/>
      <c r="K397" s="756" t="s">
        <v>7</v>
      </c>
      <c r="L397" s="914">
        <f ca="1">2.3*SQRT(L390*1000*L395*L383)*1/1000+L396</f>
        <v>4.8011100363698338</v>
      </c>
      <c r="M397" s="650" t="s">
        <v>2156</v>
      </c>
      <c r="N397" s="921">
        <f ca="1">2.3*SQRT(N390*1000*N395*N383)*1/1000+N396</f>
        <v>5.721008480815347</v>
      </c>
      <c r="O397" s="650" t="s">
        <v>2156</v>
      </c>
      <c r="P397" s="939">
        <f ca="1">2.3*SQRT(P390*1000*P395*P383)*1/1000+P396</f>
        <v>7.1313908038015796</v>
      </c>
      <c r="Q397" s="650" t="s">
        <v>2156</v>
      </c>
      <c r="R397" s="943">
        <f ca="1">2.3*SQRT(R390*1000*R395*R383)*1/1000+R396</f>
        <v>7.6639903772689495</v>
      </c>
      <c r="S397" s="650" t="s">
        <v>2156</v>
      </c>
      <c r="T397" s="939">
        <f ca="1">2.3*SQRT(T390*1000*T395*T383)*1/1000+T396</f>
        <v>6.4908011281918299</v>
      </c>
      <c r="U397" s="650" t="s">
        <v>2156</v>
      </c>
      <c r="V397" s="926"/>
    </row>
    <row r="398" spans="1:22" s="429" customFormat="1" ht="16.5" customHeight="1">
      <c r="A398" s="697" t="str">
        <f>A713</f>
        <v>char. Tragfähigkeit</v>
      </c>
      <c r="B398" s="697" t="s">
        <v>2451</v>
      </c>
      <c r="C398" s="806">
        <f ca="1">IF(Eingabe!$V$17=50,Ausgabe!L398,IF(Eingabe!$V$17=51,Ausgabe!N398,IF(Eingabe!$V$17=52,Ausgabe!P398,IF(Eingabe!$V$17=53,Ausgabe!R398,IF(Eingabe!$V$17=54,Ausgabe!T398,"FEHLER")))))</f>
        <v>33.607770254588836</v>
      </c>
      <c r="D398" s="650" t="s">
        <v>469</v>
      </c>
      <c r="E398" s="650" t="s">
        <v>948</v>
      </c>
      <c r="F398" s="776"/>
      <c r="G398" s="776"/>
      <c r="H398" s="776"/>
      <c r="I398" s="776"/>
      <c r="J398" s="873"/>
      <c r="K398" s="756" t="s">
        <v>7</v>
      </c>
      <c r="L398" s="914">
        <f ca="1">L385*L397</f>
        <v>33.607770254588836</v>
      </c>
      <c r="M398" s="650" t="s">
        <v>948</v>
      </c>
      <c r="N398" s="921">
        <f ca="1">N385*N397</f>
        <v>40.047059365707426</v>
      </c>
      <c r="O398" s="650" t="s">
        <v>948</v>
      </c>
      <c r="P398" s="939">
        <f ca="1">P385*P397</f>
        <v>49.919735626611057</v>
      </c>
      <c r="Q398" s="650" t="s">
        <v>948</v>
      </c>
      <c r="R398" s="943">
        <f ca="1">R385*R397</f>
        <v>53.647932640882644</v>
      </c>
      <c r="S398" s="650" t="s">
        <v>948</v>
      </c>
      <c r="T398" s="939">
        <f ca="1">T385*T397</f>
        <v>45.435607897342805</v>
      </c>
      <c r="U398" s="650" t="s">
        <v>948</v>
      </c>
      <c r="V398" s="926"/>
    </row>
    <row r="399" spans="1:22" ht="16.5" customHeight="1">
      <c r="A399" s="645"/>
      <c r="B399" s="645"/>
      <c r="C399" s="807"/>
      <c r="D399" s="646"/>
      <c r="E399" s="646"/>
      <c r="H399" s="791"/>
      <c r="I399" s="791"/>
      <c r="L399" s="914"/>
      <c r="N399" s="919"/>
      <c r="P399" s="936"/>
      <c r="R399" s="943"/>
      <c r="S399" s="646"/>
      <c r="T399" s="939"/>
      <c r="U399" s="646"/>
    </row>
    <row r="400" spans="1:22" s="429" customFormat="1" ht="16.5" customHeight="1">
      <c r="A400" s="788" t="str">
        <f>Sprachtexte!A138</f>
        <v>Hauptträger 45°-Schrauben</v>
      </c>
      <c r="B400" s="697"/>
      <c r="C400" s="806"/>
      <c r="D400" s="697"/>
      <c r="E400" s="650"/>
      <c r="F400" s="776"/>
      <c r="G400" s="776"/>
      <c r="H400" s="776"/>
      <c r="I400" s="776"/>
      <c r="J400" s="873"/>
      <c r="K400" s="756" t="str">
        <f t="shared" ref="K400:K426" si="6">IF(AND(M400=O400,O400=Q400,Q400=S400,S400=U400,M400=""),"","HT")</f>
        <v/>
      </c>
      <c r="L400" s="899"/>
      <c r="M400" s="650"/>
      <c r="N400" s="918"/>
      <c r="O400" s="650"/>
      <c r="P400" s="934"/>
      <c r="Q400" s="650"/>
      <c r="R400" s="942"/>
      <c r="S400" s="650"/>
      <c r="T400" s="934"/>
      <c r="U400" s="650"/>
      <c r="V400" s="926"/>
    </row>
    <row r="401" spans="1:22" s="429" customFormat="1" ht="16.5" customHeight="1">
      <c r="A401" s="697" t="str">
        <f>A700</f>
        <v>Schraubenlänge</v>
      </c>
      <c r="B401" s="697" t="s">
        <v>112</v>
      </c>
      <c r="C401" s="806">
        <f>IF(Eingabe!$V$16=50,Ausgabe!L401,IF(Eingabe!$V$16=51,Ausgabe!N401,IF(Eingabe!$V$16=52,Ausgabe!P401,IF(Eingabe!$V$16=53,Ausgabe!R401,IF(Eingabe!$V$16=54,Ausgabe!T401,"FEHLER")))))</f>
        <v>160</v>
      </c>
      <c r="D401" s="650" t="s">
        <v>2</v>
      </c>
      <c r="E401" s="650"/>
      <c r="F401" s="776"/>
      <c r="G401" s="776"/>
      <c r="H401" s="776"/>
      <c r="I401" s="776"/>
      <c r="J401" s="873"/>
      <c r="K401" s="756" t="str">
        <f t="shared" si="6"/>
        <v/>
      </c>
      <c r="L401" s="899">
        <f>HLOOKUP(Ausgabe!$E$51,MKW!$A$116:$AZ$143,5,FALSE)</f>
        <v>160</v>
      </c>
      <c r="M401" s="650"/>
      <c r="N401" s="918">
        <f>HLOOKUP(Ausgabe!$E$51,MKW!$A$116:$AZ$143,5,FALSE)</f>
        <v>160</v>
      </c>
      <c r="O401" s="650"/>
      <c r="P401" s="934">
        <f>HLOOKUP(Ausgabe!$E$51,MKW!$A$116:$AZ$143,5,FALSE)</f>
        <v>160</v>
      </c>
      <c r="Q401" s="650"/>
      <c r="R401" s="942">
        <f>HLOOKUP(Ausgabe!$E$51,MKW!$A$116:$AZ$143,5,FALSE)</f>
        <v>160</v>
      </c>
      <c r="S401" s="650"/>
      <c r="T401" s="934">
        <f>HLOOKUP(Ausgabe!$E$51,MKW!$A$116:$AZ$143,5,FALSE)</f>
        <v>160</v>
      </c>
      <c r="U401" s="650"/>
      <c r="V401" s="926"/>
    </row>
    <row r="402" spans="1:22" s="429" customFormat="1" ht="16.5" customHeight="1">
      <c r="A402" s="697" t="str">
        <f>A701</f>
        <v>Durchmesser</v>
      </c>
      <c r="B402" s="697" t="s">
        <v>111</v>
      </c>
      <c r="C402" s="806">
        <f>IF(Eingabe!$V$16=50,Ausgabe!L402,IF(Eingabe!$V$16=51,Ausgabe!N402,IF(Eingabe!$V$16=52,Ausgabe!P402,IF(Eingabe!$V$16=53,Ausgabe!R402,IF(Eingabe!$V$16=54,Ausgabe!T402,"FEHLER")))))</f>
        <v>8</v>
      </c>
      <c r="D402" s="650" t="s">
        <v>2</v>
      </c>
      <c r="E402" s="650"/>
      <c r="F402" s="776"/>
      <c r="G402" s="776"/>
      <c r="H402" s="776"/>
      <c r="I402" s="776"/>
      <c r="J402" s="873"/>
      <c r="K402" s="756" t="str">
        <f t="shared" si="6"/>
        <v/>
      </c>
      <c r="L402" s="899">
        <f>HLOOKUP(Ausgabe!$E$51,MKW!$A$116:$AZ$143,4,FALSE)</f>
        <v>8</v>
      </c>
      <c r="M402" s="650"/>
      <c r="N402" s="918">
        <f>HLOOKUP(Ausgabe!$E$51,MKW!$A$116:$AZ$143,4,FALSE)</f>
        <v>8</v>
      </c>
      <c r="O402" s="650"/>
      <c r="P402" s="934">
        <f>HLOOKUP(Ausgabe!$E$51,MKW!$A$116:$AZ$143,4,FALSE)</f>
        <v>8</v>
      </c>
      <c r="Q402" s="650"/>
      <c r="R402" s="942">
        <f>HLOOKUP(Ausgabe!$E$51,MKW!$A$116:$AZ$143,4,FALSE)</f>
        <v>8</v>
      </c>
      <c r="S402" s="650"/>
      <c r="T402" s="934">
        <f>HLOOKUP(Ausgabe!$E$51,MKW!$A$116:$AZ$143,4,FALSE)</f>
        <v>8</v>
      </c>
      <c r="U402" s="650"/>
      <c r="V402" s="926"/>
    </row>
    <row r="403" spans="1:22" s="429" customFormat="1" ht="16.5" customHeight="1">
      <c r="A403" s="697" t="str">
        <f>A705</f>
        <v>mittlere eff. Schraubenlänge</v>
      </c>
      <c r="B403" s="697" t="s">
        <v>547</v>
      </c>
      <c r="C403" s="810">
        <f ca="1">IF(Eingabe!$V$16=50,Ausgabe!L403,IF(Eingabe!$V$16=51,Ausgabe!N403,IF(Eingabe!$V$16=52,Ausgabe!P403,IF(Eingabe!$V$16=53,Ausgabe!R403,IF(Eingabe!$V$16=54,Ausgabe!T403,"FEHLER")))))</f>
        <v>142.5</v>
      </c>
      <c r="D403" s="650" t="s">
        <v>2</v>
      </c>
      <c r="E403" s="650" t="s">
        <v>584</v>
      </c>
      <c r="F403" s="776"/>
      <c r="G403" s="776"/>
      <c r="H403" s="776"/>
      <c r="I403" s="776"/>
      <c r="J403" s="873"/>
      <c r="K403" s="756" t="str">
        <f t="shared" si="6"/>
        <v>HT</v>
      </c>
      <c r="L403" s="899">
        <f ca="1">Berechnung_BZoben!$C$29</f>
        <v>142.5</v>
      </c>
      <c r="M403" s="650" t="s">
        <v>584</v>
      </c>
      <c r="N403" s="918">
        <f ca="1">Berechnung_BZoben!$C$29</f>
        <v>142.5</v>
      </c>
      <c r="O403" s="650" t="s">
        <v>584</v>
      </c>
      <c r="P403" s="934">
        <f ca="1">Berechnung_BZoben!$C$29</f>
        <v>142.5</v>
      </c>
      <c r="Q403" s="650" t="s">
        <v>584</v>
      </c>
      <c r="R403" s="942">
        <f ca="1">Berechnung_BZoben!$C$29</f>
        <v>142.5</v>
      </c>
      <c r="S403" s="650" t="s">
        <v>584</v>
      </c>
      <c r="T403" s="934">
        <f ca="1">Berechnung_BZoben!$C$29</f>
        <v>142.5</v>
      </c>
      <c r="U403" s="650" t="s">
        <v>584</v>
      </c>
      <c r="V403" s="926"/>
    </row>
    <row r="404" spans="1:22" s="429" customFormat="1" ht="16.5" customHeight="1">
      <c r="A404" s="697" t="str">
        <f>A707</f>
        <v>eff. Schraubenanzahl</v>
      </c>
      <c r="B404" s="697" t="s">
        <v>521</v>
      </c>
      <c r="C404" s="806">
        <f>IF(Eingabe!$V$16=50,Ausgabe!L404,IF(Eingabe!$V$16=51,Ausgabe!N404,IF(Eingabe!$V$16=52,Ausgabe!P404,IF(Eingabe!$V$16=53,Ausgabe!R404,IF(Eingabe!$V$16=54,Ausgabe!T404,"FEHLER")))))</f>
        <v>7</v>
      </c>
      <c r="D404" s="650" t="s">
        <v>124</v>
      </c>
      <c r="E404" s="650" t="s">
        <v>947</v>
      </c>
      <c r="F404" s="776"/>
      <c r="G404" s="776"/>
      <c r="H404" s="776"/>
      <c r="I404" s="776"/>
      <c r="J404" s="873"/>
      <c r="K404" s="756" t="str">
        <f t="shared" si="6"/>
        <v>HT</v>
      </c>
      <c r="L404" s="899">
        <f>MIN($B$378,28)</f>
        <v>7</v>
      </c>
      <c r="M404" s="650" t="s">
        <v>947</v>
      </c>
      <c r="N404" s="918">
        <f>MIN($B$378,28)</f>
        <v>7</v>
      </c>
      <c r="O404" s="650" t="s">
        <v>947</v>
      </c>
      <c r="P404" s="934">
        <f>MIN($B$378,28)</f>
        <v>7</v>
      </c>
      <c r="Q404" s="650" t="s">
        <v>947</v>
      </c>
      <c r="R404" s="942">
        <f>MIN($B$378,28)</f>
        <v>7</v>
      </c>
      <c r="S404" s="650" t="s">
        <v>947</v>
      </c>
      <c r="T404" s="934">
        <f>MIN($B$378,28)</f>
        <v>7</v>
      </c>
      <c r="U404" s="650" t="s">
        <v>947</v>
      </c>
      <c r="V404" s="926"/>
    </row>
    <row r="405" spans="1:22" s="429" customFormat="1" ht="16.5" customHeight="1">
      <c r="A405" s="697" t="str">
        <f>A708</f>
        <v>char. Rohdichte</v>
      </c>
      <c r="B405" s="784" t="s">
        <v>2425</v>
      </c>
      <c r="C405" s="806">
        <f>IF(Eingabe!$V$16=50,Ausgabe!L405,IF(Eingabe!$V$16=51,Ausgabe!N405,IF(Eingabe!$V$16=52,Ausgabe!P405,IF(Eingabe!$V$16=53,Ausgabe!R405,IF(Eingabe!$V$16=54,Ausgabe!T405,"FEHLER")))))</f>
        <v>385</v>
      </c>
      <c r="D405" s="650" t="s">
        <v>115</v>
      </c>
      <c r="E405" s="1528" t="s">
        <v>23</v>
      </c>
      <c r="F405" s="1528"/>
      <c r="G405" s="1528"/>
      <c r="H405" s="1528"/>
      <c r="I405" s="1528"/>
      <c r="J405" s="874" t="s">
        <v>929</v>
      </c>
      <c r="K405" s="756" t="str">
        <f t="shared" si="6"/>
        <v>HT</v>
      </c>
      <c r="L405" s="899">
        <f>HLOOKUP($F$23,MKW!$E$3:$BS$22,19,0)</f>
        <v>385</v>
      </c>
      <c r="M405" s="650" t="str">
        <f>HLOOKUP($F$16,MKW!$E$3:$BS$22,3,0)</f>
        <v>DIN EN 14080:2013-09, Tab. 5</v>
      </c>
      <c r="N405" s="918">
        <f>HLOOKUP($F$23,MKW!$E$3:$BS$22,19,0)</f>
        <v>385</v>
      </c>
      <c r="O405" s="650" t="str">
        <f>HLOOKUP($F$16,MKW!$E$3:$BS$22,3,0)</f>
        <v>DIN EN 14080:2013-09, Tab. 5</v>
      </c>
      <c r="P405" s="934">
        <f>HLOOKUP($F$23,MKW!$E$3:$BS$22,19,0)</f>
        <v>385</v>
      </c>
      <c r="Q405" s="650" t="str">
        <f>HLOOKUP($F$16,MKW!$E$3:$BS$22,3,0)</f>
        <v>DIN EN 14080:2013-09, Tab. 5</v>
      </c>
      <c r="R405" s="942">
        <f>HLOOKUP($F$23,MKW!$E$3:$BS$22,19,0)</f>
        <v>385</v>
      </c>
      <c r="S405" s="650" t="str">
        <f>HLOOKUP($F$16,MKW!$E$3:$BS$22,3,0)</f>
        <v>DIN EN 14080:2013-09, Tab. 5</v>
      </c>
      <c r="T405" s="934">
        <f>HLOOKUP($F$23,MKW!$E$3:$BS$22,19,0)</f>
        <v>385</v>
      </c>
      <c r="U405" s="650" t="str">
        <f>HLOOKUP($F$16,MKW!$E$3:$BS$22,3,0)</f>
        <v>DIN EN 14080:2013-09, Tab. 5</v>
      </c>
      <c r="V405" s="926"/>
    </row>
    <row r="406" spans="1:22" s="429" customFormat="1" ht="12.95" customHeight="1">
      <c r="A406" s="697"/>
      <c r="B406" s="784"/>
      <c r="C406" s="806"/>
      <c r="D406" s="650"/>
      <c r="E406" s="1528"/>
      <c r="F406" s="1528"/>
      <c r="G406" s="1528"/>
      <c r="H406" s="1528"/>
      <c r="I406" s="1528"/>
      <c r="J406" s="874"/>
      <c r="K406" s="756"/>
      <c r="L406" s="899"/>
      <c r="M406" s="650"/>
      <c r="N406" s="918"/>
      <c r="O406" s="650"/>
      <c r="P406" s="934"/>
      <c r="Q406" s="650"/>
      <c r="R406" s="942"/>
      <c r="S406" s="650"/>
      <c r="T406" s="934"/>
      <c r="U406" s="650"/>
      <c r="V406" s="926"/>
    </row>
    <row r="407" spans="1:22" s="429" customFormat="1" ht="16.5" customHeight="1">
      <c r="A407" s="697" t="str">
        <f>IF(Eingabe!$BC$43=2,Sprachtexte!A141,A702)</f>
        <v>Schrauben-Faser-Winkel</v>
      </c>
      <c r="B407" s="783" t="s">
        <v>479</v>
      </c>
      <c r="C407" s="806">
        <f>IF(Eingabe!$V$16=50,Ausgabe!L407,IF(Eingabe!$V$16=51,Ausgabe!N407,IF(Eingabe!$V$16=52,Ausgabe!P407,IF(Eingabe!$V$16=53,Ausgabe!R407,IF(Eingabe!$V$16=54,Ausgabe!T407,"FEHLER")))))</f>
        <v>90</v>
      </c>
      <c r="D407" s="650" t="s">
        <v>270</v>
      </c>
      <c r="E407" s="650"/>
      <c r="F407" s="776"/>
      <c r="G407" s="776"/>
      <c r="H407" s="776"/>
      <c r="I407" s="776"/>
      <c r="J407" s="874" t="s">
        <v>94</v>
      </c>
      <c r="K407" s="756" t="str">
        <f t="shared" si="6"/>
        <v/>
      </c>
      <c r="L407" s="899">
        <f>ABS(HT45Schraube_Mat0_alpha)</f>
        <v>90</v>
      </c>
      <c r="M407" s="650"/>
      <c r="N407" s="918">
        <f>ABS(HT45Schraube_Mat0_alpha)</f>
        <v>90</v>
      </c>
      <c r="O407" s="650"/>
      <c r="P407" s="934">
        <f>ABS(HT45Schraube_Mat1_alpha)</f>
        <v>90</v>
      </c>
      <c r="Q407" s="650"/>
      <c r="R407" s="942">
        <f>ABS(HT45Schraube_Mat23_alphaF45)</f>
        <v>0</v>
      </c>
      <c r="S407" s="650"/>
      <c r="T407" s="934">
        <f>ABS(HT45Schraube_Mat23_alphaF45)</f>
        <v>0</v>
      </c>
      <c r="U407" s="650"/>
      <c r="V407" s="926"/>
    </row>
    <row r="408" spans="1:22" s="429" customFormat="1" ht="16.5" customHeight="1">
      <c r="A408" s="697" t="str">
        <f>A703</f>
        <v>Schr.-Deckfläche-Winkel</v>
      </c>
      <c r="B408" s="783" t="s">
        <v>480</v>
      </c>
      <c r="C408" s="806" t="str">
        <f>IF(Eingabe!$V$16=50,Ausgabe!L408,IF(Eingabe!$V$16=51,Ausgabe!N408,IF(Eingabe!$V$16=52,Ausgabe!P408,IF(Eingabe!$V$16=53,Ausgabe!R408,IF(Eingabe!$V$16=54,Ausgabe!T408,"FEHLER")))))</f>
        <v>-</v>
      </c>
      <c r="D408" s="650" t="s">
        <v>270</v>
      </c>
      <c r="E408" s="650"/>
      <c r="F408" s="776"/>
      <c r="G408" s="776"/>
      <c r="H408" s="776"/>
      <c r="I408" s="776"/>
      <c r="J408" s="874" t="s">
        <v>487</v>
      </c>
      <c r="K408" s="756" t="str">
        <f t="shared" si="6"/>
        <v/>
      </c>
      <c r="L408" s="899" t="s">
        <v>124</v>
      </c>
      <c r="M408" s="650"/>
      <c r="N408" s="918" t="s">
        <v>124</v>
      </c>
      <c r="O408" s="650"/>
      <c r="P408" s="934" t="s">
        <v>124</v>
      </c>
      <c r="Q408" s="650"/>
      <c r="R408" s="942">
        <f>ABS(HT45Schraube_Mat23_beta)</f>
        <v>45</v>
      </c>
      <c r="S408" s="650"/>
      <c r="T408" s="934">
        <f>ABS(HT45Schraube_Mat23_beta)</f>
        <v>45</v>
      </c>
      <c r="U408" s="650"/>
      <c r="V408" s="926"/>
    </row>
    <row r="409" spans="1:22" s="429" customFormat="1" ht="16.5" customHeight="1">
      <c r="A409" s="697" t="str">
        <f>A704</f>
        <v>Schrauben-Faser-Winkel</v>
      </c>
      <c r="B409" s="783" t="s">
        <v>503</v>
      </c>
      <c r="C409" s="806" t="str">
        <f>IF(Eingabe!$V$16=50,Ausgabe!L409,IF(Eingabe!$V$16=51,Ausgabe!N409,IF(Eingabe!$V$16=52,Ausgabe!P409,IF(Eingabe!$V$16=53,Ausgabe!R409,IF(Eingabe!$V$16=54,Ausgabe!T409,"FEHLER")))))</f>
        <v>-</v>
      </c>
      <c r="D409" s="650" t="s">
        <v>270</v>
      </c>
      <c r="E409" s="650"/>
      <c r="F409" s="776"/>
      <c r="G409" s="776"/>
      <c r="H409" s="776"/>
      <c r="I409" s="776"/>
      <c r="J409" s="873"/>
      <c r="K409" s="756" t="str">
        <f t="shared" si="6"/>
        <v/>
      </c>
      <c r="L409" s="899" t="s">
        <v>124</v>
      </c>
      <c r="M409" s="650"/>
      <c r="N409" s="918" t="s">
        <v>124</v>
      </c>
      <c r="O409" s="650"/>
      <c r="P409" s="934" t="s">
        <v>124</v>
      </c>
      <c r="Q409" s="650"/>
      <c r="R409" s="942">
        <f>ABS(HT45Schraube_Mat23_epsilon)</f>
        <v>90</v>
      </c>
      <c r="S409" s="650"/>
      <c r="T409" s="934">
        <f>ABS(HT45Schraube_Mat23_epsilon)</f>
        <v>90</v>
      </c>
      <c r="U409" s="650"/>
      <c r="V409" s="926"/>
    </row>
    <row r="410" spans="1:22" s="429" customFormat="1" ht="16.5" customHeight="1">
      <c r="A410" s="697" t="str">
        <f>A728</f>
        <v>char. Fließmoment</v>
      </c>
      <c r="B410" s="697" t="s">
        <v>2440</v>
      </c>
      <c r="C410" s="806">
        <f>IF(Eingabe!$V$16=50,Ausgabe!L410,IF(Eingabe!$V$16=51,Ausgabe!N410,IF(Eingabe!$V$16=52,Ausgabe!P410,IF(Eingabe!$V$16=53,Ausgabe!R410,IF(Eingabe!$V$16=54,Ausgabe!T410,"FEHLER")))))</f>
        <v>20</v>
      </c>
      <c r="D410" s="650" t="s">
        <v>493</v>
      </c>
      <c r="E410" s="650" t="str">
        <f>HLOOKUP(Ausgabe!$E$51,MKW!$A$116:$AZ$143,3,FALSE)</f>
        <v>ETA-15/0667</v>
      </c>
      <c r="F410" s="776"/>
      <c r="G410" s="776"/>
      <c r="H410" s="776"/>
      <c r="I410" s="776"/>
      <c r="J410" s="873"/>
      <c r="K410" s="756" t="str">
        <f t="shared" si="6"/>
        <v>HT</v>
      </c>
      <c r="L410" s="899">
        <f>HLOOKUP(Ausgabe!$E$51,MKW!$A$116:$AZ$141,9,FALSE)</f>
        <v>20</v>
      </c>
      <c r="M410" s="650" t="str">
        <f>HLOOKUP(Ausgabe!$E$51,MKW!$A$116:$AZ$143,3,FALSE)</f>
        <v>ETA-15/0667</v>
      </c>
      <c r="N410" s="918">
        <f>HLOOKUP(Ausgabe!$E$51,MKW!$A$116:$AZ$141,9,FALSE)</f>
        <v>20</v>
      </c>
      <c r="O410" s="650"/>
      <c r="P410" s="934">
        <f>HLOOKUP(Ausgabe!$E$51,MKW!$A$116:$AZ$141,9,FALSE)</f>
        <v>20</v>
      </c>
      <c r="Q410" s="650"/>
      <c r="R410" s="942">
        <f>HLOOKUP(Ausgabe!$E$51,MKW!$A$116:$AZ$141,9,FALSE)</f>
        <v>20</v>
      </c>
      <c r="S410" s="650"/>
      <c r="T410" s="934">
        <f>HLOOKUP(Ausgabe!$E$51,MKW!$A$116:$AZ$141,9,FALSE)</f>
        <v>20</v>
      </c>
      <c r="U410" s="650"/>
      <c r="V410" s="926"/>
    </row>
    <row r="411" spans="1:22" s="429" customFormat="1" ht="16.5" customHeight="1">
      <c r="A411" s="697" t="str">
        <f>A710</f>
        <v>Dimensionskoeffizient</v>
      </c>
      <c r="B411" s="697" t="s">
        <v>2432</v>
      </c>
      <c r="C411" s="806">
        <f>IF(Eingabe!$V$16=50,Ausgabe!L411,IF(Eingabe!$V$16=51,Ausgabe!N411,IF(Eingabe!$V$16=52,Ausgabe!P411,IF(Eingabe!$V$16=53,Ausgabe!R411,IF(Eingabe!$V$16=54,Ausgabe!T411,"FEHLER")))))</f>
        <v>1</v>
      </c>
      <c r="D411" s="650" t="s">
        <v>124</v>
      </c>
      <c r="E411" s="650" t="s">
        <v>770</v>
      </c>
      <c r="F411" s="776"/>
      <c r="G411" s="776"/>
      <c r="H411" s="776"/>
      <c r="I411" s="776"/>
      <c r="J411" s="873"/>
      <c r="K411" s="756" t="str">
        <f t="shared" si="6"/>
        <v>HT</v>
      </c>
      <c r="L411" s="899">
        <f>IF(AND(L407&gt;=0,L407&lt;45),0.3+0.7*L407/45,1)</f>
        <v>1</v>
      </c>
      <c r="M411" s="650" t="s">
        <v>770</v>
      </c>
      <c r="N411" s="918">
        <f>IF(AND(N407&gt;=0,N407&lt;45),0.3+0.7*N407/45,1)</f>
        <v>1</v>
      </c>
      <c r="O411" s="650" t="s">
        <v>770</v>
      </c>
      <c r="P411" s="934">
        <f>IF(AND(P407&gt;=0,P407&lt;45),0.3+0.7*P407/45,1)</f>
        <v>1</v>
      </c>
      <c r="Q411" s="650" t="s">
        <v>770</v>
      </c>
      <c r="R411" s="942">
        <f>IF(AND(R407&gt;=0,R407&lt;45),0.5+0.5*R407/45,1)</f>
        <v>0.5</v>
      </c>
      <c r="S411" s="650" t="s">
        <v>770</v>
      </c>
      <c r="T411" s="934">
        <f>IF(AND(T407&gt;=0,T407&lt;45),0.5+0.5*T407/45,1)</f>
        <v>0.5</v>
      </c>
      <c r="U411" s="650" t="s">
        <v>770</v>
      </c>
      <c r="V411" s="926"/>
    </row>
    <row r="412" spans="1:22" s="429" customFormat="1" ht="16.5" customHeight="1">
      <c r="A412" s="697"/>
      <c r="B412" s="697" t="s">
        <v>683</v>
      </c>
      <c r="C412" s="806"/>
      <c r="D412" s="650"/>
      <c r="E412" s="650" t="s">
        <v>771</v>
      </c>
      <c r="F412" s="776"/>
      <c r="G412" s="776"/>
      <c r="H412" s="776"/>
      <c r="I412" s="776"/>
      <c r="J412" s="873"/>
      <c r="K412" s="756" t="str">
        <f t="shared" si="6"/>
        <v>HT</v>
      </c>
      <c r="L412" s="899"/>
      <c r="M412" s="650" t="s">
        <v>771</v>
      </c>
      <c r="N412" s="918"/>
      <c r="O412" s="650" t="s">
        <v>771</v>
      </c>
      <c r="P412" s="934"/>
      <c r="Q412" s="650" t="s">
        <v>771</v>
      </c>
      <c r="R412" s="942"/>
      <c r="S412" s="650" t="s">
        <v>771</v>
      </c>
      <c r="T412" s="934"/>
      <c r="U412" s="650" t="s">
        <v>771</v>
      </c>
      <c r="V412" s="926"/>
    </row>
    <row r="413" spans="1:22" s="429" customFormat="1" ht="16.5" customHeight="1">
      <c r="A413" s="697" t="str">
        <f>A711</f>
        <v>Koeffizient</v>
      </c>
      <c r="B413" s="697" t="s">
        <v>2428</v>
      </c>
      <c r="C413" s="811" t="str">
        <f>IF(Eingabe!$V$16=50,Ausgabe!L413,IF(Eingabe!$V$16=51,Ausgabe!N413,IF(Eingabe!$V$16=52,Ausgabe!P413,IF(Eingabe!$V$16=53,Ausgabe!R413,IF(Eingabe!$V$16=54,Ausgabe!T413,"FEHLER")))))</f>
        <v>-</v>
      </c>
      <c r="D413" s="650" t="s">
        <v>124</v>
      </c>
      <c r="E413" s="650" t="s">
        <v>124</v>
      </c>
      <c r="F413" s="776"/>
      <c r="G413" s="776"/>
      <c r="H413" s="776"/>
      <c r="I413" s="776"/>
      <c r="J413" s="873"/>
      <c r="K413" s="756" t="str">
        <f t="shared" si="6"/>
        <v>HT</v>
      </c>
      <c r="L413" s="899" t="s">
        <v>124</v>
      </c>
      <c r="M413" s="650" t="s">
        <v>124</v>
      </c>
      <c r="N413" s="918">
        <v>1</v>
      </c>
      <c r="O413" s="650" t="s">
        <v>591</v>
      </c>
      <c r="P413" s="934">
        <v>1</v>
      </c>
      <c r="Q413" s="650" t="s">
        <v>591</v>
      </c>
      <c r="R413" s="942">
        <f>1.5*COS(RADIANS(R408))^2+SIN(RADIANS(R408))^2</f>
        <v>1.25</v>
      </c>
      <c r="S413" s="650" t="s">
        <v>718</v>
      </c>
      <c r="T413" s="934">
        <f>1.5*COS(RADIANS(T408))^2+SIN(RADIANS(T408))^2</f>
        <v>1.25</v>
      </c>
      <c r="U413" s="650" t="s">
        <v>718</v>
      </c>
      <c r="V413" s="926"/>
    </row>
    <row r="414" spans="1:22" s="429" customFormat="1" ht="16.5" customHeight="1">
      <c r="A414" s="697" t="str">
        <f>A718</f>
        <v>char. Ausziehwiderstand</v>
      </c>
      <c r="B414" s="697" t="s">
        <v>2452</v>
      </c>
      <c r="C414" s="806">
        <f ca="1">IF(Eingabe!$V$16=50,Ausgabe!L414,IF(Eingabe!$V$16=51,Ausgabe!N414,IF(Eingabe!$V$16=52,Ausgabe!P414,IF(Eingabe!$V$16=53,Ausgabe!R414,IF(Eingabe!$V$16=54,Ausgabe!T414,"FEHLER")))))</f>
        <v>14.939989720006295</v>
      </c>
      <c r="D414" s="650" t="s">
        <v>469</v>
      </c>
      <c r="E414" s="650" t="s">
        <v>550</v>
      </c>
      <c r="F414" s="776"/>
      <c r="G414" s="776"/>
      <c r="H414" s="776"/>
      <c r="I414" s="776"/>
      <c r="J414" s="873"/>
      <c r="K414" s="756" t="str">
        <f t="shared" si="6"/>
        <v>HT</v>
      </c>
      <c r="L414" s="914">
        <f ca="1">0.52*L402^0.5*L403^0.9*L405^0.8*L411*1/1000</f>
        <v>14.939989720006295</v>
      </c>
      <c r="M414" s="650" t="s">
        <v>550</v>
      </c>
      <c r="N414" s="921">
        <f ca="1">N411*11*N402*N403*(N405/350)^0.8*1/N413*1/1000</f>
        <v>13.533548530048092</v>
      </c>
      <c r="O414" s="650" t="s">
        <v>2305</v>
      </c>
      <c r="P414" s="939">
        <f ca="1">P411*11*P402*P403*(P405/350)^0.8*1/P413*1/1000</f>
        <v>13.533548530048092</v>
      </c>
      <c r="Q414" s="650" t="s">
        <v>2305</v>
      </c>
      <c r="R414" s="943">
        <f ca="1">R411*35*R402*R403*(R405/720)^0.8*1/R413*1/1000</f>
        <v>9.6724272848488138</v>
      </c>
      <c r="S414" s="650" t="s">
        <v>2306</v>
      </c>
      <c r="T414" s="939">
        <f ca="1">T411*11*T402*T403*(T405/350)^0.8*1/T413*1/1000</f>
        <v>5.4134194120192367</v>
      </c>
      <c r="U414" s="650" t="s">
        <v>2305</v>
      </c>
      <c r="V414" s="926"/>
    </row>
    <row r="415" spans="1:22" s="429" customFormat="1" ht="16.5" customHeight="1">
      <c r="A415" s="697" t="str">
        <f>A729</f>
        <v>char. Lochleibungsfestigkeit</v>
      </c>
      <c r="B415" s="697" t="s">
        <v>2453</v>
      </c>
      <c r="C415" s="806">
        <f>IF(Eingabe!$V$16=50,Ausgabe!L415,IF(Eingabe!$V$16=51,Ausgabe!N415,IF(Eingabe!$V$16=52,Ausgabe!P415,IF(Eingabe!$V$16=53,Ausgabe!R415,IF(Eingabe!$V$16=54,Ausgabe!T415,"FEHLER")))))</f>
        <v>16.917944106135387</v>
      </c>
      <c r="D415" s="650" t="s">
        <v>3</v>
      </c>
      <c r="E415" s="755" t="s">
        <v>772</v>
      </c>
      <c r="F415" s="754"/>
      <c r="G415" s="754"/>
      <c r="H415" s="754"/>
      <c r="I415" s="754"/>
      <c r="J415" s="873"/>
      <c r="K415" s="756" t="str">
        <f t="shared" si="6"/>
        <v>HT</v>
      </c>
      <c r="L415" s="914">
        <f>0.082*L405*L402^(-0.3)</f>
        <v>16.917944106135387</v>
      </c>
      <c r="M415" s="755" t="s">
        <v>772</v>
      </c>
      <c r="N415" s="921">
        <f>(0.082*N405*N402^(-0.3))/(2.5*COS(RADIANS(N407))^2+SIN(RADIANS(N407))^2)</f>
        <v>16.917944106135387</v>
      </c>
      <c r="O415" s="755" t="s">
        <v>768</v>
      </c>
      <c r="P415" s="939">
        <f>(0.082*P405*(1-0.01*P402))/(2.5*COS(RADIANS(P407))^2+SIN(RADIANS(P407))^2)</f>
        <v>29.044400000000003</v>
      </c>
      <c r="Q415" s="755" t="s">
        <v>768</v>
      </c>
      <c r="R415" s="943">
        <f>(0.082*R405*R402^(-0.15))/(((0.5+0.024*R402)*SIN(RADIANS(R407))^2+COS(RADIANS(R407))^2)*(1.2*COS(RADIANS(R408))^2+SIN(RADIANS(R408))^2)*(2.5*COS(RADIANS(R409))^2+SIN(RADIANS(R409))^2))</f>
        <v>21.009629736819726</v>
      </c>
      <c r="S415" s="755" t="s">
        <v>719</v>
      </c>
      <c r="T415" s="939">
        <f>(0.082*T405*T402^(-0.3))/(2.5*COS(RADIANS(T407))^2+SIN(RADIANS(T407))^2)</f>
        <v>6.767177642454155</v>
      </c>
      <c r="U415" s="755" t="s">
        <v>766</v>
      </c>
      <c r="V415" s="926"/>
    </row>
    <row r="416" spans="1:22" s="429" customFormat="1" ht="12.95" customHeight="1">
      <c r="A416" s="697"/>
      <c r="B416" s="645" t="s">
        <v>2439</v>
      </c>
      <c r="C416" s="806">
        <f ca="1">IF(Eingabe!$V$17=50,Ausgabe!L416,IF(Eingabe!$V$17=51,Ausgabe!N416,IF(Eingabe!$V$17=52,Ausgabe!P416,IF(Eingabe!$V$17=53,Ausgabe!R416,IF(Eingabe!$V$17=54,Ausgabe!T416,"FEHLER")))))</f>
        <v>3.7349974300015738</v>
      </c>
      <c r="D416" s="650"/>
      <c r="E416" s="754" t="s">
        <v>2155</v>
      </c>
      <c r="F416" s="754"/>
      <c r="G416" s="754"/>
      <c r="H416" s="754"/>
      <c r="I416" s="754"/>
      <c r="J416" s="873"/>
      <c r="K416" s="756" t="s">
        <v>6</v>
      </c>
      <c r="L416" s="914">
        <f ca="1">MIN(L414/4,2.3*SQRT(L410*1000*L415*L402)*1/1000)</f>
        <v>3.7349974300015738</v>
      </c>
      <c r="M416" s="754" t="s">
        <v>2155</v>
      </c>
      <c r="N416" s="921">
        <f ca="1">MIN(N414/4,2.3*SQRT(N410*1000*N415*N402)*1/1000)</f>
        <v>3.3833871325120231</v>
      </c>
      <c r="O416" s="754" t="s">
        <v>2155</v>
      </c>
      <c r="P416" s="939">
        <f ca="1">MIN(P414/4,2.3*SQRT(P410*1000*P415*P402)*1/1000)</f>
        <v>3.3833871325120231</v>
      </c>
      <c r="Q416" s="754" t="s">
        <v>2155</v>
      </c>
      <c r="R416" s="943">
        <f ca="1">MIN(R414/4,2.3*SQRT(R410*1000*R415*R402)*1/1000)</f>
        <v>2.4181068212122034</v>
      </c>
      <c r="S416" s="754" t="s">
        <v>2155</v>
      </c>
      <c r="T416" s="939">
        <f ca="1">MIN(T414/4,2.3*SQRT(T410*1000*T415*T402)*1/1000)</f>
        <v>1.3533548530048092</v>
      </c>
      <c r="U416" s="754" t="s">
        <v>2155</v>
      </c>
      <c r="V416" s="926"/>
    </row>
    <row r="417" spans="1:22" s="429" customFormat="1" ht="16.5" customHeight="1">
      <c r="A417" s="697" t="str">
        <f>A730</f>
        <v>char. Tragfähigkeit pro VM</v>
      </c>
      <c r="B417" s="697" t="s">
        <v>2454</v>
      </c>
      <c r="C417" s="806">
        <f ca="1">IF(Eingabe!$V$16=50,Ausgabe!L417,IF(Eingabe!$V$16=51,Ausgabe!N417,IF(Eingabe!$V$16=52,Ausgabe!P417,IF(Eingabe!$V$16=53,Ausgabe!R417,IF(Eingabe!$V$16=54,Ausgabe!T417,"FEHLER")))))</f>
        <v>7.5190888521837849</v>
      </c>
      <c r="D417" s="650" t="s">
        <v>469</v>
      </c>
      <c r="E417" s="650" t="s">
        <v>2156</v>
      </c>
      <c r="F417" s="776"/>
      <c r="G417" s="776"/>
      <c r="H417" s="776"/>
      <c r="I417" s="776"/>
      <c r="J417" s="873"/>
      <c r="K417" s="756" t="str">
        <f t="shared" si="6"/>
        <v>HT</v>
      </c>
      <c r="L417" s="914">
        <f ca="1">2.3*SQRT(L410*1000*L415*L402)*1/1000+L416</f>
        <v>7.5190888521837849</v>
      </c>
      <c r="M417" s="650" t="s">
        <v>2156</v>
      </c>
      <c r="N417" s="921">
        <f ca="1">2.3*SQRT(N410*1000*N415*N402)*1/1000+N416</f>
        <v>7.1674785546942346</v>
      </c>
      <c r="O417" s="650" t="s">
        <v>2156</v>
      </c>
      <c r="P417" s="939">
        <f ca="1">2.3*SQRT(P410*1000*P415*P402)*1/1000+P416</f>
        <v>8.341529946106645</v>
      </c>
      <c r="Q417" s="650" t="s">
        <v>2156</v>
      </c>
      <c r="R417" s="943">
        <f ca="1">2.3*SQRT(R410*1000*R415*R402)*1/1000+R416</f>
        <v>6.6350429849742554</v>
      </c>
      <c r="S417" s="650" t="s">
        <v>2156</v>
      </c>
      <c r="T417" s="939">
        <f ca="1">2.3*SQRT(T410*1000*T415*T402)*1/1000+T416</f>
        <v>3.7466244066851289</v>
      </c>
      <c r="U417" s="650" t="s">
        <v>2156</v>
      </c>
      <c r="V417" s="926"/>
    </row>
    <row r="418" spans="1:22" s="429" customFormat="1" ht="16.5" customHeight="1">
      <c r="A418" s="697" t="str">
        <f>A713</f>
        <v>char. Tragfähigkeit</v>
      </c>
      <c r="B418" s="697" t="s">
        <v>2455</v>
      </c>
      <c r="C418" s="806">
        <f ca="1">IF(Eingabe!$V$16=50,Ausgabe!L418,IF(Eingabe!$V$16=51,Ausgabe!N418,IF(Eingabe!$V$16=52,Ausgabe!P418,IF(Eingabe!$V$16=53,Ausgabe!R418,IF(Eingabe!$V$16=54,Ausgabe!T418,"FEHLER")))))</f>
        <v>52.633621965286494</v>
      </c>
      <c r="D418" s="650" t="s">
        <v>469</v>
      </c>
      <c r="E418" s="650" t="s">
        <v>951</v>
      </c>
      <c r="F418" s="776"/>
      <c r="G418" s="776"/>
      <c r="H418" s="776"/>
      <c r="I418" s="776"/>
      <c r="J418" s="873"/>
      <c r="K418" s="756" t="str">
        <f t="shared" si="6"/>
        <v>HT</v>
      </c>
      <c r="L418" s="914">
        <f ca="1">L404*L417</f>
        <v>52.633621965286494</v>
      </c>
      <c r="M418" s="650" t="s">
        <v>951</v>
      </c>
      <c r="N418" s="921">
        <f ca="1">N404*N417</f>
        <v>50.172349882859642</v>
      </c>
      <c r="O418" s="650" t="s">
        <v>951</v>
      </c>
      <c r="P418" s="939">
        <f ca="1">P404*P417</f>
        <v>58.390709622746513</v>
      </c>
      <c r="Q418" s="650" t="s">
        <v>951</v>
      </c>
      <c r="R418" s="943">
        <f ca="1">R404*R417</f>
        <v>46.445300894819788</v>
      </c>
      <c r="S418" s="650" t="s">
        <v>951</v>
      </c>
      <c r="T418" s="939">
        <f ca="1">T404*T417</f>
        <v>26.226370846795902</v>
      </c>
      <c r="U418" s="650" t="s">
        <v>951</v>
      </c>
      <c r="V418" s="926"/>
    </row>
    <row r="419" spans="1:22" s="429" customFormat="1" ht="16.5" customHeight="1">
      <c r="A419" s="697"/>
      <c r="B419" s="697"/>
      <c r="C419" s="806"/>
      <c r="D419" s="697"/>
      <c r="E419" s="650"/>
      <c r="F419" s="776"/>
      <c r="G419" s="776"/>
      <c r="H419" s="776"/>
      <c r="I419" s="776"/>
      <c r="J419" s="873"/>
      <c r="K419" s="756" t="str">
        <f t="shared" si="6"/>
        <v/>
      </c>
      <c r="L419" s="899"/>
      <c r="M419" s="650"/>
      <c r="N419" s="918"/>
      <c r="O419" s="650"/>
      <c r="P419" s="934"/>
      <c r="Q419" s="650"/>
      <c r="R419" s="942"/>
      <c r="S419" s="650"/>
      <c r="T419" s="934"/>
      <c r="U419" s="650"/>
      <c r="V419" s="926"/>
    </row>
    <row r="420" spans="1:22" s="429" customFormat="1" ht="16.5" customHeight="1">
      <c r="A420" s="697" t="str">
        <f>A713</f>
        <v>char. Tragfähigkeit</v>
      </c>
      <c r="B420" s="697" t="s">
        <v>2456</v>
      </c>
      <c r="C420" s="806">
        <f ca="1">IF(Eingabe!$V$16=50,Ausgabe!L420,IF(Eingabe!$V$16=51,Ausgabe!N420,IF(Eingabe!$V$16=52,Ausgabe!P420,IF(Eingabe!$V$16=53,Ausgabe!R420,IF(Eingabe!$V$16=54,Ausgabe!T420,"FEHLER")))))</f>
        <v>33.607770254588836</v>
      </c>
      <c r="D420" s="754" t="s">
        <v>469</v>
      </c>
      <c r="E420" s="650" t="s">
        <v>950</v>
      </c>
      <c r="F420" s="776"/>
      <c r="G420" s="776"/>
      <c r="H420" s="776"/>
      <c r="I420" s="776"/>
      <c r="J420" s="873"/>
      <c r="K420" s="756" t="str">
        <f t="shared" si="6"/>
        <v>HT</v>
      </c>
      <c r="L420" s="914">
        <f ca="1">MIN(L398,L418)</f>
        <v>33.607770254588836</v>
      </c>
      <c r="M420" s="650" t="s">
        <v>950</v>
      </c>
      <c r="N420" s="921">
        <f ca="1">MIN(N398,N418)</f>
        <v>40.047059365707426</v>
      </c>
      <c r="O420" s="650" t="s">
        <v>950</v>
      </c>
      <c r="P420" s="939">
        <f ca="1">MIN(P398,P418)</f>
        <v>49.919735626611057</v>
      </c>
      <c r="Q420" s="650" t="s">
        <v>950</v>
      </c>
      <c r="R420" s="943">
        <f ca="1">MIN(R398,R418)</f>
        <v>46.445300894819788</v>
      </c>
      <c r="S420" s="650" t="s">
        <v>950</v>
      </c>
      <c r="T420" s="939">
        <f ca="1">MIN(T398,T418)</f>
        <v>26.226370846795902</v>
      </c>
      <c r="U420" s="650" t="s">
        <v>950</v>
      </c>
      <c r="V420" s="926"/>
    </row>
    <row r="421" spans="1:22" s="429" customFormat="1" ht="16.5" customHeight="1">
      <c r="A421" s="697" t="str">
        <f>A714</f>
        <v>Teilsicherheitsbeiwert</v>
      </c>
      <c r="B421" s="697" t="s">
        <v>713</v>
      </c>
      <c r="C421" s="806">
        <f>IF(Eingabe!$V$16=50,Ausgabe!L421,IF(Eingabe!$V$16=51,Ausgabe!N421,IF(Eingabe!$V$16=52,Ausgabe!P421,IF(Eingabe!$V$16=53,Ausgabe!R421,IF(Eingabe!$V$16=54,Ausgabe!T421,"FEHLER")))))</f>
        <v>1.3</v>
      </c>
      <c r="D421" s="754"/>
      <c r="E421" s="650" t="s">
        <v>524</v>
      </c>
      <c r="F421" s="776"/>
      <c r="G421" s="776"/>
      <c r="H421" s="776"/>
      <c r="I421" s="776"/>
      <c r="J421" s="873"/>
      <c r="K421" s="756" t="str">
        <f t="shared" si="6"/>
        <v/>
      </c>
      <c r="L421" s="899">
        <f>Eingabe!$C$33</f>
        <v>1.3</v>
      </c>
      <c r="M421" s="650"/>
      <c r="N421" s="918">
        <f>Eingabe!$C$33</f>
        <v>1.3</v>
      </c>
      <c r="O421" s="650"/>
      <c r="P421" s="934">
        <f>Eingabe!$C$33</f>
        <v>1.3</v>
      </c>
      <c r="Q421" s="650"/>
      <c r="R421" s="942">
        <f>Eingabe!$C$33</f>
        <v>1.3</v>
      </c>
      <c r="S421" s="650"/>
      <c r="T421" s="934">
        <f>Eingabe!$C$33</f>
        <v>1.3</v>
      </c>
      <c r="U421" s="650"/>
      <c r="V421" s="926"/>
    </row>
    <row r="422" spans="1:22" s="429" customFormat="1" ht="16.5" customHeight="1">
      <c r="A422" s="697"/>
      <c r="B422" s="697"/>
      <c r="C422" s="806"/>
      <c r="D422" s="754"/>
      <c r="E422" s="650"/>
      <c r="F422" s="776"/>
      <c r="G422" s="776"/>
      <c r="H422" s="776"/>
      <c r="I422" s="776"/>
      <c r="J422" s="873"/>
      <c r="K422" s="756"/>
      <c r="L422" s="899"/>
      <c r="M422" s="650"/>
      <c r="N422" s="918"/>
      <c r="O422" s="650"/>
      <c r="P422" s="934"/>
      <c r="Q422" s="650"/>
      <c r="R422" s="942"/>
      <c r="S422" s="650"/>
      <c r="T422" s="934"/>
      <c r="U422" s="650"/>
      <c r="V422" s="926"/>
    </row>
    <row r="423" spans="1:22" s="429" customFormat="1" ht="16.5" customHeight="1">
      <c r="A423" s="697" t="str">
        <f>A720</f>
        <v>max. Tragfähigkeit MEGANT</v>
      </c>
      <c r="B423" s="754" t="s">
        <v>2189</v>
      </c>
      <c r="C423" s="806">
        <f>IF(Eingabe!$V$16=50,Ausgabe!L423,IF(Eingabe!$V$16=51,Ausgabe!N423,IF(Eingabe!$V$16=52,Ausgabe!P423,IF(Eingabe!$V$16=53,Ausgabe!R423,IF(Eingabe!$V$16=54,Ausgabe!T423,"FEHLER")))))</f>
        <v>36.9</v>
      </c>
      <c r="D423" s="754" t="s">
        <v>469</v>
      </c>
      <c r="E423" s="650" t="s">
        <v>755</v>
      </c>
      <c r="F423" s="776"/>
      <c r="G423" s="776"/>
      <c r="H423" s="776"/>
      <c r="I423" s="776"/>
      <c r="J423" s="873"/>
      <c r="K423" s="756" t="str">
        <f t="shared" si="6"/>
        <v>HT</v>
      </c>
      <c r="L423" s="899">
        <f>VLOOKUP(Ausgabe!$C$47,MKW!$A$89:$AZ$111,32,0)</f>
        <v>36.9</v>
      </c>
      <c r="M423" s="650" t="s">
        <v>755</v>
      </c>
      <c r="N423" s="918">
        <f>VLOOKUP(Ausgabe!$C$47,MKW!$A$89:$AZ$111,32,0)</f>
        <v>36.9</v>
      </c>
      <c r="O423" s="650" t="s">
        <v>755</v>
      </c>
      <c r="P423" s="934">
        <f>VLOOKUP(Ausgabe!$C$47,MKW!$A$89:$AZ$111,32,0)</f>
        <v>36.9</v>
      </c>
      <c r="Q423" s="650" t="s">
        <v>755</v>
      </c>
      <c r="R423" s="942">
        <f>VLOOKUP(Ausgabe!$C$47,MKW!$A$89:$AZ$111,32,0)</f>
        <v>36.9</v>
      </c>
      <c r="S423" s="650" t="s">
        <v>755</v>
      </c>
      <c r="T423" s="934">
        <f>VLOOKUP(Ausgabe!$C$47,MKW!$A$89:$AZ$111,32,0)</f>
        <v>36.9</v>
      </c>
      <c r="U423" s="650" t="s">
        <v>755</v>
      </c>
      <c r="V423" s="926"/>
    </row>
    <row r="424" spans="1:22" s="429" customFormat="1" ht="16.5" customHeight="1">
      <c r="A424" s="697" t="str">
        <f>A714</f>
        <v>Teilsicherheitsbeiwert</v>
      </c>
      <c r="B424" s="697" t="s">
        <v>2457</v>
      </c>
      <c r="C424" s="806">
        <f>IF(Eingabe!$V$16=50,Ausgabe!L424,IF(Eingabe!$V$16=51,Ausgabe!N424,IF(Eingabe!$V$16=52,Ausgabe!P424,IF(Eingabe!$V$16=53,Ausgabe!R424,IF(Eingabe!$V$16=54,Ausgabe!T424,"FEHLER")))))</f>
        <v>1.1000000000000001</v>
      </c>
      <c r="D424" s="776" t="s">
        <v>124</v>
      </c>
      <c r="E424" s="650"/>
      <c r="F424" s="776"/>
      <c r="G424" s="776"/>
      <c r="H424" s="776"/>
      <c r="I424" s="776"/>
      <c r="J424" s="873"/>
      <c r="K424" s="756" t="str">
        <f t="shared" si="6"/>
        <v/>
      </c>
      <c r="L424" s="899">
        <f>Eingabe!$C$34</f>
        <v>1.1000000000000001</v>
      </c>
      <c r="M424" s="650"/>
      <c r="N424" s="918">
        <f>Eingabe!$C$34</f>
        <v>1.1000000000000001</v>
      </c>
      <c r="O424" s="650"/>
      <c r="P424" s="934">
        <f>Eingabe!$C$34</f>
        <v>1.1000000000000001</v>
      </c>
      <c r="Q424" s="650"/>
      <c r="R424" s="942">
        <f>Eingabe!$C$34</f>
        <v>1.1000000000000001</v>
      </c>
      <c r="S424" s="650"/>
      <c r="T424" s="934">
        <f>Eingabe!$C$34</f>
        <v>1.1000000000000001</v>
      </c>
      <c r="U424" s="650"/>
      <c r="V424" s="926"/>
    </row>
    <row r="425" spans="1:22" ht="16.5" customHeight="1">
      <c r="A425" s="645"/>
      <c r="B425" s="645"/>
      <c r="C425" s="807"/>
      <c r="E425" s="646"/>
      <c r="K425" s="801" t="str">
        <f t="shared" si="6"/>
        <v/>
      </c>
    </row>
    <row r="426" spans="1:22" ht="16.5" customHeight="1">
      <c r="A426" s="769" t="str">
        <f>Sprachtexte!A121</f>
        <v>Nachweis</v>
      </c>
      <c r="B426" s="645" t="s">
        <v>920</v>
      </c>
      <c r="C426" s="807">
        <f ca="1">_xlfn.XLOOKUP(H427,Eingabe!$EB$5:$EB$32,Eingabe!$DZ$5:$DZ$32,0,0,1)</f>
        <v>15.511278579041001</v>
      </c>
      <c r="D426" s="646" t="s">
        <v>469</v>
      </c>
      <c r="E426" s="645" t="s">
        <v>637</v>
      </c>
      <c r="F426" s="779">
        <f ca="1">_xlfn.XLOOKUP(H427,Eingabe!$EB$5:$EB$32,Eingabe!$CV$5:$CV$32,0,0,1)</f>
        <v>0.6</v>
      </c>
      <c r="G426" s="1540" t="str">
        <f>Sprachtexte!$A$164</f>
        <v>Ausnutzung</v>
      </c>
      <c r="H426" s="1540"/>
      <c r="I426" s="1540"/>
      <c r="K426" s="801" t="str">
        <f t="shared" si="6"/>
        <v/>
      </c>
      <c r="L426" s="914"/>
      <c r="N426" s="919"/>
      <c r="O426" s="650"/>
      <c r="P426" s="939"/>
      <c r="Q426" s="650"/>
      <c r="T426" s="939"/>
    </row>
    <row r="427" spans="1:22" ht="16.5" customHeight="1">
      <c r="B427" s="645" t="s">
        <v>921</v>
      </c>
      <c r="C427" s="807">
        <f ca="1">_xlfn.XLOOKUP(H427,Eingabe!$EB$5:$EB$32,Eingabe!$CS$5:$CS$32,0,0,1)</f>
        <v>0</v>
      </c>
      <c r="D427" s="646" t="s">
        <v>469</v>
      </c>
      <c r="E427" s="751" t="str">
        <f>Sprachtexte!$A$123</f>
        <v>aus</v>
      </c>
      <c r="F427" s="751" t="str">
        <f ca="1">_xlfn.XLOOKUP(H427,Eingabe!$EB$5:$EB$32,Eingabe!$BS$5:$BS$32,0,0,1)</f>
        <v>LK 1</v>
      </c>
      <c r="G427" s="645" t="s">
        <v>638</v>
      </c>
      <c r="H427" s="866">
        <f ca="1">MAX(Eingabe!$EB$5:$EB$32)</f>
        <v>0</v>
      </c>
      <c r="I427" s="646"/>
    </row>
    <row r="428" spans="1:22" ht="16.5" customHeight="1">
      <c r="B428" s="645"/>
      <c r="C428" s="807"/>
      <c r="D428" s="646"/>
      <c r="E428" s="751"/>
      <c r="F428" s="751"/>
      <c r="G428" s="645"/>
      <c r="H428" s="866"/>
      <c r="I428" s="646"/>
    </row>
    <row r="429" spans="1:22" s="800" customFormat="1" ht="16.5" customHeight="1">
      <c r="A429" s="747" t="s">
        <v>896</v>
      </c>
      <c r="B429" s="585" t="str">
        <f>IF(Eingabe!$V$14=40,Sprachtexte!A143,IF(Eingabe!$V$14=41,Sprachtexte!A245,"FEHLER"))</f>
        <v>Momententragfähigkeit und Federsteifigkeit</v>
      </c>
      <c r="C429" s="585"/>
      <c r="D429" s="585"/>
      <c r="E429" s="585"/>
      <c r="F429" s="585"/>
      <c r="G429" s="585"/>
      <c r="H429" s="585"/>
      <c r="I429" s="585"/>
      <c r="J429" s="878"/>
      <c r="K429" s="801"/>
      <c r="L429" s="899"/>
      <c r="M429" s="650"/>
      <c r="N429" s="917"/>
      <c r="O429" s="646"/>
      <c r="P429" s="933"/>
      <c r="Q429" s="646"/>
      <c r="R429" s="942"/>
      <c r="S429" s="650"/>
      <c r="T429" s="934"/>
      <c r="U429" s="650"/>
      <c r="V429" s="929"/>
    </row>
    <row r="430" spans="1:22" s="800" customFormat="1" ht="16.5" customHeight="1">
      <c r="A430" s="750"/>
      <c r="B430" s="750"/>
      <c r="C430" s="750"/>
      <c r="D430" s="750"/>
      <c r="E430" s="750"/>
      <c r="F430" s="750"/>
      <c r="G430" s="750"/>
      <c r="H430" s="750"/>
      <c r="I430" s="750"/>
      <c r="J430" s="878"/>
      <c r="K430" s="801"/>
      <c r="L430" s="899"/>
      <c r="M430" s="650"/>
      <c r="N430" s="917"/>
      <c r="O430" s="646"/>
      <c r="P430" s="933"/>
      <c r="Q430" s="646"/>
      <c r="R430" s="942"/>
      <c r="S430" s="650"/>
      <c r="T430" s="934"/>
      <c r="U430" s="650"/>
      <c r="V430" s="929"/>
    </row>
    <row r="431" spans="1:22" ht="16.5" customHeight="1">
      <c r="A431" s="767" t="str">
        <f>Sprachtexte!$A$116</f>
        <v xml:space="preserve">Schrauben NT: α = 0° </v>
      </c>
      <c r="B431" s="781">
        <f>$C$54</f>
        <v>5</v>
      </c>
      <c r="C431" s="767" t="str">
        <f>$E$54</f>
        <v>SK 8x240</v>
      </c>
      <c r="D431" s="767"/>
      <c r="E431" s="767"/>
      <c r="F431" s="767" t="str">
        <f>HLOOKUP(Ausgabe!$E$54,MKW!$A$116:$AZ$143,2,FALSE)</f>
        <v>Knapp Vollgewindeschraube</v>
      </c>
      <c r="G431" s="767"/>
    </row>
    <row r="432" spans="1:22" ht="16.5" customHeight="1">
      <c r="A432" s="767" t="str">
        <f>Sprachtexte!$A$117</f>
        <v xml:space="preserve">Schrauben HT: α = 90° </v>
      </c>
      <c r="B432" s="781">
        <f>$C$52</f>
        <v>5</v>
      </c>
      <c r="C432" s="767" t="str">
        <f>$E$52</f>
        <v>SK 8x160</v>
      </c>
      <c r="D432" s="767"/>
      <c r="E432" s="767"/>
      <c r="F432" s="767" t="str">
        <f>HLOOKUP(Ausgabe!$E$52,MKW!$A$116:$AZ$143,2,FALSE)</f>
        <v>Knapp Vollgewindeschraube</v>
      </c>
      <c r="G432" s="767"/>
    </row>
    <row r="433" spans="1:22" ht="16.5" customHeight="1">
      <c r="A433" s="767"/>
      <c r="B433" s="781"/>
      <c r="C433" s="767"/>
      <c r="D433" s="767"/>
      <c r="E433" s="767"/>
      <c r="F433" s="767"/>
      <c r="G433" s="767"/>
    </row>
    <row r="434" spans="1:22" s="800" customFormat="1" ht="16.5" customHeight="1">
      <c r="A434" s="767" t="s">
        <v>2152</v>
      </c>
      <c r="B434" s="769" t="str">
        <f>IF(C639=Eingabe!BP21,B640,IF(C639=Eingabe!BP22,"-","FEHLER"))</f>
        <v>-</v>
      </c>
      <c r="C434" s="767"/>
      <c r="D434" s="767"/>
      <c r="E434" s="767"/>
      <c r="F434" s="767"/>
      <c r="G434" s="767"/>
      <c r="H434" s="750"/>
      <c r="I434" s="750"/>
      <c r="J434" s="878"/>
      <c r="K434" s="801"/>
      <c r="L434" s="899"/>
      <c r="M434" s="650"/>
      <c r="N434" s="917"/>
      <c r="O434" s="646"/>
      <c r="P434" s="933"/>
      <c r="Q434" s="646"/>
      <c r="R434" s="942"/>
      <c r="S434" s="650"/>
      <c r="T434" s="934"/>
      <c r="U434" s="650"/>
      <c r="V434" s="929"/>
    </row>
    <row r="435" spans="1:22" ht="16.5" customHeight="1">
      <c r="A435" s="767" t="s">
        <v>2153</v>
      </c>
      <c r="B435" s="769" t="str">
        <f>IF(C649=Eingabe!BP21,B650,IF(C649=Eingabe!BP22,"-","FEHLER"))</f>
        <v>-</v>
      </c>
      <c r="C435" s="767"/>
      <c r="D435" s="767"/>
      <c r="E435" s="767"/>
      <c r="F435" s="767"/>
      <c r="G435" s="767"/>
    </row>
    <row r="436" spans="1:22" ht="16.5" customHeight="1">
      <c r="A436" s="767"/>
      <c r="B436" s="781"/>
      <c r="C436" s="767"/>
      <c r="D436" s="767"/>
      <c r="E436" s="767"/>
      <c r="F436" s="767"/>
      <c r="G436" s="767"/>
    </row>
    <row r="437" spans="1:22" ht="16.5" customHeight="1">
      <c r="A437" s="1257" t="e">
        <f ca="1">IF(L437="unten",Sprachtexte!A256,IF(L437="oben",Sprachtexte!A255,"FEHLER"))</f>
        <v>#DIV/0!</v>
      </c>
      <c r="B437" s="781"/>
      <c r="C437" s="767"/>
      <c r="D437" s="767"/>
      <c r="E437" s="767"/>
      <c r="F437" s="767"/>
      <c r="G437" s="767"/>
      <c r="L437" s="899" t="e">
        <f ca="1">IF(Eingabe!$V$21=71,"unten",IF(Eingabe!$V$21=70,"oben","Fehler"))</f>
        <v>#DIV/0!</v>
      </c>
    </row>
    <row r="438" spans="1:22" ht="16.5" customHeight="1">
      <c r="A438" s="809" t="str">
        <f>Sprachtexte!A257</f>
        <v>Ausgabe der Zwischenwerte erfolgt nur für den maßgebenden Fall (Biegezug oben ODER Biegezug unten)</v>
      </c>
      <c r="B438" s="781"/>
      <c r="C438" s="767"/>
      <c r="D438" s="767"/>
      <c r="E438" s="767"/>
      <c r="F438" s="767"/>
      <c r="G438" s="767"/>
    </row>
    <row r="439" spans="1:22" ht="16.5" customHeight="1">
      <c r="A439" s="767"/>
      <c r="B439" s="781"/>
      <c r="C439" s="767"/>
      <c r="D439" s="767"/>
      <c r="E439" s="767"/>
      <c r="F439" s="767"/>
      <c r="G439" s="767"/>
    </row>
    <row r="440" spans="1:22" ht="16.5" customHeight="1">
      <c r="A440" s="767" t="str">
        <f>Sprachtexte!A114</f>
        <v>Nebenträger</v>
      </c>
      <c r="K440" s="801" t="str">
        <f t="shared" ref="K440" si="7">IF(AND(M440=O440, O440=Q440, Q440=S440, S440=U440),"",IF(AND(M440=O440, O440=Q440, Q440=S440, S440=U440,M440=""),"0","NT"))</f>
        <v/>
      </c>
      <c r="L440" s="1285" t="s">
        <v>1060</v>
      </c>
      <c r="N440" s="1285" t="s">
        <v>1061</v>
      </c>
    </row>
    <row r="441" spans="1:22" ht="16.5" customHeight="1">
      <c r="A441" s="645" t="str">
        <f>A731</f>
        <v>Breite Kontaktfläche</v>
      </c>
      <c r="B441" s="645" t="s">
        <v>495</v>
      </c>
      <c r="C441" s="808" t="e">
        <f ca="1">IF(Eingabe!$V$21=71,N441,IF(Eingabe!$V$21=70,L441,"FEHLER"))</f>
        <v>#DIV/0!</v>
      </c>
      <c r="D441" s="646" t="s">
        <v>2</v>
      </c>
      <c r="E441" s="646"/>
      <c r="F441" s="646"/>
      <c r="J441" s="1560" t="s">
        <v>2209</v>
      </c>
      <c r="K441" s="801" t="str">
        <f t="shared" ref="K441:K473" si="8">IF(AND(M441=O441, O441=Q441, Q441=S441, S441=U441,M441=""),"","NT")</f>
        <v/>
      </c>
      <c r="L441" s="1281">
        <f>IF(Eingabe!$V$14=40,Berechnung_BZoben!$C$13,IF(Eingabe!$V$14=41,Berechnung_BZoben!$C$13,"FEHLER"))</f>
        <v>60</v>
      </c>
      <c r="N441" s="1281">
        <f>IF(Eingabe!$V$14=40,Berechnung_BZunten!$C$13,IF(Eingabe!$V$14=41,Berechnung_BZunten!$C$13,"FEHLER"))</f>
        <v>60</v>
      </c>
    </row>
    <row r="442" spans="1:22" ht="16.5" customHeight="1">
      <c r="A442" s="645" t="str">
        <f>A732</f>
        <v>char. Druckfestigkeit</v>
      </c>
      <c r="B442" s="645" t="s">
        <v>2458</v>
      </c>
      <c r="C442" s="808" t="e">
        <f ca="1">IF(Eingabe!$V$21=71,N442,IF(Eingabe!$V$21=70,L442,"FEHLER"))</f>
        <v>#DIV/0!</v>
      </c>
      <c r="D442" s="646" t="s">
        <v>3</v>
      </c>
      <c r="E442" s="650" t="str">
        <f>HLOOKUP($F$23,MKW!$E$3:$BS$22,3,0)</f>
        <v>DIN EN 14080:2013-09, Tab. 5</v>
      </c>
      <c r="F442" s="646"/>
      <c r="J442" s="1560"/>
      <c r="K442" s="801" t="str">
        <f t="shared" si="8"/>
        <v/>
      </c>
      <c r="L442" s="1281">
        <f>IF(Eingabe!$V$14=40,Berechnung_BZoben!$U$25,IF(Eingabe!$V$14=41,Berechnung_BZoben!$AL$25,"FEHLER"))</f>
        <v>24</v>
      </c>
      <c r="N442" s="1281">
        <f>IF(Eingabe!$V$14=40,Berechnung_BZunten!$U$25,IF(Eingabe!$V$14=41,Berechnung_BZunten!$AL$25,"FEHLER"))</f>
        <v>24</v>
      </c>
    </row>
    <row r="443" spans="1:22" ht="16.5" customHeight="1">
      <c r="A443" s="645" t="str">
        <f>A733</f>
        <v>max. Druckbeitrag</v>
      </c>
      <c r="B443" s="645" t="s">
        <v>899</v>
      </c>
      <c r="C443" s="808" t="e">
        <f ca="1">IF(Eingabe!$V$21=71,N443,IF(Eingabe!$V$21=70,L443,"FEHLER"))</f>
        <v>#DIV/0!</v>
      </c>
      <c r="D443" s="646" t="s">
        <v>4</v>
      </c>
      <c r="E443" s="646" t="s">
        <v>502</v>
      </c>
      <c r="F443" s="646"/>
      <c r="K443" s="801" t="str">
        <f t="shared" si="8"/>
        <v/>
      </c>
      <c r="L443" s="1282">
        <f>IF(Eingabe!$V$14=40,Berechnung_BZoben!$U$26,IF(Eingabe!$V$14=41,Berechnung_BZoben!$AL$26,"FEHLER"))</f>
        <v>1440</v>
      </c>
      <c r="M443" s="646"/>
      <c r="N443" s="1282">
        <f>IF(Eingabe!$V$14=40,Berechnung_BZunten!$U$26,IF(Eingabe!$V$14=41,Berechnung_BZunten!$AL$26,"FEHLER"))</f>
        <v>1440</v>
      </c>
      <c r="S443" s="646"/>
      <c r="U443" s="646"/>
    </row>
    <row r="444" spans="1:22" ht="16.5" customHeight="1">
      <c r="A444" s="645" t="str">
        <f>A710</f>
        <v>Dimensionskoeffizient</v>
      </c>
      <c r="B444" s="645" t="s">
        <v>506</v>
      </c>
      <c r="C444" s="809">
        <f>IF(Eingabe!$V$17=50,Ausgabe!L444,IF(Eingabe!$V$17=51,Ausgabe!N444,IF(Eingabe!$V$17=52,Ausgabe!P444,IF(Eingabe!$V$17=53,Ausgabe!R444,IF(Eingabe!$V$17=54,Ausgabe!T444,"FEHLER")))))</f>
        <v>0.3</v>
      </c>
      <c r="D444" s="646" t="s">
        <v>124</v>
      </c>
      <c r="E444" s="650" t="s">
        <v>530</v>
      </c>
      <c r="F444" s="645"/>
      <c r="G444" s="645"/>
      <c r="H444" s="646"/>
      <c r="I444" s="645"/>
      <c r="K444" s="801" t="str">
        <f t="shared" ref="K444:K446" si="9">IF(AND(M444=O444, O444=Q444, Q444=S444, S444=U444,M444=""),"","NT")</f>
        <v>NT</v>
      </c>
      <c r="L444" s="914">
        <f>IF(AND(L164&gt;=0,L164&lt;45),0.3+0.7*L164/45,1)</f>
        <v>0.3</v>
      </c>
      <c r="M444" s="650" t="s">
        <v>530</v>
      </c>
      <c r="N444" s="919">
        <f>IF(AND(N164&gt;=0,N164&lt;45),0.3+0.7*N164/45,1)</f>
        <v>0.3</v>
      </c>
      <c r="O444" s="646" t="s">
        <v>523</v>
      </c>
      <c r="P444" s="936">
        <f>IF(AND(P164&gt;=0,P164&lt;45),0.3+0.7*P164/45,1)</f>
        <v>0.3</v>
      </c>
      <c r="Q444" s="646" t="s">
        <v>522</v>
      </c>
      <c r="R444" s="943">
        <f>IF(AND(R164&gt;=0,R164&lt;45),0.5+0.5*R164/45,1)</f>
        <v>0.5</v>
      </c>
      <c r="S444" s="650" t="s">
        <v>533</v>
      </c>
      <c r="T444" s="939">
        <f>IF(AND(T164&gt;=0,T164&lt;45),0.5+0.5*T164/45,1)</f>
        <v>0.5</v>
      </c>
      <c r="U444" s="650" t="s">
        <v>533</v>
      </c>
    </row>
    <row r="445" spans="1:22" ht="16.5" customHeight="1">
      <c r="A445" s="645"/>
      <c r="B445" s="645"/>
      <c r="C445" s="753"/>
      <c r="D445" s="646"/>
      <c r="E445" s="650" t="s">
        <v>579</v>
      </c>
      <c r="F445" s="645"/>
      <c r="G445" s="645"/>
      <c r="H445" s="646"/>
      <c r="I445" s="645"/>
      <c r="K445" s="801" t="str">
        <f t="shared" si="9"/>
        <v>NT</v>
      </c>
      <c r="L445" s="914"/>
      <c r="M445" s="650" t="s">
        <v>579</v>
      </c>
      <c r="N445" s="919"/>
      <c r="O445" s="646" t="s">
        <v>580</v>
      </c>
      <c r="P445" s="936"/>
      <c r="Q445" s="646" t="s">
        <v>580</v>
      </c>
      <c r="R445" s="943"/>
      <c r="S445" s="646" t="s">
        <v>580</v>
      </c>
      <c r="T445" s="939"/>
      <c r="U445" s="646" t="s">
        <v>580</v>
      </c>
    </row>
    <row r="446" spans="1:22" ht="16.5" customHeight="1">
      <c r="A446" s="645" t="str">
        <f>A711</f>
        <v>Koeffizient</v>
      </c>
      <c r="B446" s="645" t="s">
        <v>507</v>
      </c>
      <c r="C446" s="809" t="str">
        <f>IF(Eingabe!$V$17=50,Ausgabe!L446,IF(Eingabe!$V$17=51,Ausgabe!N446,IF(Eingabe!$V$17=52,Ausgabe!P446,IF(Eingabe!$V$17=53,Ausgabe!R446,IF(Eingabe!$V$17=54,Ausgabe!T446,"FEHLER")))))</f>
        <v>-</v>
      </c>
      <c r="D446" s="646" t="s">
        <v>124</v>
      </c>
      <c r="E446" s="650"/>
      <c r="F446" s="645"/>
      <c r="G446" s="645"/>
      <c r="H446" s="645"/>
      <c r="I446" s="645"/>
      <c r="K446" s="801" t="str">
        <f t="shared" si="9"/>
        <v>NT</v>
      </c>
      <c r="L446" s="899" t="s">
        <v>124</v>
      </c>
      <c r="N446" s="917">
        <v>1</v>
      </c>
      <c r="O446" s="646" t="s">
        <v>761</v>
      </c>
      <c r="P446" s="933">
        <v>1</v>
      </c>
      <c r="Q446" s="646" t="s">
        <v>761</v>
      </c>
      <c r="R446" s="943">
        <f>1.5*COS(RADIANS(R427))^2+SIN(RADIANS(R427))^2</f>
        <v>1.5</v>
      </c>
      <c r="S446" s="650" t="s">
        <v>762</v>
      </c>
      <c r="T446" s="939">
        <f>1.5*COS(RADIANS(T427))^2+SIN(RADIANS(T427))^2</f>
        <v>1.5</v>
      </c>
      <c r="U446" s="650" t="s">
        <v>762</v>
      </c>
    </row>
    <row r="447" spans="1:22" ht="16.5" customHeight="1">
      <c r="A447" s="645" t="str">
        <f>A709</f>
        <v>char. Ausziehparamter</v>
      </c>
      <c r="B447" s="645" t="s">
        <v>1904</v>
      </c>
      <c r="C447" s="809">
        <f ca="1">IF(Eingabe!$V$16=50,Ausgabe!L447,IF(Eingabe!$V$16=51,Ausgabe!N447,IF(Eingabe!$V$16=52,Ausgabe!P447,IF(Eingabe!$V$16=53,Ausgabe!R447,IF(Eingabe!$V$16=54,Ausgabe!T447,"FEHLER")))))</f>
        <v>3.7729769102469888</v>
      </c>
      <c r="D447" s="646" t="s">
        <v>3</v>
      </c>
      <c r="E447" s="805" t="s">
        <v>2150</v>
      </c>
      <c r="F447" s="646"/>
      <c r="G447" s="645"/>
      <c r="H447" s="646"/>
      <c r="K447" s="801" t="str">
        <f t="shared" si="8"/>
        <v>NT</v>
      </c>
      <c r="L447" s="914">
        <f ca="1">L169*L444</f>
        <v>3.7729769102469888</v>
      </c>
      <c r="M447" s="805" t="s">
        <v>2150</v>
      </c>
      <c r="N447" s="919">
        <f>N169*N444*(N168/350)^0.8</f>
        <v>3.5614601394863401</v>
      </c>
      <c r="O447" s="804" t="s">
        <v>953</v>
      </c>
      <c r="P447" s="936">
        <f>P169*P444*(P168/350)^0.8</f>
        <v>3.5614601394863401</v>
      </c>
      <c r="Q447" s="804" t="s">
        <v>956</v>
      </c>
      <c r="R447" s="943">
        <f>R169*R444/R446*(R168/730)^0.8</f>
        <v>6.9928962541310318</v>
      </c>
      <c r="S447" s="804" t="s">
        <v>954</v>
      </c>
      <c r="T447" s="939">
        <f>T169*T444/T446*(T168/350)^0.8</f>
        <v>3.9571779327625998</v>
      </c>
      <c r="U447" s="804" t="s">
        <v>955</v>
      </c>
    </row>
    <row r="448" spans="1:22" ht="16.5" customHeight="1">
      <c r="A448" s="645"/>
      <c r="B448" s="645"/>
      <c r="C448" s="809"/>
      <c r="D448" s="646"/>
      <c r="E448" s="646" t="s">
        <v>2151</v>
      </c>
      <c r="F448" s="646"/>
      <c r="G448" s="645"/>
      <c r="H448" s="646"/>
      <c r="L448" s="914"/>
      <c r="M448" s="805"/>
      <c r="N448" s="919"/>
      <c r="O448" s="804"/>
      <c r="P448" s="936"/>
      <c r="Q448" s="804"/>
      <c r="R448" s="943"/>
      <c r="S448" s="804"/>
      <c r="T448" s="939"/>
      <c r="U448" s="804"/>
    </row>
    <row r="449" spans="1:22" ht="16.5" customHeight="1">
      <c r="A449" s="646" t="str">
        <f>Sprachtexte!A144</f>
        <v>Ermittlung Drehpunkt x nach ETA-15/0667</v>
      </c>
      <c r="C449" s="808"/>
      <c r="D449" s="646"/>
      <c r="F449" s="646"/>
      <c r="K449" s="801" t="str">
        <f t="shared" si="8"/>
        <v/>
      </c>
      <c r="L449" s="1283"/>
      <c r="N449" s="1283"/>
    </row>
    <row r="450" spans="1:22" ht="16.5" customHeight="1">
      <c r="A450" s="645" t="str">
        <f>A706</f>
        <v>Anzahl VM</v>
      </c>
      <c r="B450" s="645" t="s">
        <v>10</v>
      </c>
      <c r="C450" s="808" t="e">
        <f ca="1">IF(Eingabe!$V$21=71,N450,IF(Eingabe!$V$21=70,L450,"FEHLER"))</f>
        <v>#DIV/0!</v>
      </c>
      <c r="D450" s="646" t="s">
        <v>124</v>
      </c>
      <c r="E450" s="646" t="str">
        <f>Sprachtexte!A146</f>
        <v>Anzahl der auf Zug beanspruchten Schrauben</v>
      </c>
      <c r="K450" s="801" t="str">
        <f t="shared" si="8"/>
        <v/>
      </c>
      <c r="L450" s="1282">
        <f ca="1">IF(Eingabe!$V$14=40,Berechnung_BZoben!$U$33,IF(Eingabe!$V$14=41,Berechnung_BZoben!$AL$33,"FEHLER"))</f>
        <v>5</v>
      </c>
      <c r="N450" s="1282">
        <f ca="1">IF(Eingabe!$V$14=40,Berechnung_BZunten!$U$33,IF(Eingabe!$V$14=41,Berechnung_BZunten!$AL$33,"FEHLER"))</f>
        <v>3</v>
      </c>
    </row>
    <row r="451" spans="1:22" s="647" customFormat="1" ht="16.5" customHeight="1">
      <c r="A451" s="645"/>
      <c r="B451" s="645" t="s">
        <v>2049</v>
      </c>
      <c r="C451" s="808" t="e">
        <f ca="1">IF(Eingabe!$V$21=71,N451,IF(Eingabe!$V$21=70,L451,"FEHLER"))</f>
        <v>#DIV/0!</v>
      </c>
      <c r="D451" s="646" t="s">
        <v>2</v>
      </c>
      <c r="E451" s="1520" t="str">
        <f>Sprachtexte!A147</f>
        <v>max. Abstand aller Zugschrauben zur Verbinderoberkante</v>
      </c>
      <c r="F451" s="1520"/>
      <c r="G451" s="1520"/>
      <c r="H451" s="1520"/>
      <c r="I451" s="1520"/>
      <c r="J451" s="877"/>
      <c r="K451" s="801" t="str">
        <f t="shared" si="8"/>
        <v/>
      </c>
      <c r="L451" s="1282">
        <f ca="1">IF(Eingabe!$V$14=40,Berechnung_BZoben!$U$34,IF(Eingabe!$V$14=41,Berechnung_BZoben!$AL$34,"FEHLER"))</f>
        <v>300</v>
      </c>
      <c r="M451" s="650"/>
      <c r="N451" s="1282">
        <f ca="1">IF(Eingabe!$V$14=40,Berechnung_BZunten!$U$34,IF(Eingabe!$V$14=41,Berechnung_BZunten!$AL$34,"FEHLER"))</f>
        <v>250</v>
      </c>
      <c r="O451" s="646"/>
      <c r="P451" s="933"/>
      <c r="Q451" s="646"/>
      <c r="R451" s="942"/>
      <c r="S451" s="650"/>
      <c r="T451" s="934"/>
      <c r="U451" s="650"/>
      <c r="V451" s="928"/>
    </row>
    <row r="452" spans="1:22" s="647" customFormat="1" ht="12.95" customHeight="1">
      <c r="A452" s="645"/>
      <c r="B452" s="645"/>
      <c r="C452" s="808"/>
      <c r="D452" s="646"/>
      <c r="E452" s="1520"/>
      <c r="F452" s="1520"/>
      <c r="G452" s="1520"/>
      <c r="H452" s="1520"/>
      <c r="I452" s="1520"/>
      <c r="J452" s="877"/>
      <c r="K452" s="801"/>
      <c r="L452" s="1282"/>
      <c r="M452" s="650"/>
      <c r="N452" s="1282"/>
      <c r="O452" s="646"/>
      <c r="P452" s="933"/>
      <c r="Q452" s="646"/>
      <c r="R452" s="942"/>
      <c r="S452" s="650"/>
      <c r="T452" s="934"/>
      <c r="U452" s="650"/>
      <c r="V452" s="928"/>
    </row>
    <row r="453" spans="1:22" ht="16.5" customHeight="1">
      <c r="A453" s="645"/>
      <c r="B453" s="645" t="s">
        <v>2459</v>
      </c>
      <c r="C453" s="809" t="e">
        <f ca="1">IF(Eingabe!$V$21=71,N453,IF(Eingabe!$V$21=70,L453,"FEHLER"))</f>
        <v>#DIV/0!</v>
      </c>
      <c r="D453" s="646" t="s">
        <v>2</v>
      </c>
      <c r="E453" s="646" t="str">
        <f>Sprachtexte!A148</f>
        <v>Verschiebung der äußersten Zugschraube</v>
      </c>
      <c r="K453" s="801" t="str">
        <f>IF(AND(M453=O453, O453=Q453, Q453=S453, S453=U453,M453=""),"","NT")</f>
        <v/>
      </c>
      <c r="L453" s="1283">
        <f ca="1">IF(Eingabe!$V$14=40,Berechnung_BZoben!$U$35,IF(Eingabe!$V$14=41,Berechnung_BZoben!$AL$35,"FEHLER"))</f>
        <v>0.75</v>
      </c>
      <c r="N453" s="1283">
        <f ca="1">IF(Eingabe!$V$14=40,Berechnung_BZunten!$U$35,IF(Eingabe!$V$14=41,Berechnung_BZunten!$AL$35,"FEHLER"))</f>
        <v>0.75</v>
      </c>
    </row>
    <row r="454" spans="1:22" s="647" customFormat="1" ht="16.5" customHeight="1">
      <c r="A454" s="645"/>
      <c r="B454" s="645" t="s">
        <v>2460</v>
      </c>
      <c r="C454" s="808" t="e">
        <f ca="1">IF(Eingabe!$V$21=71,N454,IF(Eingabe!$V$21=70,L454,"FEHLER"))</f>
        <v>#DIV/0!</v>
      </c>
      <c r="D454" s="646" t="s">
        <v>5</v>
      </c>
      <c r="E454" s="753" t="str">
        <f>Sprachtexte!A149</f>
        <v>max. Schraubenzugkraft aller Zugschrauben</v>
      </c>
      <c r="F454" s="753"/>
      <c r="G454" s="753"/>
      <c r="H454" s="753"/>
      <c r="I454" s="753"/>
      <c r="J454" s="877"/>
      <c r="K454" s="801" t="str">
        <f>IF(AND(M454=O454, O454=Q454, Q454=S454, S454=U454,M454=""),"","NT")</f>
        <v/>
      </c>
      <c r="L454" s="1282">
        <f ca="1">IF(Eingabe!$V$14=40,Berechnung_BZoben!$U$36,IF(Eingabe!$V$14=41,Berechnung_BZoben!$AL$36,"FEHLER"))</f>
        <v>6036.7630563951825</v>
      </c>
      <c r="M454" s="650"/>
      <c r="N454" s="1282">
        <f ca="1">IF(Eingabe!$V$14=40,Berechnung_BZunten!$U$36,IF(Eingabe!$V$14=41,Berechnung_BZunten!$AL$36,"FEHLER"))</f>
        <v>6746.0827155216157</v>
      </c>
      <c r="O454" s="646"/>
      <c r="P454" s="933"/>
      <c r="Q454" s="646"/>
      <c r="R454" s="942"/>
      <c r="S454" s="650"/>
      <c r="T454" s="934"/>
      <c r="U454" s="650"/>
      <c r="V454" s="928"/>
    </row>
    <row r="455" spans="1:22" s="647" customFormat="1" ht="16.5" customHeight="1">
      <c r="A455" s="645"/>
      <c r="B455" s="749" t="s">
        <v>2461</v>
      </c>
      <c r="C455" s="808" t="e">
        <f ca="1">IF(Eingabe!$V$21=71,N455,IF(Eingabe!$V$21=70,L455,"FEHLER"))</f>
        <v>#DIV/0!</v>
      </c>
      <c r="D455" s="646" t="s">
        <v>2</v>
      </c>
      <c r="E455" s="1520" t="str">
        <f>Sprachtexte!A150</f>
        <v>Summe der Abstände der einzelnen Zugschrauben zur Verbinderoberkante</v>
      </c>
      <c r="F455" s="1520"/>
      <c r="G455" s="1520"/>
      <c r="H455" s="1520"/>
      <c r="I455" s="1520"/>
      <c r="J455" s="877"/>
      <c r="K455" s="801" t="str">
        <f t="shared" si="8"/>
        <v/>
      </c>
      <c r="L455" s="1282">
        <f ca="1">IF(Eingabe!$V$14=40,Berechnung_BZoben!$U$37,IF(Eingabe!$V$14=41,Berechnung_BZoben!$AL$37,"FEHLER"))</f>
        <v>970</v>
      </c>
      <c r="M455" s="650"/>
      <c r="N455" s="1282">
        <f ca="1">IF(Eingabe!$V$14=40,Berechnung_BZunten!$U$37,IF(Eingabe!$V$14=41,Berechnung_BZunten!$AL$37,"FEHLER"))</f>
        <v>560</v>
      </c>
      <c r="O455" s="646"/>
      <c r="P455" s="933"/>
      <c r="Q455" s="646"/>
      <c r="R455" s="942"/>
      <c r="S455" s="650"/>
      <c r="T455" s="934"/>
      <c r="U455" s="650"/>
      <c r="V455" s="928"/>
    </row>
    <row r="456" spans="1:22" s="647" customFormat="1" ht="16.5" customHeight="1">
      <c r="A456" s="645"/>
      <c r="B456" s="749"/>
      <c r="C456" s="808"/>
      <c r="D456" s="646"/>
      <c r="E456" s="1520"/>
      <c r="F456" s="1520"/>
      <c r="G456" s="1520"/>
      <c r="H456" s="1520"/>
      <c r="I456" s="1520"/>
      <c r="J456" s="877"/>
      <c r="K456" s="801"/>
      <c r="L456" s="1283"/>
      <c r="M456" s="650"/>
      <c r="N456" s="1283"/>
      <c r="O456" s="646"/>
      <c r="P456" s="933"/>
      <c r="Q456" s="646"/>
      <c r="R456" s="942"/>
      <c r="S456" s="650"/>
      <c r="T456" s="934"/>
      <c r="U456" s="650"/>
      <c r="V456" s="928"/>
    </row>
    <row r="457" spans="1:22" s="647" customFormat="1" ht="16.5" customHeight="1">
      <c r="A457" s="645"/>
      <c r="B457" s="645" t="s">
        <v>275</v>
      </c>
      <c r="C457" s="807" t="e">
        <f ca="1">IF(Eingabe!$V$21=71,N457,IF(Eingabe!$V$21=70,L457,"FEHLER"))</f>
        <v>#DIV/0!</v>
      </c>
      <c r="D457" s="646"/>
      <c r="E457" s="677"/>
      <c r="F457" s="677"/>
      <c r="G457" s="677"/>
      <c r="H457" s="677"/>
      <c r="I457" s="677"/>
      <c r="J457" s="877"/>
      <c r="K457" s="801"/>
      <c r="L457" s="1282">
        <f>IF(Eingabe!$V$14=40,0,IF(Eingabe!$V$14=41,Berechnung_BZoben!$AL$38,"FEHLER"))</f>
        <v>0</v>
      </c>
      <c r="M457" s="650"/>
      <c r="N457" s="1282">
        <f>IF(Eingabe!$V$14=40,0,IF(Eingabe!$V$14=41,Berechnung_BZunten!$AL$38,"FEHLER"))</f>
        <v>0</v>
      </c>
      <c r="O457" s="646"/>
      <c r="P457" s="933"/>
      <c r="Q457" s="646"/>
      <c r="R457" s="942"/>
      <c r="S457" s="650"/>
      <c r="T457" s="934"/>
      <c r="U457" s="650"/>
      <c r="V457" s="928"/>
    </row>
    <row r="458" spans="1:22" s="647" customFormat="1" ht="16.5" customHeight="1">
      <c r="A458" s="645"/>
      <c r="B458" s="645" t="s">
        <v>1804</v>
      </c>
      <c r="C458" s="807" t="e">
        <f ca="1">IF(Eingabe!$V$21=71,N458,IF(Eingabe!$V$21=70,L458,"FEHLER"))</f>
        <v>#DIV/0!</v>
      </c>
      <c r="D458" s="646" t="s">
        <v>2</v>
      </c>
      <c r="E458" s="805" t="s">
        <v>2159</v>
      </c>
      <c r="F458" s="677"/>
      <c r="G458" s="677"/>
      <c r="H458" s="677"/>
      <c r="I458" s="677"/>
      <c r="J458" s="877"/>
      <c r="K458" s="801"/>
      <c r="L458" s="1282">
        <f>IF(Eingabe!$V$14=40,0,IF(Eingabe!$V$14=41,Berechnung_BZoben!$AL$39,"FEHLER"))</f>
        <v>0</v>
      </c>
      <c r="M458" s="650"/>
      <c r="N458" s="1282">
        <f>IF(Eingabe!$V$14=40,0,IF(Eingabe!$V$14=41,Berechnung_BZunten!$AL$39,"FEHLER"))</f>
        <v>0</v>
      </c>
      <c r="O458" s="646"/>
      <c r="P458" s="933"/>
      <c r="Q458" s="646"/>
      <c r="R458" s="942"/>
      <c r="S458" s="650"/>
      <c r="T458" s="934"/>
      <c r="U458" s="650"/>
      <c r="V458" s="928"/>
    </row>
    <row r="459" spans="1:22" s="647" customFormat="1" ht="16.5" customHeight="1">
      <c r="A459" s="645"/>
      <c r="B459" s="645" t="s">
        <v>1805</v>
      </c>
      <c r="C459" s="807" t="e">
        <f ca="1">IF(Eingabe!$V$21=71,N459,IF(Eingabe!$V$21=70,L459,"FEHLER"))</f>
        <v>#DIV/0!</v>
      </c>
      <c r="D459" s="646" t="s">
        <v>4</v>
      </c>
      <c r="E459" s="805" t="s">
        <v>2160</v>
      </c>
      <c r="F459" s="677"/>
      <c r="G459" s="677"/>
      <c r="H459" s="677"/>
      <c r="I459" s="677"/>
      <c r="J459" s="877"/>
      <c r="K459" s="801"/>
      <c r="L459" s="1282">
        <f>IF(Eingabe!$V$14=40,0,IF(Eingabe!$V$14=41,Berechnung_BZoben!$AL$40,"FEHLER"))</f>
        <v>0</v>
      </c>
      <c r="M459" s="650"/>
      <c r="N459" s="1282">
        <f>IF(Eingabe!$V$14=40,0,IF(Eingabe!$V$14=41,Berechnung_BZunten!$AL$40,"FEHLER"))</f>
        <v>0</v>
      </c>
      <c r="O459" s="646"/>
      <c r="P459" s="933"/>
      <c r="Q459" s="646"/>
      <c r="R459" s="942"/>
      <c r="S459" s="650"/>
      <c r="T459" s="934"/>
      <c r="U459" s="650"/>
      <c r="V459" s="928"/>
    </row>
    <row r="460" spans="1:22" ht="16.5" customHeight="1">
      <c r="A460" s="645"/>
      <c r="B460" s="645" t="s">
        <v>900</v>
      </c>
      <c r="C460" s="809" t="e">
        <f ca="1">IF(Eingabe!$V$21=71,N460,IF(Eingabe!$V$21=70,L460,"FEHLER"))</f>
        <v>#DIV/0!</v>
      </c>
      <c r="D460" s="646" t="s">
        <v>124</v>
      </c>
      <c r="E460" s="1520" t="s">
        <v>901</v>
      </c>
      <c r="F460" s="1520"/>
      <c r="G460" s="1520"/>
      <c r="H460" s="1520"/>
      <c r="I460" s="1520"/>
      <c r="K460" s="801" t="str">
        <f t="shared" si="8"/>
        <v/>
      </c>
      <c r="L460" s="1283">
        <f ca="1">IF(Eingabe!$V$14=40,Berechnung_BZoben!$U$38,IF(Eingabe!$V$14=41,Berechnung_BZoben!$AL$41,"FEHLER"))</f>
        <v>1.044856644505165</v>
      </c>
      <c r="N460" s="1283">
        <f ca="1">IF(Eingabe!$V$14=40,Berechnung_BZunten!$U$38,IF(Eingabe!$V$14=41,Berechnung_BZunten!$AL$41,"FEHLER"))</f>
        <v>1.0060399448709783</v>
      </c>
    </row>
    <row r="461" spans="1:22" ht="16.5" customHeight="1">
      <c r="A461" s="645"/>
      <c r="B461" s="645"/>
      <c r="C461" s="808"/>
      <c r="D461" s="646"/>
      <c r="E461" s="1520"/>
      <c r="F461" s="1520"/>
      <c r="G461" s="1520"/>
      <c r="H461" s="1520"/>
      <c r="I461" s="1520"/>
      <c r="L461" s="1283"/>
      <c r="N461" s="1283"/>
    </row>
    <row r="462" spans="1:22" ht="16.5" customHeight="1">
      <c r="A462" s="645"/>
      <c r="B462" s="645" t="s">
        <v>2462</v>
      </c>
      <c r="C462" s="808" t="e">
        <f ca="1">IF(Eingabe!$V$21=71,N462,IF(Eingabe!$V$21=70,L462,"FEHLER"))</f>
        <v>#DIV/0!</v>
      </c>
      <c r="D462" s="646" t="s">
        <v>469</v>
      </c>
      <c r="E462" s="1520" t="str">
        <f>Sprachtexte!A254</f>
        <v>char. Tragfähigkeit der Verstärkungselemente in der Druckzone</v>
      </c>
      <c r="F462" s="1520"/>
      <c r="G462" s="1520"/>
      <c r="H462" s="1520"/>
      <c r="I462" s="1520"/>
      <c r="L462" s="1283" t="str">
        <f>IF(Eingabe!$V$14=40,"-",IF(Eingabe!$V$14=41,Berechnung_BZoben!$AL$30,"FEHLER"))</f>
        <v>-</v>
      </c>
      <c r="N462" s="1283" t="str">
        <f>IF(Eingabe!$V$14=40,"-",IF(Eingabe!$V$14=41,Berechnung_BZunten!$AL$30,"FEHLER"))</f>
        <v>-</v>
      </c>
    </row>
    <row r="463" spans="1:22" ht="16.5" customHeight="1">
      <c r="A463" s="645"/>
      <c r="B463" s="645"/>
      <c r="C463" s="808"/>
      <c r="D463" s="646"/>
      <c r="E463" s="1520"/>
      <c r="F463" s="1520"/>
      <c r="G463" s="1520"/>
      <c r="H463" s="1520"/>
      <c r="I463" s="1520"/>
      <c r="L463" s="1283"/>
      <c r="N463" s="1283"/>
    </row>
    <row r="464" spans="1:22" ht="16.5" customHeight="1">
      <c r="A464" s="645"/>
      <c r="B464" s="645" t="s">
        <v>2161</v>
      </c>
      <c r="C464" s="808" t="e">
        <f ca="1">IF(Eingabe!$V$21=71,N464,IF(Eingabe!$V$21=70,L464,"FEHLER"))</f>
        <v>#DIV/0!</v>
      </c>
      <c r="D464" s="646" t="s">
        <v>2</v>
      </c>
      <c r="E464" s="805" t="s">
        <v>2163</v>
      </c>
      <c r="F464" s="677"/>
      <c r="G464" s="677"/>
      <c r="H464" s="677"/>
      <c r="I464" s="677"/>
      <c r="L464" s="1282">
        <f ca="1">IF(Eingabe!$V$14=40,Berechnung_BZoben!$Y$37,IF(Eingabe!$V$14=41,Berechnung_BZoben!$AP$37,"FEHLER"))</f>
        <v>171.90122219020074</v>
      </c>
      <c r="N464" s="1282">
        <f ca="1">IF(Eingabe!$V$14=40,Berechnung_BZunten!$Y$37,IF(Eingabe!$V$14=41,Berechnung_BZunten!$AP$37,"FEHLER"))</f>
        <v>139.13922642337172</v>
      </c>
    </row>
    <row r="465" spans="1:14" ht="16.5" customHeight="1">
      <c r="A465" s="645"/>
      <c r="B465" s="645" t="s">
        <v>2162</v>
      </c>
      <c r="C465" s="808" t="e">
        <f ca="1">IF(Eingabe!$V$21=71,N465,IF(Eingabe!$V$21=70,L465,"FEHLER"))</f>
        <v>#DIV/0!</v>
      </c>
      <c r="D465" s="646" t="s">
        <v>2</v>
      </c>
      <c r="E465" s="805" t="s">
        <v>2164</v>
      </c>
      <c r="F465" s="677"/>
      <c r="G465" s="677"/>
      <c r="H465" s="677"/>
      <c r="I465" s="677"/>
      <c r="L465" s="1282">
        <f ca="1">IF(Eingabe!$V$14=40,Berechnung_BZoben!$Y$38,IF(Eingabe!$V$14=41,Berechnung_BZoben!$AP$38,"FEHLER"))</f>
        <v>-8497.6742097978895</v>
      </c>
      <c r="N465" s="1282">
        <f ca="1">IF(Eingabe!$V$14=40,Berechnung_BZunten!$Y$38,IF(Eingabe!$V$14=41,Berechnung_BZunten!$AP$38,"FEHLER"))</f>
        <v>-5278.6445313921085</v>
      </c>
    </row>
    <row r="466" spans="1:14" ht="16.5" customHeight="1">
      <c r="A466" s="645"/>
      <c r="B466" s="645" t="s">
        <v>2463</v>
      </c>
      <c r="C466" s="808" t="e">
        <f ca="1">IF(Eingabe!$V$21=71,N466,IF(Eingabe!$V$21=70,L466,"FEHLER"))</f>
        <v>#DIV/0!</v>
      </c>
      <c r="D466" s="646" t="s">
        <v>2</v>
      </c>
      <c r="E466" s="1520" t="s">
        <v>932</v>
      </c>
      <c r="F466" s="1520"/>
      <c r="G466" s="1520"/>
      <c r="H466" s="1520"/>
      <c r="I466" s="1520"/>
      <c r="K466" s="801" t="str">
        <f t="shared" si="8"/>
        <v/>
      </c>
      <c r="L466" s="1281">
        <f ca="1">IF(Eingabe!$V$14=40,Berechnung_BZoben!$U$39,IF(Eingabe!$V$14=41,Berechnung_BZoben!$AL$42,"FEHLER"))</f>
        <v>26.806921886271255</v>
      </c>
      <c r="M466" s="742"/>
      <c r="N466" s="1281">
        <f ca="1">IF(Eingabe!$V$14=40,Berechnung_BZunten!$U$39,IF(Eingabe!$V$14=41,Berechnung_BZunten!$AL$42,"FEHLER"))</f>
        <v>20.475500717905206</v>
      </c>
    </row>
    <row r="467" spans="1:14" ht="16.5" customHeight="1">
      <c r="A467" s="645"/>
      <c r="B467" s="645"/>
      <c r="C467" s="808"/>
      <c r="D467" s="646"/>
      <c r="E467" s="1520"/>
      <c r="F467" s="1520"/>
      <c r="G467" s="1520"/>
      <c r="H467" s="1520"/>
      <c r="I467" s="1520"/>
      <c r="L467" s="1283"/>
      <c r="M467" s="742"/>
      <c r="N467" s="1283"/>
    </row>
    <row r="468" spans="1:14" ht="16.5" customHeight="1">
      <c r="A468" s="645"/>
      <c r="B468" s="645" t="s">
        <v>2205</v>
      </c>
      <c r="C468" s="807" t="e">
        <f ca="1">IF(Eingabe!$V$21=71,N468,IF(Eingabe!$V$21=70,L468,"FEHLER"))</f>
        <v>#DIV/0!</v>
      </c>
      <c r="D468" s="646" t="s">
        <v>2</v>
      </c>
      <c r="E468" s="1520" t="str">
        <f>Sprachtexte!A258</f>
        <v>Abstand des am weitesten entfernten Verstärkungselements zum Rotationszentrum</v>
      </c>
      <c r="F468" s="1520"/>
      <c r="G468" s="1520"/>
      <c r="H468" s="1520"/>
      <c r="I468" s="1520"/>
      <c r="L468" s="1282">
        <f>Berechnung_BZoben!$AE$316</f>
        <v>0</v>
      </c>
      <c r="M468" s="742"/>
      <c r="N468" s="1282">
        <f>Berechnung_BZunten!$AE$316</f>
        <v>0</v>
      </c>
    </row>
    <row r="469" spans="1:14" ht="16.5" customHeight="1">
      <c r="A469" s="645"/>
      <c r="B469" s="645"/>
      <c r="C469" s="808"/>
      <c r="D469" s="646"/>
      <c r="E469" s="1520"/>
      <c r="F469" s="1520"/>
      <c r="G469" s="1520"/>
      <c r="H469" s="1520"/>
      <c r="I469" s="1520"/>
      <c r="L469" s="1283"/>
      <c r="M469" s="742"/>
      <c r="N469" s="1283"/>
    </row>
    <row r="470" spans="1:14" ht="16.5" customHeight="1">
      <c r="A470" s="645"/>
      <c r="B470" s="645" t="s">
        <v>501</v>
      </c>
      <c r="C470" s="808" t="e">
        <f ca="1">IF(Eingabe!$V$21=71,N470,IF(Eingabe!$V$21=70,L470,"FEHLER"))</f>
        <v>#DIV/0!</v>
      </c>
      <c r="D470" s="646" t="s">
        <v>2</v>
      </c>
      <c r="E470" s="1520" t="str">
        <f>Sprachtexte!A151</f>
        <v>Abstand der am weitesten entfernten Schraube zum Rotationszentrum</v>
      </c>
      <c r="F470" s="1520"/>
      <c r="G470" s="1520"/>
      <c r="H470" s="1520"/>
      <c r="I470" s="1520"/>
      <c r="K470" s="801" t="str">
        <f t="shared" si="8"/>
        <v/>
      </c>
      <c r="L470" s="1282">
        <f ca="1">IF(Eingabe!$V$14=40,MAX(Berechnung_BZoben!$N$233:$N$306),IF(Eingabe!$V$14=41,MAX(Berechnung_BZoben!$AE$233:$AE$306),"FEHLER"))</f>
        <v>274.94363937632806</v>
      </c>
      <c r="N470" s="1282">
        <f ca="1">IF(Eingabe!$V$14=40,MAX(Berechnung_BZunten!$N$233:$N$306),IF(Eingabe!$V$14=41,MAX(Berechnung_BZunten!$AE$233:$AE$306),"FEHLER"))</f>
        <v>229.96194482990987</v>
      </c>
    </row>
    <row r="471" spans="1:14" ht="16.5" customHeight="1">
      <c r="A471" s="645"/>
      <c r="B471" s="645"/>
      <c r="C471" s="808"/>
      <c r="D471" s="646"/>
      <c r="E471" s="1520"/>
      <c r="F471" s="1520"/>
      <c r="G471" s="1520"/>
      <c r="H471" s="1520"/>
      <c r="I471" s="1520"/>
      <c r="L471" s="1282"/>
      <c r="N471" s="1282"/>
    </row>
    <row r="472" spans="1:14" ht="16.5" customHeight="1">
      <c r="A472" s="645" t="str">
        <f>A713</f>
        <v>char. Tragfähigkeit</v>
      </c>
      <c r="B472" s="645" t="s">
        <v>935</v>
      </c>
      <c r="C472" s="809" t="e">
        <f ca="1">IF(Eingabe!$V$21=71,N472,IF(Eingabe!$V$21=70,L472,"FEHLER"))</f>
        <v>#DIV/0!</v>
      </c>
      <c r="D472" s="646" t="s">
        <v>496</v>
      </c>
      <c r="E472" s="805" t="s">
        <v>2170</v>
      </c>
      <c r="F472" s="646"/>
      <c r="K472" s="801" t="str">
        <f t="shared" si="8"/>
        <v/>
      </c>
      <c r="L472" s="1283">
        <f ca="1">IF(Eingabe!$V$14=40,Berechnung_BZoben!$O$5,IF(Eingabe!$V$14=41,Berechnung_BZoben!$AM$5,"FEHLER"))</f>
        <v>4.847242517186606</v>
      </c>
      <c r="N472" s="1283">
        <f ca="1">IF(Eingabe!$V$14=40,Berechnung_BZunten!$O$5,IF(Eingabe!$V$14=41,Berechnung_BZunten!$AM$5,"FEHLER"))</f>
        <v>3.2533509382656476</v>
      </c>
    </row>
    <row r="473" spans="1:14" ht="16.5" customHeight="1">
      <c r="A473" s="645" t="str">
        <f>A735</f>
        <v>Drehfedersteifigkeit</v>
      </c>
      <c r="B473" s="645" t="s">
        <v>913</v>
      </c>
      <c r="C473" s="808" t="e">
        <f ca="1">IF(Eingabe!$V$21=71,N473,IF(Eingabe!$V$21=70,L473,"FEHLER"))</f>
        <v>#DIV/0!</v>
      </c>
      <c r="D473" s="646" t="s">
        <v>494</v>
      </c>
      <c r="E473" s="646" t="str">
        <f>Sprachtexte!A152</f>
        <v>für Biegezug oben</v>
      </c>
      <c r="K473" s="801" t="str">
        <f t="shared" si="8"/>
        <v/>
      </c>
      <c r="L473" s="1282">
        <f ca="1">IF(Eingabe!$V$14=40,Berechnung_BZoben!$R$7,IF(Eingabe!$V$14=41,Berechnung_BZoben!$AP$8,"FEHLER"))</f>
        <v>2665.4369972299173</v>
      </c>
      <c r="N473" s="1282">
        <f ca="1">IF(Eingabe!$V$14=40,Berechnung_BZoben!$R$7,IF(Eingabe!$V$14=41,Berechnung_BZoben!$AP$8,"FEHLER"))</f>
        <v>2665.4369972299173</v>
      </c>
    </row>
    <row r="474" spans="1:14" ht="16.5" customHeight="1">
      <c r="A474" s="645"/>
      <c r="B474" s="645" t="s">
        <v>913</v>
      </c>
      <c r="C474" s="808" t="e">
        <f ca="1">IF(Eingabe!$V$21=71,N474,IF(Eingabe!$V$21=70,L474,"FEHLER"))</f>
        <v>#DIV/0!</v>
      </c>
      <c r="D474" s="646" t="s">
        <v>494</v>
      </c>
      <c r="E474" s="646" t="str">
        <f>Sprachtexte!A153</f>
        <v>für Biegezug unten</v>
      </c>
      <c r="L474" s="1282">
        <f ca="1">IF(Eingabe!$V$14=40,Berechnung_BZunten!$R$7,IF(Eingabe!$V$14=41,Berechnung_BZunten!$AP$8,"FEHLER"))</f>
        <v>1496.2938179555611</v>
      </c>
      <c r="N474" s="1282">
        <f ca="1">IF(Eingabe!$V$14=40,Berechnung_BZunten!$R$7,IF(Eingabe!$V$14=41,Berechnung_BZunten!$AP$8,"FEHLER"))</f>
        <v>1496.2938179555611</v>
      </c>
    </row>
    <row r="475" spans="1:14" ht="16.5" customHeight="1">
      <c r="A475" s="645"/>
      <c r="B475" s="645"/>
      <c r="C475" s="808"/>
      <c r="D475" s="646"/>
      <c r="F475" s="646"/>
      <c r="L475" s="1283"/>
      <c r="N475" s="1283"/>
    </row>
    <row r="476" spans="1:14" ht="16.5" customHeight="1">
      <c r="A476" s="767" t="str">
        <f>IF(Eingabe!C28=Eingabe!BL27,Sprachtexte!A112,IF(Eingabe!C28=Eingabe!BL28,Sprachtexte!A113,NA()))</f>
        <v>Hauptträger</v>
      </c>
      <c r="C476" s="808"/>
      <c r="D476" s="646"/>
      <c r="F476" s="646"/>
      <c r="K476" s="801" t="str">
        <f t="shared" ref="K476:K516" si="10">IF(AND(M476=O476,O476=Q476,Q476=S476,S476=U476,M476=""),"","HT")</f>
        <v/>
      </c>
      <c r="L476" s="1284"/>
      <c r="N476" s="1284"/>
    </row>
    <row r="477" spans="1:14" ht="16.5" customHeight="1">
      <c r="A477" s="645" t="str">
        <f>Sprachtexte!A145</f>
        <v>Druckverformung</v>
      </c>
      <c r="B477" s="645" t="s">
        <v>2464</v>
      </c>
      <c r="C477" s="809" t="e">
        <f ca="1">IF(Eingabe!$V$21=71,N477,IF(Eingabe!$V$21=70,L477,"FEHLER"))</f>
        <v>#DIV/0!</v>
      </c>
      <c r="D477" s="646" t="s">
        <v>2</v>
      </c>
      <c r="F477" s="646"/>
      <c r="K477" s="801" t="str">
        <f t="shared" si="10"/>
        <v/>
      </c>
      <c r="L477" s="1283">
        <f>IF(Eingabe!$V$14=40,Berechnung_BZoben!$O$20,IF(Eingabe!$V$14=41,Berechnung_BZoben!$AF$20,"FEHLER"))</f>
        <v>1.9847056378229762</v>
      </c>
      <c r="N477" s="1283">
        <f>IF(Eingabe!$V$14=40,Berechnung_BZunten!$O$20,IF(Eingabe!$V$14=41,Berechnung_BZunten!$AF$20,"FEHLER"))</f>
        <v>1.6765052048775</v>
      </c>
    </row>
    <row r="478" spans="1:14" ht="16.5" customHeight="1">
      <c r="A478" s="645"/>
      <c r="B478" s="645" t="s">
        <v>2465</v>
      </c>
      <c r="C478" s="809" t="e">
        <f ca="1">IF(Eingabe!$V$21=71,N478,IF(Eingabe!$V$21=70,L478,"FEHLER"))</f>
        <v>#DIV/0!</v>
      </c>
      <c r="D478" s="646" t="s">
        <v>124</v>
      </c>
      <c r="E478" s="646" t="str">
        <f>Sprachtexte!A152</f>
        <v>für Biegezug oben</v>
      </c>
      <c r="K478" s="801" t="str">
        <f t="shared" si="10"/>
        <v/>
      </c>
      <c r="L478" s="1283">
        <f>IF(Eingabe!$V$14=40,Berechnung_BZoben!$O$21,IF(Eingabe!$V$14=41,Berechnung_BZoben!$AF$21,"FEHLER"))</f>
        <v>1.7</v>
      </c>
      <c r="N478" s="1283">
        <f>IF(Eingabe!$V$14=40,Berechnung_BZunten!$O$21,IF(Eingabe!$V$14=41,Berechnung_BZunten!$AF$21,"FEHLER"))</f>
        <v>1.7</v>
      </c>
    </row>
    <row r="479" spans="1:14" ht="16.5" customHeight="1">
      <c r="A479" s="645"/>
      <c r="B479" s="645" t="s">
        <v>2466</v>
      </c>
      <c r="C479" s="809" t="e">
        <f ca="1">IF(Eingabe!$V$21=71,N479,IF(Eingabe!$V$21=70,L479,"FEHLER"))</f>
        <v>#DIV/0!</v>
      </c>
      <c r="D479" s="646" t="s">
        <v>124</v>
      </c>
      <c r="E479" s="646" t="str">
        <f>Sprachtexte!A153</f>
        <v>für Biegezug unten</v>
      </c>
      <c r="K479" s="801" t="str">
        <f t="shared" si="10"/>
        <v/>
      </c>
      <c r="L479" s="1283">
        <f>IF(Eingabe!$V$14=40,Berechnung_BZoben!$O$22,IF(Eingabe!$V$14=41,Berechnung_BZoben!$AF$22,"FEHLER"))</f>
        <v>-0.6</v>
      </c>
      <c r="N479" s="1283">
        <f>IF(Eingabe!$V$14=40,Berechnung_BZunten!$O$22,IF(Eingabe!$V$14=41,Berechnung_BZunten!$AF$22,"FEHLER"))</f>
        <v>-0.6</v>
      </c>
    </row>
    <row r="480" spans="1:14" ht="16.5" customHeight="1">
      <c r="A480" s="645" t="str">
        <f>A734</f>
        <v xml:space="preserve">Mitwirkende Faserlänge </v>
      </c>
      <c r="B480" s="645" t="s">
        <v>903</v>
      </c>
      <c r="C480" s="807" t="e">
        <f ca="1">IF(Eingabe!$V$21=71,N480,IF(Eingabe!$V$21=70,L480,"FEHLER"))</f>
        <v>#DIV/0!</v>
      </c>
      <c r="D480" s="646" t="s">
        <v>2</v>
      </c>
      <c r="E480" s="646" t="s">
        <v>964</v>
      </c>
      <c r="G480" s="646"/>
      <c r="K480" s="801" t="str">
        <f t="shared" si="10"/>
        <v/>
      </c>
      <c r="L480" s="1283">
        <f>IF(Eingabe!$V$14=40,Berechnung_BZoben!$O$24,IF(Eingabe!$V$14=41,Berechnung_BZoben!$AF$24,"FEHLER"))</f>
        <v>31.755290205167618</v>
      </c>
      <c r="N480" s="1283">
        <f>IF(Eingabe!$V$14=40,Berechnung_BZunten!$O$24,IF(Eingabe!$V$14=41,Berechnung_BZunten!$AF$24,"FEHLER"))</f>
        <v>26.82408327804</v>
      </c>
    </row>
    <row r="481" spans="1:21" ht="16.5" customHeight="1">
      <c r="A481" s="645" t="str">
        <f>A732</f>
        <v>char. Druckfestigkeit</v>
      </c>
      <c r="B481" s="645" t="s">
        <v>904</v>
      </c>
      <c r="C481" s="809" t="e">
        <f ca="1">IF(Eingabe!$V$21=71,N481,IF(Eingabe!$V$21=70,L481,"FEHLER"))</f>
        <v>#DIV/0!</v>
      </c>
      <c r="D481" s="646" t="s">
        <v>3</v>
      </c>
      <c r="E481" s="1520" t="str">
        <f>CONCATENATE("nach ",HLOOKUP($F$16,MKW!$E$3:$BS$22,3,0))</f>
        <v>nach DIN EN 14080:2013-09, Tab. 5</v>
      </c>
      <c r="F481" s="1520"/>
      <c r="G481" s="1520"/>
      <c r="H481" s="1520"/>
      <c r="I481" s="1520"/>
      <c r="K481" s="801" t="str">
        <f t="shared" si="10"/>
        <v/>
      </c>
      <c r="L481" s="1283">
        <f>IF(Eingabe!$V$14=40,Berechnung_BZoben!$O$25,IF(Eingabe!$V$14=41,Berechnung_BZoben!$AF$25,"FEHLER"))</f>
        <v>2.5</v>
      </c>
      <c r="N481" s="1283">
        <f>IF(Eingabe!$V$14=40,Berechnung_BZunten!$O$25,IF(Eingabe!$V$14=41,Berechnung_BZunten!$AF$25,"FEHLER"))</f>
        <v>2.5</v>
      </c>
    </row>
    <row r="482" spans="1:21" ht="12.95" customHeight="1">
      <c r="A482" s="645"/>
      <c r="B482" s="645"/>
      <c r="C482" s="807"/>
      <c r="D482" s="646"/>
      <c r="E482" s="1520"/>
      <c r="F482" s="1520"/>
      <c r="G482" s="1520"/>
      <c r="H482" s="1520"/>
      <c r="I482" s="1520"/>
      <c r="L482" s="914"/>
    </row>
    <row r="483" spans="1:21" ht="16.5" customHeight="1">
      <c r="A483" s="645" t="str">
        <f>A733</f>
        <v>max. Druckbeitrag</v>
      </c>
      <c r="B483" s="645" t="s">
        <v>899</v>
      </c>
      <c r="C483" s="807">
        <f t="shared" ref="C483" si="11">L483</f>
        <v>256.87565196990431</v>
      </c>
      <c r="D483" s="646" t="s">
        <v>4</v>
      </c>
      <c r="E483" s="646" t="s">
        <v>905</v>
      </c>
      <c r="K483" s="801" t="str">
        <f t="shared" si="10"/>
        <v/>
      </c>
      <c r="L483" s="913">
        <f>IF(Eingabe!$V$14=40,Berechnung_BZoben!$O$26,IF(Eingabe!$V$14=41,Berechnung_BZoben!$AF$26,"FEHLER"))</f>
        <v>256.87565196990431</v>
      </c>
    </row>
    <row r="484" spans="1:21" ht="16.5" customHeight="1">
      <c r="A484" s="645" t="str">
        <f>A710</f>
        <v>Dimensionskoeffizient</v>
      </c>
      <c r="B484" s="645" t="s">
        <v>506</v>
      </c>
      <c r="C484" s="809">
        <f>IF(Eingabe!$V$17=50,Ausgabe!L484,IF(Eingabe!$V$17=51,Ausgabe!N484,IF(Eingabe!$V$17=52,Ausgabe!P484,IF(Eingabe!$V$17=53,Ausgabe!R484,IF(Eingabe!$V$17=54,Ausgabe!T484,"FEHLER")))))</f>
        <v>1</v>
      </c>
      <c r="D484" s="646" t="s">
        <v>124</v>
      </c>
      <c r="E484" s="650" t="s">
        <v>530</v>
      </c>
      <c r="F484" s="645"/>
      <c r="G484" s="645"/>
      <c r="H484" s="646"/>
      <c r="I484" s="645"/>
      <c r="K484" s="801" t="s">
        <v>6</v>
      </c>
      <c r="L484" s="914">
        <f>L183</f>
        <v>1</v>
      </c>
      <c r="M484" s="650" t="s">
        <v>530</v>
      </c>
      <c r="N484" s="919">
        <f>N183</f>
        <v>1</v>
      </c>
      <c r="O484" s="646" t="s">
        <v>523</v>
      </c>
      <c r="P484" s="936">
        <f>P183</f>
        <v>1</v>
      </c>
      <c r="Q484" s="646" t="s">
        <v>522</v>
      </c>
      <c r="R484" s="943">
        <f>R183</f>
        <v>1</v>
      </c>
      <c r="S484" s="650" t="s">
        <v>533</v>
      </c>
      <c r="T484" s="939">
        <f>T183</f>
        <v>1</v>
      </c>
      <c r="U484" s="650" t="s">
        <v>533</v>
      </c>
    </row>
    <row r="485" spans="1:21" ht="16.5" customHeight="1">
      <c r="A485" s="645"/>
      <c r="B485" s="645"/>
      <c r="C485" s="753"/>
      <c r="D485" s="646"/>
      <c r="E485" s="650" t="s">
        <v>579</v>
      </c>
      <c r="F485" s="645"/>
      <c r="G485" s="645"/>
      <c r="H485" s="646"/>
      <c r="I485" s="645"/>
      <c r="K485" s="801" t="s">
        <v>6</v>
      </c>
      <c r="L485" s="914"/>
      <c r="M485" s="650" t="s">
        <v>579</v>
      </c>
      <c r="N485" s="919"/>
      <c r="O485" s="646" t="s">
        <v>580</v>
      </c>
      <c r="P485" s="936"/>
      <c r="Q485" s="646" t="s">
        <v>580</v>
      </c>
      <c r="R485" s="943"/>
      <c r="S485" s="646" t="s">
        <v>580</v>
      </c>
      <c r="T485" s="939"/>
      <c r="U485" s="646" t="s">
        <v>580</v>
      </c>
    </row>
    <row r="486" spans="1:21" ht="16.5" customHeight="1">
      <c r="A486" s="645" t="str">
        <f>A711</f>
        <v>Koeffizient</v>
      </c>
      <c r="B486" s="645" t="s">
        <v>507</v>
      </c>
      <c r="C486" s="809" t="str">
        <f>IF(Eingabe!$V$17=50,Ausgabe!L486,IF(Eingabe!$V$17=51,Ausgabe!N486,IF(Eingabe!$V$17=52,Ausgabe!P486,IF(Eingabe!$V$17=53,Ausgabe!R486,IF(Eingabe!$V$17=54,Ausgabe!T486,"FEHLER")))))</f>
        <v>-</v>
      </c>
      <c r="D486" s="646" t="s">
        <v>124</v>
      </c>
      <c r="E486" s="650"/>
      <c r="F486" s="645"/>
      <c r="G486" s="645"/>
      <c r="H486" s="645"/>
      <c r="I486" s="645"/>
      <c r="K486" s="801" t="s">
        <v>6</v>
      </c>
      <c r="L486" s="899" t="str">
        <f>L185</f>
        <v>-</v>
      </c>
      <c r="N486" s="919">
        <f>N185</f>
        <v>1</v>
      </c>
      <c r="O486" s="646" t="s">
        <v>761</v>
      </c>
      <c r="P486" s="936">
        <f>P185</f>
        <v>1</v>
      </c>
      <c r="Q486" s="646" t="s">
        <v>761</v>
      </c>
      <c r="R486" s="943">
        <f>R185</f>
        <v>1.5</v>
      </c>
      <c r="S486" s="650" t="s">
        <v>762</v>
      </c>
      <c r="T486" s="939">
        <f>T185</f>
        <v>1.5</v>
      </c>
      <c r="U486" s="650" t="s">
        <v>762</v>
      </c>
    </row>
    <row r="487" spans="1:21" ht="16.5" customHeight="1">
      <c r="A487" s="645" t="str">
        <f>A709</f>
        <v>char. Ausziehparamter</v>
      </c>
      <c r="B487" s="645" t="s">
        <v>1904</v>
      </c>
      <c r="C487" s="807" t="e">
        <f ca="1">IF(Eingabe!$V$16=50,Ausgabe!L487,IF(Eingabe!$V$16=51,Ausgabe!N487,IF(Eingabe!$V$16=52,Ausgabe!P487,IF(Eingabe!$V$16=53,Ausgabe!R487,IF(Eingabe!$V$16=54,Ausgabe!T487,"FEHLER")))))</f>
        <v>#DIV/0!</v>
      </c>
      <c r="D487" s="646" t="s">
        <v>3</v>
      </c>
      <c r="E487" s="805" t="s">
        <v>2150</v>
      </c>
      <c r="F487" s="721"/>
      <c r="K487" s="801" t="str">
        <f t="shared" si="10"/>
        <v>HT</v>
      </c>
      <c r="L487" s="913" t="e">
        <f ca="1">L182*L484</f>
        <v>#DIV/0!</v>
      </c>
      <c r="M487" s="805" t="s">
        <v>2150</v>
      </c>
      <c r="N487" s="919">
        <f>N182*N484*(L181/350)^0.8</f>
        <v>11.8715337982878</v>
      </c>
      <c r="O487" s="804" t="s">
        <v>953</v>
      </c>
      <c r="P487" s="936">
        <f>P182*P484*(N181/350)^0.8</f>
        <v>11.8715337982878</v>
      </c>
      <c r="Q487" s="804" t="s">
        <v>956</v>
      </c>
      <c r="R487" s="943">
        <f>R182*R484/R486*(P181/730)^0.8</f>
        <v>13.985792508262064</v>
      </c>
      <c r="S487" s="804" t="s">
        <v>954</v>
      </c>
      <c r="T487" s="939">
        <f>T182*T484/T486*(R181/350)^0.8</f>
        <v>7.9143558655251995</v>
      </c>
      <c r="U487" s="804" t="s">
        <v>955</v>
      </c>
    </row>
    <row r="488" spans="1:21" ht="16.5" customHeight="1">
      <c r="E488" s="646" t="s">
        <v>2151</v>
      </c>
      <c r="F488" s="646"/>
      <c r="G488" s="645"/>
      <c r="H488" s="646"/>
      <c r="L488" s="913"/>
      <c r="M488" s="805"/>
      <c r="N488" s="922"/>
      <c r="O488" s="804"/>
      <c r="Q488" s="804"/>
      <c r="S488" s="804"/>
      <c r="U488" s="804"/>
    </row>
    <row r="489" spans="1:21" ht="16.5" customHeight="1">
      <c r="A489" s="646" t="str">
        <f>Sprachtexte!A144</f>
        <v>Ermittlung Drehpunkt x nach ETA-15/0667</v>
      </c>
      <c r="E489" s="646"/>
      <c r="F489" s="646"/>
      <c r="L489" s="1285" t="s">
        <v>1060</v>
      </c>
      <c r="M489" s="646"/>
      <c r="N489" s="1285" t="s">
        <v>1061</v>
      </c>
      <c r="P489" s="936"/>
      <c r="R489" s="943"/>
      <c r="S489" s="646"/>
      <c r="T489" s="939"/>
      <c r="U489" s="646"/>
    </row>
    <row r="490" spans="1:21" ht="16.5" customHeight="1">
      <c r="A490" s="645" t="str">
        <f>A706</f>
        <v>Anzahl VM</v>
      </c>
      <c r="B490" s="645" t="s">
        <v>10</v>
      </c>
      <c r="C490" s="808" t="e">
        <f ca="1">IF(Eingabe!$V$21=71,N490,IF(Eingabe!$V$21=70,L490,"FEHLER"))</f>
        <v>#DIV/0!</v>
      </c>
      <c r="D490" s="646" t="s">
        <v>124</v>
      </c>
      <c r="E490" s="646" t="str">
        <f>Sprachtexte!A146</f>
        <v>Anzahl der auf Zug beanspruchten Schrauben</v>
      </c>
      <c r="K490" s="801" t="str">
        <f t="shared" si="10"/>
        <v/>
      </c>
      <c r="L490" s="1282">
        <f ca="1">IF(Eingabe!$V$14=40,Berechnung_BZoben!$O$33,IF(Eingabe!$V$14=41,Berechnung_BZoben!$AF$33,"FEHLER"))</f>
        <v>0</v>
      </c>
      <c r="N490" s="1282">
        <f ca="1">IF(Eingabe!$V$14=40,Berechnung_BZunten!$O$33,IF(Eingabe!$V$14=41,Berechnung_BZunten!$AF$33,"FEHLER"))</f>
        <v>2</v>
      </c>
    </row>
    <row r="491" spans="1:21" ht="12.95" customHeight="1">
      <c r="A491" s="645"/>
      <c r="B491" s="645" t="s">
        <v>2049</v>
      </c>
      <c r="C491" s="808" t="e">
        <f ca="1">IF(Eingabe!$V$21=71,N491,IF(Eingabe!$V$21=70,L491,"FEHLER"))</f>
        <v>#DIV/0!</v>
      </c>
      <c r="D491" s="646" t="s">
        <v>2</v>
      </c>
      <c r="E491" s="1520" t="str">
        <f>Sprachtexte!A147</f>
        <v>max. Abstand aller Zugschrauben zur Verbinderoberkante</v>
      </c>
      <c r="F491" s="1520"/>
      <c r="G491" s="1520"/>
      <c r="H491" s="1520"/>
      <c r="I491" s="1520"/>
      <c r="K491" s="801" t="str">
        <f t="shared" si="10"/>
        <v/>
      </c>
      <c r="L491" s="1281">
        <f ca="1">IF(Eingabe!$V$14=40,Berechnung_BZoben!$O$34,IF(Eingabe!$V$14=41,Berechnung_BZoben!$AF$34,"FEHLER"))</f>
        <v>0</v>
      </c>
      <c r="N491" s="1281">
        <f ca="1">IF(Eingabe!$V$14=40,Berechnung_BZunten!$O$34,IF(Eingabe!$V$14=41,Berechnung_BZunten!$AF$34,"FEHLER"))</f>
        <v>300</v>
      </c>
    </row>
    <row r="492" spans="1:21" ht="16.5" customHeight="1">
      <c r="A492" s="645"/>
      <c r="B492" s="645"/>
      <c r="C492" s="808"/>
      <c r="D492" s="646"/>
      <c r="E492" s="1520"/>
      <c r="F492" s="1520"/>
      <c r="G492" s="1520"/>
      <c r="H492" s="1520"/>
      <c r="I492" s="1520"/>
      <c r="L492" s="1281"/>
      <c r="N492" s="1281"/>
    </row>
    <row r="493" spans="1:21" ht="16.5" customHeight="1">
      <c r="A493" s="645"/>
      <c r="B493" s="645" t="s">
        <v>2459</v>
      </c>
      <c r="C493" s="809" t="e">
        <f ca="1">IF(Eingabe!$V$21=71,N493,IF(Eingabe!$V$21=70,L493,"FEHLER"))</f>
        <v>#DIV/0!</v>
      </c>
      <c r="D493" s="646" t="s">
        <v>2</v>
      </c>
      <c r="E493" s="646" t="str">
        <f>Sprachtexte!A148</f>
        <v>Verschiebung der äußersten Zugschraube</v>
      </c>
      <c r="K493" s="801" t="str">
        <f t="shared" si="10"/>
        <v/>
      </c>
      <c r="L493" s="1283">
        <f ca="1">IF(Eingabe!$V$14=40,Berechnung_BZoben!$O$35,IF(Eingabe!$V$14=41,Berechnung_BZoben!$AF$35,"FEHLER"))</f>
        <v>0</v>
      </c>
      <c r="N493" s="1283" t="e">
        <f ca="1">IF(Eingabe!$V$14=40,Berechnung_BZunten!$O$35,IF(Eingabe!$V$14=41,Berechnung_BZunten!$AF$35,"FEHLER"))</f>
        <v>#DIV/0!</v>
      </c>
    </row>
    <row r="494" spans="1:21" ht="16.5" customHeight="1">
      <c r="A494" s="645"/>
      <c r="B494" s="645" t="s">
        <v>2460</v>
      </c>
      <c r="C494" s="808" t="e">
        <f ca="1">IF(Eingabe!$V$21=71,N494,IF(Eingabe!$V$21=70,L494,"FEHLER"))</f>
        <v>#DIV/0!</v>
      </c>
      <c r="D494" s="646" t="s">
        <v>5</v>
      </c>
      <c r="E494" s="646" t="str">
        <f>Sprachtexte!A149</f>
        <v>max. Schraubenzugkraft aller Zugschrauben</v>
      </c>
      <c r="K494" s="801" t="str">
        <f t="shared" si="10"/>
        <v/>
      </c>
      <c r="L494" s="1282">
        <f ca="1">IF(Eingabe!$V$14=40,Berechnung_BZoben!$O$36,IF(Eingabe!$V$14=41,Berechnung_BZoben!$AF$36,"FEHLER"))</f>
        <v>0</v>
      </c>
      <c r="N494" s="1282" t="e">
        <f ca="1">IF(Eingabe!$V$14=40,Berechnung_BZunten!$O$36,IF(Eingabe!$V$14=41,Berechnung_BZunten!$AF$36,"FEHLER"))</f>
        <v>#DIV/0!</v>
      </c>
    </row>
    <row r="495" spans="1:21" ht="12.95" customHeight="1">
      <c r="A495" s="645"/>
      <c r="B495" s="749" t="s">
        <v>2461</v>
      </c>
      <c r="C495" s="808" t="e">
        <f ca="1">IF(Eingabe!$V$21=71,N495,IF(Eingabe!$V$21=70,L495,"FEHLER"))</f>
        <v>#DIV/0!</v>
      </c>
      <c r="D495" s="646" t="s">
        <v>2</v>
      </c>
      <c r="E495" s="1520" t="str">
        <f>Sprachtexte!A150</f>
        <v>Summe der Abstände der einzelnen Zugschrauben zur Verbinderoberkante</v>
      </c>
      <c r="F495" s="1520"/>
      <c r="G495" s="1520"/>
      <c r="H495" s="1520"/>
      <c r="I495" s="1520"/>
      <c r="K495" s="801" t="str">
        <f t="shared" si="10"/>
        <v/>
      </c>
      <c r="L495" s="1283">
        <f ca="1">IF(Eingabe!$V$14=40,Berechnung_BZoben!$O$37,IF(Eingabe!$V$14=41,Berechnung_BZoben!$AF$37,"FEHLER"))</f>
        <v>0</v>
      </c>
      <c r="N495" s="1283">
        <f ca="1">IF(Eingabe!$V$14=40,Berechnung_BZunten!$O$37,IF(Eingabe!$V$14=41,Berechnung_BZunten!$AF$37,"FEHLER"))</f>
        <v>600</v>
      </c>
    </row>
    <row r="496" spans="1:21" ht="16.5" customHeight="1">
      <c r="A496" s="645"/>
      <c r="B496" s="645"/>
      <c r="C496" s="808"/>
      <c r="D496" s="646"/>
      <c r="E496" s="1520"/>
      <c r="F496" s="1520"/>
      <c r="G496" s="1520"/>
      <c r="H496" s="1520"/>
      <c r="I496" s="1520"/>
      <c r="K496" s="801" t="str">
        <f t="shared" si="10"/>
        <v/>
      </c>
      <c r="L496" s="1283"/>
      <c r="N496" s="1283"/>
    </row>
    <row r="497" spans="1:14" ht="16.5" customHeight="1">
      <c r="A497" s="645"/>
      <c r="B497" s="645" t="s">
        <v>275</v>
      </c>
      <c r="C497" s="808" t="e">
        <f ca="1">IF(Eingabe!$V$21=71,N497,IF(Eingabe!$V$21=70,L497,"FEHLER"))</f>
        <v>#DIV/0!</v>
      </c>
      <c r="D497" s="646"/>
      <c r="E497" s="1520" t="str">
        <f>Sprachtexte!A253</f>
        <v>Anzahl der übereinander angeordneten Verstärkungselemente in der Biegezugzone</v>
      </c>
      <c r="F497" s="1520"/>
      <c r="G497" s="1520"/>
      <c r="H497" s="1520"/>
      <c r="I497" s="1520"/>
      <c r="L497" s="1282">
        <f>IF(Eingabe!$V$14=40,0,IF(Eingabe!$V$14=41,Berechnung_BZoben!$AF$38,"FEHLER"))</f>
        <v>0</v>
      </c>
      <c r="N497" s="1282">
        <f>IF(Eingabe!$V$14=40,0,IF(Eingabe!$V$14=41,Berechnung_BZunten!$AF$38,"FEHLER"))</f>
        <v>0</v>
      </c>
    </row>
    <row r="498" spans="1:14" ht="16.5" customHeight="1">
      <c r="A498" s="645"/>
      <c r="B498" s="645"/>
      <c r="C498" s="808"/>
      <c r="D498" s="646"/>
      <c r="E498" s="1520"/>
      <c r="F498" s="1520"/>
      <c r="G498" s="1520"/>
      <c r="H498" s="1520"/>
      <c r="I498" s="1520"/>
      <c r="L498" s="1282"/>
      <c r="N498" s="1282"/>
    </row>
    <row r="499" spans="1:14" ht="16.5" customHeight="1">
      <c r="A499" s="645"/>
      <c r="B499" s="645" t="s">
        <v>1804</v>
      </c>
      <c r="C499" s="808" t="e">
        <f ca="1">IF(Eingabe!$V$21=71,N499,IF(Eingabe!$V$21=70,L499,"FEHLER"))</f>
        <v>#DIV/0!</v>
      </c>
      <c r="D499" s="646" t="s">
        <v>2</v>
      </c>
      <c r="E499" s="805" t="s">
        <v>2159</v>
      </c>
      <c r="F499" s="677"/>
      <c r="G499" s="677"/>
      <c r="H499" s="677"/>
      <c r="I499" s="677"/>
      <c r="L499" s="1282" t="str">
        <f>IF(Eingabe!$V$14=40,"-",IF(Eingabe!$V$14=41,Berechnung_BZoben!$AF$39,"FEHLER"))</f>
        <v>-</v>
      </c>
      <c r="N499" s="1282" t="str">
        <f>IF(Eingabe!$V$14=40,"-",IF(Eingabe!$V$14=41,Berechnung_BZunten!$AF$39,"FEHLER"))</f>
        <v>-</v>
      </c>
    </row>
    <row r="500" spans="1:14" ht="16.5" customHeight="1">
      <c r="A500" s="645"/>
      <c r="B500" s="645" t="s">
        <v>1805</v>
      </c>
      <c r="C500" s="808" t="e">
        <f ca="1">IF(Eingabe!$V$21=71,N500,IF(Eingabe!$V$21=70,L500,"FEHLER"))</f>
        <v>#DIV/0!</v>
      </c>
      <c r="D500" s="646" t="s">
        <v>4</v>
      </c>
      <c r="E500" s="805" t="s">
        <v>2160</v>
      </c>
      <c r="F500" s="677"/>
      <c r="G500" s="677"/>
      <c r="H500" s="677"/>
      <c r="I500" s="677"/>
      <c r="L500" s="1282" t="str">
        <f>IF(Eingabe!$V$14=40,"-",IF(Eingabe!$V$14=41,Berechnung_BZoben!$AF$40,"FEHLER"))</f>
        <v>-</v>
      </c>
      <c r="N500" s="1282" t="str">
        <f>IF(Eingabe!$V$14=40,"-",IF(Eingabe!$V$14=41,Berechnung_BZunten!$AF$40,"FEHLER"))</f>
        <v>-</v>
      </c>
    </row>
    <row r="501" spans="1:14" ht="12.95" customHeight="1">
      <c r="A501" s="645"/>
      <c r="B501" s="645" t="s">
        <v>900</v>
      </c>
      <c r="C501" s="809" t="e">
        <f ca="1">IF(Eingabe!$V$21=71,N501,IF(Eingabe!$V$21=70,L501,"FEHLER"))</f>
        <v>#DIV/0!</v>
      </c>
      <c r="D501" s="646" t="s">
        <v>124</v>
      </c>
      <c r="E501" s="1520" t="s">
        <v>901</v>
      </c>
      <c r="F501" s="1520"/>
      <c r="G501" s="1520"/>
      <c r="H501" s="1520"/>
      <c r="I501" s="1520"/>
      <c r="K501" s="801" t="str">
        <f t="shared" si="10"/>
        <v/>
      </c>
      <c r="L501" s="1283" t="str">
        <f ca="1">IF(AND(L490&lt;&gt;0,Eingabe!$V$14=40),Berechnung_BZoben!O38,IF(AND(L490&lt;&gt;0,Eingabe!$V$14=41),Berechnung_BZoben!$AF$41,IF(L490=0,"-","FEHLER")))</f>
        <v>-</v>
      </c>
      <c r="N501" s="1283">
        <f ca="1">IF(AND(N490&lt;&gt;0,Eingabe!$V$14=40),Berechnung_BZunten!Q38,IF(AND(N490&lt;&gt;0,Eingabe!$V$14=41),Berechnung_BZunten!$AF$41,IF(N490=0,"-","FEHLER")))</f>
        <v>0</v>
      </c>
    </row>
    <row r="502" spans="1:14" ht="16.5" customHeight="1">
      <c r="A502" s="645"/>
      <c r="B502" s="645"/>
      <c r="C502" s="808"/>
      <c r="D502" s="646"/>
      <c r="E502" s="1520"/>
      <c r="F502" s="1520"/>
      <c r="G502" s="1520"/>
      <c r="H502" s="1520"/>
      <c r="I502" s="1520"/>
      <c r="L502" s="1283"/>
      <c r="N502" s="1283"/>
    </row>
    <row r="503" spans="1:14" ht="16.5" customHeight="1">
      <c r="A503" s="645"/>
      <c r="B503" s="645" t="s">
        <v>2462</v>
      </c>
      <c r="C503" s="808" t="e">
        <f ca="1">IF(Eingabe!$V$21=71,N503,IF(Eingabe!$V$21=70,L503,"FEHLER"))</f>
        <v>#DIV/0!</v>
      </c>
      <c r="D503" s="646" t="s">
        <v>469</v>
      </c>
      <c r="E503" s="1520" t="str">
        <f>Sprachtexte!A254</f>
        <v>char. Tragfähigkeit der Verstärkungselemente in der Druckzone</v>
      </c>
      <c r="F503" s="1520"/>
      <c r="G503" s="1520"/>
      <c r="H503" s="1520"/>
      <c r="I503" s="1520"/>
      <c r="L503" s="1283" t="str">
        <f>IF(Eingabe!$V$14=40,"-",IF(Eingabe!$V$14=41,Berechnung_BZoben!$AF$30,"FEHLER"))</f>
        <v>-</v>
      </c>
      <c r="N503" s="1283" t="str">
        <f>IF(Eingabe!$V$14=40,"-",IF(Eingabe!$V$14=41,Berechnung_BZunten!$AF$30,"FEHLER"))</f>
        <v>-</v>
      </c>
    </row>
    <row r="504" spans="1:14" ht="16.5" customHeight="1">
      <c r="A504" s="645"/>
      <c r="B504" s="645"/>
      <c r="C504" s="808"/>
      <c r="D504" s="646"/>
      <c r="E504" s="1520"/>
      <c r="F504" s="1520"/>
      <c r="G504" s="1520"/>
      <c r="H504" s="1520"/>
      <c r="I504" s="1520"/>
      <c r="L504" s="1283"/>
      <c r="N504" s="1283"/>
    </row>
    <row r="505" spans="1:14" ht="16.5" customHeight="1">
      <c r="A505" s="645"/>
      <c r="B505" s="645" t="s">
        <v>2173</v>
      </c>
      <c r="C505" s="808" t="e">
        <f ca="1">IF(Eingabe!$V$21=71,N505,IF(Eingabe!$V$21=70,L505,"FEHLER"))</f>
        <v>#DIV/0!</v>
      </c>
      <c r="D505" s="646" t="s">
        <v>2</v>
      </c>
      <c r="E505" s="805" t="s">
        <v>2163</v>
      </c>
      <c r="F505" s="677"/>
      <c r="G505" s="677"/>
      <c r="H505" s="677"/>
      <c r="I505" s="677"/>
      <c r="L505" s="1282" t="str">
        <f ca="1">IF(AND(L490&lt;&gt;0,Eingabe!$V$14=40),Berechnung_BZoben!$M$37,IF(AND(L490&lt;&gt;0,Eingabe!$V$14=41),Berechnung_BZoben!$AD$38,IF(L490=0,"-","FEHLER")))</f>
        <v>-</v>
      </c>
      <c r="N505" s="1282" t="e">
        <f ca="1">IF(AND(N490&lt;&gt;0,Eingabe!$V$14=40),Berechnung_BZunten!$M$37,IF(AND(N490&lt;&gt;0,Eingabe!$V$14=41),Berechnung_BZunten!$AD$38,IF(N490=0,"-","FEHLER")))</f>
        <v>#DIV/0!</v>
      </c>
    </row>
    <row r="506" spans="1:14" ht="16.5" customHeight="1">
      <c r="A506" s="645"/>
      <c r="B506" s="645" t="s">
        <v>2174</v>
      </c>
      <c r="C506" s="808" t="e">
        <f ca="1">IF(Eingabe!$V$21=71,N506,IF(Eingabe!$V$21=70,L506,"FEHLER"))</f>
        <v>#DIV/0!</v>
      </c>
      <c r="D506" s="646" t="s">
        <v>2</v>
      </c>
      <c r="E506" s="805" t="s">
        <v>2164</v>
      </c>
      <c r="F506" s="677"/>
      <c r="G506" s="677"/>
      <c r="H506" s="677"/>
      <c r="I506" s="677"/>
      <c r="L506" s="1282" t="str">
        <f ca="1">IF(AND(L490&lt;&gt;0,Eingabe!$V$14=40),Berechnung_BZoben!$M$38,IF(AND(L490&lt;&gt;0,Eingabe!$V$14=41),Berechnung_BZoben!$AD$39,IF(L490=0,"-","FEHLER")))</f>
        <v>-</v>
      </c>
      <c r="N506" s="1282" t="e">
        <f ca="1">IF(AND(N490&lt;&gt;0,Eingabe!$V$14=40),Berechnung_BZunten!$M$38,IF(AND(N490&lt;&gt;0,Eingabe!$V$14=41),Berechnung_BZunten!$AD$39,IF(N490=0,"-","FEHLER")))</f>
        <v>#DIV/0!</v>
      </c>
    </row>
    <row r="507" spans="1:14" ht="12.95" customHeight="1">
      <c r="A507" s="645"/>
      <c r="B507" s="645" t="s">
        <v>906</v>
      </c>
      <c r="C507" s="808" t="e">
        <f ca="1">IF(Eingabe!$V$21=71,N507,IF(Eingabe!$V$21=70,L507,"FEHLER"))</f>
        <v>#DIV/0!</v>
      </c>
      <c r="D507" s="646" t="s">
        <v>2</v>
      </c>
      <c r="E507" s="1520" t="s">
        <v>932</v>
      </c>
      <c r="F507" s="1520"/>
      <c r="G507" s="1520"/>
      <c r="H507" s="1520"/>
      <c r="I507" s="1520"/>
      <c r="K507" s="801" t="str">
        <f t="shared" si="10"/>
        <v/>
      </c>
      <c r="L507" s="1283" t="e">
        <f ca="1">IF(Eingabe!$V$14=40,Berechnung_BZoben!$O$39,IF(Eingabe!$V$14=41,Berechnung_BZoben!$AF$43,"FEHLER"))</f>
        <v>#DIV/0!</v>
      </c>
      <c r="N507" s="1283" t="e">
        <f ca="1">IF(Eingabe!$V$14=40,Berechnung_BZunten!$O$39,IF(Eingabe!$V$14=41,Berechnung_BZunten!$AF$43,"FEHLER"))</f>
        <v>#DIV/0!</v>
      </c>
    </row>
    <row r="508" spans="1:14" ht="16.5" customHeight="1">
      <c r="A508" s="645"/>
      <c r="B508" s="645"/>
      <c r="C508" s="808"/>
      <c r="D508" s="646"/>
      <c r="E508" s="1520"/>
      <c r="F508" s="1520"/>
      <c r="G508" s="1520"/>
      <c r="H508" s="1520"/>
      <c r="I508" s="1520"/>
      <c r="L508" s="1283"/>
      <c r="N508" s="1283"/>
    </row>
    <row r="509" spans="1:14" ht="16.5" customHeight="1">
      <c r="A509" s="645"/>
      <c r="B509" s="645" t="s">
        <v>2205</v>
      </c>
      <c r="C509" s="808" t="e">
        <f ca="1">IF(Eingabe!$V$21=71,N509,IF(Eingabe!$V$21=70,L509,"FEHLER"))</f>
        <v>#DIV/0!</v>
      </c>
      <c r="D509" s="646" t="s">
        <v>2</v>
      </c>
      <c r="E509" s="1520" t="str">
        <f>Sprachtexte!A258</f>
        <v>Abstand des am weitesten entfernten Verstärkungselements zum Rotationszentrum</v>
      </c>
      <c r="F509" s="1520"/>
      <c r="G509" s="1520"/>
      <c r="H509" s="1520"/>
      <c r="I509" s="1520"/>
      <c r="L509" s="1283">
        <f>Berechnung_BZoben!$AD$224</f>
        <v>0</v>
      </c>
      <c r="N509" s="1283">
        <f>Berechnung_BZunten!$AD$224</f>
        <v>0</v>
      </c>
    </row>
    <row r="510" spans="1:14" ht="16.5" customHeight="1">
      <c r="A510" s="645"/>
      <c r="B510" s="645"/>
      <c r="C510" s="808"/>
      <c r="D510" s="646"/>
      <c r="E510" s="1520"/>
      <c r="F510" s="1520"/>
      <c r="G510" s="1520"/>
      <c r="H510" s="1520"/>
      <c r="I510" s="1520"/>
      <c r="L510" s="1283"/>
      <c r="N510" s="1283"/>
    </row>
    <row r="511" spans="1:14" ht="12.95" customHeight="1">
      <c r="A511" s="645"/>
      <c r="B511" s="645" t="s">
        <v>501</v>
      </c>
      <c r="C511" s="808" t="e">
        <f ca="1">IF(Eingabe!$V$21=71,N511,IF(Eingabe!$V$21=70,L511,"FEHLER"))</f>
        <v>#DIV/0!</v>
      </c>
      <c r="D511" s="646" t="s">
        <v>2</v>
      </c>
      <c r="E511" s="1520" t="str">
        <f>Sprachtexte!A151</f>
        <v>Abstand der am weitesten entfernten Schraube zum Rotationszentrum</v>
      </c>
      <c r="F511" s="1520"/>
      <c r="G511" s="1520"/>
      <c r="H511" s="1520"/>
      <c r="I511" s="1520"/>
      <c r="K511" s="801" t="str">
        <f t="shared" si="10"/>
        <v/>
      </c>
      <c r="L511" s="1281">
        <f ca="1">IF(Eingabe!$V$14=40,MAX(Berechnung_BZoben!$N$138:$N$211),IF(Eingabe!$V$14=41,MAX(Berechnung_BZoben!$AE$138:$AE$211),"FEHLER"))</f>
        <v>0</v>
      </c>
      <c r="N511" s="1281">
        <f ca="1">IF(Eingabe!$V$14=40,MAX(Berechnung_BZunten!$N$138:$N$211),IF(Eingabe!$V$14=41,MAX(Berechnung_BZunten!$AE$138:$AE$211),"FEHLER"))</f>
        <v>9.793984617586375</v>
      </c>
    </row>
    <row r="512" spans="1:14" ht="16.5" customHeight="1">
      <c r="A512" s="645"/>
      <c r="B512" s="645"/>
      <c r="C512" s="808"/>
      <c r="D512" s="646"/>
      <c r="E512" s="1520"/>
      <c r="F512" s="1520"/>
      <c r="G512" s="1520"/>
      <c r="H512" s="1520"/>
      <c r="I512" s="1520"/>
      <c r="L512" s="1281"/>
      <c r="N512" s="1281"/>
    </row>
    <row r="513" spans="1:14" ht="16.5" customHeight="1">
      <c r="A513" s="645"/>
      <c r="B513" s="645" t="s">
        <v>2208</v>
      </c>
      <c r="C513" s="808" t="e">
        <f ca="1">IF(Eingabe!$V$21=71,N513,IF(Eingabe!$V$21=70,L513,"FEHLER"))</f>
        <v>#DIV/0!</v>
      </c>
      <c r="D513" s="646" t="s">
        <v>2</v>
      </c>
      <c r="E513" s="1520" t="str">
        <f>Sprachtexte!A259</f>
        <v>Abstand des Verstärkungselements in der Druckzone zum Rotationszentrum</v>
      </c>
      <c r="F513" s="1520"/>
      <c r="G513" s="1520"/>
      <c r="H513" s="1520"/>
      <c r="I513" s="1520"/>
      <c r="L513" s="1281">
        <f>Berechnung_BZoben!$AE$224</f>
        <v>0</v>
      </c>
      <c r="N513" s="1281">
        <f>Berechnung_BZunten!$AE$224</f>
        <v>0</v>
      </c>
    </row>
    <row r="514" spans="1:14" ht="16.5" customHeight="1">
      <c r="A514" s="645"/>
      <c r="B514" s="645"/>
      <c r="C514" s="808"/>
      <c r="D514" s="646"/>
      <c r="E514" s="1520"/>
      <c r="F514" s="1520"/>
      <c r="G514" s="1520"/>
      <c r="H514" s="1520"/>
      <c r="I514" s="1520"/>
      <c r="L514" s="1281"/>
      <c r="N514" s="1281"/>
    </row>
    <row r="515" spans="1:14" ht="16.5" customHeight="1">
      <c r="A515" s="645" t="str">
        <f>A713</f>
        <v>char. Tragfähigkeit</v>
      </c>
      <c r="B515" s="645" t="s">
        <v>936</v>
      </c>
      <c r="C515" s="809" t="e">
        <f ca="1">IF(Eingabe!$V$21=71,N515,IF(Eingabe!$V$21=70,L515,"FEHLER"))</f>
        <v>#DIV/0!</v>
      </c>
      <c r="D515" s="646" t="s">
        <v>496</v>
      </c>
      <c r="E515" s="805" t="s">
        <v>2170</v>
      </c>
      <c r="F515" s="646"/>
      <c r="K515" s="801" t="str">
        <f t="shared" si="10"/>
        <v/>
      </c>
      <c r="L515" s="1283">
        <f ca="1">IF(Eingabe!$V$14=40,Berechnung_BZoben!$N$5,IF(Eingabe!$V$14=41,Berechnung_BZoben!$AL$5,"FEHLER"))</f>
        <v>6.0098584268543229</v>
      </c>
      <c r="M515" s="754"/>
      <c r="N515" s="1283" t="e">
        <f ca="1">IF(Eingabe!$V$14=40,Berechnung_BZunten!$N$5,IF(Eingabe!$V$14=41,Berechnung_BZunten!$AL$5,"FEHLER"))</f>
        <v>#DIV/0!</v>
      </c>
    </row>
    <row r="516" spans="1:14" ht="16.5" customHeight="1">
      <c r="A516" s="645" t="str">
        <f>A735</f>
        <v>Drehfedersteifigkeit</v>
      </c>
      <c r="B516" s="645" t="s">
        <v>908</v>
      </c>
      <c r="C516" s="808" t="e">
        <f ca="1">IF(Eingabe!$V$21=71,N516,IF(Eingabe!$V$21=70,L516,"FEHLER"))</f>
        <v>#DIV/0!</v>
      </c>
      <c r="D516" s="646" t="s">
        <v>494</v>
      </c>
      <c r="E516" s="646" t="str">
        <f>Sprachtexte!A152</f>
        <v>für Biegezug oben</v>
      </c>
      <c r="K516" s="801" t="str">
        <f t="shared" si="10"/>
        <v/>
      </c>
      <c r="L516" s="1282" t="e">
        <f ca="1">IF(Eingabe!$V$14=40,Berechnung_BZoben!$Q$7,IF(Eingabe!$V$14=41,Berechnung_BZoben!$AO$8,"FEHLER"))</f>
        <v>#DIV/0!</v>
      </c>
      <c r="N516" s="1282" t="e">
        <f ca="1">IF(Eingabe!$V$14=40,Berechnung_BZunten!$Q$7,IF(Eingabe!$V$14=41,Berechnung_BZunten!$AO$8,"FEHLER"))</f>
        <v>#DIV/0!</v>
      </c>
    </row>
    <row r="517" spans="1:14" ht="16.5" customHeight="1">
      <c r="A517" s="645"/>
      <c r="B517" s="645" t="s">
        <v>908</v>
      </c>
      <c r="C517" s="808" t="e">
        <f ca="1">IF(Eingabe!$V$21=71,N517,IF(Eingabe!$V$21=70,L517,"FEHLER"))</f>
        <v>#DIV/0!</v>
      </c>
      <c r="D517" s="646" t="s">
        <v>494</v>
      </c>
      <c r="E517" s="646" t="str">
        <f>Sprachtexte!A153</f>
        <v>für Biegezug unten</v>
      </c>
      <c r="L517" s="1282" t="e">
        <f ca="1">IF(Eingabe!$V$14=40,Berechnung_BZunten!$Q$7,IF(Eingabe!$V$14=41,Berechnung_BZunten!$AO$8,"FEHLER"))</f>
        <v>#DIV/0!</v>
      </c>
      <c r="N517" s="1282" t="e">
        <f ca="1">IF(Eingabe!$V$14=40,Berechnung_BZunten!$Q$7,IF(Eingabe!$V$14=41,Berechnung_BZunten!$AO$8,"FEHLER"))</f>
        <v>#DIV/0!</v>
      </c>
    </row>
    <row r="518" spans="1:14" ht="16.5" customHeight="1">
      <c r="A518" s="645"/>
      <c r="B518" s="645"/>
      <c r="C518" s="808"/>
      <c r="D518" s="646"/>
      <c r="F518" s="646"/>
      <c r="L518" s="1283"/>
      <c r="N518" s="1283"/>
    </row>
    <row r="519" spans="1:14" ht="16.5" customHeight="1">
      <c r="A519" s="645" t="str">
        <f>A713</f>
        <v>char. Tragfähigkeit</v>
      </c>
      <c r="B519" s="645" t="s">
        <v>909</v>
      </c>
      <c r="C519" s="809" t="e">
        <f ca="1">IF(Eingabe!$V$21=71,N519,IF(Eingabe!$V$21=70,L519,"FEHLER"))</f>
        <v>#DIV/0!</v>
      </c>
      <c r="D519" s="646" t="s">
        <v>496</v>
      </c>
      <c r="E519" s="646" t="s">
        <v>963</v>
      </c>
      <c r="L519" s="1283">
        <f ca="1">IF(Eingabe!$V$14=40,Berechnung_BZoben!$P$5,IF(Eingabe!$V$14=41,Berechnung_BZoben!$AN$5,"FEHLER"))</f>
        <v>4.847242517186606</v>
      </c>
      <c r="N519" s="1283" t="e">
        <f ca="1">IF(Eingabe!$V$14=40,Berechnung_BZunten!$P$5,IF(Eingabe!$V$14=41,Berechnung_BZunten!$AN$5,"FEHLER"))</f>
        <v>#DIV/0!</v>
      </c>
    </row>
    <row r="520" spans="1:14" ht="16.5" customHeight="1">
      <c r="A520" s="645"/>
      <c r="B520" s="645" t="s">
        <v>519</v>
      </c>
      <c r="C520" s="809">
        <f>Eingabe!$C$33</f>
        <v>1.3</v>
      </c>
      <c r="D520" s="753" t="s">
        <v>124</v>
      </c>
      <c r="E520" s="650" t="s">
        <v>962</v>
      </c>
      <c r="L520" s="899">
        <f>Eingabe!$C$33</f>
        <v>1.3</v>
      </c>
      <c r="N520" s="917">
        <f>Eingabe!$C$33</f>
        <v>1.3</v>
      </c>
    </row>
    <row r="521" spans="1:14" ht="16.5" customHeight="1">
      <c r="A521" s="645" t="str">
        <f>A735</f>
        <v>Drehfedersteifigkeit</v>
      </c>
      <c r="B521" s="645" t="s">
        <v>910</v>
      </c>
      <c r="C521" s="808" t="e">
        <f ca="1">IF(Eingabe!$V$21=71,N521,IF(Eingabe!$V$21=70,L521,"FEHLER"))</f>
        <v>#DIV/0!</v>
      </c>
      <c r="D521" s="646" t="s">
        <v>494</v>
      </c>
      <c r="E521" s="646" t="str">
        <f>Sprachtexte!A152</f>
        <v>für Biegezug oben</v>
      </c>
      <c r="G521" s="748"/>
      <c r="L521" s="916" t="e">
        <f ca="1">IF(Eingabe!$V$14=40,Berechnung_BZoben!$S$7,IF(Eingabe!$V$14=41,Berechnung_BZoben!$AQ$8,"FEHLER"))</f>
        <v>#DIV/0!</v>
      </c>
      <c r="N521" s="923" t="e">
        <f ca="1">IF(Eingabe!$V$14=40,Berechnung_BZoben!$S$7,IF(Eingabe!$V$14=41,Berechnung_BZoben!$AQ$8,"FEHLER"))</f>
        <v>#DIV/0!</v>
      </c>
    </row>
    <row r="522" spans="1:14" ht="16.5" customHeight="1">
      <c r="A522" s="645"/>
      <c r="B522" s="645" t="s">
        <v>910</v>
      </c>
      <c r="C522" s="808" t="e">
        <f ca="1">IF(Eingabe!$V$21=71,N522,IF(Eingabe!$V$21=70,L522,"FEHLER"))</f>
        <v>#DIV/0!</v>
      </c>
      <c r="D522" s="646" t="s">
        <v>494</v>
      </c>
      <c r="E522" s="646" t="str">
        <f>Sprachtexte!A153</f>
        <v>für Biegezug unten</v>
      </c>
      <c r="G522" s="645"/>
      <c r="L522" s="916" t="e">
        <f ca="1">IF(Eingabe!$V$14=40,Berechnung_BZunten!$S$7,IF(Eingabe!$V$14=41,Berechnung_BZunten!$AQ$8,"FEHLER"))</f>
        <v>#DIV/0!</v>
      </c>
      <c r="N522" s="923" t="e">
        <f ca="1">IF(Eingabe!$V$14=40,Berechnung_BZunten!$S$7,IF(Eingabe!$V$14=41,Berechnung_BZunten!$AQ$8,"FEHLER"))</f>
        <v>#DIV/0!</v>
      </c>
    </row>
    <row r="523" spans="1:14" ht="16.5" customHeight="1">
      <c r="B523" s="781"/>
      <c r="C523" s="795"/>
      <c r="D523" s="646"/>
      <c r="F523" s="646"/>
      <c r="G523" s="645"/>
    </row>
    <row r="524" spans="1:14" ht="16.5" customHeight="1">
      <c r="A524" s="1565" t="str">
        <f>IF(Eingabe!$V$14=40,"",IF(Eingabe!$V$14=41,Sprachtexte!A246,"FEHLER"))</f>
        <v/>
      </c>
      <c r="B524" s="1565"/>
      <c r="C524" s="1565"/>
      <c r="D524" s="1565"/>
      <c r="E524" s="1565"/>
      <c r="F524" s="1565"/>
      <c r="G524" s="1565"/>
      <c r="H524" s="1565"/>
      <c r="I524" s="1565"/>
      <c r="L524" s="916"/>
    </row>
    <row r="525" spans="1:14" ht="16.5" customHeight="1">
      <c r="A525" s="1565"/>
      <c r="B525" s="1565"/>
      <c r="C525" s="1565"/>
      <c r="D525" s="1565"/>
      <c r="E525" s="1565"/>
      <c r="F525" s="1565"/>
      <c r="G525" s="1565"/>
      <c r="H525" s="1565"/>
      <c r="I525" s="1565"/>
      <c r="L525" s="916"/>
    </row>
    <row r="526" spans="1:14" ht="16.5" customHeight="1">
      <c r="A526" s="767" t="str">
        <f>Sprachtexte!A121</f>
        <v>Nachweis</v>
      </c>
      <c r="B526" s="781"/>
      <c r="C526" s="795"/>
      <c r="D526" s="646"/>
      <c r="F526" s="646"/>
      <c r="G526" s="645"/>
      <c r="L526" s="916"/>
    </row>
    <row r="527" spans="1:14" ht="16.5" customHeight="1">
      <c r="B527" s="645" t="s">
        <v>911</v>
      </c>
      <c r="C527" s="809" t="e">
        <f ca="1">IF(Eingabe!$V$14=40,_xlfn.XLOOKUP(H528,Eingabe!$EG$5:$EG$32,Eingabe!$EE$5:$EE$32,0,0,1),IF(Eingabe!$V$14=41,_xlfn.XLOOKUP(H528,Eingabe!$EG$37:$EG$64,Eingabe!$EE$37:$EE$64,0,0,1),"FEHLER"))</f>
        <v>#DIV/0!</v>
      </c>
      <c r="D527" s="646" t="s">
        <v>469</v>
      </c>
      <c r="E527" s="645" t="s">
        <v>637</v>
      </c>
      <c r="F527" s="779" t="e">
        <f ca="1">IF(Eingabe!$V$14=40,_xlfn.XLOOKUP(H528,Eingabe!$EG$5:$EG$32,Eingabe!$CV$5:$CV$32,0,0,1),IF(Eingabe!$V$14=41,_xlfn.XLOOKUP(H528,Eingabe!$EG$37:$EG$64,Eingabe!$CV$37:$CV$64,0,0,1),"FEHLER"))</f>
        <v>#DIV/0!</v>
      </c>
      <c r="G527" s="1540" t="str">
        <f>Sprachtexte!$A$164</f>
        <v>Ausnutzung</v>
      </c>
      <c r="H527" s="1540"/>
      <c r="I527" s="1540"/>
      <c r="L527" s="916"/>
    </row>
    <row r="528" spans="1:14" ht="16.5" customHeight="1">
      <c r="A528" s="767"/>
      <c r="B528" s="645" t="s">
        <v>2202</v>
      </c>
      <c r="C528" s="809" t="e">
        <f ca="1">IF(Eingabe!$V$14=40,_xlfn.XLOOKUP(H528,Eingabe!$EG$5:$EG$32,Eingabe!$CT$5:$CT$32,0,0,1),IF(Eingabe!$V$14=41,_xlfn.XLOOKUP(H528,Eingabe!$EG$37:$EG$64,Eingabe!$CT$37:$CT$64,0,0,1),"FEHLER"))</f>
        <v>#DIV/0!</v>
      </c>
      <c r="D528" s="646" t="s">
        <v>469</v>
      </c>
      <c r="E528" s="751" t="str">
        <f>Sprachtexte!$A$123</f>
        <v>aus</v>
      </c>
      <c r="F528" s="751" t="e">
        <f ca="1">IF(Eingabe!$V$14=40,_xlfn.XLOOKUP(H528,Eingabe!$EG$5:$EG$32,Eingabe!$BS$5:$BS$32,0,0,1),IF(Eingabe!$V$14=41,_xlfn.XLOOKUP(H528,Eingabe!$EG$37:$EG$64,Eingabe!$BS$37:$BS$64,0,0,1),"FEHLER"))</f>
        <v>#DIV/0!</v>
      </c>
      <c r="G528" s="645" t="s">
        <v>638</v>
      </c>
      <c r="H528" s="866" t="e">
        <f ca="1">IF(Eingabe!$V$14=40,MAX(Eingabe!$EG$5:$EG$32),IF(Eingabe!$V$14=41,MAX(Eingabe!$EG$37:$EG$64),"FEHLER"))</f>
        <v>#DIV/0!</v>
      </c>
      <c r="I528" s="646"/>
      <c r="L528" s="916"/>
    </row>
    <row r="529" spans="1:22" ht="16.5" customHeight="1">
      <c r="A529" s="767"/>
      <c r="C529" s="1256" t="s">
        <v>2203</v>
      </c>
      <c r="D529" s="809" t="e">
        <f ca="1">IF(Eingabe!$V$21=71,Sprachtexte!A256,IF(Eingabe!$V$21=70,Sprachtexte!A255,"FEHLER"))</f>
        <v>#DIV/0!</v>
      </c>
      <c r="E529" s="646"/>
      <c r="G529" s="645"/>
      <c r="H529" s="866"/>
      <c r="I529" s="646"/>
      <c r="L529" s="916"/>
    </row>
    <row r="530" spans="1:22" ht="16.5" customHeight="1">
      <c r="A530" s="585" t="str">
        <f>Sprachtexte!A154</f>
        <v>Drehfedersteifigkeiten</v>
      </c>
      <c r="B530" s="585" t="s">
        <v>937</v>
      </c>
      <c r="C530" s="585" t="s">
        <v>1086</v>
      </c>
      <c r="D530" s="585"/>
      <c r="E530" s="585"/>
      <c r="F530" s="585"/>
      <c r="G530" s="585"/>
      <c r="H530" s="585"/>
      <c r="I530" s="585"/>
      <c r="L530" s="916"/>
    </row>
    <row r="531" spans="1:22" s="740" customFormat="1" ht="16.5" customHeight="1">
      <c r="A531" s="646"/>
      <c r="B531" s="646"/>
      <c r="C531" s="753"/>
      <c r="D531" s="646"/>
      <c r="E531" s="646"/>
      <c r="F531" s="646"/>
      <c r="G531" s="646"/>
      <c r="H531" s="646"/>
      <c r="I531" s="646"/>
      <c r="J531" s="872"/>
      <c r="K531" s="801"/>
      <c r="L531" s="899"/>
      <c r="M531" s="650"/>
      <c r="N531" s="917"/>
      <c r="O531" s="646"/>
      <c r="P531" s="933"/>
      <c r="Q531" s="646"/>
      <c r="R531" s="942"/>
      <c r="S531" s="650"/>
      <c r="T531" s="934"/>
      <c r="U531" s="650"/>
      <c r="V531" s="925"/>
    </row>
    <row r="532" spans="1:22" s="740" customFormat="1" ht="16.5" customHeight="1">
      <c r="A532" s="1520" t="str">
        <f>Sprachtexte!A156</f>
        <v>Die ermittelten Einspannmomente durch den MEGANT-Verbinder sind abhängig von den Drehfedersteifigkeiten (für den Grenzzustand der Tragfähigkeit), welche wiederum abhängig von den  Kombinationsbeiwerten der jeweiligen Lastfallkombination sind.
Nachfolgende Tabelle listet die den Einspannmomenten zugrundeliegenden Drehfedersteifigkeiten (für den Grenzzustand der Tragfähigkeit) in Abhängigkeit der Lastfallkombination auf.</v>
      </c>
      <c r="B532" s="1520"/>
      <c r="C532" s="1520"/>
      <c r="D532" s="1520"/>
      <c r="E532" s="1520"/>
      <c r="F532" s="1520"/>
      <c r="G532" s="1520"/>
      <c r="H532" s="1520"/>
      <c r="I532" s="1520"/>
      <c r="J532" s="872"/>
      <c r="K532" s="801"/>
      <c r="L532" s="899"/>
      <c r="M532" s="650"/>
      <c r="N532" s="917"/>
      <c r="O532" s="646"/>
      <c r="P532" s="933"/>
      <c r="Q532" s="646"/>
      <c r="R532" s="942"/>
      <c r="S532" s="650"/>
      <c r="T532" s="934"/>
      <c r="U532" s="650"/>
      <c r="V532" s="925"/>
    </row>
    <row r="533" spans="1:22" s="740" customFormat="1" ht="16.5" customHeight="1">
      <c r="A533" s="1520"/>
      <c r="B533" s="1520"/>
      <c r="C533" s="1520"/>
      <c r="D533" s="1520"/>
      <c r="E533" s="1520"/>
      <c r="F533" s="1520"/>
      <c r="G533" s="1520"/>
      <c r="H533" s="1520"/>
      <c r="I533" s="1520"/>
      <c r="J533" s="872"/>
      <c r="K533" s="801"/>
      <c r="L533" s="899"/>
      <c r="M533" s="650"/>
      <c r="N533" s="917"/>
      <c r="O533" s="646"/>
      <c r="P533" s="933"/>
      <c r="Q533" s="646"/>
      <c r="R533" s="942"/>
      <c r="S533" s="650"/>
      <c r="T533" s="934"/>
      <c r="U533" s="650"/>
      <c r="V533" s="925"/>
    </row>
    <row r="534" spans="1:22" s="740" customFormat="1" ht="16.5" customHeight="1">
      <c r="A534" s="1520"/>
      <c r="B534" s="1520"/>
      <c r="C534" s="1520"/>
      <c r="D534" s="1520"/>
      <c r="E534" s="1520"/>
      <c r="F534" s="1520"/>
      <c r="G534" s="1520"/>
      <c r="H534" s="1520"/>
      <c r="I534" s="1520"/>
      <c r="J534" s="872"/>
      <c r="K534" s="801"/>
      <c r="L534" s="899"/>
      <c r="M534" s="650"/>
      <c r="N534" s="917"/>
      <c r="O534" s="646"/>
      <c r="P534" s="933"/>
      <c r="Q534" s="646"/>
      <c r="R534" s="942"/>
      <c r="S534" s="650"/>
      <c r="T534" s="934"/>
      <c r="U534" s="650"/>
      <c r="V534" s="925"/>
    </row>
    <row r="535" spans="1:22" s="740" customFormat="1" ht="16.5" customHeight="1">
      <c r="A535" s="1520"/>
      <c r="B535" s="1520"/>
      <c r="C535" s="1520"/>
      <c r="D535" s="1520"/>
      <c r="E535" s="1520"/>
      <c r="F535" s="1520"/>
      <c r="G535" s="1520"/>
      <c r="H535" s="1520"/>
      <c r="I535" s="1520"/>
      <c r="J535" s="872"/>
      <c r="K535" s="801"/>
      <c r="L535" s="899"/>
      <c r="M535" s="650"/>
      <c r="N535" s="917"/>
      <c r="O535" s="646"/>
      <c r="P535" s="933"/>
      <c r="Q535" s="646"/>
      <c r="R535" s="942"/>
      <c r="S535" s="650"/>
      <c r="T535" s="934"/>
      <c r="U535" s="650"/>
      <c r="V535" s="925"/>
    </row>
    <row r="536" spans="1:22" s="740" customFormat="1" ht="16.5" customHeight="1">
      <c r="A536" s="1520"/>
      <c r="B536" s="1520"/>
      <c r="C536" s="1520"/>
      <c r="D536" s="1520"/>
      <c r="E536" s="1520"/>
      <c r="F536" s="1520"/>
      <c r="G536" s="1520"/>
      <c r="H536" s="1520"/>
      <c r="I536" s="1520"/>
      <c r="J536" s="872"/>
      <c r="K536" s="801"/>
      <c r="L536" s="899"/>
      <c r="M536" s="650"/>
      <c r="N536" s="917"/>
      <c r="O536" s="646"/>
      <c r="P536" s="933"/>
      <c r="Q536" s="646"/>
      <c r="R536" s="942"/>
      <c r="S536" s="650"/>
      <c r="T536" s="934"/>
      <c r="U536" s="650"/>
      <c r="V536" s="925"/>
    </row>
    <row r="537" spans="1:22" s="740" customFormat="1" ht="16.5" customHeight="1">
      <c r="A537" s="645" t="s">
        <v>1094</v>
      </c>
      <c r="B537" s="779">
        <f>Eingabe!D76</f>
        <v>0.6</v>
      </c>
      <c r="C537" s="753"/>
      <c r="D537" s="646"/>
      <c r="E537" s="646"/>
      <c r="F537" s="646"/>
      <c r="G537" s="646"/>
      <c r="H537" s="646"/>
      <c r="I537" s="646"/>
      <c r="J537" s="872"/>
      <c r="K537" s="801"/>
      <c r="L537" s="899"/>
      <c r="M537" s="650"/>
      <c r="N537" s="917"/>
      <c r="O537" s="646"/>
      <c r="P537" s="933"/>
      <c r="Q537" s="646"/>
      <c r="R537" s="942"/>
      <c r="S537" s="650"/>
      <c r="T537" s="934"/>
      <c r="U537" s="650"/>
      <c r="V537" s="925"/>
    </row>
    <row r="538" spans="1:22" s="740" customFormat="1" ht="16.5" customHeight="1">
      <c r="A538" s="645"/>
      <c r="B538" s="807"/>
      <c r="C538" s="753"/>
      <c r="D538" s="646"/>
      <c r="E538" s="646"/>
      <c r="F538" s="646"/>
      <c r="G538" s="646"/>
      <c r="H538" s="646"/>
      <c r="I538" s="646"/>
      <c r="J538" s="872"/>
      <c r="K538" s="801"/>
      <c r="L538" s="899"/>
      <c r="M538" s="650"/>
      <c r="N538" s="917"/>
      <c r="O538" s="646"/>
      <c r="P538" s="933"/>
      <c r="Q538" s="646"/>
      <c r="R538" s="942"/>
      <c r="S538" s="650"/>
      <c r="T538" s="934"/>
      <c r="U538" s="650"/>
      <c r="V538" s="925"/>
    </row>
    <row r="539" spans="1:22" s="740" customFormat="1" ht="16.5" customHeight="1">
      <c r="A539" s="751" t="s">
        <v>1093</v>
      </c>
      <c r="B539" s="751" t="s">
        <v>118</v>
      </c>
      <c r="C539" s="796" t="s">
        <v>1088</v>
      </c>
      <c r="D539" s="881" t="s">
        <v>466</v>
      </c>
      <c r="E539" s="796" t="s">
        <v>1089</v>
      </c>
      <c r="F539" s="646"/>
      <c r="G539" s="646"/>
      <c r="H539" s="646"/>
      <c r="I539" s="646"/>
      <c r="J539" s="872"/>
      <c r="K539" s="801"/>
      <c r="L539" s="899"/>
      <c r="M539" s="650"/>
      <c r="N539" s="917"/>
      <c r="O539" s="646"/>
      <c r="P539" s="933"/>
      <c r="Q539" s="646"/>
      <c r="R539" s="942"/>
      <c r="S539" s="650"/>
      <c r="T539" s="934"/>
      <c r="U539" s="650"/>
      <c r="V539" s="925"/>
    </row>
    <row r="540" spans="1:22" s="740" customFormat="1" ht="16.5" customHeight="1">
      <c r="A540" s="787" t="str">
        <f>IF(Eingabe!$V$14=40,Eingabe!BS5,IF(Eingabe!$V$14=41,Eingabe!BS37,"FALSCH"))</f>
        <v>LK 1</v>
      </c>
      <c r="B540" s="751" t="e">
        <f ca="1">IF(Eingabe!$V$14=40,IF(Eingabe!CT5=0,"-",Eingabe!CC5),IF(Eingabe!$V$14=41,IF(Eingabe!CT37=0,"-",Eingabe!CC37),"FALSCH"))</f>
        <v>#DIV/0!</v>
      </c>
      <c r="C540" s="787" t="e">
        <f ca="1">IF(Eingabe!$V$14=40,IF(Eingabe!CT5=0,"-",Eingabe!CD5),IF(Eingabe!$V$14=41,IF(Eingabe!CT37=0,"-",Eingabe!CD37),"FALSCH"))</f>
        <v>#DIV/0!</v>
      </c>
      <c r="D540" s="779" t="e">
        <f ca="1">IF(Eingabe!$V$14=40,IF(Eingabe!CT5=0,"-",Eingabe!CA5),IF(Eingabe!$V$14=41,IF(Eingabe!CT37=0,"-",Eingabe!CA37),"FALSCH"))</f>
        <v>#DIV/0!</v>
      </c>
      <c r="E540" s="787" t="e">
        <f ca="1">IF(Eingabe!$V$14=40,IF(Eingabe!CT5=0,"-",Eingabe!CE5),IF(Eingabe!$V$14=41,IF(Eingabe!CT37=0,"-",Eingabe!CE37),"FALSCH"))</f>
        <v>#DIV/0!</v>
      </c>
      <c r="F540" s="646"/>
      <c r="G540" s="646"/>
      <c r="H540" s="646"/>
      <c r="I540" s="646"/>
      <c r="J540" s="872"/>
      <c r="K540" s="801"/>
      <c r="L540" s="899"/>
      <c r="M540" s="650"/>
      <c r="N540" s="917"/>
      <c r="O540" s="646"/>
      <c r="P540" s="933"/>
      <c r="Q540" s="646"/>
      <c r="R540" s="942"/>
      <c r="S540" s="650"/>
      <c r="T540" s="934"/>
      <c r="U540" s="650"/>
      <c r="V540" s="925"/>
    </row>
    <row r="541" spans="1:22" s="740" customFormat="1" ht="16.5" customHeight="1">
      <c r="A541" s="787" t="str">
        <f>IF(Eingabe!$V$14=40,Eingabe!BS6,IF(Eingabe!$V$14=41,Eingabe!BS38,"FALSCH"))</f>
        <v>LK 2</v>
      </c>
      <c r="B541" s="751" t="e">
        <f ca="1">IF(Eingabe!$V$14=40,IF(Eingabe!CT6=0,"-",Eingabe!CC6),IF(Eingabe!$V$14=41,IF(Eingabe!CT38=0,"-",Eingabe!CC38),"FALSCH"))</f>
        <v>#DIV/0!</v>
      </c>
      <c r="C541" s="787" t="e">
        <f ca="1">IF(Eingabe!$V$14=40,IF(Eingabe!CT6=0,"-",Eingabe!CD6),IF(Eingabe!$V$14=41,IF(Eingabe!CT38=0,"-",Eingabe!CD38),"FALSCH"))</f>
        <v>#DIV/0!</v>
      </c>
      <c r="D541" s="779" t="e">
        <f ca="1">IF(Eingabe!$V$14=40,IF(Eingabe!CT6=0,"-",Eingabe!CA6),IF(Eingabe!$V$14=41,IF(Eingabe!CT38=0,"-",Eingabe!CA38),"FALSCH"))</f>
        <v>#DIV/0!</v>
      </c>
      <c r="E541" s="787" t="e">
        <f ca="1">IF(Eingabe!$V$14=40,IF(Eingabe!CT6=0,"-",Eingabe!CE6),IF(Eingabe!$V$14=41,IF(Eingabe!CT38=0,"-",Eingabe!CE38),"FALSCH"))</f>
        <v>#DIV/0!</v>
      </c>
      <c r="F541" s="646"/>
      <c r="G541" s="646"/>
      <c r="H541" s="646"/>
      <c r="I541" s="646"/>
      <c r="J541" s="872"/>
      <c r="K541" s="801"/>
      <c r="L541" s="899"/>
      <c r="M541" s="650"/>
      <c r="N541" s="917"/>
      <c r="O541" s="646"/>
      <c r="P541" s="933"/>
      <c r="Q541" s="646"/>
      <c r="R541" s="942"/>
      <c r="S541" s="650"/>
      <c r="T541" s="934"/>
      <c r="U541" s="650"/>
      <c r="V541" s="925"/>
    </row>
    <row r="542" spans="1:22" s="740" customFormat="1" ht="16.5" customHeight="1">
      <c r="A542" s="787" t="str">
        <f>IF(Eingabe!$V$14=40,Eingabe!BS7,IF(Eingabe!$V$14=41,Eingabe!BS39,"FALSCH"))</f>
        <v>LK 3</v>
      </c>
      <c r="B542" s="751" t="e">
        <f ca="1">IF(Eingabe!$V$14=40,IF(Eingabe!CT7=0,"-",Eingabe!CC7),IF(Eingabe!$V$14=41,IF(Eingabe!CT39=0,"-",Eingabe!CC39),"FALSCH"))</f>
        <v>#DIV/0!</v>
      </c>
      <c r="C542" s="787" t="e">
        <f ca="1">IF(Eingabe!$V$14=40,IF(Eingabe!CT7=0,"-",Eingabe!CD7),IF(Eingabe!$V$14=41,IF(Eingabe!CT39=0,"-",Eingabe!CD39),"FALSCH"))</f>
        <v>#DIV/0!</v>
      </c>
      <c r="D542" s="779" t="e">
        <f ca="1">IF(Eingabe!$V$14=40,IF(Eingabe!CT7=0,"-",Eingabe!CA7),IF(Eingabe!$V$14=41,IF(Eingabe!CT39=0,"-",Eingabe!CA39),"FALSCH"))</f>
        <v>#DIV/0!</v>
      </c>
      <c r="E542" s="787" t="e">
        <f ca="1">IF(Eingabe!$V$14=40,IF(Eingabe!CT7=0,"-",Eingabe!CE7),IF(Eingabe!$V$14=41,IF(Eingabe!CT39=0,"-",Eingabe!CE39),"FALSCH"))</f>
        <v>#DIV/0!</v>
      </c>
      <c r="F542" s="646"/>
      <c r="G542" s="646"/>
      <c r="H542" s="646"/>
      <c r="I542" s="646"/>
      <c r="J542" s="872"/>
      <c r="K542" s="801"/>
      <c r="L542" s="899"/>
      <c r="M542" s="650"/>
      <c r="N542" s="917"/>
      <c r="O542" s="646"/>
      <c r="P542" s="933"/>
      <c r="Q542" s="646"/>
      <c r="R542" s="942"/>
      <c r="S542" s="650"/>
      <c r="T542" s="934"/>
      <c r="U542" s="650"/>
      <c r="V542" s="925"/>
    </row>
    <row r="543" spans="1:22" s="740" customFormat="1" ht="16.5" customHeight="1">
      <c r="A543" s="787" t="str">
        <f>IF(Eingabe!$V$14=40,Eingabe!BS8,IF(Eingabe!$V$14=41,Eingabe!BS40,"FALSCH"))</f>
        <v>LK 4</v>
      </c>
      <c r="B543" s="751" t="e">
        <f ca="1">IF(Eingabe!$V$14=40,IF(Eingabe!CT8=0,"-",Eingabe!CC8),IF(Eingabe!$V$14=41,IF(Eingabe!CT40=0,"-",Eingabe!CC40),"FALSCH"))</f>
        <v>#DIV/0!</v>
      </c>
      <c r="C543" s="787" t="e">
        <f ca="1">IF(Eingabe!$V$14=40,IF(Eingabe!CT8=0,"-",Eingabe!CD8),IF(Eingabe!$V$14=41,IF(Eingabe!CT40=0,"-",Eingabe!CD40),"FALSCH"))</f>
        <v>#DIV/0!</v>
      </c>
      <c r="D543" s="779" t="e">
        <f ca="1">IF(Eingabe!$V$14=40,IF(Eingabe!CT8=0,"-",Eingabe!CA8),IF(Eingabe!$V$14=41,IF(Eingabe!CT40=0,"-",Eingabe!CA40),"FALSCH"))</f>
        <v>#DIV/0!</v>
      </c>
      <c r="E543" s="787" t="e">
        <f ca="1">IF(Eingabe!$V$14=40,IF(Eingabe!CT8=0,"-",Eingabe!CE8),IF(Eingabe!$V$14=41,IF(Eingabe!CT40=0,"-",Eingabe!CE40),"FALSCH"))</f>
        <v>#DIV/0!</v>
      </c>
      <c r="F543" s="646"/>
      <c r="G543" s="646"/>
      <c r="H543" s="646"/>
      <c r="I543" s="646"/>
      <c r="J543" s="872"/>
      <c r="K543" s="801"/>
      <c r="L543" s="899"/>
      <c r="M543" s="650"/>
      <c r="N543" s="917"/>
      <c r="O543" s="646"/>
      <c r="P543" s="933"/>
      <c r="Q543" s="646"/>
      <c r="R543" s="942"/>
      <c r="S543" s="650"/>
      <c r="T543" s="934"/>
      <c r="U543" s="650"/>
      <c r="V543" s="925"/>
    </row>
    <row r="544" spans="1:22" s="740" customFormat="1" ht="16.5" customHeight="1">
      <c r="A544" s="787" t="str">
        <f>IF(Eingabe!$V$14=40,Eingabe!BS9,IF(Eingabe!$V$14=41,Eingabe!BS41,"FALSCH"))</f>
        <v>LK 5</v>
      </c>
      <c r="B544" s="751" t="e">
        <f ca="1">IF(Eingabe!$V$14=40,IF(Eingabe!CT9=0,"-",Eingabe!CC9),IF(Eingabe!$V$14=41,IF(Eingabe!CT41=0,"-",Eingabe!CC41),"FALSCH"))</f>
        <v>#DIV/0!</v>
      </c>
      <c r="C544" s="787" t="e">
        <f ca="1">IF(Eingabe!$V$14=40,IF(Eingabe!CT9=0,"-",Eingabe!CD9),IF(Eingabe!$V$14=41,IF(Eingabe!CT41=0,"-",Eingabe!CD41),"FALSCH"))</f>
        <v>#DIV/0!</v>
      </c>
      <c r="D544" s="779" t="e">
        <f ca="1">IF(Eingabe!$V$14=40,IF(Eingabe!CT9=0,"-",Eingabe!CA9),IF(Eingabe!$V$14=41,IF(Eingabe!CT41=0,"-",Eingabe!CA41),"FALSCH"))</f>
        <v>#DIV/0!</v>
      </c>
      <c r="E544" s="787" t="e">
        <f ca="1">IF(Eingabe!$V$14=40,IF(Eingabe!CT9=0,"-",Eingabe!CE9),IF(Eingabe!$V$14=41,IF(Eingabe!CT41=0,"-",Eingabe!CE41),"FALSCH"))</f>
        <v>#DIV/0!</v>
      </c>
      <c r="F544" s="646"/>
      <c r="G544" s="646"/>
      <c r="H544" s="646"/>
      <c r="I544" s="646"/>
      <c r="J544" s="872"/>
      <c r="K544" s="801"/>
      <c r="L544" s="899"/>
      <c r="M544" s="650"/>
      <c r="N544" s="917"/>
      <c r="O544" s="646"/>
      <c r="P544" s="933"/>
      <c r="Q544" s="646"/>
      <c r="R544" s="942"/>
      <c r="S544" s="650"/>
      <c r="T544" s="934"/>
      <c r="U544" s="650"/>
      <c r="V544" s="925"/>
    </row>
    <row r="545" spans="1:22" s="740" customFormat="1" ht="16.5" customHeight="1">
      <c r="A545" s="787" t="str">
        <f>IF(Eingabe!$V$14=40,Eingabe!BS10,IF(Eingabe!$V$14=41,Eingabe!BS42,"FALSCH"))</f>
        <v>LK 6</v>
      </c>
      <c r="B545" s="751" t="e">
        <f ca="1">IF(Eingabe!$V$14=40,IF(Eingabe!CT10=0,"-",Eingabe!CC10),IF(Eingabe!$V$14=41,IF(Eingabe!CT42=0,"-",Eingabe!CC42),"FALSCH"))</f>
        <v>#DIV/0!</v>
      </c>
      <c r="C545" s="787" t="e">
        <f ca="1">IF(Eingabe!$V$14=40,IF(Eingabe!CT10=0,"-",Eingabe!CD10),IF(Eingabe!$V$14=41,IF(Eingabe!CT42=0,"-",Eingabe!CD42),"FALSCH"))</f>
        <v>#DIV/0!</v>
      </c>
      <c r="D545" s="779" t="e">
        <f ca="1">IF(Eingabe!$V$14=40,IF(Eingabe!CT10=0,"-",Eingabe!CA10),IF(Eingabe!$V$14=41,IF(Eingabe!CT42=0,"-",Eingabe!CA42),"FALSCH"))</f>
        <v>#DIV/0!</v>
      </c>
      <c r="E545" s="787" t="e">
        <f ca="1">IF(Eingabe!$V$14=40,IF(Eingabe!CT10=0,"-",Eingabe!CE10),IF(Eingabe!$V$14=41,IF(Eingabe!CT42=0,"-",Eingabe!CE42),"FALSCH"))</f>
        <v>#DIV/0!</v>
      </c>
      <c r="F545" s="646"/>
      <c r="G545" s="646"/>
      <c r="H545" s="646"/>
      <c r="I545" s="646"/>
      <c r="J545" s="872"/>
      <c r="K545" s="801"/>
      <c r="L545" s="899"/>
      <c r="M545" s="650"/>
      <c r="N545" s="917"/>
      <c r="O545" s="646"/>
      <c r="P545" s="933"/>
      <c r="Q545" s="646"/>
      <c r="R545" s="942"/>
      <c r="S545" s="650"/>
      <c r="T545" s="934"/>
      <c r="U545" s="650"/>
      <c r="V545" s="925"/>
    </row>
    <row r="546" spans="1:22" s="740" customFormat="1" ht="16.5" customHeight="1">
      <c r="A546" s="787" t="str">
        <f>IF(Eingabe!$V$14=40,Eingabe!BS11,IF(Eingabe!$V$14=41,Eingabe!BS43,"FALSCH"))</f>
        <v>LK 7</v>
      </c>
      <c r="B546" s="751" t="e">
        <f ca="1">IF(Eingabe!$V$14=40,IF(Eingabe!CT11=0,"-",Eingabe!CC11),IF(Eingabe!$V$14=41,IF(Eingabe!CT43=0,"-",Eingabe!CC43),"FALSCH"))</f>
        <v>#DIV/0!</v>
      </c>
      <c r="C546" s="787" t="e">
        <f ca="1">IF(Eingabe!$V$14=40,IF(Eingabe!CT11=0,"-",Eingabe!CD11),IF(Eingabe!$V$14=41,IF(Eingabe!CT43=0,"-",Eingabe!CD43),"FALSCH"))</f>
        <v>#DIV/0!</v>
      </c>
      <c r="D546" s="779" t="e">
        <f ca="1">IF(Eingabe!$V$14=40,IF(Eingabe!CT11=0,"-",Eingabe!CA11),IF(Eingabe!$V$14=41,IF(Eingabe!CT43=0,"-",Eingabe!CA43),"FALSCH"))</f>
        <v>#DIV/0!</v>
      </c>
      <c r="E546" s="787" t="e">
        <f ca="1">IF(Eingabe!$V$14=40,IF(Eingabe!CT11=0,"-",Eingabe!CE11),IF(Eingabe!$V$14=41,IF(Eingabe!CT43=0,"-",Eingabe!CE43),"FALSCH"))</f>
        <v>#DIV/0!</v>
      </c>
      <c r="F546" s="646"/>
      <c r="G546" s="646"/>
      <c r="H546" s="646"/>
      <c r="I546" s="646"/>
      <c r="J546" s="872"/>
      <c r="K546" s="801"/>
      <c r="L546" s="899"/>
      <c r="M546" s="650"/>
      <c r="N546" s="917"/>
      <c r="O546" s="646"/>
      <c r="P546" s="933"/>
      <c r="Q546" s="646"/>
      <c r="R546" s="942"/>
      <c r="S546" s="650"/>
      <c r="T546" s="934"/>
      <c r="U546" s="650"/>
      <c r="V546" s="925"/>
    </row>
    <row r="547" spans="1:22" s="740" customFormat="1" ht="16.5" customHeight="1">
      <c r="A547" s="787" t="str">
        <f>IF(Eingabe!$V$14=40,Eingabe!BS12,IF(Eingabe!$V$14=41,Eingabe!BS44,"FALSCH"))</f>
        <v>LK 8</v>
      </c>
      <c r="B547" s="751" t="e">
        <f ca="1">IF(Eingabe!$V$14=40,IF(Eingabe!CT12=0,"-",Eingabe!CC12),IF(Eingabe!$V$14=41,IF(Eingabe!CT44=0,"-",Eingabe!CC44),"FALSCH"))</f>
        <v>#DIV/0!</v>
      </c>
      <c r="C547" s="787" t="e">
        <f ca="1">IF(Eingabe!$V$14=40,IF(Eingabe!CT12=0,"-",Eingabe!CD12),IF(Eingabe!$V$14=41,IF(Eingabe!CT44=0,"-",Eingabe!CD44),"FALSCH"))</f>
        <v>#DIV/0!</v>
      </c>
      <c r="D547" s="779" t="e">
        <f ca="1">IF(Eingabe!$V$14=40,IF(Eingabe!CT12=0,"-",Eingabe!CA12),IF(Eingabe!$V$14=41,IF(Eingabe!CT44=0,"-",Eingabe!CA44),"FALSCH"))</f>
        <v>#DIV/0!</v>
      </c>
      <c r="E547" s="787" t="e">
        <f ca="1">IF(Eingabe!$V$14=40,IF(Eingabe!CT12=0,"-",Eingabe!CE12),IF(Eingabe!$V$14=41,IF(Eingabe!CT44=0,"-",Eingabe!CE44),"FALSCH"))</f>
        <v>#DIV/0!</v>
      </c>
      <c r="F547" s="646"/>
      <c r="G547" s="646"/>
      <c r="H547" s="646"/>
      <c r="I547" s="646"/>
      <c r="J547" s="872"/>
      <c r="K547" s="801"/>
      <c r="L547" s="899"/>
      <c r="M547" s="650"/>
      <c r="N547" s="917"/>
      <c r="O547" s="646"/>
      <c r="P547" s="933"/>
      <c r="Q547" s="646"/>
      <c r="R547" s="942"/>
      <c r="S547" s="650"/>
      <c r="T547" s="934"/>
      <c r="U547" s="650"/>
      <c r="V547" s="925"/>
    </row>
    <row r="548" spans="1:22" s="740" customFormat="1" ht="16.5" customHeight="1">
      <c r="A548" s="787" t="str">
        <f>IF(Eingabe!$V$14=40,Eingabe!BS13,IF(Eingabe!$V$14=41,Eingabe!BS45,"FALSCH"))</f>
        <v>LK 9</v>
      </c>
      <c r="B548" s="751" t="e">
        <f ca="1">IF(Eingabe!$V$14=40,IF(Eingabe!CT13=0,"-",Eingabe!CC13),IF(Eingabe!$V$14=41,IF(Eingabe!CT45=0,"-",Eingabe!CC45),"FALSCH"))</f>
        <v>#DIV/0!</v>
      </c>
      <c r="C548" s="787" t="e">
        <f ca="1">IF(Eingabe!$V$14=40,IF(Eingabe!CT13=0,"-",Eingabe!CD13),IF(Eingabe!$V$14=41,IF(Eingabe!CT45=0,"-",Eingabe!CD45),"FALSCH"))</f>
        <v>#DIV/0!</v>
      </c>
      <c r="D548" s="779" t="e">
        <f ca="1">IF(Eingabe!$V$14=40,IF(Eingabe!CT13=0,"-",Eingabe!CA13),IF(Eingabe!$V$14=41,IF(Eingabe!CT45=0,"-",Eingabe!CA45),"FALSCH"))</f>
        <v>#DIV/0!</v>
      </c>
      <c r="E548" s="787" t="e">
        <f ca="1">IF(Eingabe!$V$14=40,IF(Eingabe!CT13=0,"-",Eingabe!CE13),IF(Eingabe!$V$14=41,IF(Eingabe!CT45=0,"-",Eingabe!CE45),"FALSCH"))</f>
        <v>#DIV/0!</v>
      </c>
      <c r="F548" s="646"/>
      <c r="G548" s="646"/>
      <c r="H548" s="646"/>
      <c r="I548" s="646"/>
      <c r="J548" s="872"/>
      <c r="K548" s="801"/>
      <c r="L548" s="899"/>
      <c r="M548" s="650"/>
      <c r="N548" s="917"/>
      <c r="O548" s="646"/>
      <c r="P548" s="933"/>
      <c r="Q548" s="646"/>
      <c r="R548" s="942"/>
      <c r="S548" s="650"/>
      <c r="T548" s="934"/>
      <c r="U548" s="650"/>
      <c r="V548" s="925"/>
    </row>
    <row r="549" spans="1:22" s="740" customFormat="1" ht="16.5" customHeight="1">
      <c r="A549" s="787" t="str">
        <f>IF(Eingabe!$V$14=40,Eingabe!BS14,IF(Eingabe!$V$14=41,Eingabe!BS46,"FALSCH"))</f>
        <v>LK 10</v>
      </c>
      <c r="B549" s="751" t="e">
        <f ca="1">IF(Eingabe!$V$14=40,IF(Eingabe!CT14=0,"-",Eingabe!CC14),IF(Eingabe!$V$14=41,IF(Eingabe!CT46=0,"-",Eingabe!CC46),"FALSCH"))</f>
        <v>#DIV/0!</v>
      </c>
      <c r="C549" s="787" t="e">
        <f ca="1">IF(Eingabe!$V$14=40,IF(Eingabe!CT14=0,"-",Eingabe!CD14),IF(Eingabe!$V$14=41,IF(Eingabe!CT46=0,"-",Eingabe!CD46),"FALSCH"))</f>
        <v>#DIV/0!</v>
      </c>
      <c r="D549" s="779" t="e">
        <f ca="1">IF(Eingabe!$V$14=40,IF(Eingabe!CT14=0,"-",Eingabe!CA14),IF(Eingabe!$V$14=41,IF(Eingabe!CT46=0,"-",Eingabe!CA46),"FALSCH"))</f>
        <v>#DIV/0!</v>
      </c>
      <c r="E549" s="787" t="e">
        <f ca="1">IF(Eingabe!$V$14=40,IF(Eingabe!CT14=0,"-",Eingabe!CE14),IF(Eingabe!$V$14=41,IF(Eingabe!CT46=0,"-",Eingabe!CE46),"FALSCH"))</f>
        <v>#DIV/0!</v>
      </c>
      <c r="F549" s="646"/>
      <c r="G549" s="646"/>
      <c r="H549" s="646"/>
      <c r="I549" s="646"/>
      <c r="J549" s="872"/>
      <c r="K549" s="801"/>
      <c r="L549" s="899"/>
      <c r="M549" s="650"/>
      <c r="N549" s="917"/>
      <c r="O549" s="646"/>
      <c r="P549" s="933"/>
      <c r="Q549" s="646"/>
      <c r="R549" s="942"/>
      <c r="S549" s="650"/>
      <c r="T549" s="934"/>
      <c r="U549" s="650"/>
      <c r="V549" s="925"/>
    </row>
    <row r="550" spans="1:22" s="740" customFormat="1" ht="16.5" customHeight="1">
      <c r="A550" s="787" t="str">
        <f>IF(Eingabe!$V$14=40,Eingabe!BS15,IF(Eingabe!$V$14=41,Eingabe!BS47,"FALSCH"))</f>
        <v>LK 11</v>
      </c>
      <c r="B550" s="751" t="e">
        <f ca="1">IF(Eingabe!$V$14=40,IF(Eingabe!CT15=0,"-",Eingabe!CC15),IF(Eingabe!$V$14=41,IF(Eingabe!CT47=0,"-",Eingabe!CC47),"FALSCH"))</f>
        <v>#DIV/0!</v>
      </c>
      <c r="C550" s="787" t="e">
        <f ca="1">IF(Eingabe!$V$14=40,IF(Eingabe!CT15=0,"-",Eingabe!CD15),IF(Eingabe!$V$14=41,IF(Eingabe!CT47=0,"-",Eingabe!CD47),"FALSCH"))</f>
        <v>#DIV/0!</v>
      </c>
      <c r="D550" s="779" t="e">
        <f ca="1">IF(Eingabe!$V$14=40,IF(Eingabe!CT15=0,"-",Eingabe!CA15),IF(Eingabe!$V$14=41,IF(Eingabe!CT47=0,"-",Eingabe!CA47),"FALSCH"))</f>
        <v>#DIV/0!</v>
      </c>
      <c r="E550" s="787" t="e">
        <f ca="1">IF(Eingabe!$V$14=40,IF(Eingabe!CT15=0,"-",Eingabe!CE15),IF(Eingabe!$V$14=41,IF(Eingabe!CT47=0,"-",Eingabe!CE47),"FALSCH"))</f>
        <v>#DIV/0!</v>
      </c>
      <c r="F550" s="646"/>
      <c r="G550" s="646"/>
      <c r="H550" s="646"/>
      <c r="I550" s="646"/>
      <c r="J550" s="872"/>
      <c r="K550" s="801"/>
      <c r="L550" s="899"/>
      <c r="M550" s="650"/>
      <c r="N550" s="917"/>
      <c r="O550" s="646"/>
      <c r="P550" s="933"/>
      <c r="Q550" s="646"/>
      <c r="R550" s="942"/>
      <c r="S550" s="650"/>
      <c r="T550" s="934"/>
      <c r="U550" s="650"/>
      <c r="V550" s="925"/>
    </row>
    <row r="551" spans="1:22" s="740" customFormat="1" ht="16.5" customHeight="1">
      <c r="A551" s="787" t="str">
        <f>IF(Eingabe!$V$14=40,Eingabe!BS16,IF(Eingabe!$V$14=41,Eingabe!BS48,"FALSCH"))</f>
        <v>LK 12</v>
      </c>
      <c r="B551" s="751" t="e">
        <f ca="1">IF(Eingabe!$V$14=40,IF(Eingabe!CT16=0,"-",Eingabe!CC16),IF(Eingabe!$V$14=41,IF(Eingabe!CT48=0,"-",Eingabe!CC48),"FALSCH"))</f>
        <v>#DIV/0!</v>
      </c>
      <c r="C551" s="787" t="e">
        <f ca="1">IF(Eingabe!$V$14=40,IF(Eingabe!CT16=0,"-",Eingabe!CD16),IF(Eingabe!$V$14=41,IF(Eingabe!CT48=0,"-",Eingabe!CD48),"FALSCH"))</f>
        <v>#DIV/0!</v>
      </c>
      <c r="D551" s="779" t="e">
        <f ca="1">IF(Eingabe!$V$14=40,IF(Eingabe!CT16=0,"-",Eingabe!CA16),IF(Eingabe!$V$14=41,IF(Eingabe!CT48=0,"-",Eingabe!CA48),"FALSCH"))</f>
        <v>#DIV/0!</v>
      </c>
      <c r="E551" s="787" t="e">
        <f ca="1">IF(Eingabe!$V$14=40,IF(Eingabe!CT16=0,"-",Eingabe!CE16),IF(Eingabe!$V$14=41,IF(Eingabe!CT48=0,"-",Eingabe!CE48),"FALSCH"))</f>
        <v>#DIV/0!</v>
      </c>
      <c r="F551" s="646"/>
      <c r="G551" s="646"/>
      <c r="H551" s="646"/>
      <c r="I551" s="646"/>
      <c r="J551" s="872"/>
      <c r="K551" s="801"/>
      <c r="L551" s="899"/>
      <c r="M551" s="650"/>
      <c r="N551" s="917"/>
      <c r="O551" s="646"/>
      <c r="P551" s="933"/>
      <c r="Q551" s="646"/>
      <c r="R551" s="942"/>
      <c r="S551" s="650"/>
      <c r="T551" s="934"/>
      <c r="U551" s="650"/>
      <c r="V551" s="925"/>
    </row>
    <row r="552" spans="1:22" s="740" customFormat="1" ht="16.5" customHeight="1">
      <c r="A552" s="787" t="str">
        <f>IF(Eingabe!$V$14=40,Eingabe!BS17,IF(Eingabe!$V$14=41,Eingabe!BS49,"FALSCH"))</f>
        <v>LK 13</v>
      </c>
      <c r="B552" s="751" t="e">
        <f ca="1">IF(Eingabe!$V$14=40,IF(Eingabe!CT17=0,"-",Eingabe!CC17),IF(Eingabe!$V$14=41,IF(Eingabe!CT49=0,"-",Eingabe!CC49),"FALSCH"))</f>
        <v>#DIV/0!</v>
      </c>
      <c r="C552" s="787" t="e">
        <f ca="1">IF(Eingabe!$V$14=40,IF(Eingabe!CT17=0,"-",Eingabe!CD17),IF(Eingabe!$V$14=41,IF(Eingabe!CT49=0,"-",Eingabe!CD49),"FALSCH"))</f>
        <v>#DIV/0!</v>
      </c>
      <c r="D552" s="779" t="e">
        <f ca="1">IF(Eingabe!$V$14=40,IF(Eingabe!CT17=0,"-",Eingabe!CA17),IF(Eingabe!$V$14=41,IF(Eingabe!CT49=0,"-",Eingabe!CA49),"FALSCH"))</f>
        <v>#DIV/0!</v>
      </c>
      <c r="E552" s="787" t="e">
        <f ca="1">IF(Eingabe!$V$14=40,IF(Eingabe!CT17=0,"-",Eingabe!CE17),IF(Eingabe!$V$14=41,IF(Eingabe!CT49=0,"-",Eingabe!CE49),"FALSCH"))</f>
        <v>#DIV/0!</v>
      </c>
      <c r="F552" s="646"/>
      <c r="G552" s="646"/>
      <c r="H552" s="646"/>
      <c r="I552" s="646"/>
      <c r="J552" s="872"/>
      <c r="K552" s="801"/>
      <c r="L552" s="899"/>
      <c r="M552" s="650"/>
      <c r="N552" s="917"/>
      <c r="O552" s="646"/>
      <c r="P552" s="933"/>
      <c r="Q552" s="646"/>
      <c r="R552" s="942"/>
      <c r="S552" s="650"/>
      <c r="T552" s="934"/>
      <c r="U552" s="650"/>
      <c r="V552" s="925"/>
    </row>
    <row r="553" spans="1:22" s="740" customFormat="1" ht="16.5" customHeight="1">
      <c r="A553" s="787" t="str">
        <f>IF(Eingabe!$V$14=40,Eingabe!BS18,IF(Eingabe!$V$14=41,Eingabe!BS50,"FALSCH"))</f>
        <v>LK 14</v>
      </c>
      <c r="B553" s="751" t="e">
        <f ca="1">IF(Eingabe!$V$14=40,IF(Eingabe!CT18=0,"-",Eingabe!CC18),IF(Eingabe!$V$14=41,IF(Eingabe!CT50=0,"-",Eingabe!CC50),"FALSCH"))</f>
        <v>#DIV/0!</v>
      </c>
      <c r="C553" s="787" t="e">
        <f ca="1">IF(Eingabe!$V$14=40,IF(Eingabe!CT18=0,"-",Eingabe!CD18),IF(Eingabe!$V$14=41,IF(Eingabe!CT50=0,"-",Eingabe!CD50),"FALSCH"))</f>
        <v>#DIV/0!</v>
      </c>
      <c r="D553" s="779" t="e">
        <f ca="1">IF(Eingabe!$V$14=40,IF(Eingabe!CT18=0,"-",Eingabe!CA18),IF(Eingabe!$V$14=41,IF(Eingabe!CT50=0,"-",Eingabe!CA50),"FALSCH"))</f>
        <v>#DIV/0!</v>
      </c>
      <c r="E553" s="787" t="e">
        <f ca="1">IF(Eingabe!$V$14=40,IF(Eingabe!CT18=0,"-",Eingabe!CE18),IF(Eingabe!$V$14=41,IF(Eingabe!CT50=0,"-",Eingabe!CE50),"FALSCH"))</f>
        <v>#DIV/0!</v>
      </c>
      <c r="F553" s="646"/>
      <c r="G553" s="646"/>
      <c r="H553" s="646"/>
      <c r="I553" s="646"/>
      <c r="J553" s="872"/>
      <c r="K553" s="801"/>
      <c r="L553" s="899"/>
      <c r="M553" s="650"/>
      <c r="N553" s="917"/>
      <c r="O553" s="646"/>
      <c r="P553" s="933"/>
      <c r="Q553" s="646"/>
      <c r="R553" s="942"/>
      <c r="S553" s="650"/>
      <c r="T553" s="934"/>
      <c r="U553" s="650"/>
      <c r="V553" s="925"/>
    </row>
    <row r="554" spans="1:22" s="740" customFormat="1" ht="16.5" customHeight="1">
      <c r="A554" s="787" t="str">
        <f>IF(Eingabe!$V$14=40,Eingabe!BS19,IF(Eingabe!$V$14=41,Eingabe!BS51,"FALSCH"))</f>
        <v>LK 15</v>
      </c>
      <c r="B554" s="751" t="e">
        <f ca="1">IF(Eingabe!$V$14=40,IF(Eingabe!CT19=0,"-",Eingabe!CC19),IF(Eingabe!$V$14=41,IF(Eingabe!CT51=0,"-",Eingabe!CC51),"FALSCH"))</f>
        <v>#DIV/0!</v>
      </c>
      <c r="C554" s="787" t="e">
        <f ca="1">IF(Eingabe!$V$14=40,IF(Eingabe!CT19=0,"-",Eingabe!CD19),IF(Eingabe!$V$14=41,IF(Eingabe!CT51=0,"-",Eingabe!CD51),"FALSCH"))</f>
        <v>#DIV/0!</v>
      </c>
      <c r="D554" s="779" t="e">
        <f ca="1">IF(Eingabe!$V$14=40,IF(Eingabe!CT19=0,"-",Eingabe!CA19),IF(Eingabe!$V$14=41,IF(Eingabe!CT51=0,"-",Eingabe!CA51),"FALSCH"))</f>
        <v>#DIV/0!</v>
      </c>
      <c r="E554" s="787" t="e">
        <f ca="1">IF(Eingabe!$V$14=40,IF(Eingabe!CT19=0,"-",Eingabe!CE19),IF(Eingabe!$V$14=41,IF(Eingabe!CT51=0,"-",Eingabe!CE51),"FALSCH"))</f>
        <v>#DIV/0!</v>
      </c>
      <c r="F554" s="646"/>
      <c r="G554" s="646"/>
      <c r="H554" s="646"/>
      <c r="I554" s="646"/>
      <c r="J554" s="872"/>
      <c r="K554" s="801"/>
      <c r="L554" s="899"/>
      <c r="M554" s="650"/>
      <c r="N554" s="917"/>
      <c r="O554" s="646"/>
      <c r="P554" s="933"/>
      <c r="Q554" s="646"/>
      <c r="R554" s="942"/>
      <c r="S554" s="650"/>
      <c r="T554" s="934"/>
      <c r="U554" s="650"/>
      <c r="V554" s="925"/>
    </row>
    <row r="555" spans="1:22" s="740" customFormat="1" ht="16.5" customHeight="1">
      <c r="A555" s="787" t="str">
        <f>IF(Eingabe!$V$14=40,Eingabe!BS20,IF(Eingabe!$V$14=41,Eingabe!BS52,"FALSCH"))</f>
        <v>LK 16</v>
      </c>
      <c r="B555" s="751" t="e">
        <f ca="1">IF(Eingabe!$V$14=40,IF(Eingabe!CT20=0,"-",Eingabe!CC20),IF(Eingabe!$V$14=41,IF(Eingabe!CT52=0,"-",Eingabe!CC52),"FALSCH"))</f>
        <v>#DIV/0!</v>
      </c>
      <c r="C555" s="787" t="e">
        <f ca="1">IF(Eingabe!$V$14=40,IF(Eingabe!CT20=0,"-",Eingabe!CD20),IF(Eingabe!$V$14=41,IF(Eingabe!CT52=0,"-",Eingabe!CD52),"FALSCH"))</f>
        <v>#DIV/0!</v>
      </c>
      <c r="D555" s="779" t="e">
        <f ca="1">IF(Eingabe!$V$14=40,IF(Eingabe!CT20=0,"-",Eingabe!CA20),IF(Eingabe!$V$14=41,IF(Eingabe!CT52=0,"-",Eingabe!CA52),"FALSCH"))</f>
        <v>#DIV/0!</v>
      </c>
      <c r="E555" s="787" t="e">
        <f ca="1">IF(Eingabe!$V$14=40,IF(Eingabe!CT20=0,"-",Eingabe!CE20),IF(Eingabe!$V$14=41,IF(Eingabe!CT52=0,"-",Eingabe!CE52),"FALSCH"))</f>
        <v>#DIV/0!</v>
      </c>
      <c r="F555" s="646"/>
      <c r="G555" s="646"/>
      <c r="H555" s="646"/>
      <c r="I555" s="646"/>
      <c r="J555" s="872"/>
      <c r="K555" s="801"/>
      <c r="L555" s="899"/>
      <c r="M555" s="650"/>
      <c r="N555" s="917"/>
      <c r="O555" s="646"/>
      <c r="P555" s="933"/>
      <c r="Q555" s="646"/>
      <c r="R555" s="942"/>
      <c r="S555" s="650"/>
      <c r="T555" s="934"/>
      <c r="U555" s="650"/>
      <c r="V555" s="925"/>
    </row>
    <row r="556" spans="1:22" s="740" customFormat="1" ht="16.5" customHeight="1">
      <c r="A556" s="787" t="str">
        <f>IF(Eingabe!$V$14=40,Eingabe!BS21,IF(Eingabe!$V$14=41,Eingabe!BS53,"FALSCH"))</f>
        <v>LK 17</v>
      </c>
      <c r="B556" s="751" t="e">
        <f ca="1">IF(Eingabe!$V$14=40,IF(Eingabe!CT21=0,"-",Eingabe!CC21),IF(Eingabe!$V$14=41,IF(Eingabe!CT53=0,"-",Eingabe!CC53),"FALSCH"))</f>
        <v>#DIV/0!</v>
      </c>
      <c r="C556" s="787" t="e">
        <f ca="1">IF(Eingabe!$V$14=40,IF(Eingabe!CT21=0,"-",Eingabe!CD21),IF(Eingabe!$V$14=41,IF(Eingabe!CT53=0,"-",Eingabe!CD53),"FALSCH"))</f>
        <v>#DIV/0!</v>
      </c>
      <c r="D556" s="779" t="e">
        <f ca="1">IF(Eingabe!$V$14=40,IF(Eingabe!CT21=0,"-",Eingabe!CA21),IF(Eingabe!$V$14=41,IF(Eingabe!CT53=0,"-",Eingabe!CA53),"FALSCH"))</f>
        <v>#DIV/0!</v>
      </c>
      <c r="E556" s="787" t="e">
        <f ca="1">IF(Eingabe!$V$14=40,IF(Eingabe!CT21=0,"-",Eingabe!CE21),IF(Eingabe!$V$14=41,IF(Eingabe!CT53=0,"-",Eingabe!CE53),"FALSCH"))</f>
        <v>#DIV/0!</v>
      </c>
      <c r="F556" s="646"/>
      <c r="G556" s="646"/>
      <c r="H556" s="646"/>
      <c r="I556" s="646"/>
      <c r="J556" s="872"/>
      <c r="K556" s="801"/>
      <c r="L556" s="899"/>
      <c r="M556" s="650"/>
      <c r="N556" s="917"/>
      <c r="O556" s="646"/>
      <c r="P556" s="933"/>
      <c r="Q556" s="646"/>
      <c r="R556" s="942"/>
      <c r="S556" s="650"/>
      <c r="T556" s="934"/>
      <c r="U556" s="650"/>
      <c r="V556" s="925"/>
    </row>
    <row r="557" spans="1:22" s="740" customFormat="1" ht="16.5" customHeight="1">
      <c r="A557" s="787" t="str">
        <f>IF(Eingabe!$V$14=40,Eingabe!BS22,IF(Eingabe!$V$14=41,Eingabe!BS54,"FALSCH"))</f>
        <v>LK 18</v>
      </c>
      <c r="B557" s="751" t="e">
        <f ca="1">IF(Eingabe!$V$14=40,IF(Eingabe!CT22=0,"-",Eingabe!CC22),IF(Eingabe!$V$14=41,IF(Eingabe!CT54=0,"-",Eingabe!CC54),"FALSCH"))</f>
        <v>#DIV/0!</v>
      </c>
      <c r="C557" s="787" t="e">
        <f ca="1">IF(Eingabe!$V$14=40,IF(Eingabe!CT22=0,"-",Eingabe!CD22),IF(Eingabe!$V$14=41,IF(Eingabe!CT54=0,"-",Eingabe!CD54),"FALSCH"))</f>
        <v>#DIV/0!</v>
      </c>
      <c r="D557" s="779" t="e">
        <f ca="1">IF(Eingabe!$V$14=40,IF(Eingabe!CT22=0,"-",Eingabe!CA22),IF(Eingabe!$V$14=41,IF(Eingabe!CT54=0,"-",Eingabe!CA54),"FALSCH"))</f>
        <v>#DIV/0!</v>
      </c>
      <c r="E557" s="787" t="e">
        <f ca="1">IF(Eingabe!$V$14=40,IF(Eingabe!CT22=0,"-",Eingabe!CE22),IF(Eingabe!$V$14=41,IF(Eingabe!CT54=0,"-",Eingabe!CE54),"FALSCH"))</f>
        <v>#DIV/0!</v>
      </c>
      <c r="F557" s="646"/>
      <c r="G557" s="646"/>
      <c r="H557" s="646"/>
      <c r="I557" s="646"/>
      <c r="J557" s="872"/>
      <c r="K557" s="801"/>
      <c r="L557" s="899"/>
      <c r="M557" s="650"/>
      <c r="N557" s="917"/>
      <c r="O557" s="646"/>
      <c r="P557" s="933"/>
      <c r="Q557" s="646"/>
      <c r="R557" s="942"/>
      <c r="S557" s="650"/>
      <c r="T557" s="934"/>
      <c r="U557" s="650"/>
      <c r="V557" s="925"/>
    </row>
    <row r="558" spans="1:22" s="740" customFormat="1" ht="16.5" customHeight="1">
      <c r="A558" s="787" t="str">
        <f>IF(Eingabe!$V$14=40,Eingabe!BS23,IF(Eingabe!$V$14=41,Eingabe!BS55,"FALSCH"))</f>
        <v>LK 19</v>
      </c>
      <c r="B558" s="751" t="e">
        <f ca="1">IF(Eingabe!$V$14=40,IF(Eingabe!CT23=0,"-",Eingabe!CC23),IF(Eingabe!$V$14=41,IF(Eingabe!CT55=0,"-",Eingabe!CC55),"FALSCH"))</f>
        <v>#DIV/0!</v>
      </c>
      <c r="C558" s="787" t="e">
        <f ca="1">IF(Eingabe!$V$14=40,IF(Eingabe!CT23=0,"-",Eingabe!CD23),IF(Eingabe!$V$14=41,IF(Eingabe!CT55=0,"-",Eingabe!CD55),"FALSCH"))</f>
        <v>#DIV/0!</v>
      </c>
      <c r="D558" s="779" t="e">
        <f ca="1">IF(Eingabe!$V$14=40,IF(Eingabe!CT23=0,"-",Eingabe!CA23),IF(Eingabe!$V$14=41,IF(Eingabe!CT55=0,"-",Eingabe!CA55),"FALSCH"))</f>
        <v>#DIV/0!</v>
      </c>
      <c r="E558" s="787" t="e">
        <f ca="1">IF(Eingabe!$V$14=40,IF(Eingabe!CT23=0,"-",Eingabe!CE23),IF(Eingabe!$V$14=41,IF(Eingabe!CT55=0,"-",Eingabe!CE55),"FALSCH"))</f>
        <v>#DIV/0!</v>
      </c>
      <c r="F558" s="646"/>
      <c r="G558" s="646"/>
      <c r="H558" s="646"/>
      <c r="I558" s="646"/>
      <c r="J558" s="872"/>
      <c r="K558" s="801"/>
      <c r="L558" s="899"/>
      <c r="M558" s="650"/>
      <c r="N558" s="917"/>
      <c r="O558" s="646"/>
      <c r="P558" s="933"/>
      <c r="Q558" s="646"/>
      <c r="R558" s="942"/>
      <c r="S558" s="650"/>
      <c r="T558" s="934"/>
      <c r="U558" s="650"/>
      <c r="V558" s="925"/>
    </row>
    <row r="559" spans="1:22" s="740" customFormat="1" ht="16.5" customHeight="1">
      <c r="A559" s="787" t="str">
        <f>IF(Eingabe!$V$14=40,Eingabe!BS24,IF(Eingabe!$V$14=41,Eingabe!BS56,"FALSCH"))</f>
        <v>LK 20</v>
      </c>
      <c r="B559" s="751" t="e">
        <f ca="1">IF(Eingabe!$V$14=40,IF(Eingabe!CT24=0,"-",Eingabe!CC24),IF(Eingabe!$V$14=41,IF(Eingabe!CT56=0,"-",Eingabe!CC56),"FALSCH"))</f>
        <v>#DIV/0!</v>
      </c>
      <c r="C559" s="787" t="e">
        <f ca="1">IF(Eingabe!$V$14=40,IF(Eingabe!CT24=0,"-",Eingabe!CD24),IF(Eingabe!$V$14=41,IF(Eingabe!CT56=0,"-",Eingabe!CD56),"FALSCH"))</f>
        <v>#DIV/0!</v>
      </c>
      <c r="D559" s="779" t="e">
        <f ca="1">IF(Eingabe!$V$14=40,IF(Eingabe!CT24=0,"-",Eingabe!CA24),IF(Eingabe!$V$14=41,IF(Eingabe!CT56=0,"-",Eingabe!CA56),"FALSCH"))</f>
        <v>#DIV/0!</v>
      </c>
      <c r="E559" s="787" t="e">
        <f ca="1">IF(Eingabe!$V$14=40,IF(Eingabe!CT24=0,"-",Eingabe!CE24),IF(Eingabe!$V$14=41,IF(Eingabe!CT56=0,"-",Eingabe!CE56),"FALSCH"))</f>
        <v>#DIV/0!</v>
      </c>
      <c r="F559" s="646"/>
      <c r="G559" s="646"/>
      <c r="H559" s="646"/>
      <c r="I559" s="646"/>
      <c r="J559" s="872"/>
      <c r="K559" s="801"/>
      <c r="L559" s="899"/>
      <c r="M559" s="650"/>
      <c r="N559" s="917"/>
      <c r="O559" s="646"/>
      <c r="P559" s="933"/>
      <c r="Q559" s="646"/>
      <c r="R559" s="942"/>
      <c r="S559" s="650"/>
      <c r="T559" s="934"/>
      <c r="U559" s="650"/>
      <c r="V559" s="925"/>
    </row>
    <row r="560" spans="1:22" s="740" customFormat="1" ht="16.5" customHeight="1">
      <c r="A560" s="787" t="str">
        <f>IF(Eingabe!$V$14=40,Eingabe!BS25,IF(Eingabe!$V$14=41,Eingabe!BS57,"FALSCH"))</f>
        <v>LK 21</v>
      </c>
      <c r="B560" s="751" t="e">
        <f ca="1">IF(Eingabe!$V$14=40,IF(Eingabe!CT25=0,"-",Eingabe!CC25),IF(Eingabe!$V$14=41,IF(Eingabe!CT57=0,"-",Eingabe!CC57),"FALSCH"))</f>
        <v>#DIV/0!</v>
      </c>
      <c r="C560" s="787" t="e">
        <f ca="1">IF(Eingabe!$V$14=40,IF(Eingabe!CT25=0,"-",Eingabe!CD25),IF(Eingabe!$V$14=41,IF(Eingabe!CT57=0,"-",Eingabe!CD57),"FALSCH"))</f>
        <v>#DIV/0!</v>
      </c>
      <c r="D560" s="779" t="e">
        <f ca="1">IF(Eingabe!$V$14=40,IF(Eingabe!CT25=0,"-",Eingabe!CA25),IF(Eingabe!$V$14=41,IF(Eingabe!CT57=0,"-",Eingabe!CA57),"FALSCH"))</f>
        <v>#DIV/0!</v>
      </c>
      <c r="E560" s="787" t="e">
        <f ca="1">IF(Eingabe!$V$14=40,IF(Eingabe!CT25=0,"-",Eingabe!CE25),IF(Eingabe!$V$14=41,IF(Eingabe!CT57=0,"-",Eingabe!CE57),"FALSCH"))</f>
        <v>#DIV/0!</v>
      </c>
      <c r="F560" s="646"/>
      <c r="G560" s="646"/>
      <c r="H560" s="646"/>
      <c r="I560" s="646"/>
      <c r="J560" s="872"/>
      <c r="K560" s="801"/>
      <c r="L560" s="899"/>
      <c r="M560" s="650"/>
      <c r="N560" s="917"/>
      <c r="O560" s="646"/>
      <c r="P560" s="933"/>
      <c r="Q560" s="646"/>
      <c r="R560" s="942"/>
      <c r="S560" s="650"/>
      <c r="T560" s="934"/>
      <c r="U560" s="650"/>
      <c r="V560" s="925"/>
    </row>
    <row r="561" spans="1:22" s="740" customFormat="1" ht="16.5" customHeight="1">
      <c r="A561" s="787" t="str">
        <f>IF(Eingabe!$V$14=40,Eingabe!BS26,IF(Eingabe!$V$14=41,Eingabe!BS58,"FALSCH"))</f>
        <v>LK 22</v>
      </c>
      <c r="B561" s="751" t="e">
        <f ca="1">IF(Eingabe!$V$14=40,IF(Eingabe!CT26=0,"-",Eingabe!CC26),IF(Eingabe!$V$14=41,IF(Eingabe!CT58=0,"-",Eingabe!CC58),"FALSCH"))</f>
        <v>#DIV/0!</v>
      </c>
      <c r="C561" s="787" t="e">
        <f ca="1">IF(Eingabe!$V$14=40,IF(Eingabe!CT26=0,"-",Eingabe!CD26),IF(Eingabe!$V$14=41,IF(Eingabe!CT58=0,"-",Eingabe!CD58),"FALSCH"))</f>
        <v>#DIV/0!</v>
      </c>
      <c r="D561" s="779" t="e">
        <f ca="1">IF(Eingabe!$V$14=40,IF(Eingabe!CT26=0,"-",Eingabe!CA26),IF(Eingabe!$V$14=41,IF(Eingabe!CT58=0,"-",Eingabe!CA58),"FALSCH"))</f>
        <v>#DIV/0!</v>
      </c>
      <c r="E561" s="787" t="e">
        <f ca="1">IF(Eingabe!$V$14=40,IF(Eingabe!CT26=0,"-",Eingabe!CE26),IF(Eingabe!$V$14=41,IF(Eingabe!CT58=0,"-",Eingabe!CE58),"FALSCH"))</f>
        <v>#DIV/0!</v>
      </c>
      <c r="F561" s="646"/>
      <c r="G561" s="646"/>
      <c r="H561" s="646"/>
      <c r="I561" s="646"/>
      <c r="J561" s="872"/>
      <c r="K561" s="801"/>
      <c r="L561" s="899"/>
      <c r="M561" s="650"/>
      <c r="N561" s="917"/>
      <c r="O561" s="646"/>
      <c r="P561" s="933"/>
      <c r="Q561" s="646"/>
      <c r="R561" s="942"/>
      <c r="S561" s="650"/>
      <c r="T561" s="934"/>
      <c r="U561" s="650"/>
      <c r="V561" s="925"/>
    </row>
    <row r="562" spans="1:22" s="740" customFormat="1" ht="16.5" customHeight="1">
      <c r="A562" s="787" t="str">
        <f>IF(Eingabe!$V$14=40,Eingabe!BS27,IF(Eingabe!$V$14=41,Eingabe!BS59,"FALSCH"))</f>
        <v>LK 23</v>
      </c>
      <c r="B562" s="751" t="e">
        <f ca="1">IF(Eingabe!$V$14=40,IF(Eingabe!CT27=0,"-",Eingabe!CC27),IF(Eingabe!$V$14=41,IF(Eingabe!CT59=0,"-",Eingabe!CC59),"FALSCH"))</f>
        <v>#DIV/0!</v>
      </c>
      <c r="C562" s="787" t="e">
        <f ca="1">IF(Eingabe!$V$14=40,IF(Eingabe!CT27=0,"-",Eingabe!CD27),IF(Eingabe!$V$14=41,IF(Eingabe!CT59=0,"-",Eingabe!CD59),"FALSCH"))</f>
        <v>#DIV/0!</v>
      </c>
      <c r="D562" s="779" t="e">
        <f ca="1">IF(Eingabe!$V$14=40,IF(Eingabe!CT27=0,"-",Eingabe!CA27),IF(Eingabe!$V$14=41,IF(Eingabe!CT59=0,"-",Eingabe!CA59),"FALSCH"))</f>
        <v>#DIV/0!</v>
      </c>
      <c r="E562" s="787" t="e">
        <f ca="1">IF(Eingabe!$V$14=40,IF(Eingabe!CT27=0,"-",Eingabe!CE27),IF(Eingabe!$V$14=41,IF(Eingabe!CT59=0,"-",Eingabe!CE59),"FALSCH"))</f>
        <v>#DIV/0!</v>
      </c>
      <c r="F562" s="646"/>
      <c r="G562" s="646"/>
      <c r="H562" s="646"/>
      <c r="I562" s="646"/>
      <c r="J562" s="872"/>
      <c r="K562" s="801"/>
      <c r="L562" s="899"/>
      <c r="M562" s="650"/>
      <c r="N562" s="917"/>
      <c r="O562" s="646"/>
      <c r="P562" s="933"/>
      <c r="Q562" s="646"/>
      <c r="R562" s="942"/>
      <c r="S562" s="650"/>
      <c r="T562" s="934"/>
      <c r="U562" s="650"/>
      <c r="V562" s="925"/>
    </row>
    <row r="563" spans="1:22" s="740" customFormat="1" ht="16.5" customHeight="1">
      <c r="A563" s="787" t="str">
        <f>IF(Eingabe!$V$14=40,Eingabe!BS28,IF(Eingabe!$V$14=41,Eingabe!BS60,"FALSCH"))</f>
        <v>LK 24</v>
      </c>
      <c r="B563" s="751" t="e">
        <f ca="1">IF(Eingabe!$V$14=40,IF(Eingabe!CT28=0,"-",Eingabe!CC28),IF(Eingabe!$V$14=41,IF(Eingabe!CT60=0,"-",Eingabe!CC60),"FALSCH"))</f>
        <v>#DIV/0!</v>
      </c>
      <c r="C563" s="787" t="e">
        <f ca="1">IF(Eingabe!$V$14=40,IF(Eingabe!CT28=0,"-",Eingabe!CD28),IF(Eingabe!$V$14=41,IF(Eingabe!CT60=0,"-",Eingabe!CD60),"FALSCH"))</f>
        <v>#DIV/0!</v>
      </c>
      <c r="D563" s="779" t="e">
        <f ca="1">IF(Eingabe!$V$14=40,IF(Eingabe!CT28=0,"-",Eingabe!CA28),IF(Eingabe!$V$14=41,IF(Eingabe!CT60=0,"-",Eingabe!CA60),"FALSCH"))</f>
        <v>#DIV/0!</v>
      </c>
      <c r="E563" s="787" t="e">
        <f ca="1">IF(Eingabe!$V$14=40,IF(Eingabe!CT28=0,"-",Eingabe!CE28),IF(Eingabe!$V$14=41,IF(Eingabe!CT60=0,"-",Eingabe!CE60),"FALSCH"))</f>
        <v>#DIV/0!</v>
      </c>
      <c r="F563" s="646"/>
      <c r="G563" s="646"/>
      <c r="H563" s="646"/>
      <c r="I563" s="646"/>
      <c r="J563" s="872"/>
      <c r="K563" s="801"/>
      <c r="L563" s="899"/>
      <c r="M563" s="650"/>
      <c r="N563" s="917"/>
      <c r="O563" s="646"/>
      <c r="P563" s="933"/>
      <c r="Q563" s="646"/>
      <c r="R563" s="942"/>
      <c r="S563" s="650"/>
      <c r="T563" s="934"/>
      <c r="U563" s="650"/>
      <c r="V563" s="925"/>
    </row>
    <row r="564" spans="1:22" s="740" customFormat="1" ht="16.5" customHeight="1">
      <c r="A564" s="787" t="str">
        <f>IF(Eingabe!$V$14=40,Eingabe!BS29,IF(Eingabe!$V$14=41,Eingabe!BS61,"FALSCH"))</f>
        <v>LK 25</v>
      </c>
      <c r="B564" s="751" t="e">
        <f ca="1">IF(Eingabe!$V$14=40,IF(Eingabe!CT29=0,"-",Eingabe!CC29),IF(Eingabe!$V$14=41,IF(Eingabe!CT61=0,"-",Eingabe!CC61),"FALSCH"))</f>
        <v>#DIV/0!</v>
      </c>
      <c r="C564" s="787" t="e">
        <f ca="1">IF(Eingabe!$V$14=40,IF(Eingabe!CT29=0,"-",Eingabe!CD29),IF(Eingabe!$V$14=41,IF(Eingabe!CT61=0,"-",Eingabe!CD61),"FALSCH"))</f>
        <v>#DIV/0!</v>
      </c>
      <c r="D564" s="779" t="e">
        <f ca="1">IF(Eingabe!$V$14=40,IF(Eingabe!CT29=0,"-",Eingabe!CA29),IF(Eingabe!$V$14=41,IF(Eingabe!CT61=0,"-",Eingabe!CA61),"FALSCH"))</f>
        <v>#DIV/0!</v>
      </c>
      <c r="E564" s="787" t="e">
        <f ca="1">IF(Eingabe!$V$14=40,IF(Eingabe!CT29=0,"-",Eingabe!CE29),IF(Eingabe!$V$14=41,IF(Eingabe!CT61=0,"-",Eingabe!CE61),"FALSCH"))</f>
        <v>#DIV/0!</v>
      </c>
      <c r="F564" s="646"/>
      <c r="G564" s="646"/>
      <c r="H564" s="646"/>
      <c r="I564" s="646"/>
      <c r="J564" s="872"/>
      <c r="K564" s="801"/>
      <c r="L564" s="899"/>
      <c r="M564" s="650"/>
      <c r="N564" s="917"/>
      <c r="O564" s="646"/>
      <c r="P564" s="933"/>
      <c r="Q564" s="646"/>
      <c r="R564" s="942"/>
      <c r="S564" s="650"/>
      <c r="T564" s="934"/>
      <c r="U564" s="650"/>
      <c r="V564" s="925"/>
    </row>
    <row r="565" spans="1:22" s="740" customFormat="1" ht="16.5" customHeight="1">
      <c r="A565" s="787" t="str">
        <f>IF(Eingabe!$V$14=40,Eingabe!BS30,IF(Eingabe!$V$14=41,Eingabe!BS62,"FALSCH"))</f>
        <v>LK 26</v>
      </c>
      <c r="B565" s="751" t="e">
        <f ca="1">IF(Eingabe!$V$14=40,IF(Eingabe!CT30=0,"-",Eingabe!CC30),IF(Eingabe!$V$14=41,IF(Eingabe!CT62=0,"-",Eingabe!CC62),"FALSCH"))</f>
        <v>#DIV/0!</v>
      </c>
      <c r="C565" s="787" t="e">
        <f ca="1">IF(Eingabe!$V$14=40,IF(Eingabe!CT30=0,"-",Eingabe!CD30),IF(Eingabe!$V$14=41,IF(Eingabe!CT62=0,"-",Eingabe!CD62),"FALSCH"))</f>
        <v>#DIV/0!</v>
      </c>
      <c r="D565" s="779" t="e">
        <f ca="1">IF(Eingabe!$V$14=40,IF(Eingabe!CT30=0,"-",Eingabe!CA30),IF(Eingabe!$V$14=41,IF(Eingabe!CT62=0,"-",Eingabe!CA62),"FALSCH"))</f>
        <v>#DIV/0!</v>
      </c>
      <c r="E565" s="787" t="e">
        <f ca="1">IF(Eingabe!$V$14=40,IF(Eingabe!CT30=0,"-",Eingabe!CE30),IF(Eingabe!$V$14=41,IF(Eingabe!CT62=0,"-",Eingabe!CE62),"FALSCH"))</f>
        <v>#DIV/0!</v>
      </c>
      <c r="F565" s="646"/>
      <c r="G565" s="646"/>
      <c r="H565" s="646"/>
      <c r="I565" s="646"/>
      <c r="J565" s="872"/>
      <c r="K565" s="801"/>
      <c r="L565" s="899"/>
      <c r="M565" s="650"/>
      <c r="N565" s="917"/>
      <c r="O565" s="646"/>
      <c r="P565" s="933"/>
      <c r="Q565" s="646"/>
      <c r="R565" s="942"/>
      <c r="S565" s="650"/>
      <c r="T565" s="934"/>
      <c r="U565" s="650"/>
      <c r="V565" s="925"/>
    </row>
    <row r="566" spans="1:22" s="740" customFormat="1" ht="16.5" customHeight="1">
      <c r="A566" s="787" t="str">
        <f>IF(Eingabe!$V$14=40,Eingabe!BS31,IF(Eingabe!$V$14=41,Eingabe!BS63,"FALSCH"))</f>
        <v>LK 27</v>
      </c>
      <c r="B566" s="751" t="e">
        <f ca="1">IF(Eingabe!$V$14=40,IF(Eingabe!CT31=0,"-",Eingabe!CC31),IF(Eingabe!$V$14=41,IF(Eingabe!CT63=0,"-",Eingabe!CC63),"FALSCH"))</f>
        <v>#DIV/0!</v>
      </c>
      <c r="C566" s="787" t="e">
        <f ca="1">IF(Eingabe!$V$14=40,IF(Eingabe!CT31=0,"-",Eingabe!CD31),IF(Eingabe!$V$14=41,IF(Eingabe!CT63=0,"-",Eingabe!CD63),"FALSCH"))</f>
        <v>#DIV/0!</v>
      </c>
      <c r="D566" s="779" t="e">
        <f ca="1">IF(Eingabe!$V$14=40,IF(Eingabe!CT31=0,"-",Eingabe!CA31),IF(Eingabe!$V$14=41,IF(Eingabe!CT63=0,"-",Eingabe!CA63),"FALSCH"))</f>
        <v>#DIV/0!</v>
      </c>
      <c r="E566" s="787" t="e">
        <f ca="1">IF(Eingabe!$V$14=40,IF(Eingabe!CT31=0,"-",Eingabe!CE31),IF(Eingabe!$V$14=41,IF(Eingabe!CT63=0,"-",Eingabe!CE63),"FALSCH"))</f>
        <v>#DIV/0!</v>
      </c>
      <c r="F566" s="646"/>
      <c r="G566" s="646"/>
      <c r="H566" s="646"/>
      <c r="I566" s="646"/>
      <c r="J566" s="872"/>
      <c r="K566" s="801"/>
      <c r="L566" s="899"/>
      <c r="M566" s="650"/>
      <c r="N566" s="917"/>
      <c r="O566" s="646"/>
      <c r="P566" s="933"/>
      <c r="Q566" s="646"/>
      <c r="R566" s="942"/>
      <c r="S566" s="650"/>
      <c r="T566" s="934"/>
      <c r="U566" s="650"/>
      <c r="V566" s="925"/>
    </row>
    <row r="567" spans="1:22" s="740" customFormat="1" ht="16.5" customHeight="1">
      <c r="A567" s="787" t="str">
        <f>IF(Eingabe!$V$14=40,Eingabe!BS32,IF(Eingabe!$V$14=41,Eingabe!BS64,"FALSCH"))</f>
        <v>LK 28</v>
      </c>
      <c r="B567" s="751" t="e">
        <f ca="1">IF(Eingabe!$V$14=40,IF(Eingabe!CT32=0,"-",Eingabe!CC32),IF(Eingabe!$V$14=41,IF(Eingabe!CT64=0,"-",Eingabe!CC64),"FALSCH"))</f>
        <v>#DIV/0!</v>
      </c>
      <c r="C567" s="787" t="e">
        <f ca="1">IF(Eingabe!$V$14=40,IF(Eingabe!CT32=0,"-",Eingabe!CD32),IF(Eingabe!$V$14=41,IF(Eingabe!CT64=0,"-",Eingabe!CD64),"FALSCH"))</f>
        <v>#DIV/0!</v>
      </c>
      <c r="D567" s="779" t="e">
        <f ca="1">IF(Eingabe!$V$14=40,IF(Eingabe!CT32=0,"-",Eingabe!CA32),IF(Eingabe!$V$14=41,IF(Eingabe!CT64=0,"-",Eingabe!CA64),"FALSCH"))</f>
        <v>#DIV/0!</v>
      </c>
      <c r="E567" s="787" t="e">
        <f ca="1">IF(Eingabe!$V$14=40,IF(Eingabe!CT32=0,"-",Eingabe!CE32),IF(Eingabe!$V$14=41,IF(Eingabe!CT64=0,"-",Eingabe!CE64),"FALSCH"))</f>
        <v>#DIV/0!</v>
      </c>
      <c r="F567" s="646"/>
      <c r="G567" s="646"/>
      <c r="H567" s="646"/>
      <c r="I567" s="646"/>
      <c r="J567" s="872"/>
      <c r="K567" s="801"/>
      <c r="L567" s="899"/>
      <c r="M567" s="650"/>
      <c r="N567" s="917"/>
      <c r="O567" s="646"/>
      <c r="P567" s="933"/>
      <c r="Q567" s="646"/>
      <c r="R567" s="942"/>
      <c r="S567" s="650"/>
      <c r="T567" s="934"/>
      <c r="U567" s="650"/>
      <c r="V567" s="925"/>
    </row>
    <row r="568" spans="1:22" s="740" customFormat="1" ht="16.5" customHeight="1">
      <c r="A568" s="787"/>
      <c r="B568" s="751"/>
      <c r="C568" s="787"/>
      <c r="D568" s="779"/>
      <c r="E568" s="787"/>
      <c r="F568" s="646"/>
      <c r="G568" s="646"/>
      <c r="H568" s="646"/>
      <c r="I568" s="646"/>
      <c r="J568" s="872"/>
      <c r="K568" s="801"/>
      <c r="L568" s="899"/>
      <c r="M568" s="650"/>
      <c r="N568" s="917"/>
      <c r="O568" s="646"/>
      <c r="P568" s="933"/>
      <c r="Q568" s="646"/>
      <c r="R568" s="942"/>
      <c r="S568" s="650"/>
      <c r="T568" s="934"/>
      <c r="U568" s="650"/>
      <c r="V568" s="925"/>
    </row>
    <row r="569" spans="1:22" ht="16.5" customHeight="1">
      <c r="A569" s="585" t="str">
        <f>A737</f>
        <v>Grenzausmitte</v>
      </c>
      <c r="B569" s="585" t="s">
        <v>680</v>
      </c>
      <c r="C569" s="585"/>
      <c r="D569" s="585"/>
      <c r="E569" s="585"/>
      <c r="F569" s="585"/>
      <c r="G569" s="585"/>
      <c r="H569" s="585"/>
      <c r="I569" s="585"/>
    </row>
    <row r="570" spans="1:22" s="740" customFormat="1" ht="16.5" customHeight="1">
      <c r="A570" s="750"/>
      <c r="B570" s="750"/>
      <c r="C570" s="750"/>
      <c r="D570" s="750"/>
      <c r="E570" s="750"/>
      <c r="F570" s="650"/>
      <c r="G570" s="750"/>
      <c r="H570" s="750"/>
      <c r="I570" s="750"/>
      <c r="J570" s="872"/>
      <c r="K570" s="801"/>
      <c r="L570" s="899"/>
      <c r="M570" s="650"/>
      <c r="N570" s="917"/>
      <c r="O570" s="646"/>
      <c r="P570" s="933"/>
      <c r="Q570" s="646"/>
      <c r="R570" s="942"/>
      <c r="S570" s="650"/>
      <c r="T570" s="934"/>
      <c r="U570" s="650"/>
      <c r="V570" s="925"/>
    </row>
    <row r="571" spans="1:22" ht="16.5" customHeight="1">
      <c r="A571" s="767" t="str">
        <f>Sprachtexte!A114</f>
        <v>Nebenträger</v>
      </c>
      <c r="B571" s="775" t="s">
        <v>2467</v>
      </c>
      <c r="C571" s="812">
        <f ca="1">IF(Eingabe!$V$14=40,Berechnung_BZoben!U61,IF(Eingabe!$V$14=41,Berechnung_BZoben!AL61,"FEHLER"))</f>
        <v>172491.93384210113</v>
      </c>
      <c r="D571" s="753" t="s">
        <v>254</v>
      </c>
      <c r="F571" s="791"/>
      <c r="G571" s="791"/>
      <c r="H571" s="791"/>
      <c r="I571" s="791"/>
    </row>
    <row r="572" spans="1:22" ht="16.5" customHeight="1">
      <c r="A572" s="791"/>
      <c r="B572" s="645" t="s">
        <v>2468</v>
      </c>
      <c r="C572" s="808">
        <f ca="1">IF(Eingabe!$V$14=40,Berechnung_BZoben!U62,IF(Eingabe!$V$14=41,Berechnung_BZoben!AL62,"FEHLER"))</f>
        <v>228.94363937632804</v>
      </c>
      <c r="D572" s="753" t="s">
        <v>2</v>
      </c>
      <c r="E572" s="650"/>
      <c r="F572" s="791"/>
      <c r="G572" s="791"/>
      <c r="H572" s="791"/>
      <c r="I572" s="791"/>
    </row>
    <row r="573" spans="1:22" ht="16.5" customHeight="1">
      <c r="A573" s="791"/>
      <c r="B573" s="645" t="s">
        <v>2469</v>
      </c>
      <c r="C573" s="753">
        <f ca="1">IF(Eingabe!$V$14=40,Berechnung_BZoben!U63,IF(Eingabe!$V$14=41,Berechnung_BZoben!AL63,"FEHLER"))</f>
        <v>7</v>
      </c>
      <c r="D573" s="753" t="s">
        <v>124</v>
      </c>
      <c r="E573" s="650"/>
      <c r="F573" s="791"/>
      <c r="G573" s="791"/>
      <c r="H573" s="791"/>
      <c r="I573" s="791"/>
    </row>
    <row r="574" spans="1:22" ht="16.5" customHeight="1">
      <c r="A574" s="791"/>
      <c r="B574" s="645" t="s">
        <v>2470</v>
      </c>
      <c r="C574" s="808">
        <f ca="1">IF(Eingabe!$V$14=40,Berechnung_BZoben!U65,IF(Eingabe!$V$14=41,Berechnung_BZoben!AL65,"FEHLER"))</f>
        <v>94.616111555086732</v>
      </c>
      <c r="D574" s="753" t="s">
        <v>2</v>
      </c>
      <c r="E574" s="650" t="s">
        <v>957</v>
      </c>
      <c r="F574" s="791"/>
      <c r="G574" s="791"/>
      <c r="H574" s="791"/>
      <c r="I574" s="791"/>
    </row>
    <row r="575" spans="1:22" ht="16.5" customHeight="1">
      <c r="A575" s="791"/>
      <c r="B575" s="697"/>
      <c r="C575" s="812"/>
      <c r="D575" s="753"/>
      <c r="E575" s="650"/>
      <c r="F575" s="791"/>
      <c r="G575" s="791"/>
      <c r="H575" s="791"/>
      <c r="I575" s="791"/>
      <c r="K575" s="801" t="str">
        <f>IF(AND(M575=O575, O575=Q575, Q575=S575, S575=U575,M575=""),"","NT")</f>
        <v/>
      </c>
      <c r="L575" s="913"/>
      <c r="N575" s="922"/>
      <c r="P575" s="940"/>
      <c r="R575" s="935"/>
      <c r="T575" s="938"/>
    </row>
    <row r="576" spans="1:22" ht="16.5" customHeight="1">
      <c r="A576" s="767" t="str">
        <f>IF(Eingabe!C28=Eingabe!BL27,Sprachtexte!A112,IF(Eingabe!C28=Eingabe!BL28,Sprachtexte!A113,NA()))</f>
        <v>Hauptträger</v>
      </c>
      <c r="B576" s="775" t="s">
        <v>2467</v>
      </c>
      <c r="C576" s="812">
        <f ca="1">IF(Eingabe!$V$14=40,Berechnung_BZoben!O61,IF(Eingabe!$V$14=41,Berechnung_BZoben!AF61,"FEHLER"))</f>
        <v>0</v>
      </c>
      <c r="D576" s="753" t="s">
        <v>254</v>
      </c>
      <c r="F576" s="791"/>
      <c r="G576" s="791"/>
      <c r="H576" s="791"/>
      <c r="I576" s="791"/>
      <c r="K576" s="801" t="str">
        <f>IF(AND(M576=O576, O576=Q576, Q576=S576, S576=U576,M576=""),"","NT")</f>
        <v/>
      </c>
      <c r="L576" s="913"/>
      <c r="N576" s="922"/>
      <c r="P576" s="940"/>
      <c r="R576" s="935"/>
      <c r="T576" s="938"/>
    </row>
    <row r="577" spans="1:22" ht="16.5" customHeight="1">
      <c r="A577" s="791"/>
      <c r="B577" s="645" t="s">
        <v>2468</v>
      </c>
      <c r="C577" s="808">
        <f ca="1">IF(Eingabe!$V$14=40,Berechnung_BZoben!O62,IF(Eingabe!$V$14=41,Berechnung_BZoben!AF62,"FEHLER"))</f>
        <v>0</v>
      </c>
      <c r="D577" s="753" t="s">
        <v>2</v>
      </c>
      <c r="E577" s="650"/>
      <c r="G577" s="791"/>
      <c r="H577" s="791"/>
      <c r="I577" s="791"/>
      <c r="L577" s="913"/>
      <c r="N577" s="922"/>
      <c r="P577" s="940"/>
      <c r="R577" s="935"/>
      <c r="T577" s="938"/>
    </row>
    <row r="578" spans="1:22" ht="16.5" customHeight="1">
      <c r="A578" s="791"/>
      <c r="B578" s="645" t="s">
        <v>2469</v>
      </c>
      <c r="C578" s="753">
        <f ca="1">IF(Eingabe!$V$14=40,Berechnung_BZoben!O63,IF(Eingabe!$V$14=41,Berechnung_BZoben!AF63,"FEHLER"))</f>
        <v>7</v>
      </c>
      <c r="D578" s="753" t="s">
        <v>124</v>
      </c>
      <c r="E578" s="650"/>
      <c r="F578" s="791"/>
      <c r="G578" s="791"/>
      <c r="H578" s="791"/>
      <c r="I578" s="791"/>
      <c r="L578" s="913"/>
      <c r="N578" s="922"/>
      <c r="P578" s="940"/>
      <c r="R578" s="935"/>
      <c r="T578" s="938"/>
    </row>
    <row r="579" spans="1:22" ht="16.5" customHeight="1">
      <c r="A579" s="791"/>
      <c r="B579" s="645" t="s">
        <v>2471</v>
      </c>
      <c r="C579" s="808">
        <f ca="1">IF(Eingabe!$V$14=40,Berechnung_BZoben!O65,IF(Eingabe!$V$14=41,Berechnung_BZoben!AF65,"FEHLER"))</f>
        <v>0</v>
      </c>
      <c r="D579" s="753" t="s">
        <v>2</v>
      </c>
      <c r="E579" s="650" t="s">
        <v>957</v>
      </c>
      <c r="F579" s="791"/>
      <c r="G579" s="791"/>
      <c r="H579" s="791"/>
      <c r="I579" s="791"/>
      <c r="L579" s="916"/>
      <c r="N579" s="923"/>
      <c r="O579" s="650"/>
      <c r="P579" s="941"/>
      <c r="Q579" s="650"/>
      <c r="R579" s="944"/>
      <c r="T579" s="937"/>
    </row>
    <row r="580" spans="1:22" ht="16.5" customHeight="1">
      <c r="A580" s="791"/>
      <c r="B580" s="697"/>
      <c r="C580" s="753"/>
      <c r="D580" s="753"/>
      <c r="E580" s="650"/>
      <c r="F580" s="791"/>
      <c r="G580" s="791"/>
      <c r="H580" s="791"/>
      <c r="I580" s="791"/>
      <c r="K580" s="801" t="str">
        <f>IF(AND(M580=O580,O580=Q580,Q580=S580,S580=U580,M580=""),"","HT")</f>
        <v/>
      </c>
      <c r="L580" s="913"/>
      <c r="N580" s="922"/>
      <c r="P580" s="940"/>
      <c r="R580" s="935"/>
      <c r="T580" s="938"/>
    </row>
    <row r="581" spans="1:22" ht="16.5" customHeight="1">
      <c r="A581" s="697"/>
      <c r="B581" s="697" t="s">
        <v>680</v>
      </c>
      <c r="C581" s="808">
        <f ca="1">MIN(C574,C579)</f>
        <v>0</v>
      </c>
      <c r="D581" s="753" t="s">
        <v>2</v>
      </c>
      <c r="E581" s="650" t="s">
        <v>961</v>
      </c>
      <c r="F581" s="791"/>
      <c r="G581" s="791"/>
      <c r="H581" s="791"/>
      <c r="I581" s="791"/>
      <c r="K581" s="801" t="str">
        <f>IF(AND(M581=O581,O581=Q581,Q581=S581,S581=U581,M581=""),"","HT")</f>
        <v/>
      </c>
      <c r="L581" s="913"/>
      <c r="N581" s="922"/>
      <c r="P581" s="940"/>
      <c r="R581" s="935"/>
      <c r="T581" s="938"/>
    </row>
    <row r="582" spans="1:22" ht="16.5" customHeight="1">
      <c r="L582" s="913"/>
      <c r="N582" s="922"/>
      <c r="P582" s="940"/>
      <c r="R582" s="935"/>
      <c r="T582" s="938"/>
    </row>
    <row r="583" spans="1:22" ht="16.5" customHeight="1">
      <c r="A583" s="585" t="str">
        <f>Sprachtexte!A157</f>
        <v>Torsionstragfähigkeit</v>
      </c>
      <c r="B583" s="585" t="s">
        <v>576</v>
      </c>
      <c r="C583" s="585"/>
      <c r="D583" s="585"/>
      <c r="E583" s="585"/>
      <c r="F583" s="585"/>
      <c r="G583" s="585"/>
      <c r="H583" s="585"/>
      <c r="I583" s="585"/>
      <c r="L583" s="913"/>
      <c r="N583" s="922"/>
      <c r="P583" s="940"/>
      <c r="R583" s="935"/>
      <c r="T583" s="938"/>
    </row>
    <row r="584" spans="1:22" s="740" customFormat="1" ht="16.5" customHeight="1">
      <c r="A584" s="750"/>
      <c r="B584" s="750"/>
      <c r="C584" s="750"/>
      <c r="D584" s="750"/>
      <c r="E584" s="750"/>
      <c r="F584" s="750"/>
      <c r="G584" s="750"/>
      <c r="H584" s="750"/>
      <c r="I584" s="750"/>
      <c r="J584" s="872"/>
      <c r="K584" s="801"/>
      <c r="L584" s="913"/>
      <c r="M584" s="650"/>
      <c r="N584" s="922"/>
      <c r="O584" s="646"/>
      <c r="P584" s="940"/>
      <c r="Q584" s="646"/>
      <c r="R584" s="935"/>
      <c r="S584" s="650"/>
      <c r="T584" s="938"/>
      <c r="U584" s="650"/>
      <c r="V584" s="925"/>
    </row>
    <row r="585" spans="1:22" ht="16.5" customHeight="1">
      <c r="A585" s="646" t="str">
        <f>Eingabe!W19</f>
        <v>Bemessungswerte für M_tor nach ETA-15/0667 Anhang 5.</v>
      </c>
      <c r="B585" s="785"/>
      <c r="C585" s="807"/>
      <c r="E585" s="650"/>
      <c r="L585" s="916"/>
      <c r="N585" s="923"/>
      <c r="O585" s="650"/>
      <c r="P585" s="941"/>
      <c r="Q585" s="650"/>
      <c r="R585" s="944"/>
      <c r="T585" s="937"/>
    </row>
    <row r="586" spans="1:22" ht="16.5" customHeight="1">
      <c r="A586" s="645" t="str">
        <f>A708</f>
        <v>char. Rohdichte</v>
      </c>
      <c r="B586" s="785" t="s">
        <v>2472</v>
      </c>
      <c r="C586" s="808">
        <f>HLOOKUP($F$23,MKW!$E$3:$BS$22,19,0)</f>
        <v>385</v>
      </c>
      <c r="D586" s="650" t="s">
        <v>115</v>
      </c>
      <c r="E586" s="650" t="str">
        <f>HLOOKUP($F$23,MKW!$E$3:$BS$22,3,0)</f>
        <v>DIN EN 14080:2013-09, Tab. 5</v>
      </c>
      <c r="L586" s="913"/>
      <c r="O586" s="650"/>
      <c r="Q586" s="650"/>
    </row>
    <row r="587" spans="1:22" ht="16.5" customHeight="1">
      <c r="A587" s="645"/>
      <c r="B587" s="645" t="s">
        <v>2473</v>
      </c>
      <c r="C587" s="807">
        <f>IF(C586&gt;=385,0.6,IF(C586&lt;385,0.8,"FEHLER"))</f>
        <v>0.6</v>
      </c>
      <c r="D587" s="790" t="s">
        <v>124</v>
      </c>
      <c r="E587" s="646" t="str">
        <f>IF(C587=0.8,Sprachtexte!A158, IF(C587=0.6,Sprachtexte!A159,"FEHLER"))</f>
        <v>c = 0,6 von niedriger zu höherer Dichte</v>
      </c>
    </row>
    <row r="588" spans="1:22" ht="16.5" customHeight="1">
      <c r="A588" s="645" t="str">
        <f>A736</f>
        <v>Umrechnungsfaktor</v>
      </c>
      <c r="B588" s="645" t="s">
        <v>2474</v>
      </c>
      <c r="C588" s="809">
        <f>(C586/385)^C587</f>
        <v>1</v>
      </c>
      <c r="D588" s="790" t="s">
        <v>124</v>
      </c>
      <c r="E588" s="646" t="s">
        <v>958</v>
      </c>
      <c r="F588" s="646"/>
    </row>
    <row r="589" spans="1:22" ht="16.5" customHeight="1">
      <c r="A589" s="645" t="str">
        <f>A708</f>
        <v>char. Rohdichte</v>
      </c>
      <c r="B589" s="785" t="s">
        <v>923</v>
      </c>
      <c r="C589" s="808">
        <f>HLOOKUP($F$16,MKW!$E$3:$BS$22,19,0)</f>
        <v>385</v>
      </c>
      <c r="D589" s="650" t="s">
        <v>115</v>
      </c>
      <c r="E589" s="650" t="str">
        <f>HLOOKUP($F$16,MKW!$E$3:$BS$22,3,0)</f>
        <v>DIN EN 14080:2013-09, Tab. 5</v>
      </c>
    </row>
    <row r="590" spans="1:22" ht="16.5" customHeight="1">
      <c r="A590" s="645"/>
      <c r="B590" s="645" t="s">
        <v>2475</v>
      </c>
      <c r="C590" s="807">
        <f>IF(C589&gt;=385,0.6,IF(C589&lt;385,0.8,"FEHLER"))</f>
        <v>0.6</v>
      </c>
      <c r="D590" s="790" t="s">
        <v>124</v>
      </c>
      <c r="E590" s="646" t="str">
        <f>IF(C590=0.8,Sprachtexte!A158, IF(C590=0.6,Sprachtexte!A159,"FEHLER"))</f>
        <v>c = 0,6 von niedriger zu höherer Dichte</v>
      </c>
    </row>
    <row r="591" spans="1:22" ht="16.5" customHeight="1">
      <c r="A591" s="645" t="str">
        <f>A736</f>
        <v>Umrechnungsfaktor</v>
      </c>
      <c r="B591" s="645" t="s">
        <v>2476</v>
      </c>
      <c r="C591" s="809">
        <f>(C589/385)^C590</f>
        <v>1</v>
      </c>
      <c r="D591" s="790" t="s">
        <v>124</v>
      </c>
      <c r="E591" s="646" t="s">
        <v>959</v>
      </c>
    </row>
    <row r="592" spans="1:22" ht="16.5" customHeight="1">
      <c r="A592" s="645" t="str">
        <f>A713</f>
        <v>char. Tragfähigkeit</v>
      </c>
      <c r="B592" s="645" t="s">
        <v>1097</v>
      </c>
      <c r="C592" s="809">
        <f>IF(Eingabe!V19=60,VLOOKUP(Eingabe!C53,MKW!A89:BF106,41,FALSE)*MIN(C588,C591),IF(Eingabe!V19=61,0,"FEHLER"))</f>
        <v>2.7</v>
      </c>
      <c r="D592" s="790" t="s">
        <v>496</v>
      </c>
      <c r="E592" s="646" t="s">
        <v>960</v>
      </c>
    </row>
    <row r="593" spans="1:11" ht="16.5" customHeight="1">
      <c r="A593" s="645" t="str">
        <f>A714</f>
        <v>Teilsicherheitsbeiwert</v>
      </c>
      <c r="B593" s="645" t="s">
        <v>519</v>
      </c>
      <c r="C593" s="809">
        <f>Eingabe!$C$33</f>
        <v>1.3</v>
      </c>
      <c r="D593" s="650" t="s">
        <v>124</v>
      </c>
      <c r="F593" s="650" t="s">
        <v>524</v>
      </c>
    </row>
    <row r="594" spans="1:11" ht="16.5" customHeight="1">
      <c r="A594" s="645"/>
      <c r="B594" s="645" t="s">
        <v>2477</v>
      </c>
      <c r="C594" s="808">
        <f>IF(Eingabe!V19=60,VLOOKUP(Eingabe!C53,MKW!A89:BF106,45,FALSE)*MIN(C588,C591),IF(Eingabe!V19=61,0,"FEHLER"))</f>
        <v>227</v>
      </c>
      <c r="D594" s="650" t="s">
        <v>494</v>
      </c>
      <c r="F594" s="650"/>
    </row>
    <row r="596" spans="1:11" ht="16.5" customHeight="1">
      <c r="A596" s="767" t="str">
        <f>Sprachtexte!A121</f>
        <v>Nachweis</v>
      </c>
      <c r="B596" s="645" t="s">
        <v>627</v>
      </c>
      <c r="C596" s="748">
        <f>IF(H597=K597,"-",_xlfn.XLOOKUP(H597,Eingabe!$EL$5:$EL$32,Eingabe!$EJ$5:$EJ$32,0,0,1))</f>
        <v>1.2461538461538462</v>
      </c>
      <c r="D596" s="646" t="s">
        <v>469</v>
      </c>
      <c r="E596" s="645" t="s">
        <v>637</v>
      </c>
      <c r="F596" s="779" t="str">
        <f>IF(OR(H597=K597,H597=0),"-",_xlfn.XLOOKUP(H597,Eingabe!$EL$5:$EL$32,Eingabe!$CV$5:$CV$32,0,0,1))</f>
        <v>-</v>
      </c>
      <c r="G596" s="1540" t="str">
        <f>Sprachtexte!$A$164</f>
        <v>Ausnutzung</v>
      </c>
      <c r="H596" s="1540"/>
      <c r="I596" s="1540"/>
    </row>
    <row r="597" spans="1:11" ht="16.5" customHeight="1">
      <c r="A597" s="809"/>
      <c r="B597" s="645" t="s">
        <v>667</v>
      </c>
      <c r="C597" s="809">
        <f>IF(H597=K597,MAX(Eingabe!CU5:CU32),_xlfn.XLOOKUP(H597,Eingabe!$EL$5:$EL$32,Eingabe!$CU$5:$CU$32,0,0,1))</f>
        <v>0</v>
      </c>
      <c r="D597" s="646" t="s">
        <v>469</v>
      </c>
      <c r="E597" s="751" t="str">
        <f>Sprachtexte!$A$123</f>
        <v>aus</v>
      </c>
      <c r="F597" s="751" t="str">
        <f>IF(OR(H597=K597,H597=0),"-",_xlfn.XLOOKUP(H597,Eingabe!$EL$5:$EL$32,Eingabe!$BS$5:$BS$32,0,0,1))</f>
        <v>-</v>
      </c>
      <c r="G597" s="645" t="s">
        <v>638</v>
      </c>
      <c r="H597" s="866">
        <f>IF(AND(MAX(Eingabe!CU5:CU32)&gt;0,Eingabe!EH5=0),K597,MAX(Eingabe!$EL$5:$EL$32))</f>
        <v>0</v>
      </c>
      <c r="I597" s="646"/>
      <c r="K597" s="912">
        <v>9.99</v>
      </c>
    </row>
    <row r="598" spans="1:11" ht="16.5" customHeight="1">
      <c r="A598" s="809"/>
      <c r="B598" s="645"/>
      <c r="C598" s="809"/>
      <c r="D598" s="646"/>
      <c r="E598" s="751"/>
      <c r="F598" s="751"/>
      <c r="G598" s="645"/>
      <c r="H598" s="866"/>
      <c r="I598" s="646"/>
    </row>
    <row r="599" spans="1:11" ht="16.5" customHeight="1">
      <c r="A599" s="585" t="str">
        <f>Sprachtexte!A160</f>
        <v>Zusammenfassung der Ergebnisse</v>
      </c>
      <c r="B599" s="585"/>
      <c r="C599" s="585"/>
      <c r="D599" s="585"/>
      <c r="E599" s="585"/>
      <c r="F599" s="585"/>
      <c r="G599" s="585"/>
      <c r="H599" s="585"/>
      <c r="I599" s="585"/>
    </row>
    <row r="600" spans="1:11" ht="16.5" customHeight="1">
      <c r="A600" s="794"/>
      <c r="B600" s="794"/>
      <c r="C600" s="794"/>
      <c r="D600" s="794"/>
      <c r="E600" s="794"/>
      <c r="F600" s="794"/>
      <c r="G600" s="794"/>
      <c r="H600" s="794"/>
      <c r="I600" s="794"/>
    </row>
    <row r="601" spans="1:11" ht="16.5" customHeight="1">
      <c r="A601" s="767" t="str">
        <f>A47</f>
        <v>MEGANT-Verbinder</v>
      </c>
      <c r="B601" s="768"/>
      <c r="C601" s="767" t="str">
        <f t="shared" ref="C601:E601" si="12">C47</f>
        <v>310 x 60 x 40</v>
      </c>
      <c r="D601" s="767"/>
      <c r="E601" s="767" t="str">
        <f t="shared" si="12"/>
        <v>ALU AW 6082</v>
      </c>
      <c r="F601" s="769"/>
      <c r="G601" s="768"/>
      <c r="H601" s="768"/>
      <c r="I601" s="770"/>
    </row>
    <row r="602" spans="1:11" ht="16.5" customHeight="1">
      <c r="A602" s="769" t="str">
        <f t="shared" ref="A602:C602" si="13">A48</f>
        <v>Anschluss der unteren Spannbacke im</v>
      </c>
      <c r="B602" s="768"/>
      <c r="C602" s="767" t="str">
        <f t="shared" si="13"/>
        <v>untere Spannbacke im Hauptträger/Stütze</v>
      </c>
      <c r="D602" s="767"/>
      <c r="E602" s="767"/>
      <c r="F602" s="767"/>
      <c r="G602" s="768"/>
      <c r="H602" s="768"/>
      <c r="I602" s="770"/>
    </row>
    <row r="603" spans="1:11" ht="16.5" customHeight="1">
      <c r="A603" s="769"/>
      <c r="B603" s="768"/>
      <c r="C603" s="767"/>
      <c r="D603" s="767"/>
      <c r="E603" s="767"/>
      <c r="F603" s="767"/>
      <c r="G603" s="768"/>
      <c r="H603" s="768"/>
      <c r="I603" s="770"/>
    </row>
    <row r="604" spans="1:11" ht="16.5" customHeight="1">
      <c r="A604" s="763" t="str">
        <f t="shared" ref="A604:E604" si="14">A50</f>
        <v>Schraubenanordnung</v>
      </c>
      <c r="B604" s="1547" t="str">
        <f t="shared" si="14"/>
        <v>Anzahl</v>
      </c>
      <c r="C604" s="1547"/>
      <c r="D604" s="1547"/>
      <c r="E604" s="1547" t="str">
        <f t="shared" si="14"/>
        <v>Schraubentyp und -abmessungen</v>
      </c>
      <c r="F604" s="1547"/>
      <c r="G604" s="1547"/>
      <c r="H604" s="1547"/>
      <c r="I604" s="1547"/>
    </row>
    <row r="605" spans="1:11" ht="16.5" customHeight="1">
      <c r="A605" s="753" t="str">
        <f t="shared" ref="A605:G605" si="15">A51</f>
        <v>45° Schrauben Hauptträger</v>
      </c>
      <c r="B605" s="645" t="s">
        <v>865</v>
      </c>
      <c r="C605" s="751">
        <f t="shared" si="15"/>
        <v>7</v>
      </c>
      <c r="E605" s="646" t="str">
        <f t="shared" si="15"/>
        <v>SK 8x160</v>
      </c>
      <c r="F605" s="753"/>
      <c r="G605" s="753" t="str">
        <f t="shared" si="15"/>
        <v>ETA-15/0667</v>
      </c>
    </row>
    <row r="606" spans="1:11" ht="16.5" customHeight="1">
      <c r="A606" s="753" t="str">
        <f t="shared" ref="A606:G606" si="16">A52</f>
        <v>90° Schrauben Hauptträger</v>
      </c>
      <c r="B606" s="645" t="s">
        <v>866</v>
      </c>
      <c r="C606" s="751">
        <f t="shared" si="16"/>
        <v>5</v>
      </c>
      <c r="E606" s="646" t="str">
        <f t="shared" si="16"/>
        <v>SK 8x160</v>
      </c>
      <c r="F606" s="753"/>
      <c r="G606" s="753" t="str">
        <f t="shared" si="16"/>
        <v>ETA-15/0667</v>
      </c>
      <c r="H606" s="753"/>
      <c r="I606" s="753"/>
    </row>
    <row r="607" spans="1:11" ht="16.5" customHeight="1">
      <c r="A607" s="753" t="str">
        <f t="shared" ref="A607:G607" si="17">A53</f>
        <v>45° Schrauben Nebenträger</v>
      </c>
      <c r="B607" s="645" t="s">
        <v>867</v>
      </c>
      <c r="C607" s="751">
        <f t="shared" si="17"/>
        <v>7</v>
      </c>
      <c r="E607" s="646" t="str">
        <f t="shared" si="17"/>
        <v>SK 8x160</v>
      </c>
      <c r="G607" s="753" t="str">
        <f t="shared" si="17"/>
        <v>ETA-15/0667</v>
      </c>
      <c r="I607" s="753"/>
    </row>
    <row r="608" spans="1:11" ht="16.5" customHeight="1">
      <c r="A608" s="763" t="str">
        <f t="shared" ref="A608:G609" si="18">A54</f>
        <v>0° Schrauben Nebenträger</v>
      </c>
      <c r="B608" s="771" t="s">
        <v>868</v>
      </c>
      <c r="C608" s="772">
        <f t="shared" si="18"/>
        <v>5</v>
      </c>
      <c r="D608" s="762"/>
      <c r="E608" s="773" t="str">
        <f t="shared" si="18"/>
        <v>SK 8x240</v>
      </c>
      <c r="F608" s="763"/>
      <c r="G608" s="763" t="str">
        <f t="shared" si="18"/>
        <v>ETA-15/0667</v>
      </c>
      <c r="H608" s="763"/>
      <c r="I608" s="763"/>
    </row>
    <row r="609" spans="1:22" ht="16.5" customHeight="1">
      <c r="A609" s="763" t="str">
        <f>A55</f>
        <v>Gewindestangen</v>
      </c>
      <c r="B609" s="771" t="s">
        <v>912</v>
      </c>
      <c r="C609" s="772">
        <f t="shared" si="18"/>
        <v>1</v>
      </c>
      <c r="D609" s="774"/>
      <c r="E609" s="773" t="str">
        <f t="shared" si="18"/>
        <v>M20 x 340, 8.8</v>
      </c>
      <c r="F609" s="773"/>
      <c r="G609" s="762"/>
      <c r="H609" s="762"/>
      <c r="I609" s="763"/>
    </row>
    <row r="610" spans="1:22" s="740" customFormat="1" ht="16.5" customHeight="1">
      <c r="A610" s="794"/>
      <c r="B610" s="794"/>
      <c r="C610" s="794"/>
      <c r="D610" s="794"/>
      <c r="E610" s="794"/>
      <c r="F610" s="794"/>
      <c r="G610" s="794"/>
      <c r="H610" s="794"/>
      <c r="I610" s="794"/>
      <c r="J610" s="871"/>
      <c r="K610" s="871"/>
      <c r="L610" s="899"/>
      <c r="M610" s="794"/>
      <c r="N610" s="917"/>
      <c r="O610" s="794"/>
      <c r="P610" s="933"/>
      <c r="Q610" s="794"/>
      <c r="R610" s="942"/>
      <c r="S610" s="794"/>
      <c r="T610" s="934"/>
      <c r="U610" s="794"/>
      <c r="V610" s="925"/>
    </row>
    <row r="611" spans="1:22" s="740" customFormat="1" ht="16.5" customHeight="1">
      <c r="A611" s="767" t="str">
        <f>IF(Eingabe!$V$14=41,Sprachtexte!A265,IF(Eingabe!$V$14=40,Sprachtexte!A266,"FEHLER"))</f>
        <v>keine Verstärkungsmaßnahmen in der Zugzone und/oder Druckzone vorhanden</v>
      </c>
      <c r="B611" s="794"/>
      <c r="C611" s="794"/>
      <c r="D611" s="794"/>
      <c r="E611" s="794"/>
      <c r="F611" s="794"/>
      <c r="G611" s="794"/>
      <c r="H611" s="794"/>
      <c r="I611" s="794"/>
      <c r="J611" s="871"/>
      <c r="K611" s="871"/>
      <c r="L611" s="899"/>
      <c r="M611" s="794"/>
      <c r="N611" s="917"/>
      <c r="O611" s="794"/>
      <c r="P611" s="933"/>
      <c r="Q611" s="794"/>
      <c r="R611" s="942"/>
      <c r="S611" s="794"/>
      <c r="T611" s="934"/>
      <c r="U611" s="794"/>
      <c r="V611" s="925"/>
    </row>
    <row r="612" spans="1:22" s="740" customFormat="1" ht="16.5" customHeight="1">
      <c r="A612" s="794"/>
      <c r="B612" s="794"/>
      <c r="C612" s="794"/>
      <c r="D612" s="794"/>
      <c r="E612" s="794"/>
      <c r="F612" s="794"/>
      <c r="G612" s="794"/>
      <c r="H612" s="794"/>
      <c r="I612" s="794"/>
      <c r="J612" s="871"/>
      <c r="K612" s="871"/>
      <c r="L612" s="899"/>
      <c r="M612" s="794"/>
      <c r="N612" s="917"/>
      <c r="O612" s="794"/>
      <c r="P612" s="933"/>
      <c r="Q612" s="794"/>
      <c r="R612" s="942"/>
      <c r="S612" s="794"/>
      <c r="T612" s="934"/>
      <c r="U612" s="794"/>
      <c r="V612" s="925"/>
    </row>
    <row r="613" spans="1:22" ht="16.5" customHeight="1">
      <c r="A613" s="767" t="str">
        <f>Sprachtexte!A161</f>
        <v>Einzelnachweise</v>
      </c>
      <c r="G613" s="1564"/>
      <c r="H613" s="1564"/>
      <c r="I613" s="767"/>
    </row>
    <row r="614" spans="1:22" ht="16.5" customHeight="1">
      <c r="A614" s="763"/>
      <c r="B614" s="772" t="str">
        <f>Sprachtexte!A162</f>
        <v>Tragfähigkeit</v>
      </c>
      <c r="C614" s="763"/>
      <c r="D614" s="763"/>
      <c r="E614" s="772" t="str">
        <f>Sprachtexte!A163</f>
        <v>Einwirkung</v>
      </c>
      <c r="F614" s="763"/>
      <c r="G614" s="772" t="str">
        <f>Sprachtexte!A164</f>
        <v>Ausnutzung</v>
      </c>
      <c r="H614" s="762"/>
      <c r="I614" s="763"/>
    </row>
    <row r="615" spans="1:22" ht="16.5" customHeight="1">
      <c r="A615" s="645" t="s">
        <v>570</v>
      </c>
      <c r="B615" s="778" t="e">
        <f ca="1">C198</f>
        <v>#DIV/0!</v>
      </c>
      <c r="C615" s="753" t="s">
        <v>469</v>
      </c>
      <c r="D615" s="645" t="s">
        <v>571</v>
      </c>
      <c r="E615" s="778" t="e">
        <f ca="1">C199</f>
        <v>#DIV/0!</v>
      </c>
      <c r="F615" s="646" t="s">
        <v>469</v>
      </c>
      <c r="G615" s="866" t="e">
        <f ca="1">H199</f>
        <v>#DIV/0!</v>
      </c>
      <c r="H615" s="646"/>
      <c r="I615" s="886" t="e">
        <f ca="1">F199</f>
        <v>#DIV/0!</v>
      </c>
    </row>
    <row r="616" spans="1:22" ht="16.5" customHeight="1">
      <c r="A616" s="645" t="s">
        <v>626</v>
      </c>
      <c r="B616" s="778" t="e">
        <f ca="1">C267</f>
        <v>#DIV/0!</v>
      </c>
      <c r="C616" s="753" t="s">
        <v>469</v>
      </c>
      <c r="D616" s="645" t="s">
        <v>577</v>
      </c>
      <c r="E616" s="778" t="e">
        <f ca="1">$C$268</f>
        <v>#DIV/0!</v>
      </c>
      <c r="F616" s="646" t="s">
        <v>469</v>
      </c>
      <c r="G616" s="866" t="e">
        <f ca="1">H268</f>
        <v>#DIV/0!</v>
      </c>
      <c r="H616" s="646"/>
      <c r="I616" s="886" t="e">
        <f ca="1">F268</f>
        <v>#DIV/0!</v>
      </c>
    </row>
    <row r="617" spans="1:22" ht="16.5" customHeight="1">
      <c r="A617" s="645" t="s">
        <v>575</v>
      </c>
      <c r="B617" s="778" t="e">
        <f ca="1">C373</f>
        <v>#DIV/0!</v>
      </c>
      <c r="C617" s="753" t="s">
        <v>469</v>
      </c>
      <c r="D617" s="645" t="s">
        <v>573</v>
      </c>
      <c r="E617" s="778" t="e">
        <f ca="1">C374</f>
        <v>#DIV/0!</v>
      </c>
      <c r="F617" s="646" t="s">
        <v>469</v>
      </c>
      <c r="G617" s="866" t="e">
        <f ca="1">H374</f>
        <v>#DIV/0!</v>
      </c>
      <c r="H617" s="646"/>
      <c r="I617" s="886" t="e">
        <f ca="1">F374</f>
        <v>#DIV/0!</v>
      </c>
      <c r="J617" s="879"/>
    </row>
    <row r="618" spans="1:22" ht="16.5" customHeight="1">
      <c r="A618" s="645" t="s">
        <v>920</v>
      </c>
      <c r="B618" s="778">
        <f ca="1">C426</f>
        <v>15.511278579041001</v>
      </c>
      <c r="C618" s="753" t="s">
        <v>469</v>
      </c>
      <c r="D618" s="645" t="s">
        <v>921</v>
      </c>
      <c r="E618" s="778">
        <f ca="1">C427</f>
        <v>0</v>
      </c>
      <c r="F618" s="646" t="s">
        <v>469</v>
      </c>
      <c r="G618" s="866">
        <f ca="1">H427</f>
        <v>0</v>
      </c>
      <c r="H618" s="646"/>
      <c r="I618" s="886" t="str">
        <f ca="1">F427</f>
        <v>LK 1</v>
      </c>
    </row>
    <row r="619" spans="1:22" ht="16.5" customHeight="1">
      <c r="A619" s="645" t="s">
        <v>627</v>
      </c>
      <c r="B619" s="778">
        <f>C596</f>
        <v>1.2461538461538462</v>
      </c>
      <c r="C619" s="753" t="s">
        <v>496</v>
      </c>
      <c r="D619" s="645" t="s">
        <v>667</v>
      </c>
      <c r="E619" s="778">
        <f>C597</f>
        <v>0</v>
      </c>
      <c r="F619" s="753" t="s">
        <v>496</v>
      </c>
      <c r="G619" s="866">
        <f>H597</f>
        <v>0</v>
      </c>
      <c r="H619" s="646"/>
      <c r="I619" s="886" t="str">
        <f>F597</f>
        <v>-</v>
      </c>
      <c r="L619" s="899" t="s">
        <v>1960</v>
      </c>
      <c r="M619" s="650" t="s">
        <v>1961</v>
      </c>
    </row>
    <row r="620" spans="1:22" ht="16.5" customHeight="1">
      <c r="A620" s="645" t="s">
        <v>902</v>
      </c>
      <c r="B620" s="778" t="e">
        <f ca="1">C527</f>
        <v>#DIV/0!</v>
      </c>
      <c r="C620" s="753" t="s">
        <v>496</v>
      </c>
      <c r="D620" s="645" t="s">
        <v>668</v>
      </c>
      <c r="E620" s="778" t="e">
        <f ca="1">C528</f>
        <v>#DIV/0!</v>
      </c>
      <c r="F620" s="753" t="s">
        <v>496</v>
      </c>
      <c r="G620" s="866" t="e">
        <f ca="1">H528</f>
        <v>#DIV/0!</v>
      </c>
      <c r="H620" s="646" t="str">
        <f>IF(Eingabe!$V$14=41,CONCATENATE("*(",L620,"%)"),IF(Eingabe!$V$14=40,"","FEHLER"))</f>
        <v/>
      </c>
      <c r="I620" s="886" t="e">
        <f ca="1">F528</f>
        <v>#DIV/0!</v>
      </c>
      <c r="L620" s="916" t="e">
        <f ca="1">ROUND(MAX(Eingabe!$EG$5:$EG$32)*100,0)</f>
        <v>#DIV/0!</v>
      </c>
      <c r="M620" s="650" t="e">
        <f ca="1">ROUND(MAX(Eingabe!$EG$37:$EG$64)*100,0)</f>
        <v>#DIV/0!</v>
      </c>
    </row>
    <row r="621" spans="1:22" ht="16.5" customHeight="1">
      <c r="A621" s="645"/>
    </row>
    <row r="622" spans="1:22" ht="16.5" customHeight="1">
      <c r="A622" s="767" t="str">
        <f>Sprachtexte!A165</f>
        <v>Kombinationsnachweise</v>
      </c>
      <c r="B622" s="645"/>
      <c r="D622" s="645"/>
      <c r="E622" s="645"/>
      <c r="F622" s="645"/>
      <c r="G622" s="645"/>
      <c r="H622" s="645"/>
      <c r="I622" s="646"/>
    </row>
    <row r="623" spans="1:22" ht="16.5" customHeight="1">
      <c r="A623" s="778"/>
      <c r="B623" s="778"/>
      <c r="C623" s="807"/>
      <c r="D623" s="778"/>
      <c r="G623" s="751"/>
      <c r="H623" s="645"/>
      <c r="I623" s="646"/>
    </row>
    <row r="624" spans="1:22" ht="16.5" customHeight="1">
      <c r="B624" s="645"/>
      <c r="D624" s="645"/>
      <c r="E624" s="645"/>
      <c r="F624" s="645"/>
      <c r="G624" s="866" t="e">
        <f ca="1">IF(Eingabe!$V$14=40,MAX(Eingabe!EQ5:EQ32),IF(Eingabe!$V$14=41,MAX(Eingabe!EQ37:EQ64),"FEHLER"))</f>
        <v>#DIV/0!</v>
      </c>
      <c r="H624" s="646" t="str">
        <f>IF(Eingabe!$V$14=41,CONCATENATE("*(",L624,"%)"),IF(Eingabe!$V$14=40,"","FEHLER"))</f>
        <v/>
      </c>
      <c r="I624" s="646" t="e">
        <f ca="1">IF(Eingabe!$V$14=40,_xlfn.XLOOKUP(G624,Eingabe!$EQ$5:$EQ$32,Eingabe!$BS$5:$BS$32,0,0,1),IF(Eingabe!$V$14=41,_xlfn.XLOOKUP(G624,Eingabe!$EQ$37:$EQ$64,Eingabe!$BS$37:$BS$64,0,0,1),"FEHLER"))</f>
        <v>#DIV/0!</v>
      </c>
      <c r="L624" s="916" t="e">
        <f ca="1">ROUND(MAX(Eingabe!EQ5:EQ32)*100,0)</f>
        <v>#DIV/0!</v>
      </c>
      <c r="M624" s="1208" t="e">
        <f ca="1">ROUND(MAX(Eingabe!EQ37:EQ64)*100,0)</f>
        <v>#DIV/0!</v>
      </c>
    </row>
    <row r="625" spans="1:13" ht="16.5" customHeight="1">
      <c r="B625" s="645"/>
      <c r="D625" s="645"/>
      <c r="E625" s="645"/>
      <c r="F625" s="645"/>
      <c r="I625" s="646"/>
    </row>
    <row r="626" spans="1:13" ht="16.5" customHeight="1">
      <c r="B626" s="645"/>
      <c r="D626" s="645"/>
      <c r="E626" s="645"/>
      <c r="F626" s="645"/>
      <c r="I626" s="645"/>
    </row>
    <row r="627" spans="1:13" ht="16.5" customHeight="1">
      <c r="A627" s="645"/>
      <c r="B627" s="645"/>
      <c r="C627" s="753"/>
      <c r="D627" s="645"/>
      <c r="E627" s="645"/>
      <c r="F627" s="645"/>
      <c r="G627" s="645"/>
      <c r="H627" s="645"/>
      <c r="I627" s="645"/>
    </row>
    <row r="628" spans="1:13" ht="16.5" customHeight="1">
      <c r="A628" s="645"/>
      <c r="B628" s="645"/>
      <c r="C628" s="753"/>
      <c r="D628" s="645"/>
      <c r="E628" s="645"/>
      <c r="F628" s="645"/>
      <c r="G628" s="866" t="e">
        <f ca="1">IF(Eingabe!$V$14=40,MAX(Eingabe!ER5:ER32),IF(Eingabe!$V$14=41,MAX(Eingabe!ER37:ER64),"FEHLER"))</f>
        <v>#DIV/0!</v>
      </c>
      <c r="H628" s="646" t="str">
        <f>IF(Eingabe!$V$14=41,CONCATENATE("*(",L628,"%)"),IF(Eingabe!$V$14=40,"","FEHLER"))</f>
        <v/>
      </c>
      <c r="I628" s="646" t="e">
        <f ca="1">IF(Eingabe!$V$14=40,_xlfn.XLOOKUP(G628,Eingabe!$ER$5:$ER$32,Eingabe!$BS$5:$BS$32,0,0,1),IF(Eingabe!$V$14=41,_xlfn.XLOOKUP(G628,Eingabe!$ER$37:$ER$64,Eingabe!$BS$37:$BS$64,0,0,1),"FEHLER"))</f>
        <v>#DIV/0!</v>
      </c>
      <c r="L628" s="916" t="e">
        <f ca="1">ROUND(MAX(Eingabe!ER5:ER32)*100,0)</f>
        <v>#DIV/0!</v>
      </c>
      <c r="M628" s="1208" t="e">
        <f ca="1">ROUND(MAX(Eingabe!ER37:ER64)*100,0)</f>
        <v>#DIV/0!</v>
      </c>
    </row>
    <row r="629" spans="1:13" ht="16.5" customHeight="1">
      <c r="A629" s="645"/>
      <c r="B629" s="645"/>
      <c r="C629" s="753"/>
      <c r="D629" s="645"/>
      <c r="E629" s="645"/>
      <c r="F629" s="645"/>
      <c r="I629" s="645"/>
    </row>
    <row r="630" spans="1:13" ht="16.5" customHeight="1">
      <c r="A630" s="1520" t="str">
        <f>IF(Eingabe!$V$14=40,"",IF(Eingabe!$V$14=41,Sprachtexte!A246,"FEHLER"))</f>
        <v/>
      </c>
      <c r="B630" s="1520"/>
      <c r="C630" s="1520"/>
      <c r="D630" s="1520"/>
      <c r="E630" s="1520"/>
      <c r="F630" s="1520"/>
      <c r="G630" s="1520"/>
      <c r="H630" s="1520"/>
      <c r="I630" s="1520"/>
    </row>
    <row r="631" spans="1:13" ht="16.5" customHeight="1">
      <c r="A631" s="1520"/>
      <c r="B631" s="1520"/>
      <c r="C631" s="1520"/>
      <c r="D631" s="1520"/>
      <c r="E631" s="1520"/>
      <c r="F631" s="1520"/>
      <c r="G631" s="1520"/>
      <c r="H631" s="1520"/>
      <c r="I631" s="1520"/>
    </row>
    <row r="632" spans="1:13" ht="16.5" customHeight="1">
      <c r="A632" s="1520" t="str">
        <f>IF(Eingabe!$V$14=41,Sprachtexte!A224,IF(Eingabe!$V$14=40,"","FEHLER"))</f>
        <v/>
      </c>
      <c r="B632" s="1520"/>
      <c r="C632" s="1520"/>
      <c r="D632" s="1520"/>
      <c r="E632" s="1520"/>
      <c r="F632" s="1520"/>
      <c r="G632" s="1520"/>
      <c r="H632" s="1520"/>
      <c r="I632" s="1520"/>
    </row>
    <row r="633" spans="1:13" ht="16.5" customHeight="1">
      <c r="A633" s="677"/>
      <c r="B633" s="677"/>
      <c r="C633" s="677"/>
      <c r="D633" s="677"/>
      <c r="E633" s="677"/>
      <c r="F633" s="677"/>
      <c r="G633" s="677"/>
      <c r="H633" s="677"/>
      <c r="I633" s="677"/>
    </row>
    <row r="634" spans="1:13" ht="16.5" customHeight="1">
      <c r="A634" s="591" t="str">
        <f>Sprachtexte!A267</f>
        <v>Nachweis der Ausklinkung am Nebenträger</v>
      </c>
      <c r="B634" s="1280"/>
      <c r="C634" s="1280"/>
      <c r="D634" s="1280"/>
      <c r="E634" s="1280"/>
      <c r="F634" s="1280"/>
      <c r="G634" s="1280"/>
      <c r="H634" s="1280"/>
      <c r="I634" s="1280"/>
    </row>
    <row r="635" spans="1:13" ht="16.5" customHeight="1">
      <c r="A635" s="631" t="s">
        <v>2320</v>
      </c>
      <c r="B635" s="779" t="e">
        <f ca="1">C284</f>
        <v>#DIV/0!</v>
      </c>
      <c r="C635" s="753" t="s">
        <v>3</v>
      </c>
      <c r="D635" s="631" t="s">
        <v>2322</v>
      </c>
      <c r="E635" s="1296" t="e">
        <f ca="1">C285</f>
        <v>#DIV/0!</v>
      </c>
      <c r="F635" s="753" t="s">
        <v>3</v>
      </c>
      <c r="G635" s="1295" t="e">
        <f ca="1">H285</f>
        <v>#DIV/0!</v>
      </c>
      <c r="H635" s="1280"/>
      <c r="I635" s="1280" t="e">
        <f ca="1">F268</f>
        <v>#DIV/0!</v>
      </c>
    </row>
    <row r="636" spans="1:13" ht="16.5" customHeight="1">
      <c r="A636" s="631" t="s">
        <v>2321</v>
      </c>
      <c r="B636" s="787" t="e">
        <f ca="1">Eingabe!$FF$25</f>
        <v>#DIV/0!</v>
      </c>
      <c r="C636" s="569" t="s">
        <v>5</v>
      </c>
      <c r="D636" s="631" t="s">
        <v>2323</v>
      </c>
      <c r="E636" s="787" t="e">
        <f ca="1">Eingabe!$FF$26</f>
        <v>#DIV/0!</v>
      </c>
      <c r="F636" s="569" t="s">
        <v>5</v>
      </c>
      <c r="G636" s="1295" t="e">
        <f ca="1">H288</f>
        <v>#DIV/0!</v>
      </c>
      <c r="H636" s="1280"/>
      <c r="I636" s="1280" t="e">
        <f ca="1">F268</f>
        <v>#DIV/0!</v>
      </c>
    </row>
    <row r="637" spans="1:13" ht="16.5" customHeight="1">
      <c r="B637" s="1280"/>
      <c r="C637" s="1280"/>
      <c r="D637" s="1280"/>
      <c r="E637" s="1280"/>
      <c r="F637" s="1280"/>
      <c r="G637" s="1280"/>
      <c r="H637" s="1280"/>
      <c r="I637" s="1280"/>
    </row>
    <row r="638" spans="1:13" ht="16.5" customHeight="1">
      <c r="A638" s="585" t="str">
        <f>Eingabe!A121</f>
        <v>Angaben zur Verstärkungen des MEGANT-Verbinders</v>
      </c>
      <c r="B638" s="585"/>
      <c r="C638" s="585"/>
      <c r="D638" s="585"/>
      <c r="E638" s="585"/>
      <c r="F638" s="585"/>
      <c r="G638" s="585"/>
      <c r="H638" s="585"/>
      <c r="I638" s="585"/>
    </row>
    <row r="639" spans="1:13" ht="16.5" customHeight="1">
      <c r="A639" s="769" t="str">
        <f>Eingabe!A122</f>
        <v>Verstärkung in der Zugzone vorhanden?</v>
      </c>
      <c r="C639" s="781" t="str">
        <f>Eingabe!C122</f>
        <v>Nein</v>
      </c>
      <c r="D639" s="645"/>
      <c r="E639" s="645"/>
      <c r="F639" s="645"/>
      <c r="G639" s="645"/>
      <c r="H639" s="645"/>
      <c r="I639" s="645"/>
      <c r="L639" s="899" t="str">
        <f>Sprachtexte!A20</f>
        <v>Nein</v>
      </c>
    </row>
    <row r="640" spans="1:13" ht="16.5" customHeight="1">
      <c r="A640" s="1219" t="str">
        <f>Eingabe!A123</f>
        <v>Art der Zugzonenverstärkung</v>
      </c>
      <c r="B640" s="769" t="str">
        <f>Eingabe!C123</f>
        <v>Schraubenkreuz</v>
      </c>
      <c r="C640" s="1219"/>
      <c r="D640" s="645"/>
      <c r="E640" s="645"/>
      <c r="F640" s="645"/>
      <c r="G640" s="645"/>
      <c r="H640" s="645"/>
      <c r="I640" s="645"/>
    </row>
    <row r="641" spans="1:12" ht="16.5" customHeight="1">
      <c r="A641" s="645"/>
      <c r="B641" s="645"/>
      <c r="C641" s="645"/>
      <c r="D641" s="645"/>
      <c r="E641" s="645"/>
      <c r="F641" s="645"/>
      <c r="G641" s="645"/>
      <c r="H641" s="645"/>
      <c r="I641" s="645"/>
    </row>
    <row r="642" spans="1:12" ht="16.5" customHeight="1">
      <c r="A642" s="645" t="str">
        <f>Eingabe!A125</f>
        <v>Werte je Schraubenkreuz</v>
      </c>
      <c r="B642" s="645"/>
      <c r="C642" s="645" t="str">
        <f>Eingabe!C125</f>
        <v>Hauptträger</v>
      </c>
      <c r="D642" s="646" t="str">
        <f>Eingabe!D125</f>
        <v>Nebenträger</v>
      </c>
      <c r="E642" s="645"/>
      <c r="F642" s="645"/>
      <c r="G642" s="645"/>
      <c r="H642" s="645"/>
      <c r="I642" s="645"/>
    </row>
    <row r="643" spans="1:12" ht="16.5" customHeight="1">
      <c r="A643" s="645" t="str">
        <f>Eingabe!A126</f>
        <v>char. Tragfähigkeit</v>
      </c>
      <c r="B643" s="834" t="s">
        <v>1978</v>
      </c>
      <c r="C643" s="751">
        <f>IF(Eingabe!C126&lt;&gt;"",Eingabe!C126,"")</f>
        <v>30843</v>
      </c>
      <c r="D643" s="751">
        <f>IF(Eingabe!D126&lt;&gt;"",Eingabe!D126,"")</f>
        <v>20062</v>
      </c>
      <c r="E643" s="1198" t="s">
        <v>5</v>
      </c>
      <c r="F643" s="645"/>
      <c r="G643" s="645"/>
      <c r="H643" s="645"/>
      <c r="I643" s="645"/>
    </row>
    <row r="644" spans="1:12" ht="16.5" customHeight="1">
      <c r="A644" s="645" t="str">
        <f>Eingabe!A127</f>
        <v>Verschiebungsmodul</v>
      </c>
      <c r="B644" s="649" t="s">
        <v>1979</v>
      </c>
      <c r="C644" s="787">
        <f>IF(Eingabe!C127&lt;&gt;"",Eingabe!C127,"")</f>
        <v>37500</v>
      </c>
      <c r="D644" s="787">
        <f>IF(Eingabe!D127&lt;&gt;"",Eingabe!D127,"")</f>
        <v>31816</v>
      </c>
      <c r="E644" s="501" t="s">
        <v>4</v>
      </c>
      <c r="F644" s="645"/>
      <c r="G644" s="645"/>
      <c r="H644" s="645"/>
      <c r="I644" s="645"/>
    </row>
    <row r="645" spans="1:12" ht="16.5" customHeight="1">
      <c r="A645" s="645" t="str">
        <f>Eingabe!A128</f>
        <v>Abstand VM - MEGANT</v>
      </c>
      <c r="B645" s="649" t="s">
        <v>1975</v>
      </c>
      <c r="C645" s="751">
        <f>IF(Eingabe!C128&lt;&gt;"",Eingabe!C128,"")</f>
        <v>50</v>
      </c>
      <c r="D645" s="751">
        <f>IF(Eingabe!D128&lt;&gt;"",Eingabe!D128,"")</f>
        <v>50</v>
      </c>
      <c r="E645" s="501" t="s">
        <v>2</v>
      </c>
      <c r="F645" s="645"/>
      <c r="G645" s="645"/>
      <c r="H645" s="645"/>
      <c r="I645" s="645"/>
    </row>
    <row r="646" spans="1:12" ht="16.5" customHeight="1">
      <c r="A646" s="645" t="str">
        <f>Eingabe!A129</f>
        <v>Abstand VM - VM</v>
      </c>
      <c r="B646" s="649" t="s">
        <v>1976</v>
      </c>
      <c r="C646" s="751">
        <f>IF(Eingabe!C129&lt;&gt;"",Eingabe!C129,"")</f>
        <v>40</v>
      </c>
      <c r="D646" s="751">
        <f>IF(Eingabe!D129&lt;&gt;"",Eingabe!D129,"")</f>
        <v>40</v>
      </c>
      <c r="E646" s="501" t="s">
        <v>2</v>
      </c>
      <c r="F646" s="645"/>
      <c r="G646" s="645"/>
      <c r="H646" s="645"/>
      <c r="I646" s="645"/>
    </row>
    <row r="647" spans="1:12" ht="16.5" customHeight="1">
      <c r="A647" s="645" t="str">
        <f>Eingabe!A130</f>
        <v>Anzahl VM-Reihen</v>
      </c>
      <c r="B647" s="649" t="s">
        <v>275</v>
      </c>
      <c r="C647" s="751">
        <f>IF(Eingabe!C130&lt;&gt;"",Eingabe!C130,"")</f>
        <v>2</v>
      </c>
      <c r="D647" s="751">
        <f>IF(Eingabe!D130&lt;&gt;"",Eingabe!D130,"")</f>
        <v>2</v>
      </c>
      <c r="E647" s="501" t="s">
        <v>1935</v>
      </c>
      <c r="F647" s="645"/>
      <c r="G647" s="645"/>
      <c r="H647" s="645"/>
      <c r="I647" s="645"/>
    </row>
    <row r="648" spans="1:12" ht="16.5" customHeight="1">
      <c r="A648" s="645"/>
      <c r="B648" s="645"/>
      <c r="C648" s="645"/>
      <c r="D648" s="645"/>
      <c r="E648" s="645"/>
      <c r="F648" s="645"/>
      <c r="G648" s="645"/>
      <c r="H648" s="645"/>
      <c r="I648" s="645"/>
    </row>
    <row r="649" spans="1:12" ht="16.5" customHeight="1">
      <c r="A649" s="769" t="str">
        <f>Eingabe!A157</f>
        <v>Verstärkung in der Druckzone vorhanden?</v>
      </c>
      <c r="C649" s="781" t="str">
        <f>Eingabe!C157</f>
        <v>Nein</v>
      </c>
      <c r="D649" s="645"/>
      <c r="E649" s="645"/>
      <c r="F649" s="645"/>
      <c r="G649" s="645"/>
      <c r="H649" s="645"/>
      <c r="I649" s="645"/>
      <c r="L649" s="899" t="str">
        <f>Sprachtexte!A20</f>
        <v>Nein</v>
      </c>
    </row>
    <row r="650" spans="1:12" ht="16.5" customHeight="1">
      <c r="A650" s="1219" t="str">
        <f>Eingabe!A158</f>
        <v>Art der Druckzonenverstärkung</v>
      </c>
      <c r="B650" s="769" t="str">
        <f>Eingabe!C158</f>
        <v>Hauptträger</v>
      </c>
      <c r="C650" s="645"/>
      <c r="D650" s="645"/>
      <c r="E650" s="645"/>
      <c r="F650" s="645"/>
      <c r="G650" s="645"/>
      <c r="H650" s="645"/>
      <c r="I650" s="645"/>
    </row>
    <row r="651" spans="1:12" ht="16.5" customHeight="1">
      <c r="A651" s="645"/>
      <c r="B651" s="645"/>
      <c r="C651" s="645"/>
      <c r="D651" s="645"/>
      <c r="E651" s="645"/>
      <c r="F651" s="645"/>
      <c r="G651" s="645"/>
      <c r="H651" s="645"/>
      <c r="I651" s="645"/>
    </row>
    <row r="652" spans="1:12" ht="16.5" customHeight="1">
      <c r="A652" s="645" t="str">
        <f>Eingabe!A160</f>
        <v>Werte je Schraubenreihe</v>
      </c>
      <c r="B652" s="645"/>
      <c r="C652" s="645" t="str">
        <f>Eingabe!C160</f>
        <v>Hauptträger</v>
      </c>
      <c r="D652" s="646" t="str">
        <f>Eingabe!D160</f>
        <v>Nebenträger</v>
      </c>
      <c r="E652" s="645"/>
      <c r="F652" s="645"/>
      <c r="G652" s="645"/>
      <c r="H652" s="645"/>
      <c r="I652" s="645"/>
    </row>
    <row r="653" spans="1:12" ht="16.5" customHeight="1">
      <c r="A653" s="645" t="str">
        <f>Eingabe!A161</f>
        <v>char. Tragfähigkeit</v>
      </c>
      <c r="B653" s="834" t="s">
        <v>1980</v>
      </c>
      <c r="C653" s="751">
        <f>IF(Eingabe!C161&lt;&gt;"",Eingabe!C161,"")</f>
        <v>13391</v>
      </c>
      <c r="D653" s="751" t="str">
        <f>Eingabe!D161</f>
        <v>-</v>
      </c>
      <c r="E653" s="1198" t="s">
        <v>5</v>
      </c>
      <c r="F653" s="645"/>
      <c r="G653" s="645"/>
      <c r="H653" s="645"/>
      <c r="I653" s="645"/>
    </row>
    <row r="654" spans="1:12" ht="16.5" customHeight="1">
      <c r="A654" s="645" t="str">
        <f>Eingabe!A162</f>
        <v>Verschiebungsmodul</v>
      </c>
      <c r="B654" s="649" t="s">
        <v>1981</v>
      </c>
      <c r="C654" s="751">
        <f>IF(Eingabe!C162&lt;&gt;"",Eingabe!C162,"")</f>
        <v>18800</v>
      </c>
      <c r="D654" s="751" t="str">
        <f>Eingabe!D162</f>
        <v>-</v>
      </c>
      <c r="E654" s="501" t="s">
        <v>4</v>
      </c>
      <c r="F654" s="645"/>
      <c r="G654" s="645"/>
      <c r="H654" s="645"/>
      <c r="I654" s="645"/>
    </row>
    <row r="655" spans="1:12" ht="16.5" customHeight="1">
      <c r="A655" s="645" t="str">
        <f>Eingabe!A163</f>
        <v>Abstand VM - MEGANT</v>
      </c>
      <c r="B655" s="649" t="s">
        <v>1952</v>
      </c>
      <c r="C655" s="751">
        <f>IF(Eingabe!C163&lt;&gt;"",Eingabe!C163,"")</f>
        <v>30</v>
      </c>
      <c r="D655" s="751" t="str">
        <f>Eingabe!D163</f>
        <v>-</v>
      </c>
      <c r="E655" s="501" t="s">
        <v>2</v>
      </c>
      <c r="F655" s="645"/>
      <c r="G655" s="645"/>
      <c r="H655" s="645"/>
      <c r="I655" s="645"/>
    </row>
    <row r="656" spans="1:12" ht="16.5" customHeight="1">
      <c r="A656" s="645" t="str">
        <f>Eingabe!A164</f>
        <v>Anzahl VM</v>
      </c>
      <c r="B656" s="649" t="s">
        <v>1953</v>
      </c>
      <c r="C656" s="751">
        <f>IF(Eingabe!C164&lt;&gt;"",Eingabe!C164,"")</f>
        <v>2</v>
      </c>
      <c r="D656" s="751" t="str">
        <f>Eingabe!D164</f>
        <v>-</v>
      </c>
      <c r="E656" s="501" t="s">
        <v>2</v>
      </c>
      <c r="F656" s="645"/>
      <c r="G656" s="645"/>
      <c r="H656" s="645"/>
      <c r="I656" s="645"/>
    </row>
    <row r="657" spans="1:12" ht="16.5" customHeight="1">
      <c r="A657" s="645" t="str">
        <f>Eingabe!A165</f>
        <v>Länge VM</v>
      </c>
      <c r="B657" s="649" t="s">
        <v>112</v>
      </c>
      <c r="C657" s="751">
        <f>IF(Eingabe!C165&lt;&gt;"",Eingabe!C165,"")</f>
        <v>120</v>
      </c>
      <c r="D657" s="751" t="str">
        <f>Eingabe!D165</f>
        <v>-</v>
      </c>
      <c r="E657" s="501" t="s">
        <v>1935</v>
      </c>
      <c r="F657" s="645"/>
      <c r="G657" s="645"/>
      <c r="H657" s="645"/>
      <c r="I657" s="645"/>
    </row>
    <row r="658" spans="1:12" ht="16.5" customHeight="1">
      <c r="A658" s="645"/>
      <c r="B658" s="645"/>
      <c r="C658" s="645"/>
      <c r="D658" s="751"/>
      <c r="E658" s="645"/>
      <c r="F658" s="645"/>
      <c r="G658" s="645"/>
      <c r="H658" s="645"/>
      <c r="I658" s="645"/>
    </row>
    <row r="659" spans="1:12" ht="16.5" customHeight="1">
      <c r="A659" s="769" t="str">
        <f>Sprachtexte!A272</f>
        <v>Querzugverstärkung vorhanden?</v>
      </c>
      <c r="C659" s="781" t="str">
        <f>Eingabe!C190</f>
        <v>Nein</v>
      </c>
      <c r="D659" s="751"/>
      <c r="E659" s="645"/>
      <c r="F659" s="645"/>
      <c r="G659" s="645"/>
      <c r="H659" s="645"/>
      <c r="I659" s="645"/>
      <c r="L659" s="899" t="str">
        <f>Sprachtexte!A20</f>
        <v>Nein</v>
      </c>
    </row>
    <row r="660" spans="1:12" ht="16.5" customHeight="1">
      <c r="A660" s="645" t="str">
        <f>Eingabe!A161</f>
        <v>char. Tragfähigkeit</v>
      </c>
      <c r="B660" s="834" t="s">
        <v>2024</v>
      </c>
      <c r="C660" s="751">
        <f>Eingabe!C194</f>
        <v>0</v>
      </c>
      <c r="D660" s="753" t="s">
        <v>5</v>
      </c>
      <c r="E660" s="753" t="str">
        <f>Sprachtexte!A252</f>
        <v>je Schraube</v>
      </c>
      <c r="F660" s="645"/>
      <c r="G660" s="645"/>
      <c r="H660" s="645"/>
      <c r="I660" s="645"/>
    </row>
    <row r="661" spans="1:12" ht="16.5" customHeight="1">
      <c r="A661" s="645" t="str">
        <f>Eingabe!A165</f>
        <v>Länge VM</v>
      </c>
      <c r="B661" s="834" t="s">
        <v>10</v>
      </c>
      <c r="C661" s="751">
        <f>Eingabe!C195</f>
        <v>0</v>
      </c>
      <c r="D661" s="753" t="s">
        <v>1934</v>
      </c>
      <c r="E661" s="645"/>
      <c r="F661" s="645"/>
      <c r="G661" s="645"/>
      <c r="H661" s="645"/>
      <c r="I661" s="645"/>
    </row>
    <row r="662" spans="1:12" ht="16.5" customHeight="1">
      <c r="A662" s="645"/>
      <c r="C662" s="645"/>
      <c r="D662" s="645"/>
      <c r="E662" s="645"/>
      <c r="F662" s="645"/>
      <c r="G662" s="645"/>
      <c r="H662" s="645"/>
      <c r="I662" s="645"/>
    </row>
    <row r="663" spans="1:12" ht="16.5" customHeight="1">
      <c r="A663" s="646" t="str">
        <f>Sprachtexte!A250</f>
        <v>1) Angabe je Schraubenreihe (eine Schraubenreihe kann aus mehreren Schrauben(spalten) bestehen)</v>
      </c>
      <c r="C663" s="645"/>
      <c r="D663" s="645"/>
      <c r="E663" s="645"/>
      <c r="F663" s="645"/>
      <c r="G663" s="645"/>
      <c r="H663" s="645"/>
      <c r="I663" s="645"/>
    </row>
    <row r="665" spans="1:12" ht="16.5" customHeight="1">
      <c r="A665" s="585" t="str">
        <f>Sprachtexte!A166</f>
        <v>Brandüberdeckung</v>
      </c>
      <c r="B665" s="585"/>
      <c r="C665" s="585"/>
      <c r="D665" s="585"/>
      <c r="E665" s="585"/>
      <c r="F665" s="585"/>
      <c r="G665" s="585"/>
      <c r="H665" s="585"/>
      <c r="I665" s="585"/>
    </row>
    <row r="666" spans="1:12" ht="16.5" customHeight="1">
      <c r="A666" s="753" t="str">
        <f>Sprachtexte!A167</f>
        <v>Brandbeanspruchungsdauer</v>
      </c>
      <c r="B666" s="645" t="s">
        <v>329</v>
      </c>
      <c r="C666" s="753">
        <f>Eingabe!C252</f>
        <v>0</v>
      </c>
      <c r="D666" s="646" t="s">
        <v>817</v>
      </c>
      <c r="E666" s="645"/>
      <c r="F666" s="646" t="str">
        <f>IF(C666=0,Sprachtexte!A168,"")</f>
        <v>Keine Brandüberdeckung erforderlich.</v>
      </c>
      <c r="G666" s="645"/>
      <c r="H666" s="645"/>
      <c r="I666" s="645"/>
    </row>
    <row r="667" spans="1:12" ht="16.5" customHeight="1">
      <c r="A667" s="753" t="str">
        <f>Sprachtexte!A169</f>
        <v>Nebenträger Breite</v>
      </c>
      <c r="B667" s="764" t="s">
        <v>727</v>
      </c>
      <c r="C667" s="808">
        <f>F24</f>
        <v>0</v>
      </c>
      <c r="D667" s="646" t="s">
        <v>2</v>
      </c>
      <c r="E667" s="645"/>
      <c r="F667" s="645"/>
      <c r="G667" s="645"/>
      <c r="H667" s="645"/>
      <c r="I667" s="645"/>
    </row>
    <row r="668" spans="1:12" ht="16.5" customHeight="1">
      <c r="A668" s="753" t="str">
        <f>Sprachtexte!A170</f>
        <v>Nebenträger Höhe</v>
      </c>
      <c r="B668" s="764" t="s">
        <v>728</v>
      </c>
      <c r="C668" s="808">
        <f>F25</f>
        <v>0</v>
      </c>
      <c r="D668" s="646" t="s">
        <v>2</v>
      </c>
      <c r="E668" s="645"/>
      <c r="F668" s="645"/>
      <c r="G668" s="645"/>
      <c r="H668" s="645"/>
      <c r="I668" s="645"/>
    </row>
    <row r="669" spans="1:12" ht="16.5" customHeight="1">
      <c r="A669" s="753" t="str">
        <f>Sprachtexte!A35</f>
        <v>Abstand OK Nebenträger zu OK MEGANT-Verbinder</v>
      </c>
      <c r="B669" s="764"/>
      <c r="C669" s="808"/>
      <c r="D669" s="646"/>
      <c r="E669" s="645"/>
      <c r="F669" s="645"/>
      <c r="G669" s="645"/>
      <c r="H669" s="645"/>
      <c r="I669" s="645"/>
    </row>
    <row r="670" spans="1:12" ht="16.5" customHeight="1">
      <c r="A670" s="753"/>
      <c r="B670" s="764" t="s">
        <v>1133</v>
      </c>
      <c r="C670" s="808">
        <f>Eingabe!C31</f>
        <v>0</v>
      </c>
      <c r="D670" s="646" t="s">
        <v>2</v>
      </c>
      <c r="E670" s="645"/>
      <c r="F670" s="645"/>
      <c r="G670" s="645"/>
      <c r="H670" s="645"/>
      <c r="I670" s="645"/>
    </row>
    <row r="671" spans="1:12" ht="16.5" customHeight="1">
      <c r="A671" s="753" t="str">
        <f>Sprachtexte!A171</f>
        <v>Nebenträger Anschnittbreite</v>
      </c>
      <c r="B671" s="764" t="s">
        <v>1134</v>
      </c>
      <c r="C671" s="808">
        <f>IF(Eingabe!A29=Eingabe!BL39,F24,F24/COS(RADIANS($F$28)))</f>
        <v>0</v>
      </c>
      <c r="D671" s="646" t="s">
        <v>2</v>
      </c>
      <c r="E671" s="645"/>
      <c r="F671" s="645"/>
      <c r="G671" s="645"/>
      <c r="H671" s="645"/>
      <c r="I671" s="645"/>
    </row>
    <row r="672" spans="1:12" ht="16.5" customHeight="1">
      <c r="A672" s="753" t="str">
        <f>Sprachtexte!A172</f>
        <v>Nebenträger Anschnitthöhe</v>
      </c>
      <c r="B672" s="764" t="s">
        <v>1135</v>
      </c>
      <c r="C672" s="808">
        <f>IF(Eingabe!A29=Eingabe!BL40,F25,F25/COS(RADIANS($F$28)))</f>
        <v>0</v>
      </c>
      <c r="D672" s="646" t="s">
        <v>2</v>
      </c>
      <c r="E672" s="645"/>
      <c r="F672" s="645"/>
      <c r="G672" s="645"/>
      <c r="H672" s="645"/>
      <c r="I672" s="645"/>
    </row>
    <row r="673" spans="1:9" ht="16.5" customHeight="1">
      <c r="A673" s="753"/>
      <c r="B673" s="645"/>
      <c r="C673" s="753"/>
      <c r="D673" s="645"/>
      <c r="E673" s="645"/>
      <c r="F673" s="645"/>
      <c r="G673" s="645"/>
      <c r="H673" s="645"/>
      <c r="I673" s="645"/>
    </row>
    <row r="674" spans="1:9" ht="16.5" customHeight="1">
      <c r="A674" s="753" t="str">
        <f>Sprachtexte!A173</f>
        <v>Verbinderbreite</v>
      </c>
      <c r="B674" s="764" t="s">
        <v>829</v>
      </c>
      <c r="C674" s="808">
        <f>Berechnung_BZoben!C13</f>
        <v>60</v>
      </c>
      <c r="D674" s="646" t="s">
        <v>2</v>
      </c>
      <c r="E674" s="645"/>
      <c r="F674" s="645"/>
      <c r="G674" s="645"/>
      <c r="H674" s="645"/>
      <c r="I674" s="645"/>
    </row>
    <row r="675" spans="1:9" ht="16.5" customHeight="1">
      <c r="A675" s="753" t="str">
        <f>Sprachtexte!A174</f>
        <v>Verbinderhöhe</v>
      </c>
      <c r="B675" s="764" t="s">
        <v>830</v>
      </c>
      <c r="C675" s="808">
        <f>Berechnung_BZoben!C14</f>
        <v>310</v>
      </c>
      <c r="D675" s="646" t="s">
        <v>2</v>
      </c>
      <c r="E675" s="645"/>
      <c r="F675" s="645"/>
      <c r="G675" s="645"/>
      <c r="H675" s="645"/>
      <c r="I675" s="645"/>
    </row>
    <row r="676" spans="1:9" ht="16.5" customHeight="1">
      <c r="A676" s="753"/>
      <c r="B676" s="645"/>
      <c r="C676" s="753"/>
      <c r="D676" s="645"/>
      <c r="E676" s="645"/>
      <c r="F676" s="645"/>
      <c r="G676" s="645"/>
      <c r="H676" s="645"/>
      <c r="I676" s="645"/>
    </row>
    <row r="677" spans="1:9" ht="16.5" customHeight="1">
      <c r="A677" s="753" t="str">
        <f>Sprachtexte!A175</f>
        <v>Ausfräsbreite</v>
      </c>
      <c r="B677" s="764" t="s">
        <v>831</v>
      </c>
      <c r="C677" s="753">
        <f>C674+2</f>
        <v>62</v>
      </c>
      <c r="D677" s="646" t="s">
        <v>2</v>
      </c>
      <c r="E677" s="645"/>
      <c r="F677" s="645"/>
      <c r="G677" s="645"/>
      <c r="H677" s="645"/>
      <c r="I677" s="645"/>
    </row>
    <row r="678" spans="1:9" ht="16.5" customHeight="1">
      <c r="A678" s="753" t="str">
        <f>Sprachtexte!A176</f>
        <v>Ausfräslänge</v>
      </c>
      <c r="B678" s="764" t="s">
        <v>832</v>
      </c>
      <c r="C678" s="808">
        <f>C670+C675</f>
        <v>310</v>
      </c>
      <c r="D678" s="646" t="s">
        <v>2</v>
      </c>
      <c r="E678" s="645"/>
      <c r="F678" s="645"/>
      <c r="G678" s="645"/>
      <c r="H678" s="645"/>
      <c r="I678" s="645"/>
    </row>
    <row r="679" spans="1:9" ht="16.5" customHeight="1">
      <c r="A679" s="753"/>
      <c r="B679" s="645"/>
      <c r="C679" s="753"/>
      <c r="D679" s="645"/>
      <c r="E679" s="645"/>
      <c r="F679" s="645"/>
      <c r="G679" s="645"/>
      <c r="H679" s="645"/>
      <c r="I679" s="645"/>
    </row>
    <row r="680" spans="1:9" ht="16.5" customHeight="1">
      <c r="A680" s="753" t="str">
        <f>Sprachtexte!A177</f>
        <v>Kohleschicht</v>
      </c>
      <c r="B680" s="645" t="s">
        <v>833</v>
      </c>
      <c r="C680" s="807">
        <v>7</v>
      </c>
      <c r="D680" s="646" t="s">
        <v>2</v>
      </c>
      <c r="E680" s="645"/>
      <c r="F680" s="645"/>
      <c r="G680" s="645"/>
      <c r="H680" s="645"/>
      <c r="I680" s="645"/>
    </row>
    <row r="681" spans="1:9" ht="16.5" customHeight="1">
      <c r="A681" s="753" t="str">
        <f>Sprachtexte!A178</f>
        <v>Abbrandrate</v>
      </c>
      <c r="B681" s="749" t="s">
        <v>834</v>
      </c>
      <c r="C681" s="809">
        <f>Eingabe!AQ23</f>
        <v>0.7</v>
      </c>
      <c r="D681" s="646" t="s">
        <v>824</v>
      </c>
      <c r="E681" s="645"/>
      <c r="F681" s="645"/>
      <c r="G681" s="645"/>
      <c r="H681" s="645"/>
      <c r="I681" s="645"/>
    </row>
    <row r="682" spans="1:9" ht="16.5" customHeight="1">
      <c r="A682" s="753" t="str">
        <f>Sprachtexte!A179</f>
        <v>Abbrand</v>
      </c>
      <c r="B682" s="645" t="s">
        <v>835</v>
      </c>
      <c r="C682" s="807">
        <f>C680+C681*C666</f>
        <v>7</v>
      </c>
      <c r="D682" s="646" t="s">
        <v>2</v>
      </c>
      <c r="E682" s="645"/>
      <c r="F682" s="645"/>
      <c r="G682" s="645"/>
      <c r="H682" s="645"/>
      <c r="I682" s="645"/>
    </row>
    <row r="683" spans="1:9" ht="16.5" customHeight="1">
      <c r="A683" s="753"/>
      <c r="B683" s="645"/>
      <c r="C683" s="753"/>
      <c r="D683" s="645"/>
      <c r="E683" s="645"/>
      <c r="F683" s="645"/>
      <c r="G683" s="645"/>
      <c r="H683" s="645"/>
      <c r="I683" s="645"/>
    </row>
    <row r="684" spans="1:9" ht="16.5" customHeight="1">
      <c r="A684" s="753" t="str">
        <f>Sprachtexte!A180</f>
        <v>Brandüberdeckung seitlich</v>
      </c>
      <c r="B684" s="645"/>
      <c r="C684" s="807">
        <f>(C671-C677)/2</f>
        <v>-31</v>
      </c>
      <c r="D684" s="646" t="s">
        <v>2</v>
      </c>
      <c r="E684" s="751" t="str">
        <f>IF(C684&gt;=F684,"&gt;","&lt;")</f>
        <v>&lt;</v>
      </c>
      <c r="F684" s="648">
        <f>C682</f>
        <v>7</v>
      </c>
      <c r="G684" s="646" t="s">
        <v>2</v>
      </c>
      <c r="I684" s="645"/>
    </row>
    <row r="685" spans="1:9" ht="16.5" customHeight="1">
      <c r="A685" s="753" t="str">
        <f>Sprachtexte!A181</f>
        <v>Brandüberdeckung unten</v>
      </c>
      <c r="B685" s="645"/>
      <c r="C685" s="807">
        <f>C672-C678</f>
        <v>-310</v>
      </c>
      <c r="D685" s="646" t="s">
        <v>2</v>
      </c>
      <c r="E685" s="751" t="str">
        <f>IF(C685&gt;=F685,"&gt;","&lt;")</f>
        <v>&lt;</v>
      </c>
      <c r="F685" s="648">
        <f>C682</f>
        <v>7</v>
      </c>
      <c r="G685" s="646" t="s">
        <v>2</v>
      </c>
      <c r="I685" s="645"/>
    </row>
    <row r="686" spans="1:9" ht="16.5" customHeight="1">
      <c r="A686" s="645"/>
      <c r="B686" s="645"/>
      <c r="C686" s="753"/>
      <c r="D686" s="645"/>
      <c r="E686" s="645"/>
      <c r="F686" s="645"/>
      <c r="G686" s="645"/>
      <c r="H686" s="646"/>
      <c r="I686" s="645"/>
    </row>
    <row r="687" spans="1:9" ht="16.5" customHeight="1">
      <c r="A687" s="646" t="str">
        <f>IF(AND(C684&gt;F684,C685&gt;F685),Sprachtexte!A182,Sprachtexte!A183)</f>
        <v>Brandüberdeckung nicht ausreichend.</v>
      </c>
      <c r="B687" s="645"/>
      <c r="C687" s="753"/>
      <c r="D687" s="645"/>
      <c r="E687" s="645"/>
      <c r="F687" s="645"/>
      <c r="G687" s="645"/>
      <c r="H687" s="645"/>
      <c r="I687" s="645"/>
    </row>
    <row r="688" spans="1:9" ht="16.5" customHeight="1">
      <c r="A688" s="645"/>
      <c r="B688" s="645"/>
      <c r="C688" s="753"/>
      <c r="D688" s="645"/>
      <c r="E688" s="645"/>
      <c r="F688" s="645"/>
      <c r="G688" s="645"/>
      <c r="H688" s="645"/>
      <c r="I688" s="645"/>
    </row>
    <row r="689" spans="1:9" ht="16.5" customHeight="1">
      <c r="A689" s="1520" t="str">
        <f>Sprachtexte!A251</f>
        <v>Die Vertstärkungen müssen ausreichend vor Brand geschützt sein.</v>
      </c>
      <c r="B689" s="1520"/>
      <c r="C689" s="1520"/>
      <c r="D689" s="1520"/>
      <c r="E689" s="1520"/>
      <c r="F689" s="1520"/>
      <c r="G689" s="1520"/>
      <c r="H689" s="1520"/>
      <c r="I689" s="1520"/>
    </row>
    <row r="690" spans="1:9" ht="16.5" customHeight="1">
      <c r="A690" s="1520"/>
      <c r="B690" s="1520"/>
      <c r="C690" s="1520"/>
      <c r="D690" s="1520"/>
      <c r="E690" s="1520"/>
      <c r="F690" s="1520"/>
      <c r="G690" s="1520"/>
      <c r="H690" s="1520"/>
      <c r="I690" s="1520"/>
    </row>
    <row r="691" spans="1:9" ht="16.5" customHeight="1">
      <c r="A691" s="677"/>
      <c r="B691" s="677"/>
      <c r="C691" s="677"/>
      <c r="D691" s="677"/>
      <c r="E691" s="677"/>
      <c r="F691" s="677"/>
      <c r="G691" s="677"/>
      <c r="H691" s="677"/>
      <c r="I691" s="677"/>
    </row>
    <row r="692" spans="1:9" ht="16.5" customHeight="1">
      <c r="A692" s="795" t="str">
        <f>Sprachtexte!A282</f>
        <v>Haftungsausschluss:</v>
      </c>
      <c r="B692" s="677"/>
      <c r="C692" s="677"/>
      <c r="D692" s="677"/>
      <c r="E692" s="677"/>
      <c r="F692" s="677"/>
      <c r="G692" s="677"/>
      <c r="H692" s="677"/>
      <c r="I692" s="677"/>
    </row>
    <row r="693" spans="1:9" ht="16.5" customHeight="1">
      <c r="A693" s="1602" t="str">
        <f>Sprachtexte!A283</f>
        <v>Die Bemessung ist vom Kunden oder einem von ihm beauftragten Ingenieurbüro eigenverantwortlich vorzunehmen. Jeder Vorschlag oder jede Unterstützung durch Mitarbeitende der KNAPP GmbH stellt lediglich eine unverbindliche Empfehlung dar und darf nicht ungeprüft umgesetzt werden. Eine Haftung der KNAPP GmbH für die Richtigkeit der Berechnung oder deren Ergebnisse wird ausdrücklich ausgeschlossen.
Die KNAPP GmbH stellt die zur Bemessung und zur Kontrolle der Bemessung erforderlichen ETA-Dokumente online auf ihrer Homepage zur Verfügung.</v>
      </c>
      <c r="B693" s="1602"/>
      <c r="C693" s="1602"/>
      <c r="D693" s="1602"/>
      <c r="E693" s="1602"/>
      <c r="F693" s="1602"/>
      <c r="G693" s="1602"/>
      <c r="H693" s="1602"/>
      <c r="I693" s="1602"/>
    </row>
    <row r="694" spans="1:9" ht="16.5" customHeight="1">
      <c r="A694" s="1603"/>
      <c r="B694" s="1603"/>
      <c r="C694" s="1603"/>
      <c r="D694" s="1603"/>
      <c r="E694" s="1603"/>
      <c r="F694" s="1603"/>
      <c r="G694" s="1603"/>
      <c r="H694" s="1603"/>
      <c r="I694" s="1603"/>
    </row>
    <row r="695" spans="1:9" ht="16.5" customHeight="1">
      <c r="A695" s="1603"/>
      <c r="B695" s="1603"/>
      <c r="C695" s="1603"/>
      <c r="D695" s="1603"/>
      <c r="E695" s="1603"/>
      <c r="F695" s="1603"/>
      <c r="G695" s="1603"/>
      <c r="H695" s="1603"/>
      <c r="I695" s="1603"/>
    </row>
    <row r="696" spans="1:9" ht="16.5" customHeight="1">
      <c r="A696" s="1603"/>
      <c r="B696" s="1603"/>
      <c r="C696" s="1603"/>
      <c r="D696" s="1603"/>
      <c r="E696" s="1603"/>
      <c r="F696" s="1603"/>
      <c r="G696" s="1603"/>
      <c r="H696" s="1603"/>
      <c r="I696" s="1603"/>
    </row>
    <row r="697" spans="1:9" ht="16.5" customHeight="1">
      <c r="A697" s="1604"/>
      <c r="B697" s="1604"/>
      <c r="C697" s="1604"/>
      <c r="D697" s="1604"/>
      <c r="E697" s="1604"/>
      <c r="F697" s="1604"/>
      <c r="G697" s="1604"/>
      <c r="H697" s="1604"/>
      <c r="I697" s="1604"/>
    </row>
    <row r="698" spans="1:9" ht="16.5" customHeight="1">
      <c r="A698" s="677"/>
      <c r="B698" s="677"/>
      <c r="C698" s="677"/>
      <c r="D698" s="677"/>
      <c r="E698" s="677"/>
      <c r="F698" s="677"/>
      <c r="G698" s="677"/>
      <c r="H698" s="677"/>
      <c r="I698" s="677"/>
    </row>
    <row r="699" spans="1:9" ht="16.5" customHeight="1">
      <c r="A699" s="795" t="s">
        <v>642</v>
      </c>
    </row>
    <row r="700" spans="1:9" ht="16.5" customHeight="1">
      <c r="A700" s="645" t="str">
        <f>Sprachtexte!A184</f>
        <v>Schraubenlänge</v>
      </c>
      <c r="B700" s="645" t="s">
        <v>112</v>
      </c>
    </row>
    <row r="701" spans="1:9" ht="16.5" customHeight="1">
      <c r="A701" s="645" t="str">
        <f>Sprachtexte!A185</f>
        <v>Durchmesser</v>
      </c>
      <c r="B701" s="645" t="s">
        <v>111</v>
      </c>
    </row>
    <row r="702" spans="1:9" ht="16.5" customHeight="1">
      <c r="A702" s="645" t="str">
        <f>Sprachtexte!A186</f>
        <v>Schrauben-Faser-Winkel</v>
      </c>
      <c r="B702" s="786" t="s">
        <v>479</v>
      </c>
    </row>
    <row r="703" spans="1:9" ht="16.5" customHeight="1">
      <c r="A703" s="645" t="str">
        <f>Sprachtexte!A187</f>
        <v>Schr.-Deckfläche-Winkel</v>
      </c>
      <c r="B703" s="786" t="s">
        <v>480</v>
      </c>
    </row>
    <row r="704" spans="1:9" ht="16.5" customHeight="1">
      <c r="A704" s="645" t="str">
        <f>Sprachtexte!A188</f>
        <v>Schrauben-Faser-Winkel</v>
      </c>
      <c r="B704" s="786" t="s">
        <v>503</v>
      </c>
    </row>
    <row r="705" spans="1:6" ht="16.5" customHeight="1">
      <c r="A705" s="645" t="str">
        <f>Sprachtexte!A189</f>
        <v>mittlere eff. Schraubenlänge</v>
      </c>
      <c r="B705" s="697" t="s">
        <v>547</v>
      </c>
    </row>
    <row r="706" spans="1:6" ht="16.5" customHeight="1">
      <c r="A706" s="645" t="str">
        <f>Sprachtexte!A190</f>
        <v>Anzahl VM</v>
      </c>
      <c r="B706" s="645" t="s">
        <v>10</v>
      </c>
      <c r="C706" s="753" t="s">
        <v>526</v>
      </c>
    </row>
    <row r="707" spans="1:6" ht="16.5" customHeight="1">
      <c r="A707" s="645" t="str">
        <f>Sprachtexte!A191</f>
        <v>eff. Schraubenanzahl</v>
      </c>
      <c r="B707" s="697" t="s">
        <v>521</v>
      </c>
    </row>
    <row r="708" spans="1:6" ht="16.5" customHeight="1">
      <c r="A708" s="645" t="str">
        <f>Sprachtexte!A192</f>
        <v>char. Rohdichte</v>
      </c>
      <c r="B708" s="785" t="s">
        <v>504</v>
      </c>
    </row>
    <row r="709" spans="1:6" ht="16.5" customHeight="1">
      <c r="A709" s="645" t="str">
        <f>Sprachtexte!A193</f>
        <v>char. Ausziehparamter</v>
      </c>
      <c r="B709" s="645" t="s">
        <v>517</v>
      </c>
    </row>
    <row r="710" spans="1:6" ht="16.5" customHeight="1">
      <c r="A710" s="645" t="str">
        <f>Sprachtexte!A194</f>
        <v>Dimensionskoeffizient</v>
      </c>
      <c r="B710" s="645" t="s">
        <v>506</v>
      </c>
    </row>
    <row r="711" spans="1:6" ht="16.5" customHeight="1">
      <c r="A711" s="645" t="str">
        <f>Sprachtexte!A195</f>
        <v>Koeffizient</v>
      </c>
      <c r="B711" s="645" t="s">
        <v>507</v>
      </c>
    </row>
    <row r="712" spans="1:6" ht="16.5" customHeight="1">
      <c r="A712" s="645" t="str">
        <f>Sprachtexte!A196</f>
        <v>char. Ausziehwiderstand</v>
      </c>
      <c r="B712" s="645" t="s">
        <v>648</v>
      </c>
    </row>
    <row r="713" spans="1:6" ht="16.5" customHeight="1">
      <c r="A713" s="645" t="str">
        <f>Sprachtexte!A197</f>
        <v>char. Tragfähigkeit</v>
      </c>
      <c r="B713" s="645" t="s">
        <v>649</v>
      </c>
      <c r="C713" s="753" t="s">
        <v>555</v>
      </c>
      <c r="D713" s="645" t="s">
        <v>574</v>
      </c>
      <c r="E713" s="645" t="s">
        <v>930</v>
      </c>
      <c r="F713" s="645" t="s">
        <v>907</v>
      </c>
    </row>
    <row r="714" spans="1:6" ht="16.5" customHeight="1">
      <c r="A714" s="645" t="str">
        <f>Sprachtexte!A198</f>
        <v>Teilsicherheitsbeiwert</v>
      </c>
      <c r="B714" s="645" t="s">
        <v>519</v>
      </c>
      <c r="C714" s="753" t="s">
        <v>528</v>
      </c>
    </row>
    <row r="715" spans="1:6" ht="16.5" customHeight="1">
      <c r="A715" s="645" t="str">
        <f>Sprachtexte!A199</f>
        <v>char. Zugfestigkeit</v>
      </c>
      <c r="B715" s="645" t="s">
        <v>525</v>
      </c>
      <c r="C715" s="753" t="s">
        <v>557</v>
      </c>
    </row>
    <row r="716" spans="1:6" ht="16.5" customHeight="1">
      <c r="A716" s="645" t="str">
        <f>Sprachtexte!A200</f>
        <v>Anzahl Schrauben</v>
      </c>
      <c r="B716" s="645" t="s">
        <v>526</v>
      </c>
    </row>
    <row r="717" spans="1:6" ht="16.5" customHeight="1">
      <c r="A717" s="645" t="str">
        <f>Sprachtexte!A201</f>
        <v>char. Zugwiderstand</v>
      </c>
      <c r="B717" s="645" t="s">
        <v>527</v>
      </c>
    </row>
    <row r="718" spans="1:6" ht="16.5" customHeight="1">
      <c r="A718" s="645" t="str">
        <f>Sprachtexte!A202</f>
        <v>char. Ausziehwiderstand</v>
      </c>
      <c r="B718" s="645" t="s">
        <v>650</v>
      </c>
      <c r="C718" s="753" t="s">
        <v>514</v>
      </c>
      <c r="D718" s="645" t="s">
        <v>552</v>
      </c>
      <c r="E718" s="645" t="s">
        <v>508</v>
      </c>
      <c r="F718" s="645" t="s">
        <v>510</v>
      </c>
    </row>
    <row r="719" spans="1:6" ht="16.5" customHeight="1">
      <c r="A719" s="645" t="str">
        <f>Sprachtexte!A203</f>
        <v>char. Zugwiderstand</v>
      </c>
      <c r="B719" s="645" t="s">
        <v>527</v>
      </c>
    </row>
    <row r="720" spans="1:6" ht="16.5" customHeight="1">
      <c r="A720" s="645" t="str">
        <f>Sprachtexte!A204</f>
        <v>max. Tragfähigkeit MEGANT</v>
      </c>
      <c r="B720" s="645" t="s">
        <v>567</v>
      </c>
      <c r="C720" s="753" t="s">
        <v>568</v>
      </c>
      <c r="D720" s="753" t="s">
        <v>931</v>
      </c>
    </row>
    <row r="721" spans="1:6" ht="16.5" customHeight="1">
      <c r="A721" s="645" t="str">
        <f>Sprachtexte!A205</f>
        <v>Faktor</v>
      </c>
      <c r="B721" s="645" t="s">
        <v>556</v>
      </c>
    </row>
    <row r="722" spans="1:6" ht="16.5" customHeight="1">
      <c r="A722" s="645" t="str">
        <f>Sprachtexte!A206</f>
        <v>Querschnittfläche</v>
      </c>
      <c r="B722" s="645" t="s">
        <v>558</v>
      </c>
    </row>
    <row r="723" spans="1:6" ht="16.5" customHeight="1">
      <c r="A723" s="645" t="str">
        <f>Sprachtexte!A207</f>
        <v>0,2% Streckgrenze</v>
      </c>
      <c r="B723" s="645" t="s">
        <v>559</v>
      </c>
    </row>
    <row r="724" spans="1:6" ht="16.5" customHeight="1">
      <c r="A724" s="645" t="str">
        <f>Sprachtexte!A208</f>
        <v>Gewindedurchmesser</v>
      </c>
      <c r="B724" s="645" t="s">
        <v>560</v>
      </c>
    </row>
    <row r="725" spans="1:6" ht="16.5" customHeight="1">
      <c r="A725" s="645" t="str">
        <f>Sprachtexte!A209</f>
        <v>Gewindelänge im Aluminium</v>
      </c>
      <c r="B725" s="645" t="s">
        <v>329</v>
      </c>
    </row>
    <row r="726" spans="1:6" ht="16.5" customHeight="1">
      <c r="A726" s="645" t="str">
        <f>Sprachtexte!A210</f>
        <v>Gewindefläche</v>
      </c>
      <c r="B726" s="645" t="s">
        <v>561</v>
      </c>
    </row>
    <row r="727" spans="1:6" ht="16.5" customHeight="1">
      <c r="A727" s="645" t="str">
        <f>Sprachtexte!A211</f>
        <v>Abminderungsfaktor</v>
      </c>
      <c r="B727" s="645" t="s">
        <v>562</v>
      </c>
    </row>
    <row r="728" spans="1:6" ht="16.5" customHeight="1">
      <c r="A728" s="645" t="str">
        <f>Sprachtexte!A212</f>
        <v>char. Fließmoment</v>
      </c>
      <c r="B728" s="645" t="s">
        <v>505</v>
      </c>
    </row>
    <row r="729" spans="1:6" ht="16.5" customHeight="1">
      <c r="A729" s="645" t="str">
        <f>Sprachtexte!A213</f>
        <v>char. Lochleibungsfestigkeit</v>
      </c>
      <c r="B729" s="645" t="s">
        <v>515</v>
      </c>
      <c r="C729" s="753" t="s">
        <v>509</v>
      </c>
      <c r="D729" s="645" t="s">
        <v>553</v>
      </c>
      <c r="E729" s="645" t="s">
        <v>511</v>
      </c>
    </row>
    <row r="730" spans="1:6" ht="16.5" customHeight="1">
      <c r="A730" s="645" t="str">
        <f>Sprachtexte!A214</f>
        <v>char. Tragfähigkeit pro VM</v>
      </c>
      <c r="B730" s="645" t="s">
        <v>516</v>
      </c>
      <c r="C730" s="753" t="s">
        <v>551</v>
      </c>
      <c r="D730" s="645" t="s">
        <v>554</v>
      </c>
      <c r="E730" s="645" t="s">
        <v>512</v>
      </c>
      <c r="F730" s="645" t="s">
        <v>516</v>
      </c>
    </row>
    <row r="731" spans="1:6" ht="16.5" customHeight="1">
      <c r="A731" s="645" t="str">
        <f>Sprachtexte!A215</f>
        <v>Breite Kontaktfläche</v>
      </c>
      <c r="B731" s="645" t="s">
        <v>495</v>
      </c>
    </row>
    <row r="732" spans="1:6" ht="16.5" customHeight="1">
      <c r="A732" s="645" t="str">
        <f>Sprachtexte!A216</f>
        <v>char. Druckfestigkeit</v>
      </c>
      <c r="B732" s="645" t="s">
        <v>904</v>
      </c>
    </row>
    <row r="733" spans="1:6" ht="16.5" customHeight="1">
      <c r="A733" s="645" t="str">
        <f>Sprachtexte!A217</f>
        <v>max. Druckbeitrag</v>
      </c>
      <c r="B733" s="645" t="s">
        <v>899</v>
      </c>
    </row>
    <row r="734" spans="1:6" ht="16.5" customHeight="1">
      <c r="A734" s="645" t="str">
        <f>Sprachtexte!A218</f>
        <v xml:space="preserve">Mitwirkende Faserlänge </v>
      </c>
      <c r="B734" s="645" t="s">
        <v>903</v>
      </c>
    </row>
    <row r="735" spans="1:6" ht="16.5" customHeight="1">
      <c r="A735" s="645" t="str">
        <f>Sprachtexte!A219</f>
        <v>Drehfedersteifigkeit</v>
      </c>
      <c r="B735" s="645" t="s">
        <v>943</v>
      </c>
    </row>
    <row r="736" spans="1:6" ht="16.5" customHeight="1">
      <c r="A736" s="645" t="str">
        <f>Sprachtexte!A220</f>
        <v>Umrechnungsfaktor</v>
      </c>
      <c r="B736" s="645" t="s">
        <v>622</v>
      </c>
    </row>
    <row r="737" spans="1:3" ht="16.5" customHeight="1">
      <c r="A737" s="645" t="str">
        <f>Sprachtexte!A221</f>
        <v>Grenzausmitte</v>
      </c>
      <c r="B737" s="697" t="s">
        <v>680</v>
      </c>
      <c r="C737" s="810"/>
    </row>
    <row r="738" spans="1:3" ht="16.5" customHeight="1">
      <c r="A738" s="697"/>
    </row>
    <row r="740" spans="1:3" ht="16.5" customHeight="1">
      <c r="A740" s="697"/>
    </row>
    <row r="741" spans="1:3" ht="16.5" customHeight="1">
      <c r="A741" s="697"/>
    </row>
    <row r="742" spans="1:3" ht="16.5" customHeight="1">
      <c r="A742" s="697"/>
    </row>
    <row r="743" spans="1:3" ht="16.5" customHeight="1">
      <c r="A743" s="697"/>
    </row>
    <row r="744" spans="1:3" ht="16.5" customHeight="1">
      <c r="A744" s="697"/>
    </row>
    <row r="745" spans="1:3" ht="16.5" customHeight="1">
      <c r="A745" s="697"/>
    </row>
    <row r="746" spans="1:3" ht="16.5" customHeight="1">
      <c r="A746" s="697"/>
    </row>
    <row r="747" spans="1:3" ht="16.5" customHeight="1">
      <c r="A747" s="697"/>
    </row>
    <row r="748" spans="1:3" ht="16.5" customHeight="1">
      <c r="A748" s="697"/>
    </row>
    <row r="749" spans="1:3" ht="16.5" customHeight="1">
      <c r="A749" s="697"/>
    </row>
    <row r="750" spans="1:3" ht="16.5" customHeight="1">
      <c r="A750" s="697"/>
    </row>
    <row r="751" spans="1:3" ht="16.5" customHeight="1">
      <c r="A751" s="697"/>
    </row>
    <row r="752" spans="1:3" ht="16.5" customHeight="1">
      <c r="A752" s="697"/>
    </row>
    <row r="753" spans="1:1" ht="16.5" customHeight="1">
      <c r="A753" s="697"/>
    </row>
    <row r="754" spans="1:1" ht="16.5" customHeight="1">
      <c r="A754" s="697"/>
    </row>
    <row r="755" spans="1:1" ht="16.5" customHeight="1">
      <c r="A755" s="697"/>
    </row>
    <row r="756" spans="1:1" ht="16.5" customHeight="1">
      <c r="A756" s="697"/>
    </row>
    <row r="757" spans="1:1" ht="16.5" customHeight="1">
      <c r="A757" s="697"/>
    </row>
    <row r="758" spans="1:1" ht="16.5" customHeight="1">
      <c r="A758" s="697"/>
    </row>
    <row r="759" spans="1:1" ht="16.5" customHeight="1">
      <c r="A759" s="697"/>
    </row>
    <row r="760" spans="1:1" ht="16.5" customHeight="1">
      <c r="A760" s="697"/>
    </row>
    <row r="761" spans="1:1" ht="16.5" customHeight="1">
      <c r="A761" s="697"/>
    </row>
    <row r="762" spans="1:1" ht="16.5" customHeight="1">
      <c r="A762" s="697"/>
    </row>
    <row r="763" spans="1:1" ht="16.5" customHeight="1">
      <c r="A763" s="697"/>
    </row>
    <row r="764" spans="1:1" ht="16.5" customHeight="1">
      <c r="A764" s="697"/>
    </row>
    <row r="765" spans="1:1" ht="16.5" customHeight="1">
      <c r="A765" s="697"/>
    </row>
    <row r="766" spans="1:1" ht="16.5" customHeight="1">
      <c r="A766" s="697"/>
    </row>
    <row r="767" spans="1:1" ht="16.5" customHeight="1">
      <c r="A767" s="697"/>
    </row>
    <row r="768" spans="1:1" ht="16.5" customHeight="1">
      <c r="A768" s="697"/>
    </row>
    <row r="769" spans="1:1" ht="16.5" customHeight="1">
      <c r="A769" s="697"/>
    </row>
    <row r="770" spans="1:1" ht="16.5" customHeight="1">
      <c r="A770" s="697"/>
    </row>
    <row r="771" spans="1:1" ht="16.5" customHeight="1">
      <c r="A771" s="697"/>
    </row>
    <row r="772" spans="1:1" ht="16.5" customHeight="1">
      <c r="A772" s="697"/>
    </row>
    <row r="773" spans="1:1" ht="16.5" customHeight="1">
      <c r="A773" s="697"/>
    </row>
    <row r="774" spans="1:1" ht="16.5" customHeight="1">
      <c r="A774" s="697"/>
    </row>
    <row r="775" spans="1:1" ht="16.5" customHeight="1">
      <c r="A775" s="697"/>
    </row>
    <row r="776" spans="1:1" ht="16.5" customHeight="1">
      <c r="A776" s="697"/>
    </row>
    <row r="777" spans="1:1" ht="16.5" customHeight="1">
      <c r="A777" s="697"/>
    </row>
    <row r="778" spans="1:1" ht="16.5" customHeight="1">
      <c r="A778" s="697"/>
    </row>
    <row r="779" spans="1:1" ht="16.5" customHeight="1">
      <c r="A779" s="697"/>
    </row>
    <row r="780" spans="1:1" ht="16.5" customHeight="1">
      <c r="A780" s="697"/>
    </row>
    <row r="781" spans="1:1" ht="16.5" customHeight="1">
      <c r="A781" s="697"/>
    </row>
    <row r="782" spans="1:1" ht="16.5" customHeight="1">
      <c r="A782" s="697"/>
    </row>
    <row r="783" spans="1:1" ht="16.5" customHeight="1">
      <c r="A783" s="697"/>
    </row>
    <row r="784" spans="1:1" ht="16.5" customHeight="1">
      <c r="A784" s="697"/>
    </row>
    <row r="785" spans="1:1" ht="16.5" customHeight="1">
      <c r="A785" s="697"/>
    </row>
    <row r="786" spans="1:1" ht="16.5" customHeight="1">
      <c r="A786" s="697"/>
    </row>
    <row r="787" spans="1:1" ht="16.5" customHeight="1">
      <c r="A787" s="697"/>
    </row>
    <row r="788" spans="1:1" ht="16.5" customHeight="1">
      <c r="A788" s="697"/>
    </row>
    <row r="789" spans="1:1" ht="16.5" customHeight="1">
      <c r="A789" s="697"/>
    </row>
    <row r="790" spans="1:1" ht="16.5" customHeight="1">
      <c r="A790" s="697"/>
    </row>
    <row r="791" spans="1:1" ht="16.5" customHeight="1">
      <c r="A791" s="697"/>
    </row>
    <row r="792" spans="1:1" ht="16.5" customHeight="1">
      <c r="A792" s="697"/>
    </row>
    <row r="793" spans="1:1" ht="16.5" customHeight="1">
      <c r="A793" s="697"/>
    </row>
    <row r="794" spans="1:1" ht="16.5" customHeight="1">
      <c r="A794" s="697"/>
    </row>
    <row r="795" spans="1:1" ht="16.5" customHeight="1">
      <c r="A795" s="697"/>
    </row>
    <row r="796" spans="1:1" ht="16.5" customHeight="1">
      <c r="A796" s="697"/>
    </row>
    <row r="797" spans="1:1" ht="16.5" customHeight="1">
      <c r="A797" s="697"/>
    </row>
    <row r="798" spans="1:1" ht="16.5" customHeight="1">
      <c r="A798" s="697"/>
    </row>
    <row r="799" spans="1:1" ht="16.5" customHeight="1">
      <c r="A799" s="697"/>
    </row>
    <row r="800" spans="1:1" ht="16.5" customHeight="1">
      <c r="A800" s="697"/>
    </row>
    <row r="801" spans="1:1" ht="16.5" customHeight="1">
      <c r="A801" s="697"/>
    </row>
    <row r="802" spans="1:1" ht="16.5" customHeight="1">
      <c r="A802" s="697"/>
    </row>
    <row r="803" spans="1:1" ht="16.5" customHeight="1">
      <c r="A803" s="697"/>
    </row>
    <row r="804" spans="1:1" ht="16.5" customHeight="1">
      <c r="A804" s="697"/>
    </row>
    <row r="805" spans="1:1" ht="16.5" customHeight="1">
      <c r="A805" s="697"/>
    </row>
    <row r="806" spans="1:1" ht="16.5" customHeight="1">
      <c r="A806" s="697"/>
    </row>
    <row r="807" spans="1:1" ht="16.5" customHeight="1">
      <c r="A807" s="697"/>
    </row>
    <row r="808" spans="1:1" ht="16.5" customHeight="1">
      <c r="A808" s="697"/>
    </row>
    <row r="809" spans="1:1" ht="16.5" customHeight="1">
      <c r="A809" s="697"/>
    </row>
    <row r="810" spans="1:1" ht="16.5" customHeight="1">
      <c r="A810" s="697"/>
    </row>
    <row r="811" spans="1:1" ht="16.5" customHeight="1">
      <c r="A811" s="697"/>
    </row>
    <row r="812" spans="1:1" ht="16.5" customHeight="1">
      <c r="A812" s="697"/>
    </row>
    <row r="813" spans="1:1" ht="16.5" customHeight="1">
      <c r="A813" s="697"/>
    </row>
    <row r="814" spans="1:1" ht="16.5" customHeight="1">
      <c r="A814" s="697"/>
    </row>
    <row r="815" spans="1:1" ht="16.5" customHeight="1">
      <c r="A815" s="697"/>
    </row>
    <row r="816" spans="1:1" ht="16.5" customHeight="1">
      <c r="A816" s="697"/>
    </row>
    <row r="817" spans="1:1" ht="16.5" customHeight="1">
      <c r="A817" s="697"/>
    </row>
    <row r="818" spans="1:1" ht="16.5" customHeight="1">
      <c r="A818" s="697"/>
    </row>
    <row r="819" spans="1:1" ht="16.5" customHeight="1">
      <c r="A819" s="697"/>
    </row>
    <row r="820" spans="1:1" ht="16.5" customHeight="1">
      <c r="A820" s="697"/>
    </row>
    <row r="821" spans="1:1" ht="16.5" customHeight="1">
      <c r="A821" s="697"/>
    </row>
    <row r="822" spans="1:1" ht="16.5" customHeight="1">
      <c r="A822" s="697"/>
    </row>
    <row r="823" spans="1:1" ht="16.5" customHeight="1">
      <c r="A823" s="697"/>
    </row>
    <row r="891" spans="1:22" s="624" customFormat="1" ht="16.5" customHeight="1">
      <c r="A891" s="750"/>
      <c r="B891" s="750"/>
      <c r="C891" s="750"/>
      <c r="D891" s="750"/>
      <c r="E891" s="750"/>
      <c r="F891" s="750"/>
      <c r="G891" s="750"/>
      <c r="H891" s="750"/>
      <c r="I891" s="750"/>
      <c r="J891" s="871"/>
      <c r="K891" s="801"/>
      <c r="L891" s="899"/>
      <c r="M891" s="650"/>
      <c r="N891" s="917"/>
      <c r="O891" s="646"/>
      <c r="P891" s="933"/>
      <c r="Q891" s="646"/>
      <c r="R891" s="942"/>
      <c r="S891" s="650"/>
      <c r="T891" s="934"/>
      <c r="U891" s="650"/>
      <c r="V891" s="930"/>
    </row>
    <row r="892" spans="1:22" s="624" customFormat="1" ht="16.5" customHeight="1">
      <c r="A892" s="750"/>
      <c r="B892" s="750"/>
      <c r="C892" s="750"/>
      <c r="D892" s="750"/>
      <c r="E892" s="750"/>
      <c r="F892" s="750"/>
      <c r="G892" s="750"/>
      <c r="H892" s="750"/>
      <c r="I892" s="750"/>
      <c r="J892" s="871"/>
      <c r="K892" s="801"/>
      <c r="L892" s="899"/>
      <c r="M892" s="650"/>
      <c r="N892" s="917"/>
      <c r="O892" s="646"/>
      <c r="P892" s="933"/>
      <c r="Q892" s="646"/>
      <c r="R892" s="942"/>
      <c r="S892" s="650"/>
      <c r="T892" s="934"/>
      <c r="U892" s="650"/>
      <c r="V892" s="930"/>
    </row>
    <row r="893" spans="1:22" s="624" customFormat="1" ht="16.5" customHeight="1">
      <c r="A893" s="750"/>
      <c r="B893" s="750"/>
      <c r="C893" s="750"/>
      <c r="D893" s="750"/>
      <c r="E893" s="750"/>
      <c r="F893" s="750"/>
      <c r="G893" s="750"/>
      <c r="H893" s="750"/>
      <c r="I893" s="750"/>
      <c r="J893" s="871"/>
      <c r="K893" s="801"/>
      <c r="L893" s="899"/>
      <c r="M893" s="650"/>
      <c r="N893" s="917"/>
      <c r="O893" s="646"/>
      <c r="P893" s="933"/>
      <c r="Q893" s="646"/>
      <c r="R893" s="942"/>
      <c r="S893" s="650"/>
      <c r="T893" s="934"/>
      <c r="U893" s="650"/>
      <c r="V893" s="930"/>
    </row>
    <row r="894" spans="1:22" s="624" customFormat="1" ht="16.5" customHeight="1">
      <c r="A894" s="750"/>
      <c r="B894" s="750"/>
      <c r="C894" s="750"/>
      <c r="D894" s="750"/>
      <c r="E894" s="750"/>
      <c r="F894" s="750"/>
      <c r="G894" s="750"/>
      <c r="H894" s="750"/>
      <c r="I894" s="750"/>
      <c r="J894" s="871"/>
      <c r="K894" s="801"/>
      <c r="L894" s="899"/>
      <c r="M894" s="650"/>
      <c r="N894" s="917"/>
      <c r="O894" s="646"/>
      <c r="P894" s="933"/>
      <c r="Q894" s="646"/>
      <c r="R894" s="942"/>
      <c r="S894" s="650"/>
      <c r="T894" s="934"/>
      <c r="U894" s="650"/>
      <c r="V894" s="930"/>
    </row>
    <row r="895" spans="1:22" s="624" customFormat="1" ht="16.5" customHeight="1">
      <c r="A895" s="750"/>
      <c r="B895" s="750"/>
      <c r="C895" s="750"/>
      <c r="D895" s="750"/>
      <c r="E895" s="750"/>
      <c r="F895" s="750"/>
      <c r="G895" s="750"/>
      <c r="H895" s="750"/>
      <c r="I895" s="750"/>
      <c r="J895" s="871"/>
      <c r="K895" s="801"/>
      <c r="L895" s="899"/>
      <c r="M895" s="650"/>
      <c r="N895" s="917"/>
      <c r="O895" s="646"/>
      <c r="P895" s="933"/>
      <c r="Q895" s="646"/>
      <c r="R895" s="942"/>
      <c r="S895" s="650"/>
      <c r="T895" s="934"/>
      <c r="U895" s="650"/>
      <c r="V895" s="930"/>
    </row>
    <row r="896" spans="1:22" s="624" customFormat="1" ht="16.5" customHeight="1">
      <c r="A896" s="750"/>
      <c r="B896" s="750"/>
      <c r="C896" s="750"/>
      <c r="D896" s="750"/>
      <c r="E896" s="750"/>
      <c r="F896" s="750"/>
      <c r="G896" s="750"/>
      <c r="H896" s="750"/>
      <c r="I896" s="750"/>
      <c r="J896" s="871"/>
      <c r="K896" s="801"/>
      <c r="L896" s="899"/>
      <c r="M896" s="650"/>
      <c r="N896" s="917"/>
      <c r="O896" s="646"/>
      <c r="P896" s="933"/>
      <c r="Q896" s="646"/>
      <c r="R896" s="942"/>
      <c r="S896" s="650"/>
      <c r="T896" s="934"/>
      <c r="U896" s="650"/>
      <c r="V896" s="930"/>
    </row>
    <row r="897" spans="1:22" s="624" customFormat="1" ht="16.5" customHeight="1">
      <c r="A897" s="750"/>
      <c r="B897" s="750"/>
      <c r="C897" s="750"/>
      <c r="D897" s="750"/>
      <c r="E897" s="750"/>
      <c r="F897" s="750"/>
      <c r="G897" s="750"/>
      <c r="H897" s="750"/>
      <c r="I897" s="750"/>
      <c r="J897" s="871"/>
      <c r="K897" s="801"/>
      <c r="L897" s="899"/>
      <c r="M897" s="650"/>
      <c r="N897" s="917"/>
      <c r="O897" s="646"/>
      <c r="P897" s="933"/>
      <c r="Q897" s="646"/>
      <c r="R897" s="942"/>
      <c r="S897" s="650"/>
      <c r="T897" s="934"/>
      <c r="U897" s="650"/>
      <c r="V897" s="930"/>
    </row>
    <row r="898" spans="1:22" s="624" customFormat="1" ht="16.5" customHeight="1">
      <c r="A898" s="750"/>
      <c r="B898" s="750"/>
      <c r="C898" s="750"/>
      <c r="D898" s="750"/>
      <c r="E898" s="750"/>
      <c r="F898" s="750"/>
      <c r="G898" s="750"/>
      <c r="H898" s="750"/>
      <c r="I898" s="750"/>
      <c r="J898" s="871"/>
      <c r="K898" s="801"/>
      <c r="L898" s="899"/>
      <c r="M898" s="650"/>
      <c r="N898" s="917"/>
      <c r="O898" s="646"/>
      <c r="P898" s="933"/>
      <c r="Q898" s="646"/>
      <c r="R898" s="942"/>
      <c r="S898" s="650"/>
      <c r="T898" s="934"/>
      <c r="U898" s="650"/>
      <c r="V898" s="930"/>
    </row>
    <row r="899" spans="1:22" s="624" customFormat="1" ht="16.5" customHeight="1">
      <c r="A899" s="750"/>
      <c r="B899" s="750"/>
      <c r="C899" s="750"/>
      <c r="D899" s="750"/>
      <c r="E899" s="750"/>
      <c r="F899" s="750"/>
      <c r="G899" s="750"/>
      <c r="H899" s="750"/>
      <c r="I899" s="750"/>
      <c r="J899" s="871"/>
      <c r="K899" s="801"/>
      <c r="L899" s="899"/>
      <c r="M899" s="650"/>
      <c r="N899" s="917"/>
      <c r="O899" s="646"/>
      <c r="P899" s="933"/>
      <c r="Q899" s="646"/>
      <c r="R899" s="942"/>
      <c r="S899" s="650"/>
      <c r="T899" s="934"/>
      <c r="U899" s="650"/>
      <c r="V899" s="930"/>
    </row>
    <row r="900" spans="1:22" s="624" customFormat="1" ht="16.5" customHeight="1">
      <c r="A900" s="750"/>
      <c r="B900" s="750"/>
      <c r="C900" s="750"/>
      <c r="D900" s="750"/>
      <c r="E900" s="750"/>
      <c r="F900" s="750"/>
      <c r="G900" s="750"/>
      <c r="H900" s="750"/>
      <c r="I900" s="750"/>
      <c r="J900" s="871"/>
      <c r="K900" s="801"/>
      <c r="L900" s="899"/>
      <c r="M900" s="650"/>
      <c r="N900" s="917"/>
      <c r="O900" s="646"/>
      <c r="P900" s="933"/>
      <c r="Q900" s="646"/>
      <c r="R900" s="942"/>
      <c r="S900" s="650"/>
      <c r="T900" s="934"/>
      <c r="U900" s="650"/>
      <c r="V900" s="930"/>
    </row>
    <row r="901" spans="1:22" s="624" customFormat="1" ht="16.5" customHeight="1">
      <c r="A901" s="750"/>
      <c r="B901" s="750"/>
      <c r="C901" s="750"/>
      <c r="D901" s="750"/>
      <c r="E901" s="750"/>
      <c r="F901" s="750"/>
      <c r="G901" s="750"/>
      <c r="H901" s="750"/>
      <c r="I901" s="750"/>
      <c r="J901" s="871"/>
      <c r="K901" s="801"/>
      <c r="L901" s="899"/>
      <c r="M901" s="650"/>
      <c r="N901" s="917"/>
      <c r="O901" s="646"/>
      <c r="P901" s="933"/>
      <c r="Q901" s="646"/>
      <c r="R901" s="942"/>
      <c r="S901" s="650"/>
      <c r="T901" s="934"/>
      <c r="U901" s="650"/>
      <c r="V901" s="930"/>
    </row>
    <row r="902" spans="1:22" s="624" customFormat="1" ht="16.5" customHeight="1">
      <c r="A902" s="750"/>
      <c r="B902" s="750"/>
      <c r="C902" s="750"/>
      <c r="D902" s="750"/>
      <c r="E902" s="750"/>
      <c r="F902" s="750"/>
      <c r="G902" s="750"/>
      <c r="H902" s="750"/>
      <c r="I902" s="750"/>
      <c r="J902" s="871"/>
      <c r="K902" s="801"/>
      <c r="L902" s="899"/>
      <c r="M902" s="650"/>
      <c r="N902" s="917"/>
      <c r="O902" s="646"/>
      <c r="P902" s="933"/>
      <c r="Q902" s="646"/>
      <c r="R902" s="942"/>
      <c r="S902" s="650"/>
      <c r="T902" s="934"/>
      <c r="U902" s="650"/>
      <c r="V902" s="930"/>
    </row>
    <row r="903" spans="1:22" s="624" customFormat="1" ht="16.5" customHeight="1">
      <c r="A903" s="750"/>
      <c r="B903" s="750"/>
      <c r="C903" s="750"/>
      <c r="D903" s="750"/>
      <c r="E903" s="750"/>
      <c r="F903" s="750"/>
      <c r="G903" s="750"/>
      <c r="H903" s="750"/>
      <c r="I903" s="750"/>
      <c r="J903" s="871"/>
      <c r="K903" s="801"/>
      <c r="L903" s="899"/>
      <c r="M903" s="650"/>
      <c r="N903" s="917"/>
      <c r="O903" s="646"/>
      <c r="P903" s="933"/>
      <c r="Q903" s="646"/>
      <c r="R903" s="942"/>
      <c r="S903" s="650"/>
      <c r="T903" s="934"/>
      <c r="U903" s="650"/>
      <c r="V903" s="930"/>
    </row>
    <row r="904" spans="1:22" s="624" customFormat="1" ht="16.5" customHeight="1">
      <c r="A904" s="750"/>
      <c r="B904" s="750"/>
      <c r="C904" s="750"/>
      <c r="D904" s="750"/>
      <c r="E904" s="750"/>
      <c r="F904" s="750"/>
      <c r="G904" s="750"/>
      <c r="H904" s="750"/>
      <c r="I904" s="750"/>
      <c r="J904" s="871"/>
      <c r="K904" s="801"/>
      <c r="L904" s="899"/>
      <c r="M904" s="650"/>
      <c r="N904" s="917"/>
      <c r="O904" s="646"/>
      <c r="P904" s="933"/>
      <c r="Q904" s="646"/>
      <c r="R904" s="942"/>
      <c r="S904" s="650"/>
      <c r="T904" s="934"/>
      <c r="U904" s="650"/>
      <c r="V904" s="930"/>
    </row>
    <row r="905" spans="1:22" s="624" customFormat="1" ht="16.5" customHeight="1">
      <c r="A905" s="750"/>
      <c r="B905" s="750"/>
      <c r="C905" s="750"/>
      <c r="D905" s="750"/>
      <c r="E905" s="750"/>
      <c r="F905" s="750"/>
      <c r="G905" s="750"/>
      <c r="H905" s="750"/>
      <c r="I905" s="750"/>
      <c r="J905" s="871"/>
      <c r="K905" s="801"/>
      <c r="L905" s="899"/>
      <c r="M905" s="650"/>
      <c r="N905" s="917"/>
      <c r="O905" s="646"/>
      <c r="P905" s="933"/>
      <c r="Q905" s="646"/>
      <c r="R905" s="942"/>
      <c r="S905" s="650"/>
      <c r="T905" s="934"/>
      <c r="U905" s="650"/>
      <c r="V905" s="930"/>
    </row>
    <row r="906" spans="1:22" s="624" customFormat="1" ht="16.5" customHeight="1">
      <c r="A906" s="750"/>
      <c r="B906" s="750"/>
      <c r="C906" s="750"/>
      <c r="D906" s="750"/>
      <c r="E906" s="750"/>
      <c r="F906" s="750"/>
      <c r="G906" s="750"/>
      <c r="H906" s="750"/>
      <c r="I906" s="750"/>
      <c r="J906" s="871"/>
      <c r="K906" s="801"/>
      <c r="L906" s="899"/>
      <c r="M906" s="650"/>
      <c r="N906" s="917"/>
      <c r="O906" s="646"/>
      <c r="P906" s="933"/>
      <c r="Q906" s="646"/>
      <c r="R906" s="942"/>
      <c r="S906" s="650"/>
      <c r="T906" s="934"/>
      <c r="U906" s="650"/>
      <c r="V906" s="930"/>
    </row>
    <row r="907" spans="1:22" s="624" customFormat="1" ht="16.5" customHeight="1">
      <c r="A907" s="750"/>
      <c r="B907" s="750"/>
      <c r="C907" s="750"/>
      <c r="D907" s="750"/>
      <c r="E907" s="750"/>
      <c r="F907" s="750"/>
      <c r="G907" s="750"/>
      <c r="H907" s="750"/>
      <c r="I907" s="750"/>
      <c r="J907" s="871"/>
      <c r="K907" s="801"/>
      <c r="L907" s="899"/>
      <c r="M907" s="650"/>
      <c r="N907" s="917"/>
      <c r="O907" s="646"/>
      <c r="P907" s="933"/>
      <c r="Q907" s="646"/>
      <c r="R907" s="942"/>
      <c r="S907" s="650"/>
      <c r="T907" s="934"/>
      <c r="U907" s="650"/>
      <c r="V907" s="930"/>
    </row>
    <row r="908" spans="1:22" s="624" customFormat="1" ht="16.5" customHeight="1">
      <c r="A908" s="750"/>
      <c r="B908" s="750"/>
      <c r="C908" s="750"/>
      <c r="D908" s="750"/>
      <c r="E908" s="750"/>
      <c r="F908" s="750"/>
      <c r="G908" s="750"/>
      <c r="H908" s="750"/>
      <c r="I908" s="750"/>
      <c r="J908" s="871"/>
      <c r="K908" s="801"/>
      <c r="L908" s="899"/>
      <c r="M908" s="650"/>
      <c r="N908" s="917"/>
      <c r="O908" s="646"/>
      <c r="P908" s="933"/>
      <c r="Q908" s="646"/>
      <c r="R908" s="942"/>
      <c r="S908" s="650"/>
      <c r="T908" s="934"/>
      <c r="U908" s="650"/>
      <c r="V908" s="930"/>
    </row>
    <row r="909" spans="1:22" s="624" customFormat="1" ht="16.5" customHeight="1">
      <c r="A909" s="750"/>
      <c r="B909" s="750"/>
      <c r="C909" s="750"/>
      <c r="D909" s="750"/>
      <c r="E909" s="750"/>
      <c r="F909" s="750"/>
      <c r="G909" s="750"/>
      <c r="H909" s="750"/>
      <c r="I909" s="750"/>
      <c r="J909" s="871"/>
      <c r="K909" s="801"/>
      <c r="L909" s="899"/>
      <c r="M909" s="650"/>
      <c r="N909" s="917"/>
      <c r="O909" s="646"/>
      <c r="P909" s="933"/>
      <c r="Q909" s="646"/>
      <c r="R909" s="942"/>
      <c r="S909" s="650"/>
      <c r="T909" s="934"/>
      <c r="U909" s="650"/>
      <c r="V909" s="930"/>
    </row>
    <row r="910" spans="1:22" s="624" customFormat="1" ht="16.5" customHeight="1">
      <c r="A910" s="750"/>
      <c r="B910" s="750"/>
      <c r="C910" s="750"/>
      <c r="D910" s="750"/>
      <c r="E910" s="750"/>
      <c r="F910" s="750"/>
      <c r="G910" s="750"/>
      <c r="H910" s="750"/>
      <c r="I910" s="750"/>
      <c r="J910" s="871"/>
      <c r="K910" s="801"/>
      <c r="L910" s="899"/>
      <c r="M910" s="650"/>
      <c r="N910" s="917"/>
      <c r="O910" s="646"/>
      <c r="P910" s="933"/>
      <c r="Q910" s="646"/>
      <c r="R910" s="942"/>
      <c r="S910" s="650"/>
      <c r="T910" s="934"/>
      <c r="U910" s="650"/>
      <c r="V910" s="930"/>
    </row>
    <row r="911" spans="1:22" s="624" customFormat="1" ht="16.5" customHeight="1">
      <c r="A911" s="750"/>
      <c r="B911" s="750"/>
      <c r="C911" s="750"/>
      <c r="D911" s="750"/>
      <c r="E911" s="750"/>
      <c r="F911" s="750"/>
      <c r="G911" s="750"/>
      <c r="H911" s="750"/>
      <c r="I911" s="750"/>
      <c r="J911" s="871"/>
      <c r="K911" s="801"/>
      <c r="L911" s="899"/>
      <c r="M911" s="650"/>
      <c r="N911" s="917"/>
      <c r="O911" s="646"/>
      <c r="P911" s="933"/>
      <c r="Q911" s="646"/>
      <c r="R911" s="942"/>
      <c r="S911" s="650"/>
      <c r="T911" s="934"/>
      <c r="U911" s="650"/>
      <c r="V911" s="930"/>
    </row>
    <row r="912" spans="1:22" s="624" customFormat="1" ht="16.5" customHeight="1">
      <c r="A912" s="750"/>
      <c r="B912" s="750"/>
      <c r="C912" s="750"/>
      <c r="D912" s="750"/>
      <c r="E912" s="750"/>
      <c r="F912" s="750"/>
      <c r="G912" s="750"/>
      <c r="H912" s="750"/>
      <c r="I912" s="750"/>
      <c r="J912" s="871"/>
      <c r="K912" s="801"/>
      <c r="L912" s="899"/>
      <c r="M912" s="650"/>
      <c r="N912" s="917"/>
      <c r="O912" s="646"/>
      <c r="P912" s="933"/>
      <c r="Q912" s="646"/>
      <c r="R912" s="942"/>
      <c r="S912" s="650"/>
      <c r="T912" s="934"/>
      <c r="U912" s="650"/>
      <c r="V912" s="930"/>
    </row>
    <row r="913" spans="1:22" s="624" customFormat="1" ht="16.5" customHeight="1">
      <c r="A913" s="750"/>
      <c r="B913" s="750"/>
      <c r="C913" s="750"/>
      <c r="D913" s="750"/>
      <c r="E913" s="750"/>
      <c r="F913" s="750"/>
      <c r="G913" s="750"/>
      <c r="H913" s="750"/>
      <c r="I913" s="750"/>
      <c r="J913" s="871"/>
      <c r="K913" s="801"/>
      <c r="L913" s="899"/>
      <c r="M913" s="650"/>
      <c r="N913" s="917"/>
      <c r="O913" s="646"/>
      <c r="P913" s="933"/>
      <c r="Q913" s="646"/>
      <c r="R913" s="942"/>
      <c r="S913" s="650"/>
      <c r="T913" s="934"/>
      <c r="U913" s="650"/>
      <c r="V913" s="930"/>
    </row>
    <row r="914" spans="1:22" s="624" customFormat="1" ht="16.5" customHeight="1">
      <c r="A914" s="750"/>
      <c r="B914" s="750"/>
      <c r="C914" s="750"/>
      <c r="D914" s="750"/>
      <c r="E914" s="750"/>
      <c r="F914" s="750"/>
      <c r="G914" s="750"/>
      <c r="H914" s="750"/>
      <c r="I914" s="750"/>
      <c r="J914" s="871"/>
      <c r="K914" s="801"/>
      <c r="L914" s="899"/>
      <c r="M914" s="650"/>
      <c r="N914" s="917"/>
      <c r="O914" s="646"/>
      <c r="P914" s="933"/>
      <c r="Q914" s="646"/>
      <c r="R914" s="942"/>
      <c r="S914" s="650"/>
      <c r="T914" s="934"/>
      <c r="U914" s="650"/>
      <c r="V914" s="930"/>
    </row>
    <row r="915" spans="1:22" s="624" customFormat="1" ht="16.5" customHeight="1">
      <c r="A915" s="750"/>
      <c r="B915" s="750"/>
      <c r="C915" s="750"/>
      <c r="D915" s="750"/>
      <c r="E915" s="750"/>
      <c r="F915" s="750"/>
      <c r="G915" s="750"/>
      <c r="H915" s="750"/>
      <c r="I915" s="750"/>
      <c r="J915" s="871"/>
      <c r="K915" s="801"/>
      <c r="L915" s="899"/>
      <c r="M915" s="650"/>
      <c r="N915" s="917"/>
      <c r="O915" s="646"/>
      <c r="P915" s="933"/>
      <c r="Q915" s="646"/>
      <c r="R915" s="942"/>
      <c r="S915" s="650"/>
      <c r="T915" s="934"/>
      <c r="U915" s="650"/>
      <c r="V915" s="930"/>
    </row>
    <row r="916" spans="1:22" s="624" customFormat="1" ht="16.5" customHeight="1">
      <c r="A916" s="750"/>
      <c r="B916" s="750"/>
      <c r="C916" s="750"/>
      <c r="D916" s="750"/>
      <c r="E916" s="750"/>
      <c r="F916" s="750"/>
      <c r="G916" s="750"/>
      <c r="H916" s="750"/>
      <c r="I916" s="750"/>
      <c r="J916" s="871"/>
      <c r="K916" s="801"/>
      <c r="L916" s="899"/>
      <c r="M916" s="650"/>
      <c r="N916" s="917"/>
      <c r="O916" s="646"/>
      <c r="P916" s="933"/>
      <c r="Q916" s="646"/>
      <c r="R916" s="942"/>
      <c r="S916" s="650"/>
      <c r="T916" s="934"/>
      <c r="U916" s="650"/>
      <c r="V916" s="930"/>
    </row>
    <row r="917" spans="1:22" s="624" customFormat="1" ht="16.5" customHeight="1">
      <c r="A917" s="750"/>
      <c r="B917" s="750"/>
      <c r="C917" s="750"/>
      <c r="D917" s="750"/>
      <c r="E917" s="750"/>
      <c r="F917" s="750"/>
      <c r="G917" s="750"/>
      <c r="H917" s="750"/>
      <c r="I917" s="750"/>
      <c r="J917" s="871"/>
      <c r="K917" s="801"/>
      <c r="L917" s="899"/>
      <c r="M917" s="650"/>
      <c r="N917" s="917"/>
      <c r="O917" s="646"/>
      <c r="P917" s="933"/>
      <c r="Q917" s="646"/>
      <c r="R917" s="942"/>
      <c r="S917" s="650"/>
      <c r="T917" s="934"/>
      <c r="U917" s="650"/>
      <c r="V917" s="930"/>
    </row>
    <row r="918" spans="1:22" s="624" customFormat="1" ht="16.5" customHeight="1">
      <c r="A918" s="750"/>
      <c r="B918" s="750"/>
      <c r="C918" s="750"/>
      <c r="D918" s="750"/>
      <c r="E918" s="750"/>
      <c r="F918" s="750"/>
      <c r="G918" s="750"/>
      <c r="H918" s="750"/>
      <c r="I918" s="750"/>
      <c r="J918" s="871"/>
      <c r="K918" s="801"/>
      <c r="L918" s="899"/>
      <c r="M918" s="650"/>
      <c r="N918" s="917"/>
      <c r="O918" s="646"/>
      <c r="P918" s="933"/>
      <c r="Q918" s="646"/>
      <c r="R918" s="942"/>
      <c r="S918" s="650"/>
      <c r="T918" s="934"/>
      <c r="U918" s="650"/>
      <c r="V918" s="930"/>
    </row>
    <row r="919" spans="1:22" s="624" customFormat="1" ht="16.5" customHeight="1">
      <c r="A919" s="750"/>
      <c r="B919" s="750"/>
      <c r="C919" s="750"/>
      <c r="D919" s="750"/>
      <c r="E919" s="750"/>
      <c r="F919" s="750"/>
      <c r="G919" s="750"/>
      <c r="H919" s="750"/>
      <c r="I919" s="750"/>
      <c r="J919" s="871"/>
      <c r="K919" s="801"/>
      <c r="L919" s="899"/>
      <c r="M919" s="650"/>
      <c r="N919" s="917"/>
      <c r="O919" s="646"/>
      <c r="P919" s="933"/>
      <c r="Q919" s="646"/>
      <c r="R919" s="942"/>
      <c r="S919" s="650"/>
      <c r="T919" s="934"/>
      <c r="U919" s="650"/>
      <c r="V919" s="930"/>
    </row>
    <row r="920" spans="1:22" s="624" customFormat="1" ht="16.5" customHeight="1">
      <c r="A920" s="750"/>
      <c r="B920" s="750"/>
      <c r="C920" s="750"/>
      <c r="D920" s="750"/>
      <c r="E920" s="750"/>
      <c r="F920" s="750"/>
      <c r="G920" s="750"/>
      <c r="H920" s="750"/>
      <c r="I920" s="750"/>
      <c r="J920" s="871"/>
      <c r="K920" s="801"/>
      <c r="L920" s="899"/>
      <c r="M920" s="650"/>
      <c r="N920" s="917"/>
      <c r="O920" s="646"/>
      <c r="P920" s="933"/>
      <c r="Q920" s="646"/>
      <c r="R920" s="942"/>
      <c r="S920" s="650"/>
      <c r="T920" s="934"/>
      <c r="U920" s="650"/>
      <c r="V920" s="930"/>
    </row>
    <row r="921" spans="1:22" s="624" customFormat="1" ht="16.5" customHeight="1">
      <c r="A921" s="750"/>
      <c r="B921" s="750"/>
      <c r="C921" s="750"/>
      <c r="D921" s="750"/>
      <c r="E921" s="750"/>
      <c r="F921" s="750"/>
      <c r="G921" s="750"/>
      <c r="H921" s="750"/>
      <c r="I921" s="750"/>
      <c r="J921" s="871"/>
      <c r="K921" s="801"/>
      <c r="L921" s="899"/>
      <c r="M921" s="650"/>
      <c r="N921" s="917"/>
      <c r="O921" s="646"/>
      <c r="P921" s="933"/>
      <c r="Q921" s="646"/>
      <c r="R921" s="942"/>
      <c r="S921" s="650"/>
      <c r="T921" s="934"/>
      <c r="U921" s="650"/>
      <c r="V921" s="930"/>
    </row>
    <row r="922" spans="1:22" s="624" customFormat="1" ht="16.5" customHeight="1">
      <c r="A922" s="750"/>
      <c r="B922" s="750"/>
      <c r="C922" s="750"/>
      <c r="D922" s="750"/>
      <c r="E922" s="750"/>
      <c r="F922" s="750"/>
      <c r="G922" s="750"/>
      <c r="H922" s="750"/>
      <c r="I922" s="750"/>
      <c r="J922" s="871"/>
      <c r="K922" s="801"/>
      <c r="L922" s="899"/>
      <c r="M922" s="650"/>
      <c r="N922" s="917"/>
      <c r="O922" s="646"/>
      <c r="P922" s="933"/>
      <c r="Q922" s="646"/>
      <c r="R922" s="942"/>
      <c r="S922" s="650"/>
      <c r="T922" s="934"/>
      <c r="U922" s="650"/>
      <c r="V922" s="930"/>
    </row>
    <row r="923" spans="1:22" s="624" customFormat="1" ht="16.5" customHeight="1">
      <c r="A923" s="750"/>
      <c r="B923" s="750"/>
      <c r="C923" s="750"/>
      <c r="D923" s="750"/>
      <c r="E923" s="750"/>
      <c r="F923" s="750"/>
      <c r="G923" s="750"/>
      <c r="H923" s="750"/>
      <c r="I923" s="750"/>
      <c r="J923" s="871"/>
      <c r="K923" s="801"/>
      <c r="L923" s="899"/>
      <c r="M923" s="650"/>
      <c r="N923" s="917"/>
      <c r="O923" s="646"/>
      <c r="P923" s="933"/>
      <c r="Q923" s="646"/>
      <c r="R923" s="942"/>
      <c r="S923" s="650"/>
      <c r="T923" s="934"/>
      <c r="U923" s="650"/>
      <c r="V923" s="930"/>
    </row>
    <row r="924" spans="1:22" s="624" customFormat="1" ht="16.5" customHeight="1">
      <c r="A924" s="750"/>
      <c r="B924" s="750"/>
      <c r="C924" s="750"/>
      <c r="D924" s="750"/>
      <c r="E924" s="750"/>
      <c r="F924" s="750"/>
      <c r="G924" s="750"/>
      <c r="H924" s="750"/>
      <c r="I924" s="750"/>
      <c r="J924" s="871"/>
      <c r="K924" s="801"/>
      <c r="L924" s="899"/>
      <c r="M924" s="650"/>
      <c r="N924" s="917"/>
      <c r="O924" s="646"/>
      <c r="P924" s="933"/>
      <c r="Q924" s="646"/>
      <c r="R924" s="942"/>
      <c r="S924" s="650"/>
      <c r="T924" s="934"/>
      <c r="U924" s="650"/>
      <c r="V924" s="930"/>
    </row>
    <row r="925" spans="1:22" s="624" customFormat="1" ht="16.5" customHeight="1">
      <c r="A925" s="750"/>
      <c r="B925" s="750"/>
      <c r="C925" s="750"/>
      <c r="D925" s="750"/>
      <c r="E925" s="750"/>
      <c r="F925" s="750"/>
      <c r="G925" s="750"/>
      <c r="H925" s="750"/>
      <c r="I925" s="750"/>
      <c r="J925" s="871"/>
      <c r="K925" s="801"/>
      <c r="L925" s="899"/>
      <c r="M925" s="650"/>
      <c r="N925" s="917"/>
      <c r="O925" s="646"/>
      <c r="P925" s="933"/>
      <c r="Q925" s="646"/>
      <c r="R925" s="942"/>
      <c r="S925" s="650"/>
      <c r="T925" s="934"/>
      <c r="U925" s="650"/>
      <c r="V925" s="930"/>
    </row>
    <row r="926" spans="1:22" s="624" customFormat="1" ht="16.5" customHeight="1">
      <c r="A926" s="750"/>
      <c r="B926" s="750"/>
      <c r="C926" s="750"/>
      <c r="D926" s="750"/>
      <c r="E926" s="750"/>
      <c r="F926" s="750"/>
      <c r="G926" s="750"/>
      <c r="H926" s="750"/>
      <c r="I926" s="750"/>
      <c r="J926" s="871"/>
      <c r="K926" s="801"/>
      <c r="L926" s="899"/>
      <c r="M926" s="650"/>
      <c r="N926" s="917"/>
      <c r="O926" s="646"/>
      <c r="P926" s="933"/>
      <c r="Q926" s="646"/>
      <c r="R926" s="942"/>
      <c r="S926" s="650"/>
      <c r="T926" s="934"/>
      <c r="U926" s="650"/>
      <c r="V926" s="930"/>
    </row>
    <row r="927" spans="1:22" s="624" customFormat="1" ht="16.5" customHeight="1">
      <c r="A927" s="750"/>
      <c r="B927" s="750"/>
      <c r="C927" s="750"/>
      <c r="D927" s="750"/>
      <c r="E927" s="750"/>
      <c r="F927" s="750"/>
      <c r="G927" s="750"/>
      <c r="H927" s="750"/>
      <c r="I927" s="750"/>
      <c r="J927" s="871"/>
      <c r="K927" s="801"/>
      <c r="L927" s="899"/>
      <c r="M927" s="650"/>
      <c r="N927" s="917"/>
      <c r="O927" s="646"/>
      <c r="P927" s="933"/>
      <c r="Q927" s="646"/>
      <c r="R927" s="942"/>
      <c r="S927" s="650"/>
      <c r="T927" s="934"/>
      <c r="U927" s="650"/>
      <c r="V927" s="930"/>
    </row>
    <row r="928" spans="1:22" s="624" customFormat="1" ht="16.5" customHeight="1">
      <c r="A928" s="750"/>
      <c r="B928" s="750"/>
      <c r="C928" s="750"/>
      <c r="D928" s="750"/>
      <c r="E928" s="750"/>
      <c r="F928" s="750"/>
      <c r="G928" s="750"/>
      <c r="H928" s="750"/>
      <c r="I928" s="750"/>
      <c r="J928" s="871"/>
      <c r="K928" s="801"/>
      <c r="L928" s="899"/>
      <c r="M928" s="650"/>
      <c r="N928" s="917"/>
      <c r="O928" s="646"/>
      <c r="P928" s="933"/>
      <c r="Q928" s="646"/>
      <c r="R928" s="942"/>
      <c r="S928" s="650"/>
      <c r="T928" s="934"/>
      <c r="U928" s="650"/>
      <c r="V928" s="930"/>
    </row>
    <row r="929" spans="1:22" s="624" customFormat="1" ht="16.5" customHeight="1">
      <c r="A929" s="750"/>
      <c r="B929" s="750"/>
      <c r="C929" s="750"/>
      <c r="D929" s="750"/>
      <c r="E929" s="750"/>
      <c r="F929" s="750"/>
      <c r="G929" s="750"/>
      <c r="H929" s="750"/>
      <c r="I929" s="750"/>
      <c r="J929" s="871"/>
      <c r="K929" s="801"/>
      <c r="L929" s="899"/>
      <c r="M929" s="650"/>
      <c r="N929" s="917"/>
      <c r="O929" s="646"/>
      <c r="P929" s="933"/>
      <c r="Q929" s="646"/>
      <c r="R929" s="942"/>
      <c r="S929" s="650"/>
      <c r="T929" s="934"/>
      <c r="U929" s="650"/>
      <c r="V929" s="930"/>
    </row>
    <row r="930" spans="1:22" s="624" customFormat="1" ht="16.5" customHeight="1">
      <c r="A930" s="750"/>
      <c r="B930" s="750"/>
      <c r="C930" s="750"/>
      <c r="D930" s="750"/>
      <c r="E930" s="750"/>
      <c r="F930" s="750"/>
      <c r="G930" s="750"/>
      <c r="H930" s="750"/>
      <c r="I930" s="750"/>
      <c r="J930" s="871"/>
      <c r="K930" s="801"/>
      <c r="L930" s="899"/>
      <c r="M930" s="650"/>
      <c r="N930" s="917"/>
      <c r="O930" s="646"/>
      <c r="P930" s="933"/>
      <c r="Q930" s="646"/>
      <c r="R930" s="942"/>
      <c r="S930" s="650"/>
      <c r="T930" s="934"/>
      <c r="U930" s="650"/>
      <c r="V930" s="930"/>
    </row>
    <row r="931" spans="1:22" s="624" customFormat="1" ht="16.5" customHeight="1">
      <c r="A931" s="750"/>
      <c r="B931" s="750"/>
      <c r="C931" s="750"/>
      <c r="D931" s="750"/>
      <c r="E931" s="750"/>
      <c r="F931" s="750"/>
      <c r="G931" s="750"/>
      <c r="H931" s="750"/>
      <c r="I931" s="750"/>
      <c r="J931" s="871"/>
      <c r="K931" s="801"/>
      <c r="L931" s="899"/>
      <c r="M931" s="650"/>
      <c r="N931" s="917"/>
      <c r="O931" s="646"/>
      <c r="P931" s="933"/>
      <c r="Q931" s="646"/>
      <c r="R931" s="942"/>
      <c r="S931" s="650"/>
      <c r="T931" s="934"/>
      <c r="U931" s="650"/>
      <c r="V931" s="930"/>
    </row>
    <row r="932" spans="1:22" s="624" customFormat="1" ht="16.5" customHeight="1">
      <c r="A932" s="750"/>
      <c r="B932" s="750"/>
      <c r="C932" s="750"/>
      <c r="D932" s="750"/>
      <c r="E932" s="750"/>
      <c r="F932" s="750"/>
      <c r="G932" s="750"/>
      <c r="H932" s="750"/>
      <c r="I932" s="750"/>
      <c r="J932" s="871"/>
      <c r="K932" s="801"/>
      <c r="L932" s="899"/>
      <c r="M932" s="650"/>
      <c r="N932" s="917"/>
      <c r="O932" s="646"/>
      <c r="P932" s="933"/>
      <c r="Q932" s="646"/>
      <c r="R932" s="942"/>
      <c r="S932" s="650"/>
      <c r="T932" s="934"/>
      <c r="U932" s="650"/>
      <c r="V932" s="930"/>
    </row>
    <row r="933" spans="1:22" s="624" customFormat="1" ht="16.5" customHeight="1">
      <c r="A933" s="750"/>
      <c r="B933" s="750"/>
      <c r="C933" s="750"/>
      <c r="D933" s="750"/>
      <c r="E933" s="750"/>
      <c r="F933" s="750"/>
      <c r="G933" s="750"/>
      <c r="H933" s="750"/>
      <c r="I933" s="750"/>
      <c r="J933" s="871"/>
      <c r="K933" s="801"/>
      <c r="L933" s="899"/>
      <c r="M933" s="650"/>
      <c r="N933" s="917"/>
      <c r="O933" s="646"/>
      <c r="P933" s="933"/>
      <c r="Q933" s="646"/>
      <c r="R933" s="942"/>
      <c r="S933" s="650"/>
      <c r="T933" s="934"/>
      <c r="U933" s="650"/>
      <c r="V933" s="930"/>
    </row>
    <row r="934" spans="1:22" s="624" customFormat="1" ht="16.5" customHeight="1">
      <c r="A934" s="750"/>
      <c r="B934" s="750"/>
      <c r="C934" s="750"/>
      <c r="D934" s="750"/>
      <c r="E934" s="750"/>
      <c r="F934" s="750"/>
      <c r="G934" s="750"/>
      <c r="H934" s="750"/>
      <c r="I934" s="750"/>
      <c r="J934" s="871"/>
      <c r="K934" s="801"/>
      <c r="L934" s="899"/>
      <c r="M934" s="650"/>
      <c r="N934" s="917"/>
      <c r="O934" s="646"/>
      <c r="P934" s="933"/>
      <c r="Q934" s="646"/>
      <c r="R934" s="942"/>
      <c r="S934" s="650"/>
      <c r="T934" s="934"/>
      <c r="U934" s="650"/>
      <c r="V934" s="930"/>
    </row>
    <row r="935" spans="1:22" s="624" customFormat="1" ht="16.5" customHeight="1">
      <c r="A935" s="750"/>
      <c r="B935" s="750"/>
      <c r="C935" s="750"/>
      <c r="D935" s="750"/>
      <c r="E935" s="750"/>
      <c r="F935" s="750"/>
      <c r="G935" s="750"/>
      <c r="H935" s="750"/>
      <c r="I935" s="750"/>
      <c r="J935" s="871"/>
      <c r="K935" s="801"/>
      <c r="L935" s="899"/>
      <c r="M935" s="650"/>
      <c r="N935" s="917"/>
      <c r="O935" s="646"/>
      <c r="P935" s="933"/>
      <c r="Q935" s="646"/>
      <c r="R935" s="942"/>
      <c r="S935" s="650"/>
      <c r="T935" s="934"/>
      <c r="U935" s="650"/>
      <c r="V935" s="930"/>
    </row>
    <row r="936" spans="1:22" s="624" customFormat="1" ht="16.5" customHeight="1">
      <c r="A936" s="750"/>
      <c r="B936" s="750"/>
      <c r="C936" s="750"/>
      <c r="D936" s="750"/>
      <c r="E936" s="750"/>
      <c r="F936" s="750"/>
      <c r="G936" s="750"/>
      <c r="H936" s="750"/>
      <c r="I936" s="750"/>
      <c r="J936" s="871"/>
      <c r="K936" s="801"/>
      <c r="L936" s="899"/>
      <c r="M936" s="650"/>
      <c r="N936" s="917"/>
      <c r="O936" s="646"/>
      <c r="P936" s="933"/>
      <c r="Q936" s="646"/>
      <c r="R936" s="942"/>
      <c r="S936" s="650"/>
      <c r="T936" s="934"/>
      <c r="U936" s="650"/>
      <c r="V936" s="930"/>
    </row>
    <row r="937" spans="1:22" s="624" customFormat="1" ht="16.5" customHeight="1">
      <c r="A937" s="750"/>
      <c r="B937" s="750"/>
      <c r="C937" s="750"/>
      <c r="D937" s="750"/>
      <c r="E937" s="750"/>
      <c r="F937" s="750"/>
      <c r="G937" s="750"/>
      <c r="H937" s="750"/>
      <c r="I937" s="750"/>
      <c r="J937" s="871"/>
      <c r="K937" s="801"/>
      <c r="L937" s="899"/>
      <c r="M937" s="650"/>
      <c r="N937" s="917"/>
      <c r="O937" s="646"/>
      <c r="P937" s="933"/>
      <c r="Q937" s="646"/>
      <c r="R937" s="942"/>
      <c r="S937" s="650"/>
      <c r="T937" s="934"/>
      <c r="U937" s="650"/>
      <c r="V937" s="930"/>
    </row>
    <row r="938" spans="1:22" s="624" customFormat="1" ht="16.5" customHeight="1">
      <c r="A938" s="750"/>
      <c r="B938" s="750"/>
      <c r="C938" s="750"/>
      <c r="D938" s="750"/>
      <c r="E938" s="750"/>
      <c r="F938" s="750"/>
      <c r="G938" s="750"/>
      <c r="H938" s="750"/>
      <c r="I938" s="750"/>
      <c r="J938" s="871"/>
      <c r="K938" s="801"/>
      <c r="L938" s="899"/>
      <c r="M938" s="650"/>
      <c r="N938" s="917"/>
      <c r="O938" s="646"/>
      <c r="P938" s="933"/>
      <c r="Q938" s="646"/>
      <c r="R938" s="942"/>
      <c r="S938" s="650"/>
      <c r="T938" s="934"/>
      <c r="U938" s="650"/>
      <c r="V938" s="930"/>
    </row>
    <row r="955" spans="1:22" s="624" customFormat="1" ht="16.5" customHeight="1">
      <c r="A955" s="750"/>
      <c r="B955" s="750"/>
      <c r="C955" s="750"/>
      <c r="D955" s="750"/>
      <c r="E955" s="750"/>
      <c r="F955" s="750"/>
      <c r="G955" s="750"/>
      <c r="H955" s="750"/>
      <c r="I955" s="750"/>
      <c r="J955" s="871"/>
      <c r="K955" s="801"/>
      <c r="L955" s="899"/>
      <c r="M955" s="650"/>
      <c r="N955" s="917"/>
      <c r="O955" s="646"/>
      <c r="P955" s="933"/>
      <c r="Q955" s="646"/>
      <c r="R955" s="942"/>
      <c r="S955" s="650"/>
      <c r="T955" s="934"/>
      <c r="U955" s="650"/>
      <c r="V955" s="930"/>
    </row>
    <row r="956" spans="1:22" s="624" customFormat="1" ht="16.5" customHeight="1">
      <c r="A956" s="750"/>
      <c r="B956" s="750"/>
      <c r="C956" s="750"/>
      <c r="D956" s="750"/>
      <c r="E956" s="750"/>
      <c r="F956" s="750"/>
      <c r="G956" s="750"/>
      <c r="H956" s="750"/>
      <c r="I956" s="750"/>
      <c r="J956" s="871"/>
      <c r="K956" s="801"/>
      <c r="L956" s="899"/>
      <c r="M956" s="650"/>
      <c r="N956" s="917"/>
      <c r="O956" s="646"/>
      <c r="P956" s="933"/>
      <c r="Q956" s="646"/>
      <c r="R956" s="942"/>
      <c r="S956" s="650"/>
      <c r="T956" s="934"/>
      <c r="U956" s="650"/>
      <c r="V956" s="930"/>
    </row>
    <row r="957" spans="1:22" s="624" customFormat="1" ht="16.5" customHeight="1">
      <c r="A957" s="750"/>
      <c r="B957" s="750"/>
      <c r="C957" s="750"/>
      <c r="D957" s="750"/>
      <c r="E957" s="750"/>
      <c r="F957" s="750"/>
      <c r="G957" s="750"/>
      <c r="H957" s="750"/>
      <c r="I957" s="750"/>
      <c r="J957" s="871"/>
      <c r="K957" s="801"/>
      <c r="L957" s="899"/>
      <c r="M957" s="650"/>
      <c r="N957" s="917"/>
      <c r="O957" s="646"/>
      <c r="P957" s="933"/>
      <c r="Q957" s="646"/>
      <c r="R957" s="942"/>
      <c r="S957" s="650"/>
      <c r="T957" s="934"/>
      <c r="U957" s="650"/>
      <c r="V957" s="930"/>
    </row>
    <row r="958" spans="1:22" s="624" customFormat="1" ht="16.5" customHeight="1">
      <c r="A958" s="750"/>
      <c r="B958" s="750"/>
      <c r="C958" s="750"/>
      <c r="D958" s="750"/>
      <c r="E958" s="750"/>
      <c r="F958" s="750"/>
      <c r="G958" s="750"/>
      <c r="H958" s="750"/>
      <c r="I958" s="750"/>
      <c r="J958" s="871"/>
      <c r="K958" s="801"/>
      <c r="L958" s="899"/>
      <c r="M958" s="650"/>
      <c r="N958" s="917"/>
      <c r="O958" s="646"/>
      <c r="P958" s="933"/>
      <c r="Q958" s="646"/>
      <c r="R958" s="942"/>
      <c r="S958" s="650"/>
      <c r="T958" s="934"/>
      <c r="U958" s="650"/>
      <c r="V958" s="930"/>
    </row>
    <row r="959" spans="1:22" s="624" customFormat="1" ht="16.5" customHeight="1">
      <c r="A959" s="750"/>
      <c r="B959" s="750"/>
      <c r="C959" s="750"/>
      <c r="D959" s="750"/>
      <c r="E959" s="750"/>
      <c r="F959" s="750"/>
      <c r="G959" s="750"/>
      <c r="H959" s="750"/>
      <c r="I959" s="750"/>
      <c r="J959" s="871"/>
      <c r="K959" s="801"/>
      <c r="L959" s="899"/>
      <c r="M959" s="650"/>
      <c r="N959" s="917"/>
      <c r="O959" s="646"/>
      <c r="P959" s="933"/>
      <c r="Q959" s="646"/>
      <c r="R959" s="942"/>
      <c r="S959" s="650"/>
      <c r="T959" s="934"/>
      <c r="U959" s="650"/>
      <c r="V959" s="930"/>
    </row>
    <row r="960" spans="1:22" s="624" customFormat="1" ht="16.5" customHeight="1">
      <c r="A960" s="750"/>
      <c r="B960" s="750"/>
      <c r="C960" s="750"/>
      <c r="D960" s="750"/>
      <c r="E960" s="750"/>
      <c r="F960" s="750"/>
      <c r="G960" s="750"/>
      <c r="H960" s="750"/>
      <c r="I960" s="750"/>
      <c r="J960" s="871"/>
      <c r="K960" s="801"/>
      <c r="L960" s="899"/>
      <c r="M960" s="650"/>
      <c r="N960" s="917"/>
      <c r="O960" s="646"/>
      <c r="P960" s="933"/>
      <c r="Q960" s="646"/>
      <c r="R960" s="942"/>
      <c r="S960" s="650"/>
      <c r="T960" s="934"/>
      <c r="U960" s="650"/>
      <c r="V960" s="930"/>
    </row>
    <row r="961" spans="1:22" s="624" customFormat="1" ht="16.5" customHeight="1">
      <c r="A961" s="750"/>
      <c r="B961" s="750"/>
      <c r="C961" s="750"/>
      <c r="D961" s="750"/>
      <c r="E961" s="750"/>
      <c r="F961" s="750"/>
      <c r="G961" s="750"/>
      <c r="H961" s="750"/>
      <c r="I961" s="750"/>
      <c r="J961" s="871"/>
      <c r="K961" s="801"/>
      <c r="L961" s="899"/>
      <c r="M961" s="650"/>
      <c r="N961" s="917"/>
      <c r="O961" s="646"/>
      <c r="P961" s="933"/>
      <c r="Q961" s="646"/>
      <c r="R961" s="942"/>
      <c r="S961" s="650"/>
      <c r="T961" s="934"/>
      <c r="U961" s="650"/>
      <c r="V961" s="930"/>
    </row>
    <row r="962" spans="1:22" s="624" customFormat="1" ht="16.5" customHeight="1">
      <c r="A962" s="750"/>
      <c r="B962" s="750"/>
      <c r="C962" s="750"/>
      <c r="D962" s="750"/>
      <c r="E962" s="750"/>
      <c r="F962" s="750"/>
      <c r="G962" s="750"/>
      <c r="H962" s="750"/>
      <c r="I962" s="750"/>
      <c r="J962" s="871"/>
      <c r="K962" s="801"/>
      <c r="L962" s="899"/>
      <c r="M962" s="650"/>
      <c r="N962" s="917"/>
      <c r="O962" s="646"/>
      <c r="P962" s="933"/>
      <c r="Q962" s="646"/>
      <c r="R962" s="942"/>
      <c r="S962" s="650"/>
      <c r="T962" s="934"/>
      <c r="U962" s="650"/>
      <c r="V962" s="930"/>
    </row>
    <row r="963" spans="1:22" s="624" customFormat="1" ht="16.5" customHeight="1">
      <c r="A963" s="750"/>
      <c r="B963" s="750"/>
      <c r="C963" s="750"/>
      <c r="D963" s="750"/>
      <c r="E963" s="750"/>
      <c r="F963" s="750"/>
      <c r="G963" s="750"/>
      <c r="H963" s="750"/>
      <c r="I963" s="750"/>
      <c r="J963" s="871"/>
      <c r="K963" s="801"/>
      <c r="L963" s="899"/>
      <c r="M963" s="650"/>
      <c r="N963" s="917"/>
      <c r="O963" s="646"/>
      <c r="P963" s="933"/>
      <c r="Q963" s="646"/>
      <c r="R963" s="942"/>
      <c r="S963" s="650"/>
      <c r="T963" s="934"/>
      <c r="U963" s="650"/>
      <c r="V963" s="930"/>
    </row>
    <row r="964" spans="1:22" s="624" customFormat="1" ht="16.5" customHeight="1">
      <c r="A964" s="750"/>
      <c r="B964" s="750"/>
      <c r="C964" s="750"/>
      <c r="D964" s="750"/>
      <c r="E964" s="750"/>
      <c r="F964" s="750"/>
      <c r="G964" s="750"/>
      <c r="H964" s="750"/>
      <c r="I964" s="750"/>
      <c r="J964" s="871"/>
      <c r="K964" s="801"/>
      <c r="L964" s="899"/>
      <c r="M964" s="650"/>
      <c r="N964" s="917"/>
      <c r="O964" s="646"/>
      <c r="P964" s="933"/>
      <c r="Q964" s="646"/>
      <c r="R964" s="942"/>
      <c r="S964" s="650"/>
      <c r="T964" s="934"/>
      <c r="U964" s="650"/>
      <c r="V964" s="930"/>
    </row>
    <row r="965" spans="1:22" s="624" customFormat="1" ht="16.5" customHeight="1">
      <c r="A965" s="750"/>
      <c r="B965" s="750"/>
      <c r="C965" s="750"/>
      <c r="D965" s="750"/>
      <c r="E965" s="750"/>
      <c r="F965" s="750"/>
      <c r="G965" s="750"/>
      <c r="H965" s="750"/>
      <c r="I965" s="750"/>
      <c r="J965" s="871"/>
      <c r="K965" s="801"/>
      <c r="L965" s="899"/>
      <c r="M965" s="650"/>
      <c r="N965" s="917"/>
      <c r="O965" s="646"/>
      <c r="P965" s="933"/>
      <c r="Q965" s="646"/>
      <c r="R965" s="942"/>
      <c r="S965" s="650"/>
      <c r="T965" s="934"/>
      <c r="U965" s="650"/>
      <c r="V965" s="930"/>
    </row>
    <row r="966" spans="1:22" s="624" customFormat="1" ht="16.5" customHeight="1">
      <c r="A966" s="750"/>
      <c r="B966" s="750"/>
      <c r="C966" s="750"/>
      <c r="D966" s="750"/>
      <c r="E966" s="750"/>
      <c r="F966" s="750"/>
      <c r="G966" s="750"/>
      <c r="H966" s="750"/>
      <c r="I966" s="750"/>
      <c r="J966" s="871"/>
      <c r="K966" s="801"/>
      <c r="L966" s="899"/>
      <c r="M966" s="650"/>
      <c r="N966" s="917"/>
      <c r="O966" s="646"/>
      <c r="P966" s="933"/>
      <c r="Q966" s="646"/>
      <c r="R966" s="942"/>
      <c r="S966" s="650"/>
      <c r="T966" s="934"/>
      <c r="U966" s="650"/>
      <c r="V966" s="930"/>
    </row>
    <row r="967" spans="1:22" s="624" customFormat="1" ht="16.5" customHeight="1">
      <c r="A967" s="750"/>
      <c r="B967" s="750"/>
      <c r="C967" s="750"/>
      <c r="D967" s="750"/>
      <c r="E967" s="750"/>
      <c r="F967" s="750"/>
      <c r="G967" s="750"/>
      <c r="H967" s="750"/>
      <c r="I967" s="750"/>
      <c r="J967" s="871"/>
      <c r="K967" s="801"/>
      <c r="L967" s="899"/>
      <c r="M967" s="650"/>
      <c r="N967" s="917"/>
      <c r="O967" s="646"/>
      <c r="P967" s="933"/>
      <c r="Q967" s="646"/>
      <c r="R967" s="942"/>
      <c r="S967" s="650"/>
      <c r="T967" s="934"/>
      <c r="U967" s="650"/>
      <c r="V967" s="930"/>
    </row>
    <row r="968" spans="1:22" s="624" customFormat="1" ht="16.5" customHeight="1">
      <c r="A968" s="750"/>
      <c r="B968" s="750"/>
      <c r="C968" s="750"/>
      <c r="D968" s="750"/>
      <c r="E968" s="750"/>
      <c r="F968" s="750"/>
      <c r="G968" s="750"/>
      <c r="H968" s="750"/>
      <c r="I968" s="750"/>
      <c r="J968" s="871"/>
      <c r="K968" s="801"/>
      <c r="L968" s="899"/>
      <c r="M968" s="650"/>
      <c r="N968" s="917"/>
      <c r="O968" s="646"/>
      <c r="P968" s="933"/>
      <c r="Q968" s="646"/>
      <c r="R968" s="942"/>
      <c r="S968" s="650"/>
      <c r="T968" s="934"/>
      <c r="U968" s="650"/>
      <c r="V968" s="930"/>
    </row>
    <row r="969" spans="1:22" s="624" customFormat="1" ht="16.5" customHeight="1">
      <c r="A969" s="750"/>
      <c r="B969" s="750"/>
      <c r="C969" s="750"/>
      <c r="D969" s="750"/>
      <c r="E969" s="750"/>
      <c r="F969" s="750"/>
      <c r="G969" s="750"/>
      <c r="H969" s="750"/>
      <c r="I969" s="750"/>
      <c r="J969" s="871"/>
      <c r="K969" s="801"/>
      <c r="L969" s="899"/>
      <c r="M969" s="650"/>
      <c r="N969" s="917"/>
      <c r="O969" s="646"/>
      <c r="P969" s="933"/>
      <c r="Q969" s="646"/>
      <c r="R969" s="942"/>
      <c r="S969" s="650"/>
      <c r="T969" s="934"/>
      <c r="U969" s="650"/>
      <c r="V969" s="930"/>
    </row>
    <row r="970" spans="1:22" s="624" customFormat="1" ht="16.5" customHeight="1">
      <c r="A970" s="750"/>
      <c r="B970" s="750"/>
      <c r="C970" s="750"/>
      <c r="D970" s="750"/>
      <c r="E970" s="750"/>
      <c r="F970" s="750"/>
      <c r="G970" s="750"/>
      <c r="H970" s="750"/>
      <c r="I970" s="750"/>
      <c r="J970" s="871"/>
      <c r="K970" s="801"/>
      <c r="L970" s="899"/>
      <c r="M970" s="650"/>
      <c r="N970" s="917"/>
      <c r="O970" s="646"/>
      <c r="P970" s="933"/>
      <c r="Q970" s="646"/>
      <c r="R970" s="942"/>
      <c r="S970" s="650"/>
      <c r="T970" s="934"/>
      <c r="U970" s="650"/>
      <c r="V970" s="930"/>
    </row>
    <row r="971" spans="1:22" s="624" customFormat="1" ht="16.5" customHeight="1">
      <c r="A971" s="750"/>
      <c r="B971" s="750"/>
      <c r="C971" s="750"/>
      <c r="D971" s="750"/>
      <c r="E971" s="750"/>
      <c r="F971" s="750"/>
      <c r="G971" s="750"/>
      <c r="H971" s="750"/>
      <c r="I971" s="750"/>
      <c r="J971" s="871"/>
      <c r="K971" s="801"/>
      <c r="L971" s="899"/>
      <c r="M971" s="650"/>
      <c r="N971" s="917"/>
      <c r="O971" s="646"/>
      <c r="P971" s="933"/>
      <c r="Q971" s="646"/>
      <c r="R971" s="942"/>
      <c r="S971" s="650"/>
      <c r="T971" s="934"/>
      <c r="U971" s="650"/>
      <c r="V971" s="930"/>
    </row>
    <row r="972" spans="1:22" s="624" customFormat="1" ht="16.5" customHeight="1">
      <c r="A972" s="750"/>
      <c r="B972" s="750"/>
      <c r="C972" s="750"/>
      <c r="D972" s="750"/>
      <c r="E972" s="750"/>
      <c r="F972" s="750"/>
      <c r="G972" s="750"/>
      <c r="H972" s="750"/>
      <c r="I972" s="750"/>
      <c r="J972" s="871"/>
      <c r="K972" s="801"/>
      <c r="L972" s="899"/>
      <c r="M972" s="650"/>
      <c r="N972" s="917"/>
      <c r="O972" s="646"/>
      <c r="P972" s="933"/>
      <c r="Q972" s="646"/>
      <c r="R972" s="942"/>
      <c r="S972" s="650"/>
      <c r="T972" s="934"/>
      <c r="U972" s="650"/>
      <c r="V972" s="930"/>
    </row>
    <row r="973" spans="1:22" s="624" customFormat="1" ht="16.5" customHeight="1">
      <c r="A973" s="750"/>
      <c r="B973" s="750"/>
      <c r="C973" s="750"/>
      <c r="D973" s="750"/>
      <c r="E973" s="750"/>
      <c r="F973" s="750"/>
      <c r="G973" s="750"/>
      <c r="H973" s="750"/>
      <c r="I973" s="750"/>
      <c r="J973" s="871"/>
      <c r="K973" s="801"/>
      <c r="L973" s="899"/>
      <c r="M973" s="650"/>
      <c r="N973" s="917"/>
      <c r="O973" s="646"/>
      <c r="P973" s="933"/>
      <c r="Q973" s="646"/>
      <c r="R973" s="942"/>
      <c r="S973" s="650"/>
      <c r="T973" s="934"/>
      <c r="U973" s="650"/>
      <c r="V973" s="930"/>
    </row>
    <row r="974" spans="1:22" s="624" customFormat="1" ht="16.5" customHeight="1">
      <c r="A974" s="750"/>
      <c r="B974" s="750"/>
      <c r="C974" s="750"/>
      <c r="D974" s="750"/>
      <c r="E974" s="750"/>
      <c r="F974" s="750"/>
      <c r="G974" s="750"/>
      <c r="H974" s="750"/>
      <c r="I974" s="750"/>
      <c r="J974" s="871"/>
      <c r="K974" s="801"/>
      <c r="L974" s="899"/>
      <c r="M974" s="650"/>
      <c r="N974" s="917"/>
      <c r="O974" s="646"/>
      <c r="P974" s="933"/>
      <c r="Q974" s="646"/>
      <c r="R974" s="942"/>
      <c r="S974" s="650"/>
      <c r="T974" s="934"/>
      <c r="U974" s="650"/>
      <c r="V974" s="930"/>
    </row>
    <row r="975" spans="1:22" s="624" customFormat="1" ht="16.5" customHeight="1">
      <c r="A975" s="750"/>
      <c r="B975" s="750"/>
      <c r="C975" s="750"/>
      <c r="D975" s="750"/>
      <c r="E975" s="750"/>
      <c r="F975" s="750"/>
      <c r="G975" s="750"/>
      <c r="H975" s="750"/>
      <c r="I975" s="750"/>
      <c r="J975" s="871"/>
      <c r="K975" s="801"/>
      <c r="L975" s="899"/>
      <c r="M975" s="650"/>
      <c r="N975" s="917"/>
      <c r="O975" s="646"/>
      <c r="P975" s="933"/>
      <c r="Q975" s="646"/>
      <c r="R975" s="942"/>
      <c r="S975" s="650"/>
      <c r="T975" s="934"/>
      <c r="U975" s="650"/>
      <c r="V975" s="930"/>
    </row>
    <row r="976" spans="1:22" s="624" customFormat="1" ht="16.5" customHeight="1">
      <c r="A976" s="750"/>
      <c r="B976" s="750"/>
      <c r="C976" s="750"/>
      <c r="D976" s="750"/>
      <c r="E976" s="750"/>
      <c r="F976" s="750"/>
      <c r="G976" s="750"/>
      <c r="H976" s="750"/>
      <c r="I976" s="750"/>
      <c r="J976" s="871"/>
      <c r="K976" s="801"/>
      <c r="L976" s="899"/>
      <c r="M976" s="650"/>
      <c r="N976" s="917"/>
      <c r="O976" s="646"/>
      <c r="P976" s="933"/>
      <c r="Q976" s="646"/>
      <c r="R976" s="942"/>
      <c r="S976" s="650"/>
      <c r="T976" s="934"/>
      <c r="U976" s="650"/>
      <c r="V976" s="930"/>
    </row>
    <row r="977" spans="1:22" s="624" customFormat="1" ht="16.5" customHeight="1">
      <c r="A977" s="750"/>
      <c r="B977" s="750"/>
      <c r="C977" s="750"/>
      <c r="D977" s="750"/>
      <c r="E977" s="750"/>
      <c r="F977" s="750"/>
      <c r="G977" s="750"/>
      <c r="H977" s="750"/>
      <c r="I977" s="750"/>
      <c r="J977" s="871"/>
      <c r="K977" s="801"/>
      <c r="L977" s="899"/>
      <c r="M977" s="650"/>
      <c r="N977" s="917"/>
      <c r="O977" s="646"/>
      <c r="P977" s="933"/>
      <c r="Q977" s="646"/>
      <c r="R977" s="942"/>
      <c r="S977" s="650"/>
      <c r="T977" s="934"/>
      <c r="U977" s="650"/>
      <c r="V977" s="930"/>
    </row>
    <row r="978" spans="1:22" s="624" customFormat="1" ht="16.5" customHeight="1">
      <c r="A978" s="750"/>
      <c r="B978" s="750"/>
      <c r="C978" s="750"/>
      <c r="D978" s="750"/>
      <c r="E978" s="750"/>
      <c r="F978" s="750"/>
      <c r="G978" s="750"/>
      <c r="H978" s="750"/>
      <c r="I978" s="750"/>
      <c r="J978" s="871"/>
      <c r="K978" s="801"/>
      <c r="L978" s="899"/>
      <c r="M978" s="650"/>
      <c r="N978" s="917"/>
      <c r="O978" s="646"/>
      <c r="P978" s="933"/>
      <c r="Q978" s="646"/>
      <c r="R978" s="942"/>
      <c r="S978" s="650"/>
      <c r="T978" s="934"/>
      <c r="U978" s="650"/>
      <c r="V978" s="930"/>
    </row>
    <row r="979" spans="1:22" s="624" customFormat="1" ht="16.5" customHeight="1">
      <c r="A979" s="750"/>
      <c r="B979" s="750"/>
      <c r="C979" s="750"/>
      <c r="D979" s="750"/>
      <c r="E979" s="750"/>
      <c r="F979" s="750"/>
      <c r="G979" s="750"/>
      <c r="H979" s="750"/>
      <c r="I979" s="750"/>
      <c r="J979" s="871"/>
      <c r="K979" s="801"/>
      <c r="L979" s="899"/>
      <c r="M979" s="650"/>
      <c r="N979" s="917"/>
      <c r="O979" s="646"/>
      <c r="P979" s="933"/>
      <c r="Q979" s="646"/>
      <c r="R979" s="942"/>
      <c r="S979" s="650"/>
      <c r="T979" s="934"/>
      <c r="U979" s="650"/>
      <c r="V979" s="930"/>
    </row>
    <row r="980" spans="1:22" s="624" customFormat="1" ht="16.5" customHeight="1">
      <c r="A980" s="750"/>
      <c r="B980" s="750"/>
      <c r="C980" s="750"/>
      <c r="D980" s="750"/>
      <c r="E980" s="750"/>
      <c r="F980" s="750"/>
      <c r="G980" s="750"/>
      <c r="H980" s="750"/>
      <c r="I980" s="750"/>
      <c r="J980" s="871"/>
      <c r="K980" s="801"/>
      <c r="L980" s="899"/>
      <c r="M980" s="650"/>
      <c r="N980" s="917"/>
      <c r="O980" s="646"/>
      <c r="P980" s="933"/>
      <c r="Q980" s="646"/>
      <c r="R980" s="942"/>
      <c r="S980" s="650"/>
      <c r="T980" s="934"/>
      <c r="U980" s="650"/>
      <c r="V980" s="930"/>
    </row>
    <row r="981" spans="1:22" s="624" customFormat="1" ht="16.5" customHeight="1">
      <c r="A981" s="750"/>
      <c r="B981" s="750"/>
      <c r="C981" s="750"/>
      <c r="D981" s="750"/>
      <c r="E981" s="750"/>
      <c r="F981" s="750"/>
      <c r="G981" s="750"/>
      <c r="H981" s="750"/>
      <c r="I981" s="750"/>
      <c r="J981" s="871"/>
      <c r="K981" s="801"/>
      <c r="L981" s="899"/>
      <c r="M981" s="650"/>
      <c r="N981" s="917"/>
      <c r="O981" s="646"/>
      <c r="P981" s="933"/>
      <c r="Q981" s="646"/>
      <c r="R981" s="942"/>
      <c r="S981" s="650"/>
      <c r="T981" s="934"/>
      <c r="U981" s="650"/>
      <c r="V981" s="930"/>
    </row>
    <row r="982" spans="1:22" s="624" customFormat="1" ht="16.5" customHeight="1">
      <c r="A982" s="750"/>
      <c r="B982" s="750"/>
      <c r="C982" s="750"/>
      <c r="D982" s="750"/>
      <c r="E982" s="750"/>
      <c r="F982" s="750"/>
      <c r="G982" s="750"/>
      <c r="H982" s="750"/>
      <c r="I982" s="750"/>
      <c r="J982" s="871"/>
      <c r="K982" s="801"/>
      <c r="L982" s="899"/>
      <c r="M982" s="650"/>
      <c r="N982" s="917"/>
      <c r="O982" s="646"/>
      <c r="P982" s="933"/>
      <c r="Q982" s="646"/>
      <c r="R982" s="942"/>
      <c r="S982" s="650"/>
      <c r="T982" s="934"/>
      <c r="U982" s="650"/>
      <c r="V982" s="930"/>
    </row>
    <row r="983" spans="1:22" s="624" customFormat="1" ht="16.5" customHeight="1">
      <c r="A983" s="750"/>
      <c r="B983" s="750"/>
      <c r="C983" s="750"/>
      <c r="D983" s="750"/>
      <c r="E983" s="750"/>
      <c r="F983" s="750"/>
      <c r="G983" s="750"/>
      <c r="H983" s="750"/>
      <c r="I983" s="750"/>
      <c r="J983" s="871"/>
      <c r="K983" s="801"/>
      <c r="L983" s="899"/>
      <c r="M983" s="650"/>
      <c r="N983" s="917"/>
      <c r="O983" s="646"/>
      <c r="P983" s="933"/>
      <c r="Q983" s="646"/>
      <c r="R983" s="942"/>
      <c r="S983" s="650"/>
      <c r="T983" s="934"/>
      <c r="U983" s="650"/>
      <c r="V983" s="930"/>
    </row>
    <row r="984" spans="1:22" s="624" customFormat="1" ht="16.5" customHeight="1">
      <c r="A984" s="750"/>
      <c r="B984" s="750"/>
      <c r="C984" s="750"/>
      <c r="D984" s="750"/>
      <c r="E984" s="750"/>
      <c r="F984" s="750"/>
      <c r="G984" s="750"/>
      <c r="H984" s="750"/>
      <c r="I984" s="750"/>
      <c r="J984" s="871"/>
      <c r="K984" s="801"/>
      <c r="L984" s="899"/>
      <c r="M984" s="650"/>
      <c r="N984" s="917"/>
      <c r="O984" s="646"/>
      <c r="P984" s="933"/>
      <c r="Q984" s="646"/>
      <c r="R984" s="942"/>
      <c r="S984" s="650"/>
      <c r="T984" s="934"/>
      <c r="U984" s="650"/>
      <c r="V984" s="930"/>
    </row>
    <row r="985" spans="1:22" s="624" customFormat="1" ht="16.5" customHeight="1">
      <c r="A985" s="750"/>
      <c r="B985" s="750"/>
      <c r="C985" s="750"/>
      <c r="D985" s="750"/>
      <c r="E985" s="750"/>
      <c r="F985" s="750"/>
      <c r="G985" s="750"/>
      <c r="H985" s="750"/>
      <c r="I985" s="750"/>
      <c r="J985" s="871"/>
      <c r="K985" s="801"/>
      <c r="L985" s="899"/>
      <c r="M985" s="650"/>
      <c r="N985" s="917"/>
      <c r="O985" s="646"/>
      <c r="P985" s="933"/>
      <c r="Q985" s="646"/>
      <c r="R985" s="942"/>
      <c r="S985" s="650"/>
      <c r="T985" s="934"/>
      <c r="U985" s="650"/>
      <c r="V985" s="930"/>
    </row>
    <row r="986" spans="1:22" s="624" customFormat="1" ht="16.5" customHeight="1">
      <c r="A986" s="750"/>
      <c r="B986" s="750"/>
      <c r="C986" s="750"/>
      <c r="D986" s="750"/>
      <c r="E986" s="750"/>
      <c r="F986" s="750"/>
      <c r="G986" s="750"/>
      <c r="H986" s="750"/>
      <c r="I986" s="750"/>
      <c r="J986" s="871"/>
      <c r="K986" s="801"/>
      <c r="L986" s="899"/>
      <c r="M986" s="650"/>
      <c r="N986" s="917"/>
      <c r="O986" s="646"/>
      <c r="P986" s="933"/>
      <c r="Q986" s="646"/>
      <c r="R986" s="942"/>
      <c r="S986" s="650"/>
      <c r="T986" s="934"/>
      <c r="U986" s="650"/>
      <c r="V986" s="930"/>
    </row>
    <row r="987" spans="1:22" s="624" customFormat="1" ht="16.5" customHeight="1">
      <c r="A987" s="750"/>
      <c r="B987" s="750"/>
      <c r="C987" s="750"/>
      <c r="D987" s="750"/>
      <c r="E987" s="750"/>
      <c r="F987" s="750"/>
      <c r="G987" s="750"/>
      <c r="H987" s="750"/>
      <c r="I987" s="750"/>
      <c r="J987" s="871"/>
      <c r="K987" s="801"/>
      <c r="L987" s="899"/>
      <c r="M987" s="650"/>
      <c r="N987" s="917"/>
      <c r="O987" s="646"/>
      <c r="P987" s="933"/>
      <c r="Q987" s="646"/>
      <c r="R987" s="942"/>
      <c r="S987" s="650"/>
      <c r="T987" s="934"/>
      <c r="U987" s="650"/>
      <c r="V987" s="930"/>
    </row>
    <row r="988" spans="1:22" s="624" customFormat="1" ht="16.5" customHeight="1">
      <c r="A988" s="750"/>
      <c r="B988" s="750"/>
      <c r="C988" s="750"/>
      <c r="D988" s="750"/>
      <c r="E988" s="750"/>
      <c r="F988" s="750"/>
      <c r="G988" s="750"/>
      <c r="H988" s="750"/>
      <c r="I988" s="750"/>
      <c r="J988" s="871"/>
      <c r="K988" s="801"/>
      <c r="L988" s="899"/>
      <c r="M988" s="650"/>
      <c r="N988" s="917"/>
      <c r="O988" s="646"/>
      <c r="P988" s="933"/>
      <c r="Q988" s="646"/>
      <c r="R988" s="942"/>
      <c r="S988" s="650"/>
      <c r="T988" s="934"/>
      <c r="U988" s="650"/>
      <c r="V988" s="930"/>
    </row>
    <row r="989" spans="1:22" s="624" customFormat="1" ht="16.5" customHeight="1">
      <c r="A989" s="750"/>
      <c r="B989" s="750"/>
      <c r="C989" s="750"/>
      <c r="D989" s="750"/>
      <c r="E989" s="750"/>
      <c r="F989" s="750"/>
      <c r="G989" s="750"/>
      <c r="H989" s="750"/>
      <c r="I989" s="750"/>
      <c r="J989" s="871"/>
      <c r="K989" s="801"/>
      <c r="L989" s="899"/>
      <c r="M989" s="650"/>
      <c r="N989" s="917"/>
      <c r="O989" s="646"/>
      <c r="P989" s="933"/>
      <c r="Q989" s="646"/>
      <c r="R989" s="942"/>
      <c r="S989" s="650"/>
      <c r="T989" s="934"/>
      <c r="U989" s="650"/>
      <c r="V989" s="930"/>
    </row>
    <row r="990" spans="1:22" s="624" customFormat="1" ht="16.5" customHeight="1">
      <c r="A990" s="750"/>
      <c r="B990" s="750"/>
      <c r="C990" s="750"/>
      <c r="D990" s="750"/>
      <c r="E990" s="750"/>
      <c r="F990" s="750"/>
      <c r="G990" s="750"/>
      <c r="H990" s="750"/>
      <c r="I990" s="750"/>
      <c r="J990" s="871"/>
      <c r="K990" s="801"/>
      <c r="L990" s="899"/>
      <c r="M990" s="650"/>
      <c r="N990" s="917"/>
      <c r="O990" s="646"/>
      <c r="P990" s="933"/>
      <c r="Q990" s="646"/>
      <c r="R990" s="942"/>
      <c r="S990" s="650"/>
      <c r="T990" s="934"/>
      <c r="U990" s="650"/>
      <c r="V990" s="930"/>
    </row>
    <row r="991" spans="1:22" s="624" customFormat="1" ht="16.5" customHeight="1">
      <c r="A991" s="750"/>
      <c r="B991" s="750"/>
      <c r="C991" s="750"/>
      <c r="D991" s="750"/>
      <c r="E991" s="750"/>
      <c r="F991" s="750"/>
      <c r="G991" s="750"/>
      <c r="H991" s="750"/>
      <c r="I991" s="750"/>
      <c r="J991" s="871"/>
      <c r="K991" s="801"/>
      <c r="L991" s="899"/>
      <c r="M991" s="650"/>
      <c r="N991" s="917"/>
      <c r="O991" s="646"/>
      <c r="P991" s="933"/>
      <c r="Q991" s="646"/>
      <c r="R991" s="942"/>
      <c r="S991" s="650"/>
      <c r="T991" s="934"/>
      <c r="U991" s="650"/>
      <c r="V991" s="930"/>
    </row>
    <row r="992" spans="1:22" s="624" customFormat="1" ht="16.5" customHeight="1">
      <c r="A992" s="750"/>
      <c r="B992" s="750"/>
      <c r="C992" s="750"/>
      <c r="D992" s="750"/>
      <c r="E992" s="750"/>
      <c r="F992" s="750"/>
      <c r="G992" s="750"/>
      <c r="H992" s="750"/>
      <c r="I992" s="750"/>
      <c r="J992" s="871"/>
      <c r="K992" s="801"/>
      <c r="L992" s="899"/>
      <c r="M992" s="650"/>
      <c r="N992" s="917"/>
      <c r="O992" s="646"/>
      <c r="P992" s="933"/>
      <c r="Q992" s="646"/>
      <c r="R992" s="942"/>
      <c r="S992" s="650"/>
      <c r="T992" s="934"/>
      <c r="U992" s="650"/>
      <c r="V992" s="930"/>
    </row>
    <row r="993" spans="1:22" s="624" customFormat="1" ht="16.5" customHeight="1">
      <c r="A993" s="750"/>
      <c r="B993" s="750"/>
      <c r="C993" s="750"/>
      <c r="D993" s="750"/>
      <c r="E993" s="750"/>
      <c r="F993" s="750"/>
      <c r="G993" s="750"/>
      <c r="H993" s="750"/>
      <c r="I993" s="750"/>
      <c r="J993" s="871"/>
      <c r="K993" s="801"/>
      <c r="L993" s="899"/>
      <c r="M993" s="650"/>
      <c r="N993" s="917"/>
      <c r="O993" s="646"/>
      <c r="P993" s="933"/>
      <c r="Q993" s="646"/>
      <c r="R993" s="942"/>
      <c r="S993" s="650"/>
      <c r="T993" s="934"/>
      <c r="U993" s="650"/>
      <c r="V993" s="930"/>
    </row>
    <row r="994" spans="1:22" s="624" customFormat="1" ht="16.5" customHeight="1">
      <c r="A994" s="750"/>
      <c r="B994" s="750"/>
      <c r="C994" s="750"/>
      <c r="D994" s="750"/>
      <c r="E994" s="750"/>
      <c r="F994" s="750"/>
      <c r="G994" s="750"/>
      <c r="H994" s="750"/>
      <c r="I994" s="750"/>
      <c r="J994" s="871"/>
      <c r="K994" s="801"/>
      <c r="L994" s="899"/>
      <c r="M994" s="650"/>
      <c r="N994" s="917"/>
      <c r="O994" s="646"/>
      <c r="P994" s="933"/>
      <c r="Q994" s="646"/>
      <c r="R994" s="942"/>
      <c r="S994" s="650"/>
      <c r="T994" s="934"/>
      <c r="U994" s="650"/>
      <c r="V994" s="930"/>
    </row>
    <row r="995" spans="1:22" s="624" customFormat="1" ht="16.5" customHeight="1">
      <c r="A995" s="750"/>
      <c r="B995" s="750"/>
      <c r="C995" s="750"/>
      <c r="D995" s="750"/>
      <c r="E995" s="750"/>
      <c r="F995" s="750"/>
      <c r="G995" s="750"/>
      <c r="H995" s="750"/>
      <c r="I995" s="750"/>
      <c r="J995" s="871"/>
      <c r="K995" s="801"/>
      <c r="L995" s="899"/>
      <c r="M995" s="650"/>
      <c r="N995" s="917"/>
      <c r="O995" s="646"/>
      <c r="P995" s="933"/>
      <c r="Q995" s="646"/>
      <c r="R995" s="942"/>
      <c r="S995" s="650"/>
      <c r="T995" s="934"/>
      <c r="U995" s="650"/>
      <c r="V995" s="930"/>
    </row>
    <row r="996" spans="1:22" s="624" customFormat="1" ht="16.5" customHeight="1">
      <c r="A996" s="750"/>
      <c r="B996" s="750"/>
      <c r="C996" s="750"/>
      <c r="D996" s="750"/>
      <c r="E996" s="750"/>
      <c r="F996" s="750"/>
      <c r="G996" s="750"/>
      <c r="H996" s="750"/>
      <c r="I996" s="750"/>
      <c r="J996" s="871"/>
      <c r="K996" s="801"/>
      <c r="L996" s="899"/>
      <c r="M996" s="650"/>
      <c r="N996" s="917"/>
      <c r="O996" s="646"/>
      <c r="P996" s="933"/>
      <c r="Q996" s="646"/>
      <c r="R996" s="942"/>
      <c r="S996" s="650"/>
      <c r="T996" s="934"/>
      <c r="U996" s="650"/>
      <c r="V996" s="930"/>
    </row>
    <row r="997" spans="1:22" s="624" customFormat="1" ht="16.5" customHeight="1">
      <c r="A997" s="750"/>
      <c r="B997" s="750"/>
      <c r="C997" s="750"/>
      <c r="D997" s="750"/>
      <c r="E997" s="750"/>
      <c r="F997" s="750"/>
      <c r="G997" s="750"/>
      <c r="H997" s="750"/>
      <c r="I997" s="750"/>
      <c r="J997" s="871"/>
      <c r="K997" s="801"/>
      <c r="L997" s="899"/>
      <c r="M997" s="650"/>
      <c r="N997" s="917"/>
      <c r="O997" s="646"/>
      <c r="P997" s="933"/>
      <c r="Q997" s="646"/>
      <c r="R997" s="942"/>
      <c r="S997" s="650"/>
      <c r="T997" s="934"/>
      <c r="U997" s="650"/>
      <c r="V997" s="930"/>
    </row>
    <row r="998" spans="1:22" s="624" customFormat="1" ht="16.5" customHeight="1">
      <c r="A998" s="750"/>
      <c r="B998" s="750"/>
      <c r="C998" s="750"/>
      <c r="D998" s="750"/>
      <c r="E998" s="750"/>
      <c r="F998" s="750"/>
      <c r="G998" s="750"/>
      <c r="H998" s="750"/>
      <c r="I998" s="750"/>
      <c r="J998" s="871"/>
      <c r="K998" s="801"/>
      <c r="L998" s="899"/>
      <c r="M998" s="650"/>
      <c r="N998" s="917"/>
      <c r="O998" s="646"/>
      <c r="P998" s="933"/>
      <c r="Q998" s="646"/>
      <c r="R998" s="942"/>
      <c r="S998" s="650"/>
      <c r="T998" s="934"/>
      <c r="U998" s="650"/>
      <c r="V998" s="930"/>
    </row>
    <row r="999" spans="1:22" s="624" customFormat="1" ht="16.5" customHeight="1">
      <c r="A999" s="750"/>
      <c r="B999" s="750"/>
      <c r="C999" s="750"/>
      <c r="D999" s="750"/>
      <c r="E999" s="750"/>
      <c r="F999" s="750"/>
      <c r="G999" s="750"/>
      <c r="H999" s="750"/>
      <c r="I999" s="750"/>
      <c r="J999" s="871"/>
      <c r="K999" s="801"/>
      <c r="L999" s="899"/>
      <c r="M999" s="650"/>
      <c r="N999" s="917"/>
      <c r="O999" s="646"/>
      <c r="P999" s="933"/>
      <c r="Q999" s="646"/>
      <c r="R999" s="942"/>
      <c r="S999" s="650"/>
      <c r="T999" s="934"/>
      <c r="U999" s="650"/>
      <c r="V999" s="930"/>
    </row>
    <row r="1000" spans="1:22" s="624" customFormat="1" ht="16.5" customHeight="1">
      <c r="A1000" s="750"/>
      <c r="B1000" s="750"/>
      <c r="C1000" s="750"/>
      <c r="D1000" s="750"/>
      <c r="E1000" s="750"/>
      <c r="F1000" s="750"/>
      <c r="G1000" s="750"/>
      <c r="H1000" s="750"/>
      <c r="I1000" s="750"/>
      <c r="J1000" s="871"/>
      <c r="K1000" s="801"/>
      <c r="L1000" s="899"/>
      <c r="M1000" s="650"/>
      <c r="N1000" s="917"/>
      <c r="O1000" s="646"/>
      <c r="P1000" s="933"/>
      <c r="Q1000" s="646"/>
      <c r="R1000" s="942"/>
      <c r="S1000" s="650"/>
      <c r="T1000" s="934"/>
      <c r="U1000" s="650"/>
      <c r="V1000" s="930"/>
    </row>
    <row r="1001" spans="1:22" s="624" customFormat="1" ht="16.5" customHeight="1">
      <c r="A1001" s="750"/>
      <c r="B1001" s="750"/>
      <c r="C1001" s="750"/>
      <c r="D1001" s="750"/>
      <c r="E1001" s="750"/>
      <c r="F1001" s="750"/>
      <c r="G1001" s="750"/>
      <c r="H1001" s="750"/>
      <c r="I1001" s="750"/>
      <c r="J1001" s="871"/>
      <c r="K1001" s="801"/>
      <c r="L1001" s="899"/>
      <c r="M1001" s="650"/>
      <c r="N1001" s="917"/>
      <c r="O1001" s="646"/>
      <c r="P1001" s="933"/>
      <c r="Q1001" s="646"/>
      <c r="R1001" s="942"/>
      <c r="S1001" s="650"/>
      <c r="T1001" s="934"/>
      <c r="U1001" s="650"/>
      <c r="V1001" s="930"/>
    </row>
    <row r="1002" spans="1:22" s="624" customFormat="1" ht="16.5" customHeight="1">
      <c r="A1002" s="750"/>
      <c r="B1002" s="750"/>
      <c r="C1002" s="750"/>
      <c r="D1002" s="750"/>
      <c r="E1002" s="750"/>
      <c r="F1002" s="750"/>
      <c r="G1002" s="750"/>
      <c r="H1002" s="750"/>
      <c r="I1002" s="750"/>
      <c r="J1002" s="871"/>
      <c r="K1002" s="801"/>
      <c r="L1002" s="899"/>
      <c r="M1002" s="650"/>
      <c r="N1002" s="917"/>
      <c r="O1002" s="646"/>
      <c r="P1002" s="933"/>
      <c r="Q1002" s="646"/>
      <c r="R1002" s="942"/>
      <c r="S1002" s="650"/>
      <c r="T1002" s="934"/>
      <c r="U1002" s="650"/>
      <c r="V1002" s="930"/>
    </row>
    <row r="1003" spans="1:22" s="624" customFormat="1" ht="16.5" customHeight="1">
      <c r="A1003" s="750"/>
      <c r="B1003" s="750"/>
      <c r="C1003" s="750"/>
      <c r="D1003" s="750"/>
      <c r="E1003" s="750"/>
      <c r="F1003" s="750"/>
      <c r="G1003" s="750"/>
      <c r="H1003" s="750"/>
      <c r="I1003" s="750"/>
      <c r="J1003" s="871"/>
      <c r="K1003" s="801"/>
      <c r="L1003" s="899"/>
      <c r="M1003" s="650"/>
      <c r="N1003" s="917"/>
      <c r="O1003" s="646"/>
      <c r="P1003" s="933"/>
      <c r="Q1003" s="646"/>
      <c r="R1003" s="942"/>
      <c r="S1003" s="650"/>
      <c r="T1003" s="934"/>
      <c r="U1003" s="650"/>
      <c r="V1003" s="930"/>
    </row>
    <row r="1004" spans="1:22" s="624" customFormat="1" ht="16.5" customHeight="1">
      <c r="A1004" s="750"/>
      <c r="B1004" s="750"/>
      <c r="C1004" s="750"/>
      <c r="D1004" s="750"/>
      <c r="E1004" s="750"/>
      <c r="F1004" s="750"/>
      <c r="G1004" s="750"/>
      <c r="H1004" s="750"/>
      <c r="I1004" s="750"/>
      <c r="J1004" s="871"/>
      <c r="K1004" s="801"/>
      <c r="L1004" s="899"/>
      <c r="M1004" s="650"/>
      <c r="N1004" s="917"/>
      <c r="O1004" s="646"/>
      <c r="P1004" s="933"/>
      <c r="Q1004" s="646"/>
      <c r="R1004" s="942"/>
      <c r="S1004" s="650"/>
      <c r="T1004" s="934"/>
      <c r="U1004" s="650"/>
      <c r="V1004" s="930"/>
    </row>
    <row r="1005" spans="1:22" s="624" customFormat="1" ht="16.5" customHeight="1">
      <c r="A1005" s="750"/>
      <c r="B1005" s="750"/>
      <c r="C1005" s="750"/>
      <c r="D1005" s="750"/>
      <c r="E1005" s="750"/>
      <c r="F1005" s="750"/>
      <c r="G1005" s="750"/>
      <c r="H1005" s="750"/>
      <c r="I1005" s="750"/>
      <c r="J1005" s="871"/>
      <c r="K1005" s="801"/>
      <c r="L1005" s="899"/>
      <c r="M1005" s="650"/>
      <c r="N1005" s="917"/>
      <c r="O1005" s="646"/>
      <c r="P1005" s="933"/>
      <c r="Q1005" s="646"/>
      <c r="R1005" s="942"/>
      <c r="S1005" s="650"/>
      <c r="T1005" s="934"/>
      <c r="U1005" s="650"/>
      <c r="V1005" s="930"/>
    </row>
    <row r="1006" spans="1:22" s="624" customFormat="1" ht="16.5" customHeight="1">
      <c r="A1006" s="750"/>
      <c r="B1006" s="750"/>
      <c r="C1006" s="750"/>
      <c r="D1006" s="750"/>
      <c r="E1006" s="750"/>
      <c r="F1006" s="750"/>
      <c r="G1006" s="750"/>
      <c r="H1006" s="750"/>
      <c r="I1006" s="750"/>
      <c r="J1006" s="871"/>
      <c r="K1006" s="801"/>
      <c r="L1006" s="899"/>
      <c r="M1006" s="650"/>
      <c r="N1006" s="917"/>
      <c r="O1006" s="646"/>
      <c r="P1006" s="933"/>
      <c r="Q1006" s="646"/>
      <c r="R1006" s="942"/>
      <c r="S1006" s="650"/>
      <c r="T1006" s="934"/>
      <c r="U1006" s="650"/>
      <c r="V1006" s="930"/>
    </row>
    <row r="1007" spans="1:22" s="624" customFormat="1" ht="16.5" customHeight="1">
      <c r="A1007" s="750"/>
      <c r="B1007" s="750"/>
      <c r="C1007" s="750"/>
      <c r="D1007" s="750"/>
      <c r="E1007" s="750"/>
      <c r="F1007" s="750"/>
      <c r="G1007" s="750"/>
      <c r="H1007" s="750"/>
      <c r="I1007" s="750"/>
      <c r="J1007" s="871"/>
      <c r="K1007" s="801"/>
      <c r="L1007" s="899"/>
      <c r="M1007" s="650"/>
      <c r="N1007" s="917"/>
      <c r="O1007" s="646"/>
      <c r="P1007" s="933"/>
      <c r="Q1007" s="646"/>
      <c r="R1007" s="942"/>
      <c r="S1007" s="650"/>
      <c r="T1007" s="934"/>
      <c r="U1007" s="650"/>
      <c r="V1007" s="930"/>
    </row>
    <row r="1008" spans="1:22" s="624" customFormat="1" ht="16.5" customHeight="1">
      <c r="A1008" s="750"/>
      <c r="B1008" s="750"/>
      <c r="C1008" s="750"/>
      <c r="D1008" s="750"/>
      <c r="E1008" s="750"/>
      <c r="F1008" s="750"/>
      <c r="G1008" s="750"/>
      <c r="H1008" s="750"/>
      <c r="I1008" s="750"/>
      <c r="J1008" s="871"/>
      <c r="K1008" s="801"/>
      <c r="L1008" s="899"/>
      <c r="M1008" s="650"/>
      <c r="N1008" s="917"/>
      <c r="O1008" s="646"/>
      <c r="P1008" s="933"/>
      <c r="Q1008" s="646"/>
      <c r="R1008" s="942"/>
      <c r="S1008" s="650"/>
      <c r="T1008" s="934"/>
      <c r="U1008" s="650"/>
      <c r="V1008" s="930"/>
    </row>
    <row r="1009" spans="1:22" s="624" customFormat="1" ht="16.5" customHeight="1">
      <c r="A1009" s="750"/>
      <c r="B1009" s="750"/>
      <c r="C1009" s="750"/>
      <c r="D1009" s="750"/>
      <c r="E1009" s="750"/>
      <c r="F1009" s="750"/>
      <c r="G1009" s="750"/>
      <c r="H1009" s="750"/>
      <c r="I1009" s="750"/>
      <c r="J1009" s="871"/>
      <c r="K1009" s="801"/>
      <c r="L1009" s="899"/>
      <c r="M1009" s="650"/>
      <c r="N1009" s="917"/>
      <c r="O1009" s="646"/>
      <c r="P1009" s="933"/>
      <c r="Q1009" s="646"/>
      <c r="R1009" s="942"/>
      <c r="S1009" s="650"/>
      <c r="T1009" s="934"/>
      <c r="U1009" s="650"/>
      <c r="V1009" s="930"/>
    </row>
    <row r="1010" spans="1:22" s="624" customFormat="1" ht="16.5" customHeight="1">
      <c r="A1010" s="750"/>
      <c r="B1010" s="750"/>
      <c r="C1010" s="750"/>
      <c r="D1010" s="750"/>
      <c r="E1010" s="750"/>
      <c r="F1010" s="750"/>
      <c r="G1010" s="750"/>
      <c r="H1010" s="750"/>
      <c r="I1010" s="750"/>
      <c r="J1010" s="871"/>
      <c r="K1010" s="801"/>
      <c r="L1010" s="899"/>
      <c r="M1010" s="650"/>
      <c r="N1010" s="917"/>
      <c r="O1010" s="646"/>
      <c r="P1010" s="933"/>
      <c r="Q1010" s="646"/>
      <c r="R1010" s="942"/>
      <c r="S1010" s="650"/>
      <c r="T1010" s="934"/>
      <c r="U1010" s="650"/>
      <c r="V1010" s="930"/>
    </row>
    <row r="1011" spans="1:22" s="624" customFormat="1" ht="16.5" customHeight="1">
      <c r="A1011" s="750"/>
      <c r="B1011" s="750"/>
      <c r="C1011" s="750"/>
      <c r="D1011" s="750"/>
      <c r="E1011" s="750"/>
      <c r="F1011" s="750"/>
      <c r="G1011" s="750"/>
      <c r="H1011" s="750"/>
      <c r="I1011" s="750"/>
      <c r="J1011" s="871"/>
      <c r="K1011" s="801"/>
      <c r="L1011" s="899"/>
      <c r="M1011" s="650"/>
      <c r="N1011" s="917"/>
      <c r="O1011" s="646"/>
      <c r="P1011" s="933"/>
      <c r="Q1011" s="646"/>
      <c r="R1011" s="942"/>
      <c r="S1011" s="650"/>
      <c r="T1011" s="934"/>
      <c r="U1011" s="650"/>
      <c r="V1011" s="930"/>
    </row>
    <row r="1012" spans="1:22" s="624" customFormat="1" ht="16.5" customHeight="1">
      <c r="A1012" s="750"/>
      <c r="B1012" s="750"/>
      <c r="C1012" s="750"/>
      <c r="D1012" s="750"/>
      <c r="E1012" s="750"/>
      <c r="F1012" s="750"/>
      <c r="G1012" s="750"/>
      <c r="H1012" s="750"/>
      <c r="I1012" s="750"/>
      <c r="J1012" s="871"/>
      <c r="K1012" s="801"/>
      <c r="L1012" s="899"/>
      <c r="M1012" s="650"/>
      <c r="N1012" s="917"/>
      <c r="O1012" s="646"/>
      <c r="P1012" s="933"/>
      <c r="Q1012" s="646"/>
      <c r="R1012" s="942"/>
      <c r="S1012" s="650"/>
      <c r="T1012" s="934"/>
      <c r="U1012" s="650"/>
      <c r="V1012" s="930"/>
    </row>
    <row r="1013" spans="1:22" s="624" customFormat="1" ht="16.5" customHeight="1">
      <c r="A1013" s="750"/>
      <c r="B1013" s="750"/>
      <c r="C1013" s="750"/>
      <c r="D1013" s="750"/>
      <c r="E1013" s="750"/>
      <c r="F1013" s="750"/>
      <c r="G1013" s="750"/>
      <c r="H1013" s="750"/>
      <c r="I1013" s="750"/>
      <c r="J1013" s="871"/>
      <c r="K1013" s="801"/>
      <c r="L1013" s="899"/>
      <c r="M1013" s="650"/>
      <c r="N1013" s="917"/>
      <c r="O1013" s="646"/>
      <c r="P1013" s="933"/>
      <c r="Q1013" s="646"/>
      <c r="R1013" s="942"/>
      <c r="S1013" s="650"/>
      <c r="T1013" s="934"/>
      <c r="U1013" s="650"/>
      <c r="V1013" s="930"/>
    </row>
    <row r="1014" spans="1:22" s="624" customFormat="1" ht="16.5" customHeight="1">
      <c r="A1014" s="750"/>
      <c r="B1014" s="750"/>
      <c r="C1014" s="750"/>
      <c r="D1014" s="750"/>
      <c r="E1014" s="750"/>
      <c r="F1014" s="750"/>
      <c r="G1014" s="750"/>
      <c r="H1014" s="750"/>
      <c r="I1014" s="750"/>
      <c r="J1014" s="871"/>
      <c r="K1014" s="801"/>
      <c r="L1014" s="899"/>
      <c r="M1014" s="650"/>
      <c r="N1014" s="917"/>
      <c r="O1014" s="646"/>
      <c r="P1014" s="933"/>
      <c r="Q1014" s="646"/>
      <c r="R1014" s="942"/>
      <c r="S1014" s="650"/>
      <c r="T1014" s="934"/>
      <c r="U1014" s="650"/>
      <c r="V1014" s="930"/>
    </row>
    <row r="1015" spans="1:22" s="624" customFormat="1" ht="16.5" customHeight="1">
      <c r="A1015" s="750"/>
      <c r="B1015" s="750"/>
      <c r="C1015" s="750"/>
      <c r="D1015" s="750"/>
      <c r="E1015" s="750"/>
      <c r="F1015" s="750"/>
      <c r="G1015" s="750"/>
      <c r="H1015" s="750"/>
      <c r="I1015" s="750"/>
      <c r="J1015" s="871"/>
      <c r="K1015" s="801"/>
      <c r="L1015" s="899"/>
      <c r="M1015" s="650"/>
      <c r="N1015" s="917"/>
      <c r="O1015" s="646"/>
      <c r="P1015" s="933"/>
      <c r="Q1015" s="646"/>
      <c r="R1015" s="942"/>
      <c r="S1015" s="650"/>
      <c r="T1015" s="934"/>
      <c r="U1015" s="650"/>
      <c r="V1015" s="930"/>
    </row>
    <row r="1016" spans="1:22" s="624" customFormat="1" ht="16.5" customHeight="1">
      <c r="A1016" s="750"/>
      <c r="B1016" s="750"/>
      <c r="C1016" s="750"/>
      <c r="D1016" s="750"/>
      <c r="E1016" s="750"/>
      <c r="F1016" s="750"/>
      <c r="G1016" s="750"/>
      <c r="H1016" s="750"/>
      <c r="I1016" s="750"/>
      <c r="J1016" s="871"/>
      <c r="K1016" s="801"/>
      <c r="L1016" s="899"/>
      <c r="M1016" s="650"/>
      <c r="N1016" s="917"/>
      <c r="O1016" s="646"/>
      <c r="P1016" s="933"/>
      <c r="Q1016" s="646"/>
      <c r="R1016" s="942"/>
      <c r="S1016" s="650"/>
      <c r="T1016" s="934"/>
      <c r="U1016" s="650"/>
      <c r="V1016" s="930"/>
    </row>
    <row r="1017" spans="1:22" s="624" customFormat="1" ht="16.5" customHeight="1">
      <c r="A1017" s="750"/>
      <c r="B1017" s="750"/>
      <c r="C1017" s="750"/>
      <c r="D1017" s="750"/>
      <c r="E1017" s="750"/>
      <c r="F1017" s="750"/>
      <c r="G1017" s="750"/>
      <c r="H1017" s="750"/>
      <c r="I1017" s="750"/>
      <c r="J1017" s="871"/>
      <c r="K1017" s="801"/>
      <c r="L1017" s="899"/>
      <c r="M1017" s="650"/>
      <c r="N1017" s="917"/>
      <c r="O1017" s="646"/>
      <c r="P1017" s="933"/>
      <c r="Q1017" s="646"/>
      <c r="R1017" s="942"/>
      <c r="S1017" s="650"/>
      <c r="T1017" s="934"/>
      <c r="U1017" s="650"/>
      <c r="V1017" s="930"/>
    </row>
    <row r="1018" spans="1:22" s="624" customFormat="1" ht="16.5" customHeight="1">
      <c r="A1018" s="750"/>
      <c r="B1018" s="750"/>
      <c r="C1018" s="750"/>
      <c r="D1018" s="750"/>
      <c r="E1018" s="750"/>
      <c r="F1018" s="750"/>
      <c r="G1018" s="750"/>
      <c r="H1018" s="750"/>
      <c r="I1018" s="750"/>
      <c r="J1018" s="871"/>
      <c r="K1018" s="801"/>
      <c r="L1018" s="899"/>
      <c r="M1018" s="650"/>
      <c r="N1018" s="917"/>
      <c r="O1018" s="646"/>
      <c r="P1018" s="933"/>
      <c r="Q1018" s="646"/>
      <c r="R1018" s="942"/>
      <c r="S1018" s="650"/>
      <c r="T1018" s="934"/>
      <c r="U1018" s="650"/>
      <c r="V1018" s="930"/>
    </row>
    <row r="1019" spans="1:22" s="624" customFormat="1" ht="16.5" customHeight="1">
      <c r="A1019" s="750"/>
      <c r="B1019" s="750"/>
      <c r="C1019" s="750"/>
      <c r="D1019" s="750"/>
      <c r="E1019" s="750"/>
      <c r="F1019" s="750"/>
      <c r="G1019" s="750"/>
      <c r="H1019" s="750"/>
      <c r="I1019" s="750"/>
      <c r="J1019" s="871"/>
      <c r="K1019" s="801"/>
      <c r="L1019" s="899"/>
      <c r="M1019" s="650"/>
      <c r="N1019" s="917"/>
      <c r="O1019" s="646"/>
      <c r="P1019" s="933"/>
      <c r="Q1019" s="646"/>
      <c r="R1019" s="942"/>
      <c r="S1019" s="650"/>
      <c r="T1019" s="934"/>
      <c r="U1019" s="650"/>
      <c r="V1019" s="930"/>
    </row>
    <row r="1020" spans="1:22" s="624" customFormat="1" ht="16.5" customHeight="1">
      <c r="A1020" s="750"/>
      <c r="B1020" s="750"/>
      <c r="C1020" s="750"/>
      <c r="D1020" s="750"/>
      <c r="E1020" s="750"/>
      <c r="F1020" s="750"/>
      <c r="G1020" s="750"/>
      <c r="H1020" s="750"/>
      <c r="I1020" s="750"/>
      <c r="J1020" s="871"/>
      <c r="K1020" s="801"/>
      <c r="L1020" s="899"/>
      <c r="M1020" s="650"/>
      <c r="N1020" s="917"/>
      <c r="O1020" s="646"/>
      <c r="P1020" s="933"/>
      <c r="Q1020" s="646"/>
      <c r="R1020" s="942"/>
      <c r="S1020" s="650"/>
      <c r="T1020" s="934"/>
      <c r="U1020" s="650"/>
      <c r="V1020" s="930"/>
    </row>
    <row r="1021" spans="1:22" s="624" customFormat="1" ht="16.5" customHeight="1">
      <c r="A1021" s="750"/>
      <c r="B1021" s="750"/>
      <c r="C1021" s="750"/>
      <c r="D1021" s="750"/>
      <c r="E1021" s="750"/>
      <c r="F1021" s="750"/>
      <c r="G1021" s="750"/>
      <c r="H1021" s="750"/>
      <c r="I1021" s="750"/>
      <c r="J1021" s="871"/>
      <c r="K1021" s="801"/>
      <c r="L1021" s="899"/>
      <c r="M1021" s="650"/>
      <c r="N1021" s="917"/>
      <c r="O1021" s="646"/>
      <c r="P1021" s="933"/>
      <c r="Q1021" s="646"/>
      <c r="R1021" s="942"/>
      <c r="S1021" s="650"/>
      <c r="T1021" s="934"/>
      <c r="U1021" s="650"/>
      <c r="V1021" s="930"/>
    </row>
    <row r="1022" spans="1:22" s="624" customFormat="1" ht="16.5" customHeight="1">
      <c r="A1022" s="750"/>
      <c r="B1022" s="750"/>
      <c r="C1022" s="750"/>
      <c r="D1022" s="750"/>
      <c r="E1022" s="750"/>
      <c r="F1022" s="750"/>
      <c r="G1022" s="750"/>
      <c r="H1022" s="750"/>
      <c r="I1022" s="750"/>
      <c r="J1022" s="871"/>
      <c r="K1022" s="801"/>
      <c r="L1022" s="899"/>
      <c r="M1022" s="650"/>
      <c r="N1022" s="917"/>
      <c r="O1022" s="646"/>
      <c r="P1022" s="933"/>
      <c r="Q1022" s="646"/>
      <c r="R1022" s="942"/>
      <c r="S1022" s="650"/>
      <c r="T1022" s="934"/>
      <c r="U1022" s="650"/>
      <c r="V1022" s="930"/>
    </row>
    <row r="1023" spans="1:22" s="624" customFormat="1" ht="16.5" customHeight="1">
      <c r="A1023" s="750"/>
      <c r="B1023" s="750"/>
      <c r="C1023" s="750"/>
      <c r="D1023" s="750"/>
      <c r="E1023" s="750"/>
      <c r="F1023" s="750"/>
      <c r="G1023" s="750"/>
      <c r="H1023" s="750"/>
      <c r="I1023" s="750"/>
      <c r="J1023" s="871"/>
      <c r="K1023" s="801"/>
      <c r="L1023" s="899"/>
      <c r="M1023" s="650"/>
      <c r="N1023" s="917"/>
      <c r="O1023" s="646"/>
      <c r="P1023" s="933"/>
      <c r="Q1023" s="646"/>
      <c r="R1023" s="942"/>
      <c r="S1023" s="650"/>
      <c r="T1023" s="934"/>
      <c r="U1023" s="650"/>
      <c r="V1023" s="930"/>
    </row>
    <row r="1024" spans="1:22" s="624" customFormat="1" ht="16.5" customHeight="1">
      <c r="A1024" s="750"/>
      <c r="B1024" s="750"/>
      <c r="C1024" s="750"/>
      <c r="D1024" s="750"/>
      <c r="E1024" s="750"/>
      <c r="F1024" s="750"/>
      <c r="G1024" s="750"/>
      <c r="H1024" s="750"/>
      <c r="I1024" s="750"/>
      <c r="J1024" s="871"/>
      <c r="K1024" s="801"/>
      <c r="L1024" s="899"/>
      <c r="M1024" s="650"/>
      <c r="N1024" s="917"/>
      <c r="O1024" s="646"/>
      <c r="P1024" s="933"/>
      <c r="Q1024" s="646"/>
      <c r="R1024" s="942"/>
      <c r="S1024" s="650"/>
      <c r="T1024" s="934"/>
      <c r="U1024" s="650"/>
      <c r="V1024" s="930"/>
    </row>
    <row r="1025" spans="1:22" s="624" customFormat="1" ht="16.5" customHeight="1">
      <c r="A1025" s="750"/>
      <c r="B1025" s="750"/>
      <c r="C1025" s="750"/>
      <c r="D1025" s="750"/>
      <c r="E1025" s="750"/>
      <c r="F1025" s="750"/>
      <c r="G1025" s="750"/>
      <c r="H1025" s="750"/>
      <c r="I1025" s="750"/>
      <c r="J1025" s="871"/>
      <c r="K1025" s="801"/>
      <c r="L1025" s="899"/>
      <c r="M1025" s="650"/>
      <c r="N1025" s="917"/>
      <c r="O1025" s="646"/>
      <c r="P1025" s="933"/>
      <c r="Q1025" s="646"/>
      <c r="R1025" s="942"/>
      <c r="S1025" s="650"/>
      <c r="T1025" s="934"/>
      <c r="U1025" s="650"/>
      <c r="V1025" s="930"/>
    </row>
    <row r="1026" spans="1:22" s="624" customFormat="1" ht="16.5" customHeight="1">
      <c r="A1026" s="750"/>
      <c r="B1026" s="750"/>
      <c r="C1026" s="750"/>
      <c r="D1026" s="750"/>
      <c r="E1026" s="750"/>
      <c r="F1026" s="750"/>
      <c r="G1026" s="750"/>
      <c r="H1026" s="750"/>
      <c r="I1026" s="750"/>
      <c r="J1026" s="871"/>
      <c r="K1026" s="801"/>
      <c r="L1026" s="899"/>
      <c r="M1026" s="650"/>
      <c r="N1026" s="917"/>
      <c r="O1026" s="646"/>
      <c r="P1026" s="933"/>
      <c r="Q1026" s="646"/>
      <c r="R1026" s="942"/>
      <c r="S1026" s="650"/>
      <c r="T1026" s="934"/>
      <c r="U1026" s="650"/>
      <c r="V1026" s="930"/>
    </row>
    <row r="1027" spans="1:22" s="624" customFormat="1" ht="16.5" customHeight="1">
      <c r="A1027" s="750"/>
      <c r="B1027" s="750"/>
      <c r="C1027" s="750"/>
      <c r="D1027" s="750"/>
      <c r="E1027" s="750"/>
      <c r="F1027" s="750"/>
      <c r="G1027" s="750"/>
      <c r="H1027" s="750"/>
      <c r="I1027" s="750"/>
      <c r="J1027" s="871"/>
      <c r="K1027" s="801"/>
      <c r="L1027" s="899"/>
      <c r="M1027" s="650"/>
      <c r="N1027" s="917"/>
      <c r="O1027" s="646"/>
      <c r="P1027" s="933"/>
      <c r="Q1027" s="646"/>
      <c r="R1027" s="942"/>
      <c r="S1027" s="650"/>
      <c r="T1027" s="934"/>
      <c r="U1027" s="650"/>
      <c r="V1027" s="930"/>
    </row>
    <row r="1028" spans="1:22" s="624" customFormat="1" ht="16.5" customHeight="1">
      <c r="A1028" s="750"/>
      <c r="B1028" s="750"/>
      <c r="C1028" s="750"/>
      <c r="D1028" s="750"/>
      <c r="E1028" s="750"/>
      <c r="F1028" s="750"/>
      <c r="G1028" s="750"/>
      <c r="H1028" s="750"/>
      <c r="I1028" s="750"/>
      <c r="J1028" s="871"/>
      <c r="K1028" s="801"/>
      <c r="L1028" s="899"/>
      <c r="M1028" s="650"/>
      <c r="N1028" s="917"/>
      <c r="O1028" s="646"/>
      <c r="P1028" s="933"/>
      <c r="Q1028" s="646"/>
      <c r="R1028" s="942"/>
      <c r="S1028" s="650"/>
      <c r="T1028" s="934"/>
      <c r="U1028" s="650"/>
      <c r="V1028" s="930"/>
    </row>
    <row r="1029" spans="1:22" s="624" customFormat="1" ht="16.5" customHeight="1">
      <c r="A1029" s="750"/>
      <c r="B1029" s="750"/>
      <c r="C1029" s="750"/>
      <c r="D1029" s="750"/>
      <c r="E1029" s="750"/>
      <c r="F1029" s="750"/>
      <c r="G1029" s="750"/>
      <c r="H1029" s="750"/>
      <c r="I1029" s="750"/>
      <c r="J1029" s="871"/>
      <c r="K1029" s="801"/>
      <c r="L1029" s="899"/>
      <c r="M1029" s="650"/>
      <c r="N1029" s="917"/>
      <c r="O1029" s="646"/>
      <c r="P1029" s="933"/>
      <c r="Q1029" s="646"/>
      <c r="R1029" s="942"/>
      <c r="S1029" s="650"/>
      <c r="T1029" s="934"/>
      <c r="U1029" s="650"/>
      <c r="V1029" s="930"/>
    </row>
    <row r="1030" spans="1:22" s="624" customFormat="1" ht="16.5" customHeight="1">
      <c r="A1030" s="750"/>
      <c r="B1030" s="750"/>
      <c r="C1030" s="750"/>
      <c r="D1030" s="750"/>
      <c r="E1030" s="750"/>
      <c r="F1030" s="750"/>
      <c r="G1030" s="750"/>
      <c r="H1030" s="750"/>
      <c r="I1030" s="750"/>
      <c r="J1030" s="871"/>
      <c r="K1030" s="801"/>
      <c r="L1030" s="899"/>
      <c r="M1030" s="650"/>
      <c r="N1030" s="917"/>
      <c r="O1030" s="646"/>
      <c r="P1030" s="933"/>
      <c r="Q1030" s="646"/>
      <c r="R1030" s="942"/>
      <c r="S1030" s="650"/>
      <c r="T1030" s="934"/>
      <c r="U1030" s="650"/>
      <c r="V1030" s="930"/>
    </row>
    <row r="1031" spans="1:22" s="624" customFormat="1" ht="16.5" customHeight="1">
      <c r="A1031" s="750"/>
      <c r="B1031" s="750"/>
      <c r="C1031" s="750"/>
      <c r="D1031" s="750"/>
      <c r="E1031" s="750"/>
      <c r="F1031" s="750"/>
      <c r="G1031" s="750"/>
      <c r="H1031" s="750"/>
      <c r="I1031" s="750"/>
      <c r="J1031" s="871"/>
      <c r="K1031" s="801"/>
      <c r="L1031" s="899"/>
      <c r="M1031" s="650"/>
      <c r="N1031" s="917"/>
      <c r="O1031" s="646"/>
      <c r="P1031" s="933"/>
      <c r="Q1031" s="646"/>
      <c r="R1031" s="942"/>
      <c r="S1031" s="650"/>
      <c r="T1031" s="934"/>
      <c r="U1031" s="650"/>
      <c r="V1031" s="930"/>
    </row>
    <row r="1032" spans="1:22" s="624" customFormat="1" ht="16.5" customHeight="1">
      <c r="A1032" s="750"/>
      <c r="B1032" s="750"/>
      <c r="C1032" s="750"/>
      <c r="D1032" s="750"/>
      <c r="E1032" s="750"/>
      <c r="F1032" s="750"/>
      <c r="G1032" s="750"/>
      <c r="H1032" s="750"/>
      <c r="I1032" s="750"/>
      <c r="J1032" s="871"/>
      <c r="K1032" s="801"/>
      <c r="L1032" s="899"/>
      <c r="M1032" s="650"/>
      <c r="N1032" s="917"/>
      <c r="O1032" s="646"/>
      <c r="P1032" s="933"/>
      <c r="Q1032" s="646"/>
      <c r="R1032" s="942"/>
      <c r="S1032" s="650"/>
      <c r="T1032" s="934"/>
      <c r="U1032" s="650"/>
      <c r="V1032" s="930"/>
    </row>
    <row r="1033" spans="1:22" s="624" customFormat="1" ht="16.5" customHeight="1">
      <c r="A1033" s="750"/>
      <c r="B1033" s="750"/>
      <c r="C1033" s="750"/>
      <c r="D1033" s="750"/>
      <c r="E1033" s="750"/>
      <c r="F1033" s="750"/>
      <c r="G1033" s="750"/>
      <c r="H1033" s="750"/>
      <c r="I1033" s="750"/>
      <c r="J1033" s="871"/>
      <c r="K1033" s="801"/>
      <c r="L1033" s="899"/>
      <c r="M1033" s="650"/>
      <c r="N1033" s="917"/>
      <c r="O1033" s="646"/>
      <c r="P1033" s="933"/>
      <c r="Q1033" s="646"/>
      <c r="R1033" s="942"/>
      <c r="S1033" s="650"/>
      <c r="T1033" s="934"/>
      <c r="U1033" s="650"/>
      <c r="V1033" s="930"/>
    </row>
    <row r="1034" spans="1:22" s="624" customFormat="1" ht="16.5" customHeight="1">
      <c r="A1034" s="750"/>
      <c r="B1034" s="750"/>
      <c r="C1034" s="750"/>
      <c r="D1034" s="750"/>
      <c r="E1034" s="750"/>
      <c r="F1034" s="750"/>
      <c r="G1034" s="750"/>
      <c r="H1034" s="750"/>
      <c r="I1034" s="750"/>
      <c r="J1034" s="871"/>
      <c r="K1034" s="801"/>
      <c r="L1034" s="899"/>
      <c r="M1034" s="650"/>
      <c r="N1034" s="917"/>
      <c r="O1034" s="646"/>
      <c r="P1034" s="933"/>
      <c r="Q1034" s="646"/>
      <c r="R1034" s="942"/>
      <c r="S1034" s="650"/>
      <c r="T1034" s="934"/>
      <c r="U1034" s="650"/>
      <c r="V1034" s="930"/>
    </row>
    <row r="1035" spans="1:22" s="624" customFormat="1" ht="16.5" customHeight="1">
      <c r="A1035" s="750"/>
      <c r="B1035" s="750"/>
      <c r="C1035" s="750"/>
      <c r="D1035" s="750"/>
      <c r="E1035" s="750"/>
      <c r="F1035" s="750"/>
      <c r="G1035" s="750"/>
      <c r="H1035" s="750"/>
      <c r="I1035" s="750"/>
      <c r="J1035" s="871"/>
      <c r="K1035" s="801"/>
      <c r="L1035" s="899"/>
      <c r="M1035" s="650"/>
      <c r="N1035" s="917"/>
      <c r="O1035" s="646"/>
      <c r="P1035" s="933"/>
      <c r="Q1035" s="646"/>
      <c r="R1035" s="942"/>
      <c r="S1035" s="650"/>
      <c r="T1035" s="934"/>
      <c r="U1035" s="650"/>
      <c r="V1035" s="930"/>
    </row>
    <row r="1036" spans="1:22" s="624" customFormat="1" ht="16.5" customHeight="1">
      <c r="A1036" s="750"/>
      <c r="B1036" s="750"/>
      <c r="C1036" s="750"/>
      <c r="D1036" s="750"/>
      <c r="E1036" s="750"/>
      <c r="F1036" s="750"/>
      <c r="G1036" s="750"/>
      <c r="H1036" s="750"/>
      <c r="I1036" s="750"/>
      <c r="J1036" s="871"/>
      <c r="K1036" s="801"/>
      <c r="L1036" s="899"/>
      <c r="M1036" s="650"/>
      <c r="N1036" s="917"/>
      <c r="O1036" s="646"/>
      <c r="P1036" s="933"/>
      <c r="Q1036" s="646"/>
      <c r="R1036" s="942"/>
      <c r="S1036" s="650"/>
      <c r="T1036" s="934"/>
      <c r="U1036" s="650"/>
      <c r="V1036" s="930"/>
    </row>
    <row r="1037" spans="1:22" s="624" customFormat="1" ht="16.5" customHeight="1">
      <c r="A1037" s="750"/>
      <c r="B1037" s="750"/>
      <c r="C1037" s="750"/>
      <c r="D1037" s="750"/>
      <c r="E1037" s="750"/>
      <c r="F1037" s="750"/>
      <c r="G1037" s="750"/>
      <c r="H1037" s="750"/>
      <c r="I1037" s="750"/>
      <c r="J1037" s="871"/>
      <c r="K1037" s="801"/>
      <c r="L1037" s="899"/>
      <c r="M1037" s="650"/>
      <c r="N1037" s="917"/>
      <c r="O1037" s="646"/>
      <c r="P1037" s="933"/>
      <c r="Q1037" s="646"/>
      <c r="R1037" s="942"/>
      <c r="S1037" s="650"/>
      <c r="T1037" s="934"/>
      <c r="U1037" s="650"/>
      <c r="V1037" s="930"/>
    </row>
    <row r="1038" spans="1:22" s="624" customFormat="1" ht="16.5" customHeight="1">
      <c r="A1038" s="750"/>
      <c r="B1038" s="750"/>
      <c r="C1038" s="750"/>
      <c r="D1038" s="750"/>
      <c r="E1038" s="750"/>
      <c r="F1038" s="750"/>
      <c r="G1038" s="750"/>
      <c r="H1038" s="750"/>
      <c r="I1038" s="750"/>
      <c r="J1038" s="871"/>
      <c r="K1038" s="801"/>
      <c r="L1038" s="899"/>
      <c r="M1038" s="650"/>
      <c r="N1038" s="917"/>
      <c r="O1038" s="646"/>
      <c r="P1038" s="933"/>
      <c r="Q1038" s="646"/>
      <c r="R1038" s="942"/>
      <c r="S1038" s="650"/>
      <c r="T1038" s="934"/>
      <c r="U1038" s="650"/>
      <c r="V1038" s="930"/>
    </row>
    <row r="1039" spans="1:22" s="624" customFormat="1" ht="16.5" customHeight="1">
      <c r="A1039" s="750"/>
      <c r="B1039" s="750"/>
      <c r="C1039" s="750"/>
      <c r="D1039" s="750"/>
      <c r="E1039" s="750"/>
      <c r="F1039" s="750"/>
      <c r="G1039" s="750"/>
      <c r="H1039" s="750"/>
      <c r="I1039" s="750"/>
      <c r="J1039" s="871"/>
      <c r="K1039" s="801"/>
      <c r="L1039" s="899"/>
      <c r="M1039" s="650"/>
      <c r="N1039" s="917"/>
      <c r="O1039" s="646"/>
      <c r="P1039" s="933"/>
      <c r="Q1039" s="646"/>
      <c r="R1039" s="942"/>
      <c r="S1039" s="650"/>
      <c r="T1039" s="934"/>
      <c r="U1039" s="650"/>
      <c r="V1039" s="930"/>
    </row>
    <row r="1040" spans="1:22" s="624" customFormat="1" ht="16.5" customHeight="1">
      <c r="A1040" s="750"/>
      <c r="B1040" s="750"/>
      <c r="C1040" s="750"/>
      <c r="D1040" s="750"/>
      <c r="E1040" s="750"/>
      <c r="F1040" s="750"/>
      <c r="G1040" s="750"/>
      <c r="H1040" s="750"/>
      <c r="I1040" s="750"/>
      <c r="J1040" s="871"/>
      <c r="K1040" s="801"/>
      <c r="L1040" s="899"/>
      <c r="M1040" s="650"/>
      <c r="N1040" s="917"/>
      <c r="O1040" s="646"/>
      <c r="P1040" s="933"/>
      <c r="Q1040" s="646"/>
      <c r="R1040" s="942"/>
      <c r="S1040" s="650"/>
      <c r="T1040" s="934"/>
      <c r="U1040" s="650"/>
      <c r="V1040" s="930"/>
    </row>
    <row r="1041" spans="1:22" s="624" customFormat="1" ht="16.5" customHeight="1">
      <c r="A1041" s="750"/>
      <c r="B1041" s="750"/>
      <c r="C1041" s="750"/>
      <c r="D1041" s="750"/>
      <c r="E1041" s="750"/>
      <c r="F1041" s="750"/>
      <c r="G1041" s="750"/>
      <c r="H1041" s="750"/>
      <c r="I1041" s="750"/>
      <c r="J1041" s="871"/>
      <c r="K1041" s="801"/>
      <c r="L1041" s="899"/>
      <c r="M1041" s="650"/>
      <c r="N1041" s="917"/>
      <c r="O1041" s="646"/>
      <c r="P1041" s="933"/>
      <c r="Q1041" s="646"/>
      <c r="R1041" s="942"/>
      <c r="S1041" s="650"/>
      <c r="T1041" s="934"/>
      <c r="U1041" s="650"/>
      <c r="V1041" s="930"/>
    </row>
    <row r="1042" spans="1:22" s="624" customFormat="1" ht="16.5" customHeight="1">
      <c r="A1042" s="750"/>
      <c r="B1042" s="750"/>
      <c r="C1042" s="750"/>
      <c r="D1042" s="750"/>
      <c r="E1042" s="750"/>
      <c r="F1042" s="750"/>
      <c r="G1042" s="750"/>
      <c r="H1042" s="750"/>
      <c r="I1042" s="750"/>
      <c r="J1042" s="871"/>
      <c r="K1042" s="801"/>
      <c r="L1042" s="899"/>
      <c r="M1042" s="650"/>
      <c r="N1042" s="917"/>
      <c r="O1042" s="646"/>
      <c r="P1042" s="933"/>
      <c r="Q1042" s="646"/>
      <c r="R1042" s="942"/>
      <c r="S1042" s="650"/>
      <c r="T1042" s="934"/>
      <c r="U1042" s="650"/>
      <c r="V1042" s="930"/>
    </row>
    <row r="1043" spans="1:22" s="624" customFormat="1" ht="16.5" customHeight="1">
      <c r="A1043" s="750"/>
      <c r="B1043" s="750"/>
      <c r="C1043" s="750"/>
      <c r="D1043" s="750"/>
      <c r="E1043" s="750"/>
      <c r="F1043" s="750"/>
      <c r="G1043" s="750"/>
      <c r="H1043" s="750"/>
      <c r="I1043" s="750"/>
      <c r="J1043" s="871"/>
      <c r="K1043" s="801"/>
      <c r="L1043" s="899"/>
      <c r="M1043" s="650"/>
      <c r="N1043" s="917"/>
      <c r="O1043" s="646"/>
      <c r="P1043" s="933"/>
      <c r="Q1043" s="646"/>
      <c r="R1043" s="942"/>
      <c r="S1043" s="650"/>
      <c r="T1043" s="934"/>
      <c r="U1043" s="650"/>
      <c r="V1043" s="930"/>
    </row>
    <row r="1044" spans="1:22" s="624" customFormat="1" ht="16.5" customHeight="1">
      <c r="A1044" s="750"/>
      <c r="B1044" s="750"/>
      <c r="C1044" s="750"/>
      <c r="D1044" s="750"/>
      <c r="E1044" s="750"/>
      <c r="F1044" s="750"/>
      <c r="G1044" s="750"/>
      <c r="H1044" s="750"/>
      <c r="I1044" s="750"/>
      <c r="J1044" s="871"/>
      <c r="K1044" s="801"/>
      <c r="L1044" s="899"/>
      <c r="M1044" s="650"/>
      <c r="N1044" s="917"/>
      <c r="O1044" s="646"/>
      <c r="P1044" s="933"/>
      <c r="Q1044" s="646"/>
      <c r="R1044" s="942"/>
      <c r="S1044" s="650"/>
      <c r="T1044" s="934"/>
      <c r="U1044" s="650"/>
      <c r="V1044" s="930"/>
    </row>
    <row r="1045" spans="1:22" s="624" customFormat="1" ht="16.5" customHeight="1">
      <c r="A1045" s="750"/>
      <c r="B1045" s="750"/>
      <c r="C1045" s="750"/>
      <c r="D1045" s="750"/>
      <c r="E1045" s="750"/>
      <c r="F1045" s="750"/>
      <c r="G1045" s="750"/>
      <c r="H1045" s="750"/>
      <c r="I1045" s="750"/>
      <c r="J1045" s="871"/>
      <c r="K1045" s="801"/>
      <c r="L1045" s="899"/>
      <c r="M1045" s="650"/>
      <c r="N1045" s="917"/>
      <c r="O1045" s="646"/>
      <c r="P1045" s="933"/>
      <c r="Q1045" s="646"/>
      <c r="R1045" s="942"/>
      <c r="S1045" s="650"/>
      <c r="T1045" s="934"/>
      <c r="U1045" s="650"/>
      <c r="V1045" s="930"/>
    </row>
    <row r="1046" spans="1:22" s="624" customFormat="1" ht="16.5" customHeight="1">
      <c r="A1046" s="750"/>
      <c r="B1046" s="750"/>
      <c r="C1046" s="750"/>
      <c r="D1046" s="750"/>
      <c r="E1046" s="750"/>
      <c r="F1046" s="750"/>
      <c r="G1046" s="750"/>
      <c r="H1046" s="750"/>
      <c r="I1046" s="750"/>
      <c r="J1046" s="871"/>
      <c r="K1046" s="801"/>
      <c r="L1046" s="899"/>
      <c r="M1046" s="650"/>
      <c r="N1046" s="917"/>
      <c r="O1046" s="646"/>
      <c r="P1046" s="933"/>
      <c r="Q1046" s="646"/>
      <c r="R1046" s="942"/>
      <c r="S1046" s="650"/>
      <c r="T1046" s="934"/>
      <c r="U1046" s="650"/>
      <c r="V1046" s="930"/>
    </row>
    <row r="1047" spans="1:22" s="624" customFormat="1" ht="16.5" customHeight="1">
      <c r="A1047" s="750"/>
      <c r="B1047" s="750"/>
      <c r="C1047" s="750"/>
      <c r="D1047" s="750"/>
      <c r="E1047" s="750"/>
      <c r="F1047" s="750"/>
      <c r="G1047" s="750"/>
      <c r="H1047" s="750"/>
      <c r="I1047" s="750"/>
      <c r="J1047" s="871"/>
      <c r="K1047" s="801"/>
      <c r="L1047" s="899"/>
      <c r="M1047" s="650"/>
      <c r="N1047" s="917"/>
      <c r="O1047" s="646"/>
      <c r="P1047" s="933"/>
      <c r="Q1047" s="646"/>
      <c r="R1047" s="942"/>
      <c r="S1047" s="650"/>
      <c r="T1047" s="934"/>
      <c r="U1047" s="650"/>
      <c r="V1047" s="930"/>
    </row>
    <row r="1048" spans="1:22" s="624" customFormat="1" ht="16.5" customHeight="1">
      <c r="A1048" s="750"/>
      <c r="B1048" s="750"/>
      <c r="C1048" s="750"/>
      <c r="D1048" s="750"/>
      <c r="E1048" s="750"/>
      <c r="F1048" s="750"/>
      <c r="G1048" s="750"/>
      <c r="H1048" s="750"/>
      <c r="I1048" s="750"/>
      <c r="J1048" s="871"/>
      <c r="K1048" s="801"/>
      <c r="L1048" s="899"/>
      <c r="M1048" s="650"/>
      <c r="N1048" s="917"/>
      <c r="O1048" s="646"/>
      <c r="P1048" s="933"/>
      <c r="Q1048" s="646"/>
      <c r="R1048" s="942"/>
      <c r="S1048" s="650"/>
      <c r="T1048" s="934"/>
      <c r="U1048" s="650"/>
      <c r="V1048" s="930"/>
    </row>
    <row r="1049" spans="1:22" s="624" customFormat="1" ht="16.5" customHeight="1">
      <c r="A1049" s="750"/>
      <c r="B1049" s="750"/>
      <c r="C1049" s="750"/>
      <c r="D1049" s="750"/>
      <c r="E1049" s="750"/>
      <c r="F1049" s="750"/>
      <c r="G1049" s="750"/>
      <c r="H1049" s="750"/>
      <c r="I1049" s="750"/>
      <c r="J1049" s="871"/>
      <c r="K1049" s="801"/>
      <c r="L1049" s="899"/>
      <c r="M1049" s="650"/>
      <c r="N1049" s="917"/>
      <c r="O1049" s="646"/>
      <c r="P1049" s="933"/>
      <c r="Q1049" s="646"/>
      <c r="R1049" s="942"/>
      <c r="S1049" s="650"/>
      <c r="T1049" s="934"/>
      <c r="U1049" s="650"/>
      <c r="V1049" s="930"/>
    </row>
    <row r="1050" spans="1:22" s="624" customFormat="1" ht="16.5" customHeight="1">
      <c r="A1050" s="750"/>
      <c r="B1050" s="750"/>
      <c r="C1050" s="750"/>
      <c r="D1050" s="750"/>
      <c r="E1050" s="750"/>
      <c r="F1050" s="750"/>
      <c r="G1050" s="750"/>
      <c r="H1050" s="750"/>
      <c r="I1050" s="750"/>
      <c r="J1050" s="871"/>
      <c r="K1050" s="801"/>
      <c r="L1050" s="899"/>
      <c r="M1050" s="650"/>
      <c r="N1050" s="917"/>
      <c r="O1050" s="646"/>
      <c r="P1050" s="933"/>
      <c r="Q1050" s="646"/>
      <c r="R1050" s="942"/>
      <c r="S1050" s="650"/>
      <c r="T1050" s="934"/>
      <c r="U1050" s="650"/>
      <c r="V1050" s="930"/>
    </row>
    <row r="1051" spans="1:22" s="624" customFormat="1" ht="16.5" customHeight="1">
      <c r="A1051" s="750"/>
      <c r="B1051" s="750"/>
      <c r="C1051" s="750"/>
      <c r="D1051" s="750"/>
      <c r="E1051" s="750"/>
      <c r="F1051" s="750"/>
      <c r="G1051" s="750"/>
      <c r="H1051" s="750"/>
      <c r="I1051" s="750"/>
      <c r="J1051" s="871"/>
      <c r="K1051" s="801"/>
      <c r="L1051" s="899"/>
      <c r="M1051" s="650"/>
      <c r="N1051" s="917"/>
      <c r="O1051" s="646"/>
      <c r="P1051" s="933"/>
      <c r="Q1051" s="646"/>
      <c r="R1051" s="942"/>
      <c r="S1051" s="650"/>
      <c r="T1051" s="934"/>
      <c r="U1051" s="650"/>
      <c r="V1051" s="930"/>
    </row>
    <row r="1052" spans="1:22" s="624" customFormat="1" ht="16.5" customHeight="1">
      <c r="A1052" s="750"/>
      <c r="B1052" s="750"/>
      <c r="C1052" s="750"/>
      <c r="D1052" s="750"/>
      <c r="E1052" s="750"/>
      <c r="F1052" s="750"/>
      <c r="G1052" s="750"/>
      <c r="H1052" s="750"/>
      <c r="I1052" s="750"/>
      <c r="J1052" s="871"/>
      <c r="K1052" s="801"/>
      <c r="L1052" s="899"/>
      <c r="M1052" s="650"/>
      <c r="N1052" s="917"/>
      <c r="O1052" s="646"/>
      <c r="P1052" s="933"/>
      <c r="Q1052" s="646"/>
      <c r="R1052" s="942"/>
      <c r="S1052" s="650"/>
      <c r="T1052" s="934"/>
      <c r="U1052" s="650"/>
      <c r="V1052" s="930"/>
    </row>
    <row r="1053" spans="1:22" s="624" customFormat="1" ht="16.5" customHeight="1">
      <c r="A1053" s="750"/>
      <c r="B1053" s="750"/>
      <c r="C1053" s="750"/>
      <c r="D1053" s="750"/>
      <c r="E1053" s="750"/>
      <c r="F1053" s="750"/>
      <c r="G1053" s="750"/>
      <c r="H1053" s="750"/>
      <c r="I1053" s="750"/>
      <c r="J1053" s="871"/>
      <c r="K1053" s="801"/>
      <c r="L1053" s="899"/>
      <c r="M1053" s="650"/>
      <c r="N1053" s="917"/>
      <c r="O1053" s="646"/>
      <c r="P1053" s="933"/>
      <c r="Q1053" s="646"/>
      <c r="R1053" s="942"/>
      <c r="S1053" s="650"/>
      <c r="T1053" s="934"/>
      <c r="U1053" s="650"/>
      <c r="V1053" s="930"/>
    </row>
    <row r="1054" spans="1:22" s="624" customFormat="1" ht="16.5" customHeight="1">
      <c r="A1054" s="750"/>
      <c r="B1054" s="750"/>
      <c r="C1054" s="750"/>
      <c r="D1054" s="750"/>
      <c r="E1054" s="750"/>
      <c r="F1054" s="750"/>
      <c r="G1054" s="750"/>
      <c r="H1054" s="750"/>
      <c r="I1054" s="750"/>
      <c r="J1054" s="871"/>
      <c r="K1054" s="801"/>
      <c r="L1054" s="899"/>
      <c r="M1054" s="650"/>
      <c r="N1054" s="917"/>
      <c r="O1054" s="646"/>
      <c r="P1054" s="933"/>
      <c r="Q1054" s="646"/>
      <c r="R1054" s="942"/>
      <c r="S1054" s="650"/>
      <c r="T1054" s="934"/>
      <c r="U1054" s="650"/>
      <c r="V1054" s="930"/>
    </row>
    <row r="1055" spans="1:22" s="624" customFormat="1" ht="16.5" customHeight="1">
      <c r="A1055" s="750"/>
      <c r="B1055" s="750"/>
      <c r="C1055" s="750"/>
      <c r="D1055" s="750"/>
      <c r="E1055" s="750"/>
      <c r="F1055" s="750"/>
      <c r="G1055" s="750"/>
      <c r="H1055" s="750"/>
      <c r="I1055" s="750"/>
      <c r="J1055" s="871"/>
      <c r="K1055" s="801"/>
      <c r="L1055" s="899"/>
      <c r="M1055" s="650"/>
      <c r="N1055" s="917"/>
      <c r="O1055" s="646"/>
      <c r="P1055" s="933"/>
      <c r="Q1055" s="646"/>
      <c r="R1055" s="942"/>
      <c r="S1055" s="650"/>
      <c r="T1055" s="934"/>
      <c r="U1055" s="650"/>
      <c r="V1055" s="930"/>
    </row>
    <row r="1056" spans="1:22" s="624" customFormat="1" ht="16.5" customHeight="1">
      <c r="A1056" s="750"/>
      <c r="B1056" s="750"/>
      <c r="C1056" s="750"/>
      <c r="D1056" s="750"/>
      <c r="E1056" s="750"/>
      <c r="F1056" s="750"/>
      <c r="G1056" s="750"/>
      <c r="H1056" s="750"/>
      <c r="I1056" s="750"/>
      <c r="J1056" s="871"/>
      <c r="K1056" s="801"/>
      <c r="L1056" s="899"/>
      <c r="M1056" s="650"/>
      <c r="N1056" s="917"/>
      <c r="O1056" s="646"/>
      <c r="P1056" s="933"/>
      <c r="Q1056" s="646"/>
      <c r="R1056" s="942"/>
      <c r="S1056" s="650"/>
      <c r="T1056" s="934"/>
      <c r="U1056" s="650"/>
      <c r="V1056" s="930"/>
    </row>
    <row r="1057" spans="1:22" s="624" customFormat="1" ht="16.5" customHeight="1">
      <c r="A1057" s="750"/>
      <c r="B1057" s="750"/>
      <c r="C1057" s="750"/>
      <c r="D1057" s="750"/>
      <c r="E1057" s="750"/>
      <c r="F1057" s="750"/>
      <c r="G1057" s="750"/>
      <c r="H1057" s="750"/>
      <c r="I1057" s="750"/>
      <c r="J1057" s="871"/>
      <c r="K1057" s="801"/>
      <c r="L1057" s="899"/>
      <c r="M1057" s="650"/>
      <c r="N1057" s="917"/>
      <c r="O1057" s="646"/>
      <c r="P1057" s="933"/>
      <c r="Q1057" s="646"/>
      <c r="R1057" s="942"/>
      <c r="S1057" s="650"/>
      <c r="T1057" s="934"/>
      <c r="U1057" s="650"/>
      <c r="V1057" s="930"/>
    </row>
    <row r="1058" spans="1:22" s="624" customFormat="1" ht="16.5" customHeight="1">
      <c r="A1058" s="750"/>
      <c r="B1058" s="750"/>
      <c r="C1058" s="750"/>
      <c r="D1058" s="750"/>
      <c r="E1058" s="750"/>
      <c r="F1058" s="750"/>
      <c r="G1058" s="750"/>
      <c r="H1058" s="750"/>
      <c r="I1058" s="750"/>
      <c r="J1058" s="871"/>
      <c r="K1058" s="801"/>
      <c r="L1058" s="899"/>
      <c r="M1058" s="650"/>
      <c r="N1058" s="917"/>
      <c r="O1058" s="646"/>
      <c r="P1058" s="933"/>
      <c r="Q1058" s="646"/>
      <c r="R1058" s="942"/>
      <c r="S1058" s="650"/>
      <c r="T1058" s="934"/>
      <c r="U1058" s="650"/>
      <c r="V1058" s="930"/>
    </row>
    <row r="1059" spans="1:22" s="624" customFormat="1" ht="16.5" customHeight="1">
      <c r="A1059" s="750"/>
      <c r="B1059" s="750"/>
      <c r="C1059" s="750"/>
      <c r="D1059" s="750"/>
      <c r="E1059" s="750"/>
      <c r="F1059" s="750"/>
      <c r="G1059" s="750"/>
      <c r="H1059" s="750"/>
      <c r="I1059" s="750"/>
      <c r="J1059" s="871"/>
      <c r="K1059" s="801"/>
      <c r="L1059" s="899"/>
      <c r="M1059" s="650"/>
      <c r="N1059" s="917"/>
      <c r="O1059" s="646"/>
      <c r="P1059" s="933"/>
      <c r="Q1059" s="646"/>
      <c r="R1059" s="942"/>
      <c r="S1059" s="650"/>
      <c r="T1059" s="934"/>
      <c r="U1059" s="650"/>
      <c r="V1059" s="930"/>
    </row>
    <row r="1060" spans="1:22" s="624" customFormat="1" ht="16.5" customHeight="1">
      <c r="A1060" s="750"/>
      <c r="B1060" s="750"/>
      <c r="C1060" s="750"/>
      <c r="D1060" s="750"/>
      <c r="E1060" s="750"/>
      <c r="F1060" s="750"/>
      <c r="G1060" s="750"/>
      <c r="H1060" s="750"/>
      <c r="I1060" s="750"/>
      <c r="J1060" s="871"/>
      <c r="K1060" s="801"/>
      <c r="L1060" s="899"/>
      <c r="M1060" s="650"/>
      <c r="N1060" s="917"/>
      <c r="O1060" s="646"/>
      <c r="P1060" s="933"/>
      <c r="Q1060" s="646"/>
      <c r="R1060" s="942"/>
      <c r="S1060" s="650"/>
      <c r="T1060" s="934"/>
      <c r="U1060" s="650"/>
      <c r="V1060" s="930"/>
    </row>
    <row r="1061" spans="1:22" s="624" customFormat="1" ht="16.5" customHeight="1">
      <c r="A1061" s="750"/>
      <c r="B1061" s="750"/>
      <c r="C1061" s="750"/>
      <c r="D1061" s="750"/>
      <c r="E1061" s="750"/>
      <c r="F1061" s="750"/>
      <c r="G1061" s="750"/>
      <c r="H1061" s="750"/>
      <c r="I1061" s="750"/>
      <c r="J1061" s="871"/>
      <c r="K1061" s="801"/>
      <c r="L1061" s="899"/>
      <c r="M1061" s="650"/>
      <c r="N1061" s="917"/>
      <c r="O1061" s="646"/>
      <c r="P1061" s="933"/>
      <c r="Q1061" s="646"/>
      <c r="R1061" s="942"/>
      <c r="S1061" s="650"/>
      <c r="T1061" s="934"/>
      <c r="U1061" s="650"/>
      <c r="V1061" s="930"/>
    </row>
    <row r="1062" spans="1:22" s="624" customFormat="1" ht="16.5" customHeight="1">
      <c r="A1062" s="750"/>
      <c r="B1062" s="750"/>
      <c r="C1062" s="750"/>
      <c r="D1062" s="750"/>
      <c r="E1062" s="750"/>
      <c r="F1062" s="750"/>
      <c r="G1062" s="750"/>
      <c r="H1062" s="750"/>
      <c r="I1062" s="750"/>
      <c r="J1062" s="871"/>
      <c r="K1062" s="801"/>
      <c r="L1062" s="899"/>
      <c r="M1062" s="650"/>
      <c r="N1062" s="917"/>
      <c r="O1062" s="646"/>
      <c r="P1062" s="933"/>
      <c r="Q1062" s="646"/>
      <c r="R1062" s="942"/>
      <c r="S1062" s="650"/>
      <c r="T1062" s="934"/>
      <c r="U1062" s="650"/>
      <c r="V1062" s="930"/>
    </row>
    <row r="1063" spans="1:22" s="624" customFormat="1" ht="16.5" customHeight="1">
      <c r="A1063" s="750"/>
      <c r="B1063" s="750"/>
      <c r="C1063" s="750"/>
      <c r="D1063" s="750"/>
      <c r="E1063" s="750"/>
      <c r="F1063" s="750"/>
      <c r="G1063" s="750"/>
      <c r="H1063" s="750"/>
      <c r="I1063" s="750"/>
      <c r="J1063" s="871"/>
      <c r="K1063" s="801"/>
      <c r="L1063" s="899"/>
      <c r="M1063" s="650"/>
      <c r="N1063" s="917"/>
      <c r="O1063" s="646"/>
      <c r="P1063" s="933"/>
      <c r="Q1063" s="646"/>
      <c r="R1063" s="942"/>
      <c r="S1063" s="650"/>
      <c r="T1063" s="934"/>
      <c r="U1063" s="650"/>
      <c r="V1063" s="930"/>
    </row>
    <row r="1064" spans="1:22" s="624" customFormat="1" ht="16.5" customHeight="1">
      <c r="A1064" s="750"/>
      <c r="B1064" s="750"/>
      <c r="C1064" s="750"/>
      <c r="D1064" s="750"/>
      <c r="E1064" s="750"/>
      <c r="F1064" s="750"/>
      <c r="G1064" s="750"/>
      <c r="H1064" s="750"/>
      <c r="I1064" s="750"/>
      <c r="J1064" s="871"/>
      <c r="K1064" s="801"/>
      <c r="L1064" s="899"/>
      <c r="M1064" s="650"/>
      <c r="N1064" s="917"/>
      <c r="O1064" s="646"/>
      <c r="P1064" s="933"/>
      <c r="Q1064" s="646"/>
      <c r="R1064" s="942"/>
      <c r="S1064" s="650"/>
      <c r="T1064" s="934"/>
      <c r="U1064" s="650"/>
      <c r="V1064" s="930"/>
    </row>
    <row r="1065" spans="1:22" s="624" customFormat="1" ht="16.5" customHeight="1">
      <c r="A1065" s="750"/>
      <c r="B1065" s="750"/>
      <c r="C1065" s="750"/>
      <c r="D1065" s="750"/>
      <c r="E1065" s="750"/>
      <c r="F1065" s="750"/>
      <c r="G1065" s="750"/>
      <c r="H1065" s="750"/>
      <c r="I1065" s="750"/>
      <c r="J1065" s="871"/>
      <c r="K1065" s="801"/>
      <c r="L1065" s="899"/>
      <c r="M1065" s="650"/>
      <c r="N1065" s="917"/>
      <c r="O1065" s="646"/>
      <c r="P1065" s="933"/>
      <c r="Q1065" s="646"/>
      <c r="R1065" s="942"/>
      <c r="S1065" s="650"/>
      <c r="T1065" s="934"/>
      <c r="U1065" s="650"/>
      <c r="V1065" s="930"/>
    </row>
    <row r="1066" spans="1:22" s="624" customFormat="1" ht="16.5" customHeight="1">
      <c r="A1066" s="750"/>
      <c r="B1066" s="750"/>
      <c r="C1066" s="750"/>
      <c r="D1066" s="750"/>
      <c r="E1066" s="750"/>
      <c r="F1066" s="750"/>
      <c r="G1066" s="750"/>
      <c r="H1066" s="750"/>
      <c r="I1066" s="750"/>
      <c r="J1066" s="871"/>
      <c r="K1066" s="801"/>
      <c r="L1066" s="899"/>
      <c r="M1066" s="650"/>
      <c r="N1066" s="917"/>
      <c r="O1066" s="646"/>
      <c r="P1066" s="933"/>
      <c r="Q1066" s="646"/>
      <c r="R1066" s="942"/>
      <c r="S1066" s="650"/>
      <c r="T1066" s="934"/>
      <c r="U1066" s="650"/>
      <c r="V1066" s="930"/>
    </row>
    <row r="1067" spans="1:22" s="624" customFormat="1" ht="16.5" customHeight="1">
      <c r="A1067" s="750"/>
      <c r="B1067" s="750"/>
      <c r="C1067" s="750"/>
      <c r="D1067" s="750"/>
      <c r="E1067" s="750"/>
      <c r="F1067" s="750"/>
      <c r="G1067" s="750"/>
      <c r="H1067" s="750"/>
      <c r="I1067" s="750"/>
      <c r="J1067" s="871"/>
      <c r="K1067" s="801"/>
      <c r="L1067" s="899"/>
      <c r="M1067" s="650"/>
      <c r="N1067" s="917"/>
      <c r="O1067" s="646"/>
      <c r="P1067" s="933"/>
      <c r="Q1067" s="646"/>
      <c r="R1067" s="942"/>
      <c r="S1067" s="650"/>
      <c r="T1067" s="934"/>
      <c r="U1067" s="650"/>
      <c r="V1067" s="930"/>
    </row>
    <row r="1068" spans="1:22" s="624" customFormat="1" ht="16.5" customHeight="1">
      <c r="A1068" s="750"/>
      <c r="B1068" s="750"/>
      <c r="C1068" s="750"/>
      <c r="D1068" s="750"/>
      <c r="E1068" s="750"/>
      <c r="F1068" s="750"/>
      <c r="G1068" s="750"/>
      <c r="H1068" s="750"/>
      <c r="I1068" s="750"/>
      <c r="J1068" s="871"/>
      <c r="K1068" s="801"/>
      <c r="L1068" s="899"/>
      <c r="M1068" s="650"/>
      <c r="N1068" s="917"/>
      <c r="O1068" s="646"/>
      <c r="P1068" s="933"/>
      <c r="Q1068" s="646"/>
      <c r="R1068" s="942"/>
      <c r="S1068" s="650"/>
      <c r="T1068" s="934"/>
      <c r="U1068" s="650"/>
      <c r="V1068" s="930"/>
    </row>
    <row r="1069" spans="1:22" s="624" customFormat="1" ht="16.5" customHeight="1">
      <c r="A1069" s="750"/>
      <c r="B1069" s="750"/>
      <c r="C1069" s="750"/>
      <c r="D1069" s="750"/>
      <c r="E1069" s="750"/>
      <c r="F1069" s="750"/>
      <c r="G1069" s="750"/>
      <c r="H1069" s="750"/>
      <c r="I1069" s="750"/>
      <c r="J1069" s="871"/>
      <c r="K1069" s="801"/>
      <c r="L1069" s="899"/>
      <c r="M1069" s="650"/>
      <c r="N1069" s="917"/>
      <c r="O1069" s="646"/>
      <c r="P1069" s="933"/>
      <c r="Q1069" s="646"/>
      <c r="R1069" s="942"/>
      <c r="S1069" s="650"/>
      <c r="T1069" s="934"/>
      <c r="U1069" s="650"/>
      <c r="V1069" s="930"/>
    </row>
    <row r="1070" spans="1:22" s="624" customFormat="1" ht="16.5" customHeight="1">
      <c r="A1070" s="750"/>
      <c r="B1070" s="750"/>
      <c r="C1070" s="750"/>
      <c r="D1070" s="750"/>
      <c r="E1070" s="750"/>
      <c r="F1070" s="750"/>
      <c r="G1070" s="750"/>
      <c r="H1070" s="750"/>
      <c r="I1070" s="750"/>
      <c r="J1070" s="871"/>
      <c r="K1070" s="801"/>
      <c r="L1070" s="899"/>
      <c r="M1070" s="650"/>
      <c r="N1070" s="917"/>
      <c r="O1070" s="646"/>
      <c r="P1070" s="933"/>
      <c r="Q1070" s="646"/>
      <c r="R1070" s="942"/>
      <c r="S1070" s="650"/>
      <c r="T1070" s="934"/>
      <c r="U1070" s="650"/>
      <c r="V1070" s="930"/>
    </row>
    <row r="1071" spans="1:22" s="624" customFormat="1" ht="16.5" customHeight="1">
      <c r="A1071" s="750"/>
      <c r="B1071" s="750"/>
      <c r="C1071" s="750"/>
      <c r="D1071" s="750"/>
      <c r="E1071" s="750"/>
      <c r="F1071" s="750"/>
      <c r="G1071" s="750"/>
      <c r="H1071" s="750"/>
      <c r="I1071" s="750"/>
      <c r="J1071" s="871"/>
      <c r="K1071" s="801"/>
      <c r="L1071" s="899"/>
      <c r="M1071" s="650"/>
      <c r="N1071" s="917"/>
      <c r="O1071" s="646"/>
      <c r="P1071" s="933"/>
      <c r="Q1071" s="646"/>
      <c r="R1071" s="942"/>
      <c r="S1071" s="650"/>
      <c r="T1071" s="934"/>
      <c r="U1071" s="650"/>
      <c r="V1071" s="930"/>
    </row>
    <row r="1072" spans="1:22" s="624" customFormat="1" ht="16.5" customHeight="1">
      <c r="A1072" s="750"/>
      <c r="B1072" s="750"/>
      <c r="C1072" s="750"/>
      <c r="D1072" s="750"/>
      <c r="E1072" s="750"/>
      <c r="F1072" s="750"/>
      <c r="G1072" s="750"/>
      <c r="H1072" s="750"/>
      <c r="I1072" s="750"/>
      <c r="J1072" s="871"/>
      <c r="K1072" s="801"/>
      <c r="L1072" s="899"/>
      <c r="M1072" s="650"/>
      <c r="N1072" s="917"/>
      <c r="O1072" s="646"/>
      <c r="P1072" s="933"/>
      <c r="Q1072" s="646"/>
      <c r="R1072" s="942"/>
      <c r="S1072" s="650"/>
      <c r="T1072" s="934"/>
      <c r="U1072" s="650"/>
      <c r="V1072" s="930"/>
    </row>
    <row r="1073" spans="1:22" s="624" customFormat="1" ht="16.5" customHeight="1">
      <c r="A1073" s="750"/>
      <c r="B1073" s="750"/>
      <c r="C1073" s="750"/>
      <c r="D1073" s="750"/>
      <c r="E1073" s="750"/>
      <c r="F1073" s="750"/>
      <c r="G1073" s="750"/>
      <c r="H1073" s="750"/>
      <c r="I1073" s="750"/>
      <c r="J1073" s="871"/>
      <c r="K1073" s="801"/>
      <c r="L1073" s="899"/>
      <c r="M1073" s="650"/>
      <c r="N1073" s="917"/>
      <c r="O1073" s="646"/>
      <c r="P1073" s="933"/>
      <c r="Q1073" s="646"/>
      <c r="R1073" s="942"/>
      <c r="S1073" s="650"/>
      <c r="T1073" s="934"/>
      <c r="U1073" s="650"/>
      <c r="V1073" s="930"/>
    </row>
    <row r="1074" spans="1:22" s="624" customFormat="1" ht="16.5" customHeight="1">
      <c r="A1074" s="750"/>
      <c r="B1074" s="750"/>
      <c r="C1074" s="750"/>
      <c r="D1074" s="750"/>
      <c r="E1074" s="750"/>
      <c r="F1074" s="750"/>
      <c r="G1074" s="750"/>
      <c r="H1074" s="750"/>
      <c r="I1074" s="750"/>
      <c r="J1074" s="871"/>
      <c r="K1074" s="801"/>
      <c r="L1074" s="899"/>
      <c r="M1074" s="650"/>
      <c r="N1074" s="917"/>
      <c r="O1074" s="646"/>
      <c r="P1074" s="933"/>
      <c r="Q1074" s="646"/>
      <c r="R1074" s="942"/>
      <c r="S1074" s="650"/>
      <c r="T1074" s="934"/>
      <c r="U1074" s="650"/>
      <c r="V1074" s="930"/>
    </row>
    <row r="1075" spans="1:22" s="624" customFormat="1" ht="16.5" customHeight="1">
      <c r="A1075" s="750"/>
      <c r="B1075" s="750"/>
      <c r="C1075" s="750"/>
      <c r="D1075" s="750"/>
      <c r="E1075" s="750"/>
      <c r="F1075" s="750"/>
      <c r="G1075" s="750"/>
      <c r="H1075" s="750"/>
      <c r="I1075" s="750"/>
      <c r="J1075" s="871"/>
      <c r="K1075" s="801"/>
      <c r="L1075" s="899"/>
      <c r="M1075" s="650"/>
      <c r="N1075" s="917"/>
      <c r="O1075" s="646"/>
      <c r="P1075" s="933"/>
      <c r="Q1075" s="646"/>
      <c r="R1075" s="942"/>
      <c r="S1075" s="650"/>
      <c r="T1075" s="934"/>
      <c r="U1075" s="650"/>
      <c r="V1075" s="930"/>
    </row>
    <row r="1076" spans="1:22" s="624" customFormat="1" ht="16.5" customHeight="1">
      <c r="A1076" s="750"/>
      <c r="B1076" s="750"/>
      <c r="C1076" s="750"/>
      <c r="D1076" s="750"/>
      <c r="E1076" s="750"/>
      <c r="F1076" s="750"/>
      <c r="G1076" s="750"/>
      <c r="H1076" s="750"/>
      <c r="I1076" s="750"/>
      <c r="J1076" s="871"/>
      <c r="K1076" s="801"/>
      <c r="L1076" s="899"/>
      <c r="M1076" s="650"/>
      <c r="N1076" s="917"/>
      <c r="O1076" s="646"/>
      <c r="P1076" s="933"/>
      <c r="Q1076" s="646"/>
      <c r="R1076" s="942"/>
      <c r="S1076" s="650"/>
      <c r="T1076" s="934"/>
      <c r="U1076" s="650"/>
      <c r="V1076" s="930"/>
    </row>
    <row r="1077" spans="1:22" s="624" customFormat="1" ht="16.5" customHeight="1">
      <c r="A1077" s="750"/>
      <c r="B1077" s="750"/>
      <c r="C1077" s="750"/>
      <c r="D1077" s="750"/>
      <c r="E1077" s="750"/>
      <c r="F1077" s="750"/>
      <c r="G1077" s="750"/>
      <c r="H1077" s="750"/>
      <c r="I1077" s="750"/>
      <c r="J1077" s="871"/>
      <c r="K1077" s="801"/>
      <c r="L1077" s="899"/>
      <c r="M1077" s="650"/>
      <c r="N1077" s="917"/>
      <c r="O1077" s="646"/>
      <c r="P1077" s="933"/>
      <c r="Q1077" s="646"/>
      <c r="R1077" s="942"/>
      <c r="S1077" s="650"/>
      <c r="T1077" s="934"/>
      <c r="U1077" s="650"/>
      <c r="V1077" s="930"/>
    </row>
    <row r="1078" spans="1:22" s="624" customFormat="1" ht="16.5" customHeight="1">
      <c r="A1078" s="750"/>
      <c r="B1078" s="750"/>
      <c r="C1078" s="750"/>
      <c r="D1078" s="750"/>
      <c r="E1078" s="750"/>
      <c r="F1078" s="750"/>
      <c r="G1078" s="750"/>
      <c r="H1078" s="750"/>
      <c r="I1078" s="750"/>
      <c r="J1078" s="871"/>
      <c r="K1078" s="801"/>
      <c r="L1078" s="899"/>
      <c r="M1078" s="650"/>
      <c r="N1078" s="917"/>
      <c r="O1078" s="646"/>
      <c r="P1078" s="933"/>
      <c r="Q1078" s="646"/>
      <c r="R1078" s="942"/>
      <c r="S1078" s="650"/>
      <c r="T1078" s="934"/>
      <c r="U1078" s="650"/>
      <c r="V1078" s="930"/>
    </row>
    <row r="1079" spans="1:22" s="624" customFormat="1" ht="16.5" customHeight="1">
      <c r="A1079" s="750"/>
      <c r="B1079" s="750"/>
      <c r="C1079" s="750"/>
      <c r="D1079" s="750"/>
      <c r="E1079" s="750"/>
      <c r="F1079" s="750"/>
      <c r="G1079" s="750"/>
      <c r="H1079" s="750"/>
      <c r="I1079" s="750"/>
      <c r="J1079" s="871"/>
      <c r="K1079" s="801"/>
      <c r="L1079" s="899"/>
      <c r="M1079" s="650"/>
      <c r="N1079" s="917"/>
      <c r="O1079" s="646"/>
      <c r="P1079" s="933"/>
      <c r="Q1079" s="646"/>
      <c r="R1079" s="942"/>
      <c r="S1079" s="650"/>
      <c r="T1079" s="934"/>
      <c r="U1079" s="650"/>
      <c r="V1079" s="930"/>
    </row>
    <row r="1080" spans="1:22" s="624" customFormat="1" ht="16.5" customHeight="1">
      <c r="A1080" s="750"/>
      <c r="B1080" s="750"/>
      <c r="C1080" s="750"/>
      <c r="D1080" s="750"/>
      <c r="E1080" s="750"/>
      <c r="F1080" s="750"/>
      <c r="G1080" s="750"/>
      <c r="H1080" s="750"/>
      <c r="I1080" s="750"/>
      <c r="J1080" s="871"/>
      <c r="K1080" s="801"/>
      <c r="L1080" s="899"/>
      <c r="M1080" s="650"/>
      <c r="N1080" s="917"/>
      <c r="O1080" s="646"/>
      <c r="P1080" s="933"/>
      <c r="Q1080" s="646"/>
      <c r="R1080" s="942"/>
      <c r="S1080" s="650"/>
      <c r="T1080" s="934"/>
      <c r="U1080" s="650"/>
      <c r="V1080" s="930"/>
    </row>
    <row r="1081" spans="1:22" s="624" customFormat="1" ht="16.5" customHeight="1">
      <c r="A1081" s="750"/>
      <c r="B1081" s="750"/>
      <c r="C1081" s="750"/>
      <c r="D1081" s="750"/>
      <c r="E1081" s="750"/>
      <c r="F1081" s="750"/>
      <c r="G1081" s="750"/>
      <c r="H1081" s="750"/>
      <c r="I1081" s="750"/>
      <c r="J1081" s="871"/>
      <c r="K1081" s="801"/>
      <c r="L1081" s="899"/>
      <c r="M1081" s="650"/>
      <c r="N1081" s="917"/>
      <c r="O1081" s="646"/>
      <c r="P1081" s="933"/>
      <c r="Q1081" s="646"/>
      <c r="R1081" s="942"/>
      <c r="S1081" s="650"/>
      <c r="T1081" s="934"/>
      <c r="U1081" s="650"/>
      <c r="V1081" s="930"/>
    </row>
    <row r="1082" spans="1:22" s="624" customFormat="1" ht="16.5" customHeight="1">
      <c r="A1082" s="750"/>
      <c r="B1082" s="750"/>
      <c r="C1082" s="750"/>
      <c r="D1082" s="750"/>
      <c r="E1082" s="750"/>
      <c r="F1082" s="750"/>
      <c r="G1082" s="750"/>
      <c r="H1082" s="750"/>
      <c r="I1082" s="750"/>
      <c r="J1082" s="871"/>
      <c r="K1082" s="801"/>
      <c r="L1082" s="899"/>
      <c r="M1082" s="650"/>
      <c r="N1082" s="917"/>
      <c r="O1082" s="646"/>
      <c r="P1082" s="933"/>
      <c r="Q1082" s="646"/>
      <c r="R1082" s="942"/>
      <c r="S1082" s="650"/>
      <c r="T1082" s="934"/>
      <c r="U1082" s="650"/>
      <c r="V1082" s="930"/>
    </row>
    <row r="1083" spans="1:22" s="624" customFormat="1" ht="16.5" customHeight="1">
      <c r="A1083" s="750"/>
      <c r="B1083" s="750"/>
      <c r="C1083" s="750"/>
      <c r="D1083" s="750"/>
      <c r="E1083" s="750"/>
      <c r="F1083" s="750"/>
      <c r="G1083" s="750"/>
      <c r="H1083" s="750"/>
      <c r="I1083" s="750"/>
      <c r="J1083" s="871"/>
      <c r="K1083" s="801"/>
      <c r="L1083" s="899"/>
      <c r="M1083" s="650"/>
      <c r="N1083" s="917"/>
      <c r="O1083" s="646"/>
      <c r="P1083" s="933"/>
      <c r="Q1083" s="646"/>
      <c r="R1083" s="942"/>
      <c r="S1083" s="650"/>
      <c r="T1083" s="934"/>
      <c r="U1083" s="650"/>
      <c r="V1083" s="930"/>
    </row>
    <row r="1084" spans="1:22" s="624" customFormat="1" ht="16.5" customHeight="1">
      <c r="A1084" s="750"/>
      <c r="B1084" s="750"/>
      <c r="C1084" s="750"/>
      <c r="D1084" s="750"/>
      <c r="E1084" s="750"/>
      <c r="F1084" s="750"/>
      <c r="G1084" s="750"/>
      <c r="H1084" s="750"/>
      <c r="I1084" s="750"/>
      <c r="J1084" s="871"/>
      <c r="K1084" s="801"/>
      <c r="L1084" s="899"/>
      <c r="M1084" s="650"/>
      <c r="N1084" s="917"/>
      <c r="O1084" s="646"/>
      <c r="P1084" s="933"/>
      <c r="Q1084" s="646"/>
      <c r="R1084" s="942"/>
      <c r="S1084" s="650"/>
      <c r="T1084" s="934"/>
      <c r="U1084" s="650"/>
      <c r="V1084" s="930"/>
    </row>
    <row r="1085" spans="1:22" s="624" customFormat="1" ht="16.5" customHeight="1">
      <c r="A1085" s="750"/>
      <c r="B1085" s="750"/>
      <c r="C1085" s="750"/>
      <c r="D1085" s="750"/>
      <c r="E1085" s="750"/>
      <c r="F1085" s="750"/>
      <c r="G1085" s="750"/>
      <c r="H1085" s="750"/>
      <c r="I1085" s="750"/>
      <c r="J1085" s="871"/>
      <c r="K1085" s="801"/>
      <c r="L1085" s="899"/>
      <c r="M1085" s="650"/>
      <c r="N1085" s="917"/>
      <c r="O1085" s="646"/>
      <c r="P1085" s="933"/>
      <c r="Q1085" s="646"/>
      <c r="R1085" s="942"/>
      <c r="S1085" s="650"/>
      <c r="T1085" s="934"/>
      <c r="U1085" s="650"/>
      <c r="V1085" s="930"/>
    </row>
    <row r="1086" spans="1:22" s="624" customFormat="1" ht="16.5" customHeight="1">
      <c r="A1086" s="750"/>
      <c r="B1086" s="750"/>
      <c r="C1086" s="750"/>
      <c r="D1086" s="750"/>
      <c r="E1086" s="750"/>
      <c r="F1086" s="750"/>
      <c r="G1086" s="750"/>
      <c r="H1086" s="750"/>
      <c r="I1086" s="750"/>
      <c r="J1086" s="871"/>
      <c r="K1086" s="801"/>
      <c r="L1086" s="899"/>
      <c r="M1086" s="650"/>
      <c r="N1086" s="917"/>
      <c r="O1086" s="646"/>
      <c r="P1086" s="933"/>
      <c r="Q1086" s="646"/>
      <c r="R1086" s="942"/>
      <c r="S1086" s="650"/>
      <c r="T1086" s="934"/>
      <c r="U1086" s="650"/>
      <c r="V1086" s="930"/>
    </row>
    <row r="1087" spans="1:22" s="624" customFormat="1" ht="16.5" customHeight="1">
      <c r="A1087" s="750"/>
      <c r="B1087" s="750"/>
      <c r="C1087" s="750"/>
      <c r="D1087" s="750"/>
      <c r="E1087" s="750"/>
      <c r="F1087" s="750"/>
      <c r="G1087" s="750"/>
      <c r="H1087" s="750"/>
      <c r="I1087" s="750"/>
      <c r="J1087" s="871"/>
      <c r="K1087" s="801"/>
      <c r="L1087" s="899"/>
      <c r="M1087" s="650"/>
      <c r="N1087" s="917"/>
      <c r="O1087" s="646"/>
      <c r="P1087" s="933"/>
      <c r="Q1087" s="646"/>
      <c r="R1087" s="942"/>
      <c r="S1087" s="650"/>
      <c r="T1087" s="934"/>
      <c r="U1087" s="650"/>
      <c r="V1087" s="930"/>
    </row>
    <row r="1088" spans="1:22" s="624" customFormat="1" ht="16.5" customHeight="1">
      <c r="A1088" s="750"/>
      <c r="B1088" s="750"/>
      <c r="C1088" s="750"/>
      <c r="D1088" s="750"/>
      <c r="E1088" s="750"/>
      <c r="F1088" s="750"/>
      <c r="G1088" s="750"/>
      <c r="H1088" s="750"/>
      <c r="I1088" s="750"/>
      <c r="J1088" s="871"/>
      <c r="K1088" s="801"/>
      <c r="L1088" s="899"/>
      <c r="M1088" s="650"/>
      <c r="N1088" s="917"/>
      <c r="O1088" s="646"/>
      <c r="P1088" s="933"/>
      <c r="Q1088" s="646"/>
      <c r="R1088" s="942"/>
      <c r="S1088" s="650"/>
      <c r="T1088" s="934"/>
      <c r="U1088" s="650"/>
      <c r="V1088" s="930"/>
    </row>
    <row r="1089" spans="1:22" s="624" customFormat="1" ht="16.5" customHeight="1">
      <c r="A1089" s="750"/>
      <c r="B1089" s="750"/>
      <c r="C1089" s="750"/>
      <c r="D1089" s="750"/>
      <c r="E1089" s="750"/>
      <c r="F1089" s="750"/>
      <c r="G1089" s="750"/>
      <c r="H1089" s="750"/>
      <c r="I1089" s="750"/>
      <c r="J1089" s="871"/>
      <c r="K1089" s="801"/>
      <c r="L1089" s="899"/>
      <c r="M1089" s="650"/>
      <c r="N1089" s="917"/>
      <c r="O1089" s="646"/>
      <c r="P1089" s="933"/>
      <c r="Q1089" s="646"/>
      <c r="R1089" s="942"/>
      <c r="S1089" s="650"/>
      <c r="T1089" s="934"/>
      <c r="U1089" s="650"/>
      <c r="V1089" s="930"/>
    </row>
    <row r="1090" spans="1:22" s="624" customFormat="1" ht="16.5" customHeight="1">
      <c r="A1090" s="750"/>
      <c r="B1090" s="750"/>
      <c r="C1090" s="750"/>
      <c r="D1090" s="750"/>
      <c r="E1090" s="750"/>
      <c r="F1090" s="750"/>
      <c r="G1090" s="750"/>
      <c r="H1090" s="750"/>
      <c r="I1090" s="750"/>
      <c r="J1090" s="871"/>
      <c r="K1090" s="801"/>
      <c r="L1090" s="899"/>
      <c r="M1090" s="650"/>
      <c r="N1090" s="917"/>
      <c r="O1090" s="646"/>
      <c r="P1090" s="933"/>
      <c r="Q1090" s="646"/>
      <c r="R1090" s="942"/>
      <c r="S1090" s="650"/>
      <c r="T1090" s="934"/>
      <c r="U1090" s="650"/>
      <c r="V1090" s="930"/>
    </row>
    <row r="1091" spans="1:22" s="624" customFormat="1" ht="16.5" customHeight="1">
      <c r="A1091" s="750"/>
      <c r="B1091" s="750"/>
      <c r="C1091" s="750"/>
      <c r="D1091" s="750"/>
      <c r="E1091" s="750"/>
      <c r="F1091" s="750"/>
      <c r="G1091" s="750"/>
      <c r="H1091" s="750"/>
      <c r="I1091" s="750"/>
      <c r="J1091" s="871"/>
      <c r="K1091" s="801"/>
      <c r="L1091" s="899"/>
      <c r="M1091" s="650"/>
      <c r="N1091" s="917"/>
      <c r="O1091" s="646"/>
      <c r="P1091" s="933"/>
      <c r="Q1091" s="646"/>
      <c r="R1091" s="942"/>
      <c r="S1091" s="650"/>
      <c r="T1091" s="934"/>
      <c r="U1091" s="650"/>
      <c r="V1091" s="930"/>
    </row>
    <row r="1092" spans="1:22" s="624" customFormat="1" ht="16.5" customHeight="1">
      <c r="A1092" s="750"/>
      <c r="B1092" s="750"/>
      <c r="C1092" s="750"/>
      <c r="D1092" s="750"/>
      <c r="E1092" s="750"/>
      <c r="F1092" s="750"/>
      <c r="G1092" s="750"/>
      <c r="H1092" s="750"/>
      <c r="I1092" s="750"/>
      <c r="J1092" s="871"/>
      <c r="K1092" s="801"/>
      <c r="L1092" s="899"/>
      <c r="M1092" s="650"/>
      <c r="N1092" s="917"/>
      <c r="O1092" s="646"/>
      <c r="P1092" s="933"/>
      <c r="Q1092" s="646"/>
      <c r="R1092" s="942"/>
      <c r="S1092" s="650"/>
      <c r="T1092" s="934"/>
      <c r="U1092" s="650"/>
      <c r="V1092" s="930"/>
    </row>
    <row r="1093" spans="1:22" s="624" customFormat="1" ht="16.5" customHeight="1">
      <c r="A1093" s="750"/>
      <c r="B1093" s="750"/>
      <c r="C1093" s="750"/>
      <c r="D1093" s="750"/>
      <c r="E1093" s="750"/>
      <c r="F1093" s="750"/>
      <c r="G1093" s="750"/>
      <c r="H1093" s="750"/>
      <c r="I1093" s="750"/>
      <c r="J1093" s="871"/>
      <c r="K1093" s="801"/>
      <c r="L1093" s="899"/>
      <c r="M1093" s="650"/>
      <c r="N1093" s="917"/>
      <c r="O1093" s="646"/>
      <c r="P1093" s="933"/>
      <c r="Q1093" s="646"/>
      <c r="R1093" s="942"/>
      <c r="S1093" s="650"/>
      <c r="T1093" s="934"/>
      <c r="U1093" s="650"/>
      <c r="V1093" s="930"/>
    </row>
    <row r="1094" spans="1:22" s="624" customFormat="1" ht="16.5" customHeight="1">
      <c r="A1094" s="750"/>
      <c r="B1094" s="750"/>
      <c r="C1094" s="750"/>
      <c r="D1094" s="750"/>
      <c r="E1094" s="750"/>
      <c r="F1094" s="750"/>
      <c r="G1094" s="750"/>
      <c r="H1094" s="750"/>
      <c r="I1094" s="750"/>
      <c r="J1094" s="871"/>
      <c r="K1094" s="801"/>
      <c r="L1094" s="899"/>
      <c r="M1094" s="650"/>
      <c r="N1094" s="917"/>
      <c r="O1094" s="646"/>
      <c r="P1094" s="933"/>
      <c r="Q1094" s="646"/>
      <c r="R1094" s="942"/>
      <c r="S1094" s="650"/>
      <c r="T1094" s="934"/>
      <c r="U1094" s="650"/>
      <c r="V1094" s="930"/>
    </row>
    <row r="1095" spans="1:22" s="624" customFormat="1" ht="16.5" customHeight="1">
      <c r="A1095" s="750"/>
      <c r="B1095" s="750"/>
      <c r="C1095" s="750"/>
      <c r="D1095" s="750"/>
      <c r="E1095" s="750"/>
      <c r="F1095" s="750"/>
      <c r="G1095" s="750"/>
      <c r="H1095" s="750"/>
      <c r="I1095" s="750"/>
      <c r="J1095" s="871"/>
      <c r="K1095" s="801"/>
      <c r="L1095" s="899"/>
      <c r="M1095" s="650"/>
      <c r="N1095" s="917"/>
      <c r="O1095" s="646"/>
      <c r="P1095" s="933"/>
      <c r="Q1095" s="646"/>
      <c r="R1095" s="942"/>
      <c r="S1095" s="650"/>
      <c r="T1095" s="934"/>
      <c r="U1095" s="650"/>
      <c r="V1095" s="930"/>
    </row>
    <row r="1096" spans="1:22" s="624" customFormat="1" ht="16.5" customHeight="1">
      <c r="A1096" s="750"/>
      <c r="B1096" s="750"/>
      <c r="C1096" s="750"/>
      <c r="D1096" s="750"/>
      <c r="E1096" s="750"/>
      <c r="F1096" s="750"/>
      <c r="G1096" s="750"/>
      <c r="H1096" s="750"/>
      <c r="I1096" s="750"/>
      <c r="J1096" s="871"/>
      <c r="K1096" s="801"/>
      <c r="L1096" s="899"/>
      <c r="M1096" s="650"/>
      <c r="N1096" s="917"/>
      <c r="O1096" s="646"/>
      <c r="P1096" s="933"/>
      <c r="Q1096" s="646"/>
      <c r="R1096" s="942"/>
      <c r="S1096" s="650"/>
      <c r="T1096" s="934"/>
      <c r="U1096" s="650"/>
      <c r="V1096" s="930"/>
    </row>
    <row r="1097" spans="1:22" s="624" customFormat="1" ht="16.5" customHeight="1">
      <c r="A1097" s="750"/>
      <c r="B1097" s="750"/>
      <c r="C1097" s="750"/>
      <c r="D1097" s="750"/>
      <c r="E1097" s="750"/>
      <c r="F1097" s="750"/>
      <c r="G1097" s="750"/>
      <c r="H1097" s="750"/>
      <c r="I1097" s="750"/>
      <c r="J1097" s="871"/>
      <c r="K1097" s="801"/>
      <c r="L1097" s="899"/>
      <c r="M1097" s="650"/>
      <c r="N1097" s="917"/>
      <c r="O1097" s="646"/>
      <c r="P1097" s="933"/>
      <c r="Q1097" s="646"/>
      <c r="R1097" s="942"/>
      <c r="S1097" s="650"/>
      <c r="T1097" s="934"/>
      <c r="U1097" s="650"/>
      <c r="V1097" s="930"/>
    </row>
    <row r="1098" spans="1:22" s="624" customFormat="1" ht="16.5" customHeight="1">
      <c r="A1098" s="750"/>
      <c r="B1098" s="750"/>
      <c r="C1098" s="750"/>
      <c r="D1098" s="750"/>
      <c r="E1098" s="750"/>
      <c r="F1098" s="750"/>
      <c r="G1098" s="750"/>
      <c r="H1098" s="750"/>
      <c r="I1098" s="750"/>
      <c r="J1098" s="871"/>
      <c r="K1098" s="801"/>
      <c r="L1098" s="899"/>
      <c r="M1098" s="650"/>
      <c r="N1098" s="917"/>
      <c r="O1098" s="646"/>
      <c r="P1098" s="933"/>
      <c r="Q1098" s="646"/>
      <c r="R1098" s="942"/>
      <c r="S1098" s="650"/>
      <c r="T1098" s="934"/>
      <c r="U1098" s="650"/>
      <c r="V1098" s="930"/>
    </row>
    <row r="1122" spans="1:22" s="624" customFormat="1" ht="16.5" customHeight="1">
      <c r="A1122" s="750"/>
      <c r="B1122" s="750"/>
      <c r="C1122" s="750"/>
      <c r="D1122" s="750"/>
      <c r="E1122" s="750"/>
      <c r="F1122" s="750"/>
      <c r="G1122" s="750"/>
      <c r="H1122" s="750"/>
      <c r="I1122" s="750"/>
      <c r="J1122" s="871"/>
      <c r="K1122" s="801"/>
      <c r="L1122" s="899"/>
      <c r="M1122" s="650"/>
      <c r="N1122" s="917"/>
      <c r="O1122" s="646"/>
      <c r="P1122" s="933"/>
      <c r="Q1122" s="646"/>
      <c r="R1122" s="942"/>
      <c r="S1122" s="650"/>
      <c r="T1122" s="934"/>
      <c r="U1122" s="650"/>
      <c r="V1122" s="930"/>
    </row>
    <row r="1123" spans="1:22" s="624" customFormat="1" ht="16.5" customHeight="1">
      <c r="A1123" s="750"/>
      <c r="B1123" s="750"/>
      <c r="C1123" s="750"/>
      <c r="D1123" s="750"/>
      <c r="E1123" s="750"/>
      <c r="F1123" s="750"/>
      <c r="G1123" s="750"/>
      <c r="H1123" s="750"/>
      <c r="I1123" s="750"/>
      <c r="J1123" s="871"/>
      <c r="K1123" s="801"/>
      <c r="L1123" s="899"/>
      <c r="M1123" s="650"/>
      <c r="N1123" s="917"/>
      <c r="O1123" s="646"/>
      <c r="P1123" s="933"/>
      <c r="Q1123" s="646"/>
      <c r="R1123" s="942"/>
      <c r="S1123" s="650"/>
      <c r="T1123" s="934"/>
      <c r="U1123" s="650"/>
      <c r="V1123" s="930"/>
    </row>
    <row r="1124" spans="1:22" s="624" customFormat="1" ht="16.5" customHeight="1">
      <c r="A1124" s="750"/>
      <c r="B1124" s="750"/>
      <c r="C1124" s="750"/>
      <c r="D1124" s="750"/>
      <c r="E1124" s="750"/>
      <c r="F1124" s="750"/>
      <c r="G1124" s="750"/>
      <c r="H1124" s="750"/>
      <c r="I1124" s="750"/>
      <c r="J1124" s="871"/>
      <c r="K1124" s="801"/>
      <c r="L1124" s="899"/>
      <c r="M1124" s="650"/>
      <c r="N1124" s="917"/>
      <c r="O1124" s="646"/>
      <c r="P1124" s="933"/>
      <c r="Q1124" s="646"/>
      <c r="R1124" s="942"/>
      <c r="S1124" s="650"/>
      <c r="T1124" s="934"/>
      <c r="U1124" s="650"/>
      <c r="V1124" s="930"/>
    </row>
    <row r="1125" spans="1:22" s="624" customFormat="1" ht="16.5" customHeight="1">
      <c r="A1125" s="750"/>
      <c r="B1125" s="750"/>
      <c r="C1125" s="750"/>
      <c r="D1125" s="750"/>
      <c r="E1125" s="750"/>
      <c r="F1125" s="750"/>
      <c r="G1125" s="750"/>
      <c r="H1125" s="750"/>
      <c r="I1125" s="750"/>
      <c r="J1125" s="871"/>
      <c r="K1125" s="801"/>
      <c r="L1125" s="899"/>
      <c r="M1125" s="650"/>
      <c r="N1125" s="917"/>
      <c r="O1125" s="646"/>
      <c r="P1125" s="933"/>
      <c r="Q1125" s="646"/>
      <c r="R1125" s="942"/>
      <c r="S1125" s="650"/>
      <c r="T1125" s="934"/>
      <c r="U1125" s="650"/>
      <c r="V1125" s="930"/>
    </row>
    <row r="1126" spans="1:22" s="624" customFormat="1" ht="16.5" customHeight="1">
      <c r="A1126" s="750"/>
      <c r="B1126" s="750"/>
      <c r="C1126" s="750"/>
      <c r="D1126" s="750"/>
      <c r="E1126" s="750"/>
      <c r="F1126" s="750"/>
      <c r="G1126" s="750"/>
      <c r="H1126" s="750"/>
      <c r="I1126" s="750"/>
      <c r="J1126" s="871"/>
      <c r="K1126" s="801"/>
      <c r="L1126" s="899"/>
      <c r="M1126" s="650"/>
      <c r="N1126" s="917"/>
      <c r="O1126" s="646"/>
      <c r="P1126" s="933"/>
      <c r="Q1126" s="646"/>
      <c r="R1126" s="942"/>
      <c r="S1126" s="650"/>
      <c r="T1126" s="934"/>
      <c r="U1126" s="650"/>
      <c r="V1126" s="930"/>
    </row>
    <row r="1127" spans="1:22" s="624" customFormat="1" ht="16.5" customHeight="1">
      <c r="A1127" s="750"/>
      <c r="B1127" s="750"/>
      <c r="C1127" s="750"/>
      <c r="D1127" s="750"/>
      <c r="E1127" s="750"/>
      <c r="F1127" s="750"/>
      <c r="G1127" s="750"/>
      <c r="H1127" s="750"/>
      <c r="I1127" s="750"/>
      <c r="J1127" s="871"/>
      <c r="K1127" s="801"/>
      <c r="L1127" s="899"/>
      <c r="M1127" s="650"/>
      <c r="N1127" s="917"/>
      <c r="O1127" s="646"/>
      <c r="P1127" s="933"/>
      <c r="Q1127" s="646"/>
      <c r="R1127" s="942"/>
      <c r="S1127" s="650"/>
      <c r="T1127" s="934"/>
      <c r="U1127" s="650"/>
      <c r="V1127" s="930"/>
    </row>
    <row r="1128" spans="1:22" s="624" customFormat="1" ht="16.5" customHeight="1">
      <c r="A1128" s="750"/>
      <c r="B1128" s="750"/>
      <c r="C1128" s="750"/>
      <c r="D1128" s="750"/>
      <c r="E1128" s="750"/>
      <c r="F1128" s="750"/>
      <c r="G1128" s="750"/>
      <c r="H1128" s="750"/>
      <c r="I1128" s="750"/>
      <c r="J1128" s="871"/>
      <c r="K1128" s="801"/>
      <c r="L1128" s="899"/>
      <c r="M1128" s="650"/>
      <c r="N1128" s="917"/>
      <c r="O1128" s="646"/>
      <c r="P1128" s="933"/>
      <c r="Q1128" s="646"/>
      <c r="R1128" s="942"/>
      <c r="S1128" s="650"/>
      <c r="T1128" s="934"/>
      <c r="U1128" s="650"/>
      <c r="V1128" s="930"/>
    </row>
    <row r="1129" spans="1:22" s="624" customFormat="1" ht="16.5" customHeight="1">
      <c r="A1129" s="750"/>
      <c r="B1129" s="750"/>
      <c r="C1129" s="750"/>
      <c r="D1129" s="750"/>
      <c r="E1129" s="750"/>
      <c r="F1129" s="750"/>
      <c r="G1129" s="750"/>
      <c r="H1129" s="750"/>
      <c r="I1129" s="750"/>
      <c r="J1129" s="871"/>
      <c r="K1129" s="801"/>
      <c r="L1129" s="899"/>
      <c r="M1129" s="650"/>
      <c r="N1129" s="917"/>
      <c r="O1129" s="646"/>
      <c r="P1129" s="933"/>
      <c r="Q1129" s="646"/>
      <c r="R1129" s="942"/>
      <c r="S1129" s="650"/>
      <c r="T1129" s="934"/>
      <c r="U1129" s="650"/>
      <c r="V1129" s="930"/>
    </row>
    <row r="1130" spans="1:22" s="624" customFormat="1" ht="16.5" customHeight="1">
      <c r="A1130" s="750"/>
      <c r="B1130" s="750"/>
      <c r="C1130" s="750"/>
      <c r="D1130" s="750"/>
      <c r="E1130" s="750"/>
      <c r="F1130" s="750"/>
      <c r="G1130" s="750"/>
      <c r="H1130" s="750"/>
      <c r="I1130" s="750"/>
      <c r="J1130" s="871"/>
      <c r="K1130" s="801"/>
      <c r="L1130" s="899"/>
      <c r="M1130" s="650"/>
      <c r="N1130" s="917"/>
      <c r="O1130" s="646"/>
      <c r="P1130" s="933"/>
      <c r="Q1130" s="646"/>
      <c r="R1130" s="942"/>
      <c r="S1130" s="650"/>
      <c r="T1130" s="934"/>
      <c r="U1130" s="650"/>
      <c r="V1130" s="930"/>
    </row>
    <row r="1131" spans="1:22" s="624" customFormat="1" ht="16.5" customHeight="1">
      <c r="A1131" s="750"/>
      <c r="B1131" s="750"/>
      <c r="C1131" s="750"/>
      <c r="D1131" s="750"/>
      <c r="E1131" s="750"/>
      <c r="F1131" s="750"/>
      <c r="G1131" s="750"/>
      <c r="H1131" s="750"/>
      <c r="I1131" s="750"/>
      <c r="J1131" s="871"/>
      <c r="K1131" s="801"/>
      <c r="L1131" s="899"/>
      <c r="M1131" s="650"/>
      <c r="N1131" s="917"/>
      <c r="O1131" s="646"/>
      <c r="P1131" s="933"/>
      <c r="Q1131" s="646"/>
      <c r="R1131" s="942"/>
      <c r="S1131" s="650"/>
      <c r="T1131" s="934"/>
      <c r="U1131" s="650"/>
      <c r="V1131" s="930"/>
    </row>
    <row r="1132" spans="1:22" s="624" customFormat="1" ht="16.5" customHeight="1">
      <c r="A1132" s="750"/>
      <c r="B1132" s="750"/>
      <c r="C1132" s="750"/>
      <c r="D1132" s="750"/>
      <c r="E1132" s="750"/>
      <c r="F1132" s="750"/>
      <c r="G1132" s="750"/>
      <c r="H1132" s="750"/>
      <c r="I1132" s="750"/>
      <c r="J1132" s="871"/>
      <c r="K1132" s="801"/>
      <c r="L1132" s="899"/>
      <c r="M1132" s="650"/>
      <c r="N1132" s="917"/>
      <c r="O1132" s="646"/>
      <c r="P1132" s="933"/>
      <c r="Q1132" s="646"/>
      <c r="R1132" s="942"/>
      <c r="S1132" s="650"/>
      <c r="T1132" s="934"/>
      <c r="U1132" s="650"/>
      <c r="V1132" s="930"/>
    </row>
    <row r="1133" spans="1:22" s="624" customFormat="1" ht="16.5" customHeight="1">
      <c r="A1133" s="750"/>
      <c r="B1133" s="750"/>
      <c r="C1133" s="750"/>
      <c r="D1133" s="750"/>
      <c r="E1133" s="750"/>
      <c r="F1133" s="750"/>
      <c r="G1133" s="750"/>
      <c r="H1133" s="750"/>
      <c r="I1133" s="750"/>
      <c r="J1133" s="871"/>
      <c r="K1133" s="801"/>
      <c r="L1133" s="899"/>
      <c r="M1133" s="650"/>
      <c r="N1133" s="917"/>
      <c r="O1133" s="646"/>
      <c r="P1133" s="933"/>
      <c r="Q1133" s="646"/>
      <c r="R1133" s="942"/>
      <c r="S1133" s="650"/>
      <c r="T1133" s="934"/>
      <c r="U1133" s="650"/>
      <c r="V1133" s="930"/>
    </row>
    <row r="1134" spans="1:22" s="624" customFormat="1" ht="16.5" customHeight="1">
      <c r="A1134" s="750"/>
      <c r="B1134" s="750"/>
      <c r="C1134" s="750"/>
      <c r="D1134" s="750"/>
      <c r="E1134" s="750"/>
      <c r="F1134" s="750"/>
      <c r="G1134" s="750"/>
      <c r="H1134" s="750"/>
      <c r="I1134" s="750"/>
      <c r="J1134" s="871"/>
      <c r="K1134" s="801"/>
      <c r="L1134" s="899"/>
      <c r="M1134" s="650"/>
      <c r="N1134" s="917"/>
      <c r="O1134" s="646"/>
      <c r="P1134" s="933"/>
      <c r="Q1134" s="646"/>
      <c r="R1134" s="942"/>
      <c r="S1134" s="650"/>
      <c r="T1134" s="934"/>
      <c r="U1134" s="650"/>
      <c r="V1134" s="930"/>
    </row>
    <row r="1135" spans="1:22" s="624" customFormat="1" ht="16.5" customHeight="1">
      <c r="A1135" s="750"/>
      <c r="B1135" s="750"/>
      <c r="C1135" s="750"/>
      <c r="D1135" s="750"/>
      <c r="E1135" s="750"/>
      <c r="F1135" s="750"/>
      <c r="G1135" s="750"/>
      <c r="H1135" s="750"/>
      <c r="I1135" s="750"/>
      <c r="J1135" s="871"/>
      <c r="K1135" s="801"/>
      <c r="L1135" s="899"/>
      <c r="M1135" s="650"/>
      <c r="N1135" s="917"/>
      <c r="O1135" s="646"/>
      <c r="P1135" s="933"/>
      <c r="Q1135" s="646"/>
      <c r="R1135" s="942"/>
      <c r="S1135" s="650"/>
      <c r="T1135" s="934"/>
      <c r="U1135" s="650"/>
      <c r="V1135" s="930"/>
    </row>
    <row r="1136" spans="1:22" s="624" customFormat="1" ht="16.5" customHeight="1">
      <c r="A1136" s="750"/>
      <c r="B1136" s="750"/>
      <c r="C1136" s="750"/>
      <c r="D1136" s="750"/>
      <c r="E1136" s="750"/>
      <c r="F1136" s="750"/>
      <c r="G1136" s="750"/>
      <c r="H1136" s="750"/>
      <c r="I1136" s="750"/>
      <c r="J1136" s="871"/>
      <c r="K1136" s="801"/>
      <c r="L1136" s="899"/>
      <c r="M1136" s="650"/>
      <c r="N1136" s="917"/>
      <c r="O1136" s="646"/>
      <c r="P1136" s="933"/>
      <c r="Q1136" s="646"/>
      <c r="R1136" s="942"/>
      <c r="S1136" s="650"/>
      <c r="T1136" s="934"/>
      <c r="U1136" s="650"/>
      <c r="V1136" s="930"/>
    </row>
    <row r="1137" spans="1:22" s="624" customFormat="1" ht="16.5" customHeight="1">
      <c r="A1137" s="750"/>
      <c r="B1137" s="750"/>
      <c r="C1137" s="750"/>
      <c r="D1137" s="750"/>
      <c r="E1137" s="750"/>
      <c r="F1137" s="750"/>
      <c r="G1137" s="750"/>
      <c r="H1137" s="750"/>
      <c r="I1137" s="750"/>
      <c r="J1137" s="871"/>
      <c r="K1137" s="801"/>
      <c r="L1137" s="899"/>
      <c r="M1137" s="650"/>
      <c r="N1137" s="917"/>
      <c r="O1137" s="646"/>
      <c r="P1137" s="933"/>
      <c r="Q1137" s="646"/>
      <c r="R1137" s="942"/>
      <c r="S1137" s="650"/>
      <c r="T1137" s="934"/>
      <c r="U1137" s="650"/>
      <c r="V1137" s="930"/>
    </row>
    <row r="1138" spans="1:22" s="624" customFormat="1" ht="16.5" customHeight="1">
      <c r="A1138" s="750"/>
      <c r="B1138" s="750"/>
      <c r="C1138" s="750"/>
      <c r="D1138" s="750"/>
      <c r="E1138" s="750"/>
      <c r="F1138" s="750"/>
      <c r="G1138" s="750"/>
      <c r="H1138" s="750"/>
      <c r="I1138" s="750"/>
      <c r="J1138" s="871"/>
      <c r="K1138" s="801"/>
      <c r="L1138" s="899"/>
      <c r="M1138" s="650"/>
      <c r="N1138" s="917"/>
      <c r="O1138" s="646"/>
      <c r="P1138" s="933"/>
      <c r="Q1138" s="646"/>
      <c r="R1138" s="942"/>
      <c r="S1138" s="650"/>
      <c r="T1138" s="934"/>
      <c r="U1138" s="650"/>
      <c r="V1138" s="930"/>
    </row>
    <row r="1139" spans="1:22" s="624" customFormat="1" ht="16.5" customHeight="1">
      <c r="A1139" s="750"/>
      <c r="B1139" s="750"/>
      <c r="C1139" s="750"/>
      <c r="D1139" s="750"/>
      <c r="E1139" s="750"/>
      <c r="F1139" s="750"/>
      <c r="G1139" s="750"/>
      <c r="H1139" s="750"/>
      <c r="I1139" s="750"/>
      <c r="J1139" s="871"/>
      <c r="K1139" s="801"/>
      <c r="L1139" s="899"/>
      <c r="M1139" s="650"/>
      <c r="N1139" s="917"/>
      <c r="O1139" s="646"/>
      <c r="P1139" s="933"/>
      <c r="Q1139" s="646"/>
      <c r="R1139" s="942"/>
      <c r="S1139" s="650"/>
      <c r="T1139" s="934"/>
      <c r="U1139" s="650"/>
      <c r="V1139" s="930"/>
    </row>
    <row r="1140" spans="1:22" s="624" customFormat="1" ht="16.5" customHeight="1">
      <c r="A1140" s="750"/>
      <c r="B1140" s="750"/>
      <c r="C1140" s="750"/>
      <c r="D1140" s="750"/>
      <c r="E1140" s="750"/>
      <c r="F1140" s="750"/>
      <c r="G1140" s="750"/>
      <c r="H1140" s="750"/>
      <c r="I1140" s="750"/>
      <c r="J1140" s="871"/>
      <c r="K1140" s="801"/>
      <c r="L1140" s="899"/>
      <c r="M1140" s="650"/>
      <c r="N1140" s="917"/>
      <c r="O1140" s="646"/>
      <c r="P1140" s="933"/>
      <c r="Q1140" s="646"/>
      <c r="R1140" s="942"/>
      <c r="S1140" s="650"/>
      <c r="T1140" s="934"/>
      <c r="U1140" s="650"/>
      <c r="V1140" s="930"/>
    </row>
    <row r="1141" spans="1:22" s="624" customFormat="1" ht="16.5" customHeight="1">
      <c r="A1141" s="750"/>
      <c r="B1141" s="750"/>
      <c r="C1141" s="750"/>
      <c r="D1141" s="750"/>
      <c r="E1141" s="750"/>
      <c r="F1141" s="750"/>
      <c r="G1141" s="750"/>
      <c r="H1141" s="750"/>
      <c r="I1141" s="750"/>
      <c r="J1141" s="871"/>
      <c r="K1141" s="801"/>
      <c r="L1141" s="899"/>
      <c r="M1141" s="650"/>
      <c r="N1141" s="917"/>
      <c r="O1141" s="646"/>
      <c r="P1141" s="933"/>
      <c r="Q1141" s="646"/>
      <c r="R1141" s="942"/>
      <c r="S1141" s="650"/>
      <c r="T1141" s="934"/>
      <c r="U1141" s="650"/>
      <c r="V1141" s="930"/>
    </row>
    <row r="1142" spans="1:22" s="624" customFormat="1" ht="16.5" customHeight="1">
      <c r="A1142" s="750"/>
      <c r="B1142" s="750"/>
      <c r="C1142" s="750"/>
      <c r="D1142" s="750"/>
      <c r="E1142" s="750"/>
      <c r="F1142" s="750"/>
      <c r="G1142" s="750"/>
      <c r="H1142" s="750"/>
      <c r="I1142" s="750"/>
      <c r="J1142" s="871"/>
      <c r="K1142" s="801"/>
      <c r="L1142" s="899"/>
      <c r="M1142" s="650"/>
      <c r="N1142" s="917"/>
      <c r="O1142" s="646"/>
      <c r="P1142" s="933"/>
      <c r="Q1142" s="646"/>
      <c r="R1142" s="942"/>
      <c r="S1142" s="650"/>
      <c r="T1142" s="934"/>
      <c r="U1142" s="650"/>
      <c r="V1142" s="930"/>
    </row>
    <row r="1143" spans="1:22" s="624" customFormat="1" ht="16.5" customHeight="1">
      <c r="A1143" s="750"/>
      <c r="B1143" s="750"/>
      <c r="C1143" s="750"/>
      <c r="D1143" s="750"/>
      <c r="E1143" s="750"/>
      <c r="F1143" s="750"/>
      <c r="G1143" s="750"/>
      <c r="H1143" s="750"/>
      <c r="I1143" s="750"/>
      <c r="J1143" s="871"/>
      <c r="K1143" s="801"/>
      <c r="L1143" s="899"/>
      <c r="M1143" s="650"/>
      <c r="N1143" s="917"/>
      <c r="O1143" s="646"/>
      <c r="P1143" s="933"/>
      <c r="Q1143" s="646"/>
      <c r="R1143" s="942"/>
      <c r="S1143" s="650"/>
      <c r="T1143" s="934"/>
      <c r="U1143" s="650"/>
      <c r="V1143" s="930"/>
    </row>
    <row r="1144" spans="1:22" s="624" customFormat="1" ht="16.5" customHeight="1">
      <c r="A1144" s="750"/>
      <c r="B1144" s="750"/>
      <c r="C1144" s="750"/>
      <c r="D1144" s="750"/>
      <c r="E1144" s="750"/>
      <c r="F1144" s="750"/>
      <c r="G1144" s="750"/>
      <c r="H1144" s="750"/>
      <c r="I1144" s="750"/>
      <c r="J1144" s="871"/>
      <c r="K1144" s="801"/>
      <c r="L1144" s="899"/>
      <c r="M1144" s="650"/>
      <c r="N1144" s="917"/>
      <c r="O1144" s="646"/>
      <c r="P1144" s="933"/>
      <c r="Q1144" s="646"/>
      <c r="R1144" s="942"/>
      <c r="S1144" s="650"/>
      <c r="T1144" s="934"/>
      <c r="U1144" s="650"/>
      <c r="V1144" s="930"/>
    </row>
    <row r="1145" spans="1:22" s="624" customFormat="1" ht="16.5" customHeight="1">
      <c r="A1145" s="750"/>
      <c r="B1145" s="750"/>
      <c r="C1145" s="750"/>
      <c r="D1145" s="750"/>
      <c r="E1145" s="750"/>
      <c r="F1145" s="750"/>
      <c r="G1145" s="750"/>
      <c r="H1145" s="750"/>
      <c r="I1145" s="750"/>
      <c r="J1145" s="871"/>
      <c r="K1145" s="801"/>
      <c r="L1145" s="899"/>
      <c r="M1145" s="650"/>
      <c r="N1145" s="917"/>
      <c r="O1145" s="646"/>
      <c r="P1145" s="933"/>
      <c r="Q1145" s="646"/>
      <c r="R1145" s="942"/>
      <c r="S1145" s="650"/>
      <c r="T1145" s="934"/>
      <c r="U1145" s="650"/>
      <c r="V1145" s="930"/>
    </row>
    <row r="1146" spans="1:22" s="624" customFormat="1" ht="16.5" customHeight="1">
      <c r="A1146" s="750"/>
      <c r="B1146" s="750"/>
      <c r="C1146" s="750"/>
      <c r="D1146" s="750"/>
      <c r="E1146" s="750"/>
      <c r="F1146" s="750"/>
      <c r="G1146" s="750"/>
      <c r="H1146" s="750"/>
      <c r="I1146" s="750"/>
      <c r="J1146" s="871"/>
      <c r="K1146" s="801"/>
      <c r="L1146" s="899"/>
      <c r="M1146" s="650"/>
      <c r="N1146" s="917"/>
      <c r="O1146" s="646"/>
      <c r="P1146" s="933"/>
      <c r="Q1146" s="646"/>
      <c r="R1146" s="942"/>
      <c r="S1146" s="650"/>
      <c r="T1146" s="934"/>
      <c r="U1146" s="650"/>
      <c r="V1146" s="930"/>
    </row>
    <row r="1147" spans="1:22" s="624" customFormat="1" ht="16.5" customHeight="1">
      <c r="A1147" s="750"/>
      <c r="B1147" s="750"/>
      <c r="C1147" s="750"/>
      <c r="D1147" s="750"/>
      <c r="E1147" s="750"/>
      <c r="F1147" s="750"/>
      <c r="G1147" s="750"/>
      <c r="H1147" s="750"/>
      <c r="I1147" s="750"/>
      <c r="J1147" s="871"/>
      <c r="K1147" s="801"/>
      <c r="L1147" s="899"/>
      <c r="M1147" s="650"/>
      <c r="N1147" s="917"/>
      <c r="O1147" s="646"/>
      <c r="P1147" s="933"/>
      <c r="Q1147" s="646"/>
      <c r="R1147" s="942"/>
      <c r="S1147" s="650"/>
      <c r="T1147" s="934"/>
      <c r="U1147" s="650"/>
      <c r="V1147" s="930"/>
    </row>
    <row r="1148" spans="1:22" s="624" customFormat="1" ht="16.5" customHeight="1">
      <c r="A1148" s="750"/>
      <c r="B1148" s="750"/>
      <c r="C1148" s="750"/>
      <c r="D1148" s="750"/>
      <c r="E1148" s="750"/>
      <c r="F1148" s="750"/>
      <c r="G1148" s="750"/>
      <c r="H1148" s="750"/>
      <c r="I1148" s="750"/>
      <c r="J1148" s="871"/>
      <c r="K1148" s="801"/>
      <c r="L1148" s="899"/>
      <c r="M1148" s="650"/>
      <c r="N1148" s="917"/>
      <c r="O1148" s="646"/>
      <c r="P1148" s="933"/>
      <c r="Q1148" s="646"/>
      <c r="R1148" s="942"/>
      <c r="S1148" s="650"/>
      <c r="T1148" s="934"/>
      <c r="U1148" s="650"/>
      <c r="V1148" s="930"/>
    </row>
    <row r="1149" spans="1:22" s="624" customFormat="1" ht="16.5" customHeight="1">
      <c r="A1149" s="750"/>
      <c r="B1149" s="750"/>
      <c r="C1149" s="750"/>
      <c r="D1149" s="750"/>
      <c r="E1149" s="750"/>
      <c r="F1149" s="750"/>
      <c r="G1149" s="750"/>
      <c r="H1149" s="750"/>
      <c r="I1149" s="750"/>
      <c r="J1149" s="871"/>
      <c r="K1149" s="801"/>
      <c r="L1149" s="899"/>
      <c r="M1149" s="650"/>
      <c r="N1149" s="917"/>
      <c r="O1149" s="646"/>
      <c r="P1149" s="933"/>
      <c r="Q1149" s="646"/>
      <c r="R1149" s="942"/>
      <c r="S1149" s="650"/>
      <c r="T1149" s="934"/>
      <c r="U1149" s="650"/>
      <c r="V1149" s="930"/>
    </row>
    <row r="1150" spans="1:22" s="624" customFormat="1" ht="16.5" customHeight="1">
      <c r="A1150" s="750"/>
      <c r="B1150" s="750"/>
      <c r="C1150" s="750"/>
      <c r="D1150" s="750"/>
      <c r="E1150" s="750"/>
      <c r="F1150" s="750"/>
      <c r="G1150" s="750"/>
      <c r="H1150" s="750"/>
      <c r="I1150" s="750"/>
      <c r="J1150" s="871"/>
      <c r="K1150" s="801"/>
      <c r="L1150" s="899"/>
      <c r="M1150" s="650"/>
      <c r="N1150" s="917"/>
      <c r="O1150" s="646"/>
      <c r="P1150" s="933"/>
      <c r="Q1150" s="646"/>
      <c r="R1150" s="942"/>
      <c r="S1150" s="650"/>
      <c r="T1150" s="934"/>
      <c r="U1150" s="650"/>
      <c r="V1150" s="930"/>
    </row>
    <row r="1151" spans="1:22" s="624" customFormat="1" ht="16.5" customHeight="1">
      <c r="A1151" s="750"/>
      <c r="B1151" s="750"/>
      <c r="C1151" s="750"/>
      <c r="D1151" s="750"/>
      <c r="E1151" s="750"/>
      <c r="F1151" s="750"/>
      <c r="G1151" s="750"/>
      <c r="H1151" s="750"/>
      <c r="I1151" s="750"/>
      <c r="J1151" s="871"/>
      <c r="K1151" s="801"/>
      <c r="L1151" s="899"/>
      <c r="M1151" s="650"/>
      <c r="N1151" s="917"/>
      <c r="O1151" s="646"/>
      <c r="P1151" s="933"/>
      <c r="Q1151" s="646"/>
      <c r="R1151" s="942"/>
      <c r="S1151" s="650"/>
      <c r="T1151" s="934"/>
      <c r="U1151" s="650"/>
      <c r="V1151" s="930"/>
    </row>
    <row r="1152" spans="1:22" s="624" customFormat="1" ht="16.5" customHeight="1">
      <c r="A1152" s="750"/>
      <c r="B1152" s="750"/>
      <c r="C1152" s="750"/>
      <c r="D1152" s="750"/>
      <c r="E1152" s="750"/>
      <c r="F1152" s="750"/>
      <c r="G1152" s="750"/>
      <c r="H1152" s="750"/>
      <c r="I1152" s="750"/>
      <c r="J1152" s="871"/>
      <c r="K1152" s="801"/>
      <c r="L1152" s="899"/>
      <c r="M1152" s="650"/>
      <c r="N1152" s="917"/>
      <c r="O1152" s="646"/>
      <c r="P1152" s="933"/>
      <c r="Q1152" s="646"/>
      <c r="R1152" s="942"/>
      <c r="S1152" s="650"/>
      <c r="T1152" s="934"/>
      <c r="U1152" s="650"/>
      <c r="V1152" s="930"/>
    </row>
    <row r="1153" spans="1:22" s="624" customFormat="1" ht="16.5" customHeight="1">
      <c r="A1153" s="750"/>
      <c r="B1153" s="750"/>
      <c r="C1153" s="750"/>
      <c r="D1153" s="750"/>
      <c r="E1153" s="750"/>
      <c r="F1153" s="750"/>
      <c r="G1153" s="750"/>
      <c r="H1153" s="750"/>
      <c r="I1153" s="750"/>
      <c r="J1153" s="871"/>
      <c r="K1153" s="801"/>
      <c r="L1153" s="899"/>
      <c r="M1153" s="650"/>
      <c r="N1153" s="917"/>
      <c r="O1153" s="646"/>
      <c r="P1153" s="933"/>
      <c r="Q1153" s="646"/>
      <c r="R1153" s="942"/>
      <c r="S1153" s="650"/>
      <c r="T1153" s="934"/>
      <c r="U1153" s="650"/>
      <c r="V1153" s="930"/>
    </row>
    <row r="1154" spans="1:22" s="624" customFormat="1" ht="16.5" customHeight="1">
      <c r="A1154" s="750"/>
      <c r="B1154" s="750"/>
      <c r="C1154" s="750"/>
      <c r="D1154" s="750"/>
      <c r="E1154" s="750"/>
      <c r="F1154" s="750"/>
      <c r="G1154" s="750"/>
      <c r="H1154" s="750"/>
      <c r="I1154" s="750"/>
      <c r="J1154" s="871"/>
      <c r="K1154" s="801"/>
      <c r="L1154" s="899"/>
      <c r="M1154" s="650"/>
      <c r="N1154" s="917"/>
      <c r="O1154" s="646"/>
      <c r="P1154" s="933"/>
      <c r="Q1154" s="646"/>
      <c r="R1154" s="942"/>
      <c r="S1154" s="650"/>
      <c r="T1154" s="934"/>
      <c r="U1154" s="650"/>
      <c r="V1154" s="930"/>
    </row>
    <row r="1155" spans="1:22" s="624" customFormat="1" ht="16.5" customHeight="1">
      <c r="A1155" s="750"/>
      <c r="B1155" s="750"/>
      <c r="C1155" s="750"/>
      <c r="D1155" s="750"/>
      <c r="E1155" s="750"/>
      <c r="F1155" s="750"/>
      <c r="G1155" s="750"/>
      <c r="H1155" s="750"/>
      <c r="I1155" s="750"/>
      <c r="J1155" s="871"/>
      <c r="K1155" s="801"/>
      <c r="L1155" s="899"/>
      <c r="M1155" s="650"/>
      <c r="N1155" s="917"/>
      <c r="O1155" s="646"/>
      <c r="P1155" s="933"/>
      <c r="Q1155" s="646"/>
      <c r="R1155" s="942"/>
      <c r="S1155" s="650"/>
      <c r="T1155" s="934"/>
      <c r="U1155" s="650"/>
      <c r="V1155" s="930"/>
    </row>
    <row r="1156" spans="1:22" s="624" customFormat="1" ht="16.5" customHeight="1">
      <c r="A1156" s="750"/>
      <c r="B1156" s="750"/>
      <c r="C1156" s="750"/>
      <c r="D1156" s="750"/>
      <c r="E1156" s="750"/>
      <c r="F1156" s="750"/>
      <c r="G1156" s="750"/>
      <c r="H1156" s="750"/>
      <c r="I1156" s="750"/>
      <c r="J1156" s="871"/>
      <c r="K1156" s="801"/>
      <c r="L1156" s="899"/>
      <c r="M1156" s="650"/>
      <c r="N1156" s="917"/>
      <c r="O1156" s="646"/>
      <c r="P1156" s="933"/>
      <c r="Q1156" s="646"/>
      <c r="R1156" s="942"/>
      <c r="S1156" s="650"/>
      <c r="T1156" s="934"/>
      <c r="U1156" s="650"/>
      <c r="V1156" s="930"/>
    </row>
    <row r="1157" spans="1:22" s="624" customFormat="1" ht="16.5" customHeight="1">
      <c r="A1157" s="750"/>
      <c r="B1157" s="750"/>
      <c r="C1157" s="750"/>
      <c r="D1157" s="750"/>
      <c r="E1157" s="750"/>
      <c r="F1157" s="750"/>
      <c r="G1157" s="750"/>
      <c r="H1157" s="750"/>
      <c r="I1157" s="750"/>
      <c r="J1157" s="871"/>
      <c r="K1157" s="801"/>
      <c r="L1157" s="899"/>
      <c r="M1157" s="650"/>
      <c r="N1157" s="917"/>
      <c r="O1157" s="646"/>
      <c r="P1157" s="933"/>
      <c r="Q1157" s="646"/>
      <c r="R1157" s="942"/>
      <c r="S1157" s="650"/>
      <c r="T1157" s="934"/>
      <c r="U1157" s="650"/>
      <c r="V1157" s="930"/>
    </row>
    <row r="1158" spans="1:22" s="624" customFormat="1" ht="16.5" customHeight="1">
      <c r="A1158" s="750"/>
      <c r="B1158" s="750"/>
      <c r="C1158" s="750"/>
      <c r="D1158" s="750"/>
      <c r="E1158" s="750"/>
      <c r="F1158" s="750"/>
      <c r="G1158" s="750"/>
      <c r="H1158" s="750"/>
      <c r="I1158" s="750"/>
      <c r="J1158" s="871"/>
      <c r="K1158" s="801"/>
      <c r="L1158" s="899"/>
      <c r="M1158" s="650"/>
      <c r="N1158" s="917"/>
      <c r="O1158" s="646"/>
      <c r="P1158" s="933"/>
      <c r="Q1158" s="646"/>
      <c r="R1158" s="942"/>
      <c r="S1158" s="650"/>
      <c r="T1158" s="934"/>
      <c r="U1158" s="650"/>
      <c r="V1158" s="930"/>
    </row>
    <row r="1159" spans="1:22" s="624" customFormat="1" ht="16.5" customHeight="1">
      <c r="A1159" s="750"/>
      <c r="B1159" s="750"/>
      <c r="C1159" s="750"/>
      <c r="D1159" s="750"/>
      <c r="E1159" s="750"/>
      <c r="F1159" s="750"/>
      <c r="G1159" s="750"/>
      <c r="H1159" s="750"/>
      <c r="I1159" s="750"/>
      <c r="J1159" s="871"/>
      <c r="K1159" s="801"/>
      <c r="L1159" s="899"/>
      <c r="M1159" s="650"/>
      <c r="N1159" s="917"/>
      <c r="O1159" s="646"/>
      <c r="P1159" s="933"/>
      <c r="Q1159" s="646"/>
      <c r="R1159" s="942"/>
      <c r="S1159" s="650"/>
      <c r="T1159" s="934"/>
      <c r="U1159" s="650"/>
      <c r="V1159" s="930"/>
    </row>
    <row r="1160" spans="1:22" s="624" customFormat="1" ht="16.5" customHeight="1">
      <c r="A1160" s="750"/>
      <c r="B1160" s="750"/>
      <c r="C1160" s="750"/>
      <c r="D1160" s="750"/>
      <c r="E1160" s="750"/>
      <c r="F1160" s="750"/>
      <c r="G1160" s="750"/>
      <c r="H1160" s="750"/>
      <c r="I1160" s="750"/>
      <c r="J1160" s="871"/>
      <c r="K1160" s="801"/>
      <c r="L1160" s="899"/>
      <c r="M1160" s="650"/>
      <c r="N1160" s="917"/>
      <c r="O1160" s="646"/>
      <c r="P1160" s="933"/>
      <c r="Q1160" s="646"/>
      <c r="R1160" s="942"/>
      <c r="S1160" s="650"/>
      <c r="T1160" s="934"/>
      <c r="U1160" s="650"/>
      <c r="V1160" s="930"/>
    </row>
    <row r="1161" spans="1:22" s="624" customFormat="1" ht="16.5" customHeight="1">
      <c r="A1161" s="750"/>
      <c r="B1161" s="750"/>
      <c r="C1161" s="750"/>
      <c r="D1161" s="750"/>
      <c r="E1161" s="750"/>
      <c r="F1161" s="750"/>
      <c r="G1161" s="750"/>
      <c r="H1161" s="750"/>
      <c r="I1161" s="750"/>
      <c r="J1161" s="871"/>
      <c r="K1161" s="801"/>
      <c r="L1161" s="899"/>
      <c r="M1161" s="650"/>
      <c r="N1161" s="917"/>
      <c r="O1161" s="646"/>
      <c r="P1161" s="933"/>
      <c r="Q1161" s="646"/>
      <c r="R1161" s="942"/>
      <c r="S1161" s="650"/>
      <c r="T1161" s="934"/>
      <c r="U1161" s="650"/>
      <c r="V1161" s="930"/>
    </row>
    <row r="1162" spans="1:22" s="624" customFormat="1" ht="16.5" customHeight="1">
      <c r="A1162" s="750"/>
      <c r="B1162" s="750"/>
      <c r="C1162" s="750"/>
      <c r="D1162" s="750"/>
      <c r="E1162" s="750"/>
      <c r="F1162" s="750"/>
      <c r="G1162" s="750"/>
      <c r="H1162" s="750"/>
      <c r="I1162" s="750"/>
      <c r="J1162" s="871"/>
      <c r="K1162" s="801"/>
      <c r="L1162" s="899"/>
      <c r="M1162" s="650"/>
      <c r="N1162" s="917"/>
      <c r="O1162" s="646"/>
      <c r="P1162" s="933"/>
      <c r="Q1162" s="646"/>
      <c r="R1162" s="942"/>
      <c r="S1162" s="650"/>
      <c r="T1162" s="934"/>
      <c r="U1162" s="650"/>
      <c r="V1162" s="930"/>
    </row>
    <row r="1163" spans="1:22" s="624" customFormat="1" ht="16.5" customHeight="1">
      <c r="A1163" s="750"/>
      <c r="B1163" s="750"/>
      <c r="C1163" s="750"/>
      <c r="D1163" s="750"/>
      <c r="E1163" s="750"/>
      <c r="F1163" s="750"/>
      <c r="G1163" s="750"/>
      <c r="H1163" s="750"/>
      <c r="I1163" s="750"/>
      <c r="J1163" s="871"/>
      <c r="K1163" s="801"/>
      <c r="L1163" s="899"/>
      <c r="M1163" s="650"/>
      <c r="N1163" s="917"/>
      <c r="O1163" s="646"/>
      <c r="P1163" s="933"/>
      <c r="Q1163" s="646"/>
      <c r="R1163" s="942"/>
      <c r="S1163" s="650"/>
      <c r="T1163" s="934"/>
      <c r="U1163" s="650"/>
      <c r="V1163" s="930"/>
    </row>
    <row r="1164" spans="1:22" s="624" customFormat="1" ht="16.5" customHeight="1">
      <c r="A1164" s="750"/>
      <c r="B1164" s="750"/>
      <c r="C1164" s="750"/>
      <c r="D1164" s="750"/>
      <c r="E1164" s="750"/>
      <c r="F1164" s="750"/>
      <c r="G1164" s="750"/>
      <c r="H1164" s="750"/>
      <c r="I1164" s="750"/>
      <c r="J1164" s="871"/>
      <c r="K1164" s="801"/>
      <c r="L1164" s="899"/>
      <c r="M1164" s="650"/>
      <c r="N1164" s="917"/>
      <c r="O1164" s="646"/>
      <c r="P1164" s="933"/>
      <c r="Q1164" s="646"/>
      <c r="R1164" s="942"/>
      <c r="S1164" s="650"/>
      <c r="T1164" s="934"/>
      <c r="U1164" s="650"/>
      <c r="V1164" s="930"/>
    </row>
    <row r="1165" spans="1:22" s="624" customFormat="1" ht="16.5" customHeight="1">
      <c r="A1165" s="750"/>
      <c r="B1165" s="750"/>
      <c r="C1165" s="750"/>
      <c r="D1165" s="750"/>
      <c r="E1165" s="750"/>
      <c r="F1165" s="750"/>
      <c r="G1165" s="750"/>
      <c r="H1165" s="750"/>
      <c r="I1165" s="750"/>
      <c r="J1165" s="871"/>
      <c r="K1165" s="801"/>
      <c r="L1165" s="899"/>
      <c r="M1165" s="650"/>
      <c r="N1165" s="917"/>
      <c r="O1165" s="646"/>
      <c r="P1165" s="933"/>
      <c r="Q1165" s="646"/>
      <c r="R1165" s="942"/>
      <c r="S1165" s="650"/>
      <c r="T1165" s="934"/>
      <c r="U1165" s="650"/>
      <c r="V1165" s="930"/>
    </row>
    <row r="1166" spans="1:22" s="624" customFormat="1" ht="16.5" customHeight="1">
      <c r="A1166" s="750"/>
      <c r="B1166" s="750"/>
      <c r="C1166" s="750"/>
      <c r="D1166" s="750"/>
      <c r="E1166" s="750"/>
      <c r="F1166" s="750"/>
      <c r="G1166" s="750"/>
      <c r="H1166" s="750"/>
      <c r="I1166" s="750"/>
      <c r="J1166" s="871"/>
      <c r="K1166" s="801"/>
      <c r="L1166" s="899"/>
      <c r="M1166" s="650"/>
      <c r="N1166" s="917"/>
      <c r="O1166" s="646"/>
      <c r="P1166" s="933"/>
      <c r="Q1166" s="646"/>
      <c r="R1166" s="942"/>
      <c r="S1166" s="650"/>
      <c r="T1166" s="934"/>
      <c r="U1166" s="650"/>
      <c r="V1166" s="930"/>
    </row>
    <row r="1167" spans="1:22" s="624" customFormat="1" ht="16.5" customHeight="1">
      <c r="A1167" s="750"/>
      <c r="B1167" s="750"/>
      <c r="C1167" s="750"/>
      <c r="D1167" s="750"/>
      <c r="E1167" s="750"/>
      <c r="F1167" s="750"/>
      <c r="G1167" s="750"/>
      <c r="H1167" s="750"/>
      <c r="I1167" s="750"/>
      <c r="J1167" s="871"/>
      <c r="K1167" s="801"/>
      <c r="L1167" s="899"/>
      <c r="M1167" s="650"/>
      <c r="N1167" s="917"/>
      <c r="O1167" s="646"/>
      <c r="P1167" s="933"/>
      <c r="Q1167" s="646"/>
      <c r="R1167" s="942"/>
      <c r="S1167" s="650"/>
      <c r="T1167" s="934"/>
      <c r="U1167" s="650"/>
      <c r="V1167" s="930"/>
    </row>
    <row r="1168" spans="1:22" s="624" customFormat="1" ht="16.5" customHeight="1">
      <c r="A1168" s="750"/>
      <c r="B1168" s="750"/>
      <c r="C1168" s="750"/>
      <c r="D1168" s="750"/>
      <c r="E1168" s="750"/>
      <c r="F1168" s="750"/>
      <c r="G1168" s="750"/>
      <c r="H1168" s="750"/>
      <c r="I1168" s="750"/>
      <c r="J1168" s="871"/>
      <c r="K1168" s="801"/>
      <c r="L1168" s="899"/>
      <c r="M1168" s="650"/>
      <c r="N1168" s="917"/>
      <c r="O1168" s="646"/>
      <c r="P1168" s="933"/>
      <c r="Q1168" s="646"/>
      <c r="R1168" s="942"/>
      <c r="S1168" s="650"/>
      <c r="T1168" s="934"/>
      <c r="U1168" s="650"/>
      <c r="V1168" s="930"/>
    </row>
    <row r="1169" spans="1:22" s="624" customFormat="1" ht="16.5" customHeight="1">
      <c r="A1169" s="750"/>
      <c r="B1169" s="750"/>
      <c r="C1169" s="750"/>
      <c r="D1169" s="750"/>
      <c r="E1169" s="750"/>
      <c r="F1169" s="750"/>
      <c r="G1169" s="750"/>
      <c r="H1169" s="750"/>
      <c r="I1169" s="750"/>
      <c r="J1169" s="871"/>
      <c r="K1169" s="801"/>
      <c r="L1169" s="899"/>
      <c r="M1169" s="650"/>
      <c r="N1169" s="917"/>
      <c r="O1169" s="646"/>
      <c r="P1169" s="933"/>
      <c r="Q1169" s="646"/>
      <c r="R1169" s="942"/>
      <c r="S1169" s="650"/>
      <c r="T1169" s="934"/>
      <c r="U1169" s="650"/>
      <c r="V1169" s="930"/>
    </row>
    <row r="1170" spans="1:22" s="624" customFormat="1" ht="16.5" customHeight="1">
      <c r="A1170" s="750"/>
      <c r="B1170" s="750"/>
      <c r="C1170" s="750"/>
      <c r="D1170" s="750"/>
      <c r="E1170" s="750"/>
      <c r="F1170" s="750"/>
      <c r="G1170" s="750"/>
      <c r="H1170" s="750"/>
      <c r="I1170" s="750"/>
      <c r="J1170" s="871"/>
      <c r="K1170" s="801"/>
      <c r="L1170" s="899"/>
      <c r="M1170" s="650"/>
      <c r="N1170" s="917"/>
      <c r="O1170" s="646"/>
      <c r="P1170" s="933"/>
      <c r="Q1170" s="646"/>
      <c r="R1170" s="942"/>
      <c r="S1170" s="650"/>
      <c r="T1170" s="934"/>
      <c r="U1170" s="650"/>
      <c r="V1170" s="930"/>
    </row>
    <row r="1171" spans="1:22" s="624" customFormat="1" ht="16.5" customHeight="1">
      <c r="A1171" s="750"/>
      <c r="B1171" s="750"/>
      <c r="C1171" s="750"/>
      <c r="D1171" s="750"/>
      <c r="E1171" s="750"/>
      <c r="F1171" s="750"/>
      <c r="G1171" s="750"/>
      <c r="H1171" s="750"/>
      <c r="I1171" s="750"/>
      <c r="J1171" s="871"/>
      <c r="K1171" s="801"/>
      <c r="L1171" s="899"/>
      <c r="M1171" s="650"/>
      <c r="N1171" s="917"/>
      <c r="O1171" s="646"/>
      <c r="P1171" s="933"/>
      <c r="Q1171" s="646"/>
      <c r="R1171" s="942"/>
      <c r="S1171" s="650"/>
      <c r="T1171" s="934"/>
      <c r="U1171" s="650"/>
      <c r="V1171" s="930"/>
    </row>
    <row r="1172" spans="1:22" s="624" customFormat="1" ht="16.5" customHeight="1">
      <c r="A1172" s="750"/>
      <c r="B1172" s="750"/>
      <c r="C1172" s="750"/>
      <c r="D1172" s="750"/>
      <c r="E1172" s="750"/>
      <c r="F1172" s="750"/>
      <c r="G1172" s="750"/>
      <c r="H1172" s="750"/>
      <c r="I1172" s="750"/>
      <c r="J1172" s="871"/>
      <c r="K1172" s="801"/>
      <c r="L1172" s="899"/>
      <c r="M1172" s="650"/>
      <c r="N1172" s="917"/>
      <c r="O1172" s="646"/>
      <c r="P1172" s="933"/>
      <c r="Q1172" s="646"/>
      <c r="R1172" s="942"/>
      <c r="S1172" s="650"/>
      <c r="T1172" s="934"/>
      <c r="U1172" s="650"/>
      <c r="V1172" s="930"/>
    </row>
    <row r="1173" spans="1:22" s="624" customFormat="1" ht="16.5" customHeight="1">
      <c r="A1173" s="750"/>
      <c r="B1173" s="750"/>
      <c r="C1173" s="750"/>
      <c r="D1173" s="750"/>
      <c r="E1173" s="750"/>
      <c r="F1173" s="750"/>
      <c r="G1173" s="750"/>
      <c r="H1173" s="750"/>
      <c r="I1173" s="750"/>
      <c r="J1173" s="871"/>
      <c r="K1173" s="801"/>
      <c r="L1173" s="899"/>
      <c r="M1173" s="650"/>
      <c r="N1173" s="917"/>
      <c r="O1173" s="646"/>
      <c r="P1173" s="933"/>
      <c r="Q1173" s="646"/>
      <c r="R1173" s="942"/>
      <c r="S1173" s="650"/>
      <c r="T1173" s="934"/>
      <c r="U1173" s="650"/>
      <c r="V1173" s="930"/>
    </row>
    <row r="1174" spans="1:22" s="624" customFormat="1" ht="16.5" customHeight="1">
      <c r="A1174" s="750"/>
      <c r="B1174" s="750"/>
      <c r="C1174" s="750"/>
      <c r="D1174" s="750"/>
      <c r="E1174" s="750"/>
      <c r="F1174" s="750"/>
      <c r="G1174" s="750"/>
      <c r="H1174" s="750"/>
      <c r="I1174" s="750"/>
      <c r="J1174" s="871"/>
      <c r="K1174" s="801"/>
      <c r="L1174" s="899"/>
      <c r="M1174" s="650"/>
      <c r="N1174" s="917"/>
      <c r="O1174" s="646"/>
      <c r="P1174" s="933"/>
      <c r="Q1174" s="646"/>
      <c r="R1174" s="942"/>
      <c r="S1174" s="650"/>
      <c r="T1174" s="934"/>
      <c r="U1174" s="650"/>
      <c r="V1174" s="930"/>
    </row>
    <row r="1175" spans="1:22" s="624" customFormat="1" ht="16.5" customHeight="1">
      <c r="A1175" s="750"/>
      <c r="B1175" s="750"/>
      <c r="C1175" s="750"/>
      <c r="D1175" s="750"/>
      <c r="E1175" s="750"/>
      <c r="F1175" s="750"/>
      <c r="G1175" s="750"/>
      <c r="H1175" s="750"/>
      <c r="I1175" s="750"/>
      <c r="J1175" s="871"/>
      <c r="K1175" s="801"/>
      <c r="L1175" s="899"/>
      <c r="M1175" s="650"/>
      <c r="N1175" s="917"/>
      <c r="O1175" s="646"/>
      <c r="P1175" s="933"/>
      <c r="Q1175" s="646"/>
      <c r="R1175" s="942"/>
      <c r="S1175" s="650"/>
      <c r="T1175" s="934"/>
      <c r="U1175" s="650"/>
      <c r="V1175" s="930"/>
    </row>
    <row r="1176" spans="1:22" s="624" customFormat="1" ht="16.5" customHeight="1">
      <c r="A1176" s="750"/>
      <c r="B1176" s="750"/>
      <c r="C1176" s="750"/>
      <c r="D1176" s="750"/>
      <c r="E1176" s="750"/>
      <c r="F1176" s="750"/>
      <c r="G1176" s="750"/>
      <c r="H1176" s="750"/>
      <c r="I1176" s="750"/>
      <c r="J1176" s="871"/>
      <c r="K1176" s="801"/>
      <c r="L1176" s="899"/>
      <c r="M1176" s="650"/>
      <c r="N1176" s="917"/>
      <c r="O1176" s="646"/>
      <c r="P1176" s="933"/>
      <c r="Q1176" s="646"/>
      <c r="R1176" s="942"/>
      <c r="S1176" s="650"/>
      <c r="T1176" s="934"/>
      <c r="U1176" s="650"/>
      <c r="V1176" s="930"/>
    </row>
    <row r="1177" spans="1:22" s="624" customFormat="1" ht="16.5" customHeight="1">
      <c r="A1177" s="750"/>
      <c r="B1177" s="750"/>
      <c r="C1177" s="750"/>
      <c r="D1177" s="750"/>
      <c r="E1177" s="750"/>
      <c r="F1177" s="750"/>
      <c r="G1177" s="750"/>
      <c r="H1177" s="750"/>
      <c r="I1177" s="750"/>
      <c r="J1177" s="871"/>
      <c r="K1177" s="801"/>
      <c r="L1177" s="899"/>
      <c r="M1177" s="650"/>
      <c r="N1177" s="917"/>
      <c r="O1177" s="646"/>
      <c r="P1177" s="933"/>
      <c r="Q1177" s="646"/>
      <c r="R1177" s="942"/>
      <c r="S1177" s="650"/>
      <c r="T1177" s="934"/>
      <c r="U1177" s="650"/>
      <c r="V1177" s="930"/>
    </row>
    <row r="1178" spans="1:22" s="624" customFormat="1" ht="16.5" customHeight="1">
      <c r="A1178" s="750"/>
      <c r="B1178" s="750"/>
      <c r="C1178" s="750"/>
      <c r="D1178" s="750"/>
      <c r="E1178" s="750"/>
      <c r="F1178" s="750"/>
      <c r="G1178" s="750"/>
      <c r="H1178" s="750"/>
      <c r="I1178" s="750"/>
      <c r="J1178" s="871"/>
      <c r="K1178" s="801"/>
      <c r="L1178" s="899"/>
      <c r="M1178" s="650"/>
      <c r="N1178" s="917"/>
      <c r="O1178" s="646"/>
      <c r="P1178" s="933"/>
      <c r="Q1178" s="646"/>
      <c r="R1178" s="942"/>
      <c r="S1178" s="650"/>
      <c r="T1178" s="934"/>
      <c r="U1178" s="650"/>
      <c r="V1178" s="930"/>
    </row>
    <row r="1179" spans="1:22" s="624" customFormat="1" ht="16.5" customHeight="1">
      <c r="A1179" s="750"/>
      <c r="B1179" s="750"/>
      <c r="C1179" s="750"/>
      <c r="D1179" s="750"/>
      <c r="E1179" s="750"/>
      <c r="F1179" s="750"/>
      <c r="G1179" s="750"/>
      <c r="H1179" s="750"/>
      <c r="I1179" s="750"/>
      <c r="J1179" s="871"/>
      <c r="K1179" s="801"/>
      <c r="L1179" s="899"/>
      <c r="M1179" s="650"/>
      <c r="N1179" s="917"/>
      <c r="O1179" s="646"/>
      <c r="P1179" s="933"/>
      <c r="Q1179" s="646"/>
      <c r="R1179" s="942"/>
      <c r="S1179" s="650"/>
      <c r="T1179" s="934"/>
      <c r="U1179" s="650"/>
      <c r="V1179" s="930"/>
    </row>
    <row r="1180" spans="1:22" s="624" customFormat="1" ht="16.5" customHeight="1">
      <c r="A1180" s="750"/>
      <c r="B1180" s="750"/>
      <c r="C1180" s="750"/>
      <c r="D1180" s="750"/>
      <c r="E1180" s="750"/>
      <c r="F1180" s="750"/>
      <c r="G1180" s="750"/>
      <c r="H1180" s="750"/>
      <c r="I1180" s="750"/>
      <c r="J1180" s="871"/>
      <c r="K1180" s="801"/>
      <c r="L1180" s="899"/>
      <c r="M1180" s="650"/>
      <c r="N1180" s="917"/>
      <c r="O1180" s="646"/>
      <c r="P1180" s="933"/>
      <c r="Q1180" s="646"/>
      <c r="R1180" s="942"/>
      <c r="S1180" s="650"/>
      <c r="T1180" s="934"/>
      <c r="U1180" s="650"/>
      <c r="V1180" s="930"/>
    </row>
    <row r="1181" spans="1:22" s="624" customFormat="1" ht="16.5" customHeight="1">
      <c r="A1181" s="750"/>
      <c r="B1181" s="750"/>
      <c r="C1181" s="750"/>
      <c r="D1181" s="750"/>
      <c r="E1181" s="750"/>
      <c r="F1181" s="750"/>
      <c r="G1181" s="750"/>
      <c r="H1181" s="750"/>
      <c r="I1181" s="750"/>
      <c r="J1181" s="871"/>
      <c r="K1181" s="801"/>
      <c r="L1181" s="899"/>
      <c r="M1181" s="650"/>
      <c r="N1181" s="917"/>
      <c r="O1181" s="646"/>
      <c r="P1181" s="933"/>
      <c r="Q1181" s="646"/>
      <c r="R1181" s="942"/>
      <c r="S1181" s="650"/>
      <c r="T1181" s="934"/>
      <c r="U1181" s="650"/>
      <c r="V1181" s="930"/>
    </row>
    <row r="1182" spans="1:22" s="624" customFormat="1" ht="16.5" customHeight="1">
      <c r="A1182" s="750"/>
      <c r="B1182" s="750"/>
      <c r="C1182" s="750"/>
      <c r="D1182" s="750"/>
      <c r="E1182" s="750"/>
      <c r="F1182" s="750"/>
      <c r="G1182" s="750"/>
      <c r="H1182" s="750"/>
      <c r="I1182" s="750"/>
      <c r="J1182" s="871"/>
      <c r="K1182" s="801"/>
      <c r="L1182" s="899"/>
      <c r="M1182" s="650"/>
      <c r="N1182" s="917"/>
      <c r="O1182" s="646"/>
      <c r="P1182" s="933"/>
      <c r="Q1182" s="646"/>
      <c r="R1182" s="942"/>
      <c r="S1182" s="650"/>
      <c r="T1182" s="934"/>
      <c r="U1182" s="650"/>
      <c r="V1182" s="930"/>
    </row>
    <row r="1183" spans="1:22" s="624" customFormat="1" ht="16.5" customHeight="1">
      <c r="A1183" s="750"/>
      <c r="B1183" s="750"/>
      <c r="C1183" s="750"/>
      <c r="D1183" s="750"/>
      <c r="E1183" s="750"/>
      <c r="F1183" s="750"/>
      <c r="G1183" s="750"/>
      <c r="H1183" s="750"/>
      <c r="I1183" s="750"/>
      <c r="J1183" s="871"/>
      <c r="K1183" s="801"/>
      <c r="L1183" s="899"/>
      <c r="M1183" s="650"/>
      <c r="N1183" s="917"/>
      <c r="O1183" s="646"/>
      <c r="P1183" s="933"/>
      <c r="Q1183" s="646"/>
      <c r="R1183" s="942"/>
      <c r="S1183" s="650"/>
      <c r="T1183" s="934"/>
      <c r="U1183" s="650"/>
      <c r="V1183" s="930"/>
    </row>
    <row r="1184" spans="1:22" s="624" customFormat="1" ht="16.5" customHeight="1">
      <c r="A1184" s="750"/>
      <c r="B1184" s="750"/>
      <c r="C1184" s="750"/>
      <c r="D1184" s="750"/>
      <c r="E1184" s="750"/>
      <c r="F1184" s="750"/>
      <c r="G1184" s="750"/>
      <c r="H1184" s="750"/>
      <c r="I1184" s="750"/>
      <c r="J1184" s="871"/>
      <c r="K1184" s="801"/>
      <c r="L1184" s="899"/>
      <c r="M1184" s="650"/>
      <c r="N1184" s="917"/>
      <c r="O1184" s="646"/>
      <c r="P1184" s="933"/>
      <c r="Q1184" s="646"/>
      <c r="R1184" s="942"/>
      <c r="S1184" s="650"/>
      <c r="T1184" s="934"/>
      <c r="U1184" s="650"/>
      <c r="V1184" s="930"/>
    </row>
    <row r="1185" spans="1:22" s="624" customFormat="1" ht="16.5" customHeight="1">
      <c r="A1185" s="750"/>
      <c r="B1185" s="750"/>
      <c r="C1185" s="750"/>
      <c r="D1185" s="750"/>
      <c r="E1185" s="750"/>
      <c r="F1185" s="750"/>
      <c r="G1185" s="750"/>
      <c r="H1185" s="750"/>
      <c r="I1185" s="750"/>
      <c r="J1185" s="871"/>
      <c r="K1185" s="801"/>
      <c r="L1185" s="899"/>
      <c r="M1185" s="650"/>
      <c r="N1185" s="917"/>
      <c r="O1185" s="646"/>
      <c r="P1185" s="933"/>
      <c r="Q1185" s="646"/>
      <c r="R1185" s="942"/>
      <c r="S1185" s="650"/>
      <c r="T1185" s="934"/>
      <c r="U1185" s="650"/>
      <c r="V1185" s="930"/>
    </row>
    <row r="1186" spans="1:22" s="624" customFormat="1" ht="16.5" customHeight="1">
      <c r="A1186" s="750"/>
      <c r="B1186" s="750"/>
      <c r="C1186" s="750"/>
      <c r="D1186" s="750"/>
      <c r="E1186" s="750"/>
      <c r="F1186" s="750"/>
      <c r="G1186" s="750"/>
      <c r="H1186" s="750"/>
      <c r="I1186" s="750"/>
      <c r="J1186" s="871"/>
      <c r="K1186" s="801"/>
      <c r="L1186" s="899"/>
      <c r="M1186" s="650"/>
      <c r="N1186" s="917"/>
      <c r="O1186" s="646"/>
      <c r="P1186" s="933"/>
      <c r="Q1186" s="646"/>
      <c r="R1186" s="942"/>
      <c r="S1186" s="650"/>
      <c r="T1186" s="934"/>
      <c r="U1186" s="650"/>
      <c r="V1186" s="930"/>
    </row>
    <row r="1187" spans="1:22" s="624" customFormat="1" ht="16.5" customHeight="1">
      <c r="A1187" s="750"/>
      <c r="B1187" s="750"/>
      <c r="C1187" s="750"/>
      <c r="D1187" s="750"/>
      <c r="E1187" s="750"/>
      <c r="F1187" s="750"/>
      <c r="G1187" s="750"/>
      <c r="H1187" s="750"/>
      <c r="I1187" s="750"/>
      <c r="J1187" s="871"/>
      <c r="K1187" s="801"/>
      <c r="L1187" s="899"/>
      <c r="M1187" s="650"/>
      <c r="N1187" s="917"/>
      <c r="O1187" s="646"/>
      <c r="P1187" s="933"/>
      <c r="Q1187" s="646"/>
      <c r="R1187" s="942"/>
      <c r="S1187" s="650"/>
      <c r="T1187" s="934"/>
      <c r="U1187" s="650"/>
      <c r="V1187" s="930"/>
    </row>
    <row r="1188" spans="1:22" s="624" customFormat="1" ht="16.5" customHeight="1">
      <c r="A1188" s="750"/>
      <c r="B1188" s="750"/>
      <c r="C1188" s="750"/>
      <c r="D1188" s="750"/>
      <c r="E1188" s="750"/>
      <c r="F1188" s="750"/>
      <c r="G1188" s="750"/>
      <c r="H1188" s="750"/>
      <c r="I1188" s="750"/>
      <c r="J1188" s="871"/>
      <c r="K1188" s="801"/>
      <c r="L1188" s="899"/>
      <c r="M1188" s="650"/>
      <c r="N1188" s="917"/>
      <c r="O1188" s="646"/>
      <c r="P1188" s="933"/>
      <c r="Q1188" s="646"/>
      <c r="R1188" s="942"/>
      <c r="S1188" s="650"/>
      <c r="T1188" s="934"/>
      <c r="U1188" s="650"/>
      <c r="V1188" s="930"/>
    </row>
    <row r="1189" spans="1:22" s="624" customFormat="1" ht="16.5" customHeight="1">
      <c r="A1189" s="750"/>
      <c r="B1189" s="750"/>
      <c r="C1189" s="750"/>
      <c r="D1189" s="750"/>
      <c r="E1189" s="750"/>
      <c r="F1189" s="750"/>
      <c r="G1189" s="750"/>
      <c r="H1189" s="750"/>
      <c r="I1189" s="750"/>
      <c r="J1189" s="871"/>
      <c r="K1189" s="801"/>
      <c r="L1189" s="899"/>
      <c r="M1189" s="650"/>
      <c r="N1189" s="917"/>
      <c r="O1189" s="646"/>
      <c r="P1189" s="933"/>
      <c r="Q1189" s="646"/>
      <c r="R1189" s="942"/>
      <c r="S1189" s="650"/>
      <c r="T1189" s="934"/>
      <c r="U1189" s="650"/>
      <c r="V1189" s="930"/>
    </row>
    <row r="1190" spans="1:22" s="624" customFormat="1" ht="16.5" customHeight="1">
      <c r="A1190" s="750"/>
      <c r="B1190" s="750"/>
      <c r="C1190" s="750"/>
      <c r="D1190" s="750"/>
      <c r="E1190" s="750"/>
      <c r="F1190" s="750"/>
      <c r="G1190" s="750"/>
      <c r="H1190" s="750"/>
      <c r="I1190" s="750"/>
      <c r="J1190" s="871"/>
      <c r="K1190" s="801"/>
      <c r="L1190" s="899"/>
      <c r="M1190" s="650"/>
      <c r="N1190" s="917"/>
      <c r="O1190" s="646"/>
      <c r="P1190" s="933"/>
      <c r="Q1190" s="646"/>
      <c r="R1190" s="942"/>
      <c r="S1190" s="650"/>
      <c r="T1190" s="934"/>
      <c r="U1190" s="650"/>
      <c r="V1190" s="930"/>
    </row>
    <row r="1191" spans="1:22" s="624" customFormat="1" ht="16.5" customHeight="1">
      <c r="A1191" s="750"/>
      <c r="B1191" s="750"/>
      <c r="C1191" s="750"/>
      <c r="D1191" s="750"/>
      <c r="E1191" s="750"/>
      <c r="F1191" s="750"/>
      <c r="G1191" s="750"/>
      <c r="H1191" s="750"/>
      <c r="I1191" s="750"/>
      <c r="J1191" s="871"/>
      <c r="K1191" s="801"/>
      <c r="L1191" s="899"/>
      <c r="M1191" s="650"/>
      <c r="N1191" s="917"/>
      <c r="O1191" s="646"/>
      <c r="P1191" s="933"/>
      <c r="Q1191" s="646"/>
      <c r="R1191" s="942"/>
      <c r="S1191" s="650"/>
      <c r="T1191" s="934"/>
      <c r="U1191" s="650"/>
      <c r="V1191" s="930"/>
    </row>
    <row r="1192" spans="1:22" s="624" customFormat="1" ht="16.5" customHeight="1">
      <c r="A1192" s="750"/>
      <c r="B1192" s="750"/>
      <c r="C1192" s="750"/>
      <c r="D1192" s="750"/>
      <c r="E1192" s="750"/>
      <c r="F1192" s="750"/>
      <c r="G1192" s="750"/>
      <c r="H1192" s="750"/>
      <c r="I1192" s="750"/>
      <c r="J1192" s="871"/>
      <c r="K1192" s="801"/>
      <c r="L1192" s="899"/>
      <c r="M1192" s="650"/>
      <c r="N1192" s="917"/>
      <c r="O1192" s="646"/>
      <c r="P1192" s="933"/>
      <c r="Q1192" s="646"/>
      <c r="R1192" s="942"/>
      <c r="S1192" s="650"/>
      <c r="T1192" s="934"/>
      <c r="U1192" s="650"/>
      <c r="V1192" s="930"/>
    </row>
    <row r="1193" spans="1:22" s="624" customFormat="1" ht="16.5" customHeight="1">
      <c r="A1193" s="750"/>
      <c r="B1193" s="750"/>
      <c r="C1193" s="750"/>
      <c r="D1193" s="750"/>
      <c r="E1193" s="750"/>
      <c r="F1193" s="750"/>
      <c r="G1193" s="750"/>
      <c r="H1193" s="750"/>
      <c r="I1193" s="750"/>
      <c r="J1193" s="871"/>
      <c r="K1193" s="801"/>
      <c r="L1193" s="899"/>
      <c r="M1193" s="650"/>
      <c r="N1193" s="917"/>
      <c r="O1193" s="646"/>
      <c r="P1193" s="933"/>
      <c r="Q1193" s="646"/>
      <c r="R1193" s="942"/>
      <c r="S1193" s="650"/>
      <c r="T1193" s="934"/>
      <c r="U1193" s="650"/>
      <c r="V1193" s="930"/>
    </row>
    <row r="1194" spans="1:22" s="624" customFormat="1" ht="16.5" customHeight="1">
      <c r="A1194" s="750"/>
      <c r="B1194" s="750"/>
      <c r="C1194" s="750"/>
      <c r="D1194" s="750"/>
      <c r="E1194" s="750"/>
      <c r="F1194" s="750"/>
      <c r="G1194" s="750"/>
      <c r="H1194" s="750"/>
      <c r="I1194" s="750"/>
      <c r="J1194" s="871"/>
      <c r="K1194" s="801"/>
      <c r="L1194" s="899"/>
      <c r="M1194" s="650"/>
      <c r="N1194" s="917"/>
      <c r="O1194" s="646"/>
      <c r="P1194" s="933"/>
      <c r="Q1194" s="646"/>
      <c r="R1194" s="942"/>
      <c r="S1194" s="650"/>
      <c r="T1194" s="934"/>
      <c r="U1194" s="650"/>
      <c r="V1194" s="930"/>
    </row>
    <row r="1195" spans="1:22" s="624" customFormat="1" ht="16.5" customHeight="1">
      <c r="A1195" s="750"/>
      <c r="B1195" s="750"/>
      <c r="C1195" s="750"/>
      <c r="D1195" s="750"/>
      <c r="E1195" s="750"/>
      <c r="F1195" s="750"/>
      <c r="G1195" s="750"/>
      <c r="H1195" s="750"/>
      <c r="I1195" s="750"/>
      <c r="J1195" s="871"/>
      <c r="K1195" s="801"/>
      <c r="L1195" s="899"/>
      <c r="M1195" s="650"/>
      <c r="N1195" s="917"/>
      <c r="O1195" s="646"/>
      <c r="P1195" s="933"/>
      <c r="Q1195" s="646"/>
      <c r="R1195" s="942"/>
      <c r="S1195" s="650"/>
      <c r="T1195" s="934"/>
      <c r="U1195" s="650"/>
      <c r="V1195" s="930"/>
    </row>
    <row r="1196" spans="1:22" s="624" customFormat="1" ht="16.5" customHeight="1">
      <c r="A1196" s="750"/>
      <c r="B1196" s="750"/>
      <c r="C1196" s="750"/>
      <c r="D1196" s="750"/>
      <c r="E1196" s="750"/>
      <c r="F1196" s="750"/>
      <c r="G1196" s="750"/>
      <c r="H1196" s="750"/>
      <c r="I1196" s="750"/>
      <c r="J1196" s="871"/>
      <c r="K1196" s="801"/>
      <c r="L1196" s="899"/>
      <c r="M1196" s="650"/>
      <c r="N1196" s="917"/>
      <c r="O1196" s="646"/>
      <c r="P1196" s="933"/>
      <c r="Q1196" s="646"/>
      <c r="R1196" s="942"/>
      <c r="S1196" s="650"/>
      <c r="T1196" s="934"/>
      <c r="U1196" s="650"/>
      <c r="V1196" s="930"/>
    </row>
    <row r="1197" spans="1:22" s="624" customFormat="1" ht="16.5" customHeight="1">
      <c r="A1197" s="750"/>
      <c r="B1197" s="750"/>
      <c r="C1197" s="750"/>
      <c r="D1197" s="750"/>
      <c r="E1197" s="750"/>
      <c r="F1197" s="750"/>
      <c r="G1197" s="750"/>
      <c r="H1197" s="750"/>
      <c r="I1197" s="750"/>
      <c r="J1197" s="871"/>
      <c r="K1197" s="801"/>
      <c r="L1197" s="899"/>
      <c r="M1197" s="650"/>
      <c r="N1197" s="917"/>
      <c r="O1197" s="646"/>
      <c r="P1197" s="933"/>
      <c r="Q1197" s="646"/>
      <c r="R1197" s="942"/>
      <c r="S1197" s="650"/>
      <c r="T1197" s="934"/>
      <c r="U1197" s="650"/>
      <c r="V1197" s="930"/>
    </row>
    <row r="1198" spans="1:22" s="624" customFormat="1" ht="16.5" customHeight="1">
      <c r="A1198" s="750"/>
      <c r="B1198" s="750"/>
      <c r="C1198" s="750"/>
      <c r="D1198" s="750"/>
      <c r="E1198" s="750"/>
      <c r="F1198" s="750"/>
      <c r="G1198" s="750"/>
      <c r="H1198" s="750"/>
      <c r="I1198" s="750"/>
      <c r="J1198" s="871"/>
      <c r="K1198" s="801"/>
      <c r="L1198" s="899"/>
      <c r="M1198" s="650"/>
      <c r="N1198" s="917"/>
      <c r="O1198" s="646"/>
      <c r="P1198" s="933"/>
      <c r="Q1198" s="646"/>
      <c r="R1198" s="942"/>
      <c r="S1198" s="650"/>
      <c r="T1198" s="934"/>
      <c r="U1198" s="650"/>
      <c r="V1198" s="930"/>
    </row>
    <row r="1199" spans="1:22" s="624" customFormat="1" ht="16.5" customHeight="1">
      <c r="A1199" s="750"/>
      <c r="B1199" s="750"/>
      <c r="C1199" s="750"/>
      <c r="D1199" s="750"/>
      <c r="E1199" s="750"/>
      <c r="F1199" s="750"/>
      <c r="G1199" s="750"/>
      <c r="H1199" s="750"/>
      <c r="I1199" s="750"/>
      <c r="J1199" s="871"/>
      <c r="K1199" s="801"/>
      <c r="L1199" s="899"/>
      <c r="M1199" s="650"/>
      <c r="N1199" s="917"/>
      <c r="O1199" s="646"/>
      <c r="P1199" s="933"/>
      <c r="Q1199" s="646"/>
      <c r="R1199" s="942"/>
      <c r="S1199" s="650"/>
      <c r="T1199" s="934"/>
      <c r="U1199" s="650"/>
      <c r="V1199" s="930"/>
    </row>
    <row r="1200" spans="1:22" s="624" customFormat="1" ht="16.5" customHeight="1">
      <c r="A1200" s="750"/>
      <c r="B1200" s="750"/>
      <c r="C1200" s="750"/>
      <c r="D1200" s="750"/>
      <c r="E1200" s="750"/>
      <c r="F1200" s="750"/>
      <c r="G1200" s="750"/>
      <c r="H1200" s="750"/>
      <c r="I1200" s="750"/>
      <c r="J1200" s="871"/>
      <c r="K1200" s="801"/>
      <c r="L1200" s="899"/>
      <c r="M1200" s="650"/>
      <c r="N1200" s="917"/>
      <c r="O1200" s="646"/>
      <c r="P1200" s="933"/>
      <c r="Q1200" s="646"/>
      <c r="R1200" s="942"/>
      <c r="S1200" s="650"/>
      <c r="T1200" s="934"/>
      <c r="U1200" s="650"/>
      <c r="V1200" s="930"/>
    </row>
    <row r="1201" spans="1:22" s="624" customFormat="1" ht="16.5" customHeight="1">
      <c r="A1201" s="750"/>
      <c r="B1201" s="750"/>
      <c r="C1201" s="750"/>
      <c r="D1201" s="750"/>
      <c r="E1201" s="750"/>
      <c r="F1201" s="750"/>
      <c r="G1201" s="750"/>
      <c r="H1201" s="750"/>
      <c r="I1201" s="750"/>
      <c r="J1201" s="871"/>
      <c r="K1201" s="801"/>
      <c r="L1201" s="899"/>
      <c r="M1201" s="650"/>
      <c r="N1201" s="917"/>
      <c r="O1201" s="646"/>
      <c r="P1201" s="933"/>
      <c r="Q1201" s="646"/>
      <c r="R1201" s="942"/>
      <c r="S1201" s="650"/>
      <c r="T1201" s="934"/>
      <c r="U1201" s="650"/>
      <c r="V1201" s="930"/>
    </row>
    <row r="1202" spans="1:22" s="624" customFormat="1" ht="16.5" customHeight="1">
      <c r="A1202" s="750"/>
      <c r="B1202" s="750"/>
      <c r="C1202" s="750"/>
      <c r="D1202" s="750"/>
      <c r="E1202" s="750"/>
      <c r="F1202" s="750"/>
      <c r="G1202" s="750"/>
      <c r="H1202" s="750"/>
      <c r="I1202" s="750"/>
      <c r="J1202" s="871"/>
      <c r="K1202" s="801"/>
      <c r="L1202" s="899"/>
      <c r="M1202" s="650"/>
      <c r="N1202" s="917"/>
      <c r="O1202" s="646"/>
      <c r="P1202" s="933"/>
      <c r="Q1202" s="646"/>
      <c r="R1202" s="942"/>
      <c r="S1202" s="650"/>
      <c r="T1202" s="934"/>
      <c r="U1202" s="650"/>
      <c r="V1202" s="930"/>
    </row>
    <row r="1203" spans="1:22" s="624" customFormat="1" ht="16.5" customHeight="1">
      <c r="A1203" s="750"/>
      <c r="B1203" s="750"/>
      <c r="C1203" s="750"/>
      <c r="D1203" s="750"/>
      <c r="E1203" s="750"/>
      <c r="F1203" s="750"/>
      <c r="G1203" s="750"/>
      <c r="H1203" s="750"/>
      <c r="I1203" s="750"/>
      <c r="J1203" s="871"/>
      <c r="K1203" s="801"/>
      <c r="L1203" s="899"/>
      <c r="M1203" s="650"/>
      <c r="N1203" s="917"/>
      <c r="O1203" s="646"/>
      <c r="P1203" s="933"/>
      <c r="Q1203" s="646"/>
      <c r="R1203" s="942"/>
      <c r="S1203" s="650"/>
      <c r="T1203" s="934"/>
      <c r="U1203" s="650"/>
      <c r="V1203" s="930"/>
    </row>
    <row r="1204" spans="1:22" s="624" customFormat="1" ht="16.5" customHeight="1">
      <c r="A1204" s="750"/>
      <c r="B1204" s="750"/>
      <c r="C1204" s="750"/>
      <c r="D1204" s="750"/>
      <c r="E1204" s="750"/>
      <c r="F1204" s="750"/>
      <c r="G1204" s="750"/>
      <c r="H1204" s="750"/>
      <c r="I1204" s="750"/>
      <c r="J1204" s="871"/>
      <c r="K1204" s="801"/>
      <c r="L1204" s="899"/>
      <c r="M1204" s="650"/>
      <c r="N1204" s="917"/>
      <c r="O1204" s="646"/>
      <c r="P1204" s="933"/>
      <c r="Q1204" s="646"/>
      <c r="R1204" s="942"/>
      <c r="S1204" s="650"/>
      <c r="T1204" s="934"/>
      <c r="U1204" s="650"/>
      <c r="V1204" s="930"/>
    </row>
    <row r="1205" spans="1:22" s="624" customFormat="1" ht="16.5" customHeight="1">
      <c r="A1205" s="750"/>
      <c r="B1205" s="750"/>
      <c r="C1205" s="750"/>
      <c r="D1205" s="750"/>
      <c r="E1205" s="750"/>
      <c r="F1205" s="750"/>
      <c r="G1205" s="750"/>
      <c r="H1205" s="750"/>
      <c r="I1205" s="750"/>
      <c r="J1205" s="871"/>
      <c r="K1205" s="801"/>
      <c r="L1205" s="899"/>
      <c r="M1205" s="650"/>
      <c r="N1205" s="917"/>
      <c r="O1205" s="646"/>
      <c r="P1205" s="933"/>
      <c r="Q1205" s="646"/>
      <c r="R1205" s="942"/>
      <c r="S1205" s="650"/>
      <c r="T1205" s="934"/>
      <c r="U1205" s="650"/>
      <c r="V1205" s="930"/>
    </row>
    <row r="1206" spans="1:22" s="624" customFormat="1" ht="16.5" customHeight="1">
      <c r="A1206" s="750"/>
      <c r="B1206" s="750"/>
      <c r="C1206" s="750"/>
      <c r="D1206" s="750"/>
      <c r="E1206" s="750"/>
      <c r="F1206" s="750"/>
      <c r="G1206" s="750"/>
      <c r="H1206" s="750"/>
      <c r="I1206" s="750"/>
      <c r="J1206" s="871"/>
      <c r="K1206" s="801"/>
      <c r="L1206" s="899"/>
      <c r="M1206" s="650"/>
      <c r="N1206" s="917"/>
      <c r="O1206" s="646"/>
      <c r="P1206" s="933"/>
      <c r="Q1206" s="646"/>
      <c r="R1206" s="942"/>
      <c r="S1206" s="650"/>
      <c r="T1206" s="934"/>
      <c r="U1206" s="650"/>
      <c r="V1206" s="930"/>
    </row>
    <row r="1207" spans="1:22" s="624" customFormat="1" ht="16.5" customHeight="1">
      <c r="A1207" s="750"/>
      <c r="B1207" s="750"/>
      <c r="C1207" s="750"/>
      <c r="D1207" s="750"/>
      <c r="E1207" s="750"/>
      <c r="F1207" s="750"/>
      <c r="G1207" s="750"/>
      <c r="H1207" s="750"/>
      <c r="I1207" s="750"/>
      <c r="J1207" s="871"/>
      <c r="K1207" s="801"/>
      <c r="L1207" s="899"/>
      <c r="M1207" s="650"/>
      <c r="N1207" s="917"/>
      <c r="O1207" s="646"/>
      <c r="P1207" s="933"/>
      <c r="Q1207" s="646"/>
      <c r="R1207" s="942"/>
      <c r="S1207" s="650"/>
      <c r="T1207" s="934"/>
      <c r="U1207" s="650"/>
      <c r="V1207" s="930"/>
    </row>
    <row r="1208" spans="1:22" s="624" customFormat="1" ht="16.5" customHeight="1">
      <c r="A1208" s="750"/>
      <c r="B1208" s="750"/>
      <c r="C1208" s="750"/>
      <c r="D1208" s="750"/>
      <c r="E1208" s="750"/>
      <c r="F1208" s="750"/>
      <c r="G1208" s="750"/>
      <c r="H1208" s="750"/>
      <c r="I1208" s="750"/>
      <c r="J1208" s="871"/>
      <c r="K1208" s="801"/>
      <c r="L1208" s="899"/>
      <c r="M1208" s="650"/>
      <c r="N1208" s="917"/>
      <c r="O1208" s="646"/>
      <c r="P1208" s="933"/>
      <c r="Q1208" s="646"/>
      <c r="R1208" s="942"/>
      <c r="S1208" s="650"/>
      <c r="T1208" s="934"/>
      <c r="U1208" s="650"/>
      <c r="V1208" s="930"/>
    </row>
    <row r="1209" spans="1:22" s="624" customFormat="1" ht="16.5" customHeight="1">
      <c r="A1209" s="750"/>
      <c r="B1209" s="750"/>
      <c r="C1209" s="750"/>
      <c r="D1209" s="750"/>
      <c r="E1209" s="750"/>
      <c r="F1209" s="750"/>
      <c r="G1209" s="750"/>
      <c r="H1209" s="750"/>
      <c r="I1209" s="750"/>
      <c r="J1209" s="871"/>
      <c r="K1209" s="801"/>
      <c r="L1209" s="899"/>
      <c r="M1209" s="650"/>
      <c r="N1209" s="917"/>
      <c r="O1209" s="646"/>
      <c r="P1209" s="933"/>
      <c r="Q1209" s="646"/>
      <c r="R1209" s="942"/>
      <c r="S1209" s="650"/>
      <c r="T1209" s="934"/>
      <c r="U1209" s="650"/>
      <c r="V1209" s="930"/>
    </row>
    <row r="1210" spans="1:22" s="624" customFormat="1" ht="16.5" customHeight="1">
      <c r="A1210" s="750"/>
      <c r="B1210" s="750"/>
      <c r="C1210" s="750"/>
      <c r="D1210" s="750"/>
      <c r="E1210" s="750"/>
      <c r="F1210" s="750"/>
      <c r="G1210" s="750"/>
      <c r="H1210" s="750"/>
      <c r="I1210" s="750"/>
      <c r="J1210" s="871"/>
      <c r="K1210" s="801"/>
      <c r="L1210" s="899"/>
      <c r="M1210" s="650"/>
      <c r="N1210" s="917"/>
      <c r="O1210" s="646"/>
      <c r="P1210" s="933"/>
      <c r="Q1210" s="646"/>
      <c r="R1210" s="942"/>
      <c r="S1210" s="650"/>
      <c r="T1210" s="934"/>
      <c r="U1210" s="650"/>
      <c r="V1210" s="930"/>
    </row>
    <row r="1211" spans="1:22" s="624" customFormat="1" ht="16.5" customHeight="1">
      <c r="A1211" s="750"/>
      <c r="B1211" s="750"/>
      <c r="C1211" s="750"/>
      <c r="D1211" s="750"/>
      <c r="E1211" s="750"/>
      <c r="F1211" s="750"/>
      <c r="G1211" s="750"/>
      <c r="H1211" s="750"/>
      <c r="I1211" s="750"/>
      <c r="J1211" s="871"/>
      <c r="K1211" s="801"/>
      <c r="L1211" s="899"/>
      <c r="M1211" s="650"/>
      <c r="N1211" s="917"/>
      <c r="O1211" s="646"/>
      <c r="P1211" s="933"/>
      <c r="Q1211" s="646"/>
      <c r="R1211" s="942"/>
      <c r="S1211" s="650"/>
      <c r="T1211" s="934"/>
      <c r="U1211" s="650"/>
      <c r="V1211" s="930"/>
    </row>
    <row r="1212" spans="1:22" s="624" customFormat="1" ht="16.5" customHeight="1">
      <c r="A1212" s="750"/>
      <c r="B1212" s="750"/>
      <c r="C1212" s="750"/>
      <c r="D1212" s="750"/>
      <c r="E1212" s="750"/>
      <c r="F1212" s="750"/>
      <c r="G1212" s="750"/>
      <c r="H1212" s="750"/>
      <c r="I1212" s="750"/>
      <c r="J1212" s="871"/>
      <c r="K1212" s="801"/>
      <c r="L1212" s="899"/>
      <c r="M1212" s="650"/>
      <c r="N1212" s="917"/>
      <c r="O1212" s="646"/>
      <c r="P1212" s="933"/>
      <c r="Q1212" s="646"/>
      <c r="R1212" s="942"/>
      <c r="S1212" s="650"/>
      <c r="T1212" s="934"/>
      <c r="U1212" s="650"/>
      <c r="V1212" s="930"/>
    </row>
    <row r="1213" spans="1:22" s="624" customFormat="1" ht="16.5" customHeight="1">
      <c r="A1213" s="750"/>
      <c r="B1213" s="750"/>
      <c r="C1213" s="750"/>
      <c r="D1213" s="750"/>
      <c r="E1213" s="750"/>
      <c r="F1213" s="750"/>
      <c r="G1213" s="750"/>
      <c r="H1213" s="750"/>
      <c r="I1213" s="750"/>
      <c r="J1213" s="871"/>
      <c r="K1213" s="801"/>
      <c r="L1213" s="899"/>
      <c r="M1213" s="650"/>
      <c r="N1213" s="917"/>
      <c r="O1213" s="646"/>
      <c r="P1213" s="933"/>
      <c r="Q1213" s="646"/>
      <c r="R1213" s="942"/>
      <c r="S1213" s="650"/>
      <c r="T1213" s="934"/>
      <c r="U1213" s="650"/>
      <c r="V1213" s="930"/>
    </row>
    <row r="1214" spans="1:22" s="624" customFormat="1" ht="16.5" customHeight="1">
      <c r="A1214" s="750"/>
      <c r="B1214" s="750"/>
      <c r="C1214" s="750"/>
      <c r="D1214" s="750"/>
      <c r="E1214" s="750"/>
      <c r="F1214" s="750"/>
      <c r="G1214" s="750"/>
      <c r="H1214" s="750"/>
      <c r="I1214" s="750"/>
      <c r="J1214" s="871"/>
      <c r="K1214" s="801"/>
      <c r="L1214" s="899"/>
      <c r="M1214" s="650"/>
      <c r="N1214" s="917"/>
      <c r="O1214" s="646"/>
      <c r="P1214" s="933"/>
      <c r="Q1214" s="646"/>
      <c r="R1214" s="942"/>
      <c r="S1214" s="650"/>
      <c r="T1214" s="934"/>
      <c r="U1214" s="650"/>
      <c r="V1214" s="930"/>
    </row>
    <row r="1215" spans="1:22" s="624" customFormat="1" ht="16.5" customHeight="1">
      <c r="A1215" s="750"/>
      <c r="B1215" s="750"/>
      <c r="C1215" s="750"/>
      <c r="D1215" s="750"/>
      <c r="E1215" s="750"/>
      <c r="F1215" s="750"/>
      <c r="G1215" s="750"/>
      <c r="H1215" s="750"/>
      <c r="I1215" s="750"/>
      <c r="J1215" s="871"/>
      <c r="K1215" s="801"/>
      <c r="L1215" s="899"/>
      <c r="M1215" s="650"/>
      <c r="N1215" s="917"/>
      <c r="O1215" s="646"/>
      <c r="P1215" s="933"/>
      <c r="Q1215" s="646"/>
      <c r="R1215" s="942"/>
      <c r="S1215" s="650"/>
      <c r="T1215" s="934"/>
      <c r="U1215" s="650"/>
      <c r="V1215" s="930"/>
    </row>
    <row r="1216" spans="1:22" s="624" customFormat="1" ht="16.5" customHeight="1">
      <c r="A1216" s="750"/>
      <c r="B1216" s="750"/>
      <c r="C1216" s="750"/>
      <c r="D1216" s="750"/>
      <c r="E1216" s="750"/>
      <c r="F1216" s="750"/>
      <c r="G1216" s="750"/>
      <c r="H1216" s="750"/>
      <c r="I1216" s="750"/>
      <c r="J1216" s="871"/>
      <c r="K1216" s="801"/>
      <c r="L1216" s="899"/>
      <c r="M1216" s="650"/>
      <c r="N1216" s="917"/>
      <c r="O1216" s="646"/>
      <c r="P1216" s="933"/>
      <c r="Q1216" s="646"/>
      <c r="R1216" s="942"/>
      <c r="S1216" s="650"/>
      <c r="T1216" s="934"/>
      <c r="U1216" s="650"/>
      <c r="V1216" s="930"/>
    </row>
    <row r="1217" spans="1:22" s="624" customFormat="1" ht="16.5" customHeight="1">
      <c r="A1217" s="750"/>
      <c r="B1217" s="750"/>
      <c r="C1217" s="750"/>
      <c r="D1217" s="750"/>
      <c r="E1217" s="750"/>
      <c r="F1217" s="750"/>
      <c r="G1217" s="750"/>
      <c r="H1217" s="750"/>
      <c r="I1217" s="750"/>
      <c r="J1217" s="871"/>
      <c r="K1217" s="801"/>
      <c r="L1217" s="899"/>
      <c r="M1217" s="650"/>
      <c r="N1217" s="917"/>
      <c r="O1217" s="646"/>
      <c r="P1217" s="933"/>
      <c r="Q1217" s="646"/>
      <c r="R1217" s="942"/>
      <c r="S1217" s="650"/>
      <c r="T1217" s="934"/>
      <c r="U1217" s="650"/>
      <c r="V1217" s="930"/>
    </row>
    <row r="1218" spans="1:22" s="624" customFormat="1" ht="16.5" customHeight="1">
      <c r="A1218" s="750"/>
      <c r="B1218" s="750"/>
      <c r="C1218" s="750"/>
      <c r="D1218" s="750"/>
      <c r="E1218" s="750"/>
      <c r="F1218" s="750"/>
      <c r="G1218" s="750"/>
      <c r="H1218" s="750"/>
      <c r="I1218" s="750"/>
      <c r="J1218" s="871"/>
      <c r="K1218" s="801"/>
      <c r="L1218" s="899"/>
      <c r="M1218" s="650"/>
      <c r="N1218" s="917"/>
      <c r="O1218" s="646"/>
      <c r="P1218" s="933"/>
      <c r="Q1218" s="646"/>
      <c r="R1218" s="942"/>
      <c r="S1218" s="650"/>
      <c r="T1218" s="934"/>
      <c r="U1218" s="650"/>
      <c r="V1218" s="930"/>
    </row>
    <row r="1219" spans="1:22" s="624" customFormat="1" ht="16.5" customHeight="1">
      <c r="A1219" s="750"/>
      <c r="B1219" s="750"/>
      <c r="C1219" s="750"/>
      <c r="D1219" s="750"/>
      <c r="E1219" s="750"/>
      <c r="F1219" s="750"/>
      <c r="G1219" s="750"/>
      <c r="H1219" s="750"/>
      <c r="I1219" s="750"/>
      <c r="J1219" s="871"/>
      <c r="K1219" s="801"/>
      <c r="L1219" s="899"/>
      <c r="M1219" s="650"/>
      <c r="N1219" s="917"/>
      <c r="O1219" s="646"/>
      <c r="P1219" s="933"/>
      <c r="Q1219" s="646"/>
      <c r="R1219" s="942"/>
      <c r="S1219" s="650"/>
      <c r="T1219" s="934"/>
      <c r="U1219" s="650"/>
      <c r="V1219" s="930"/>
    </row>
    <row r="1220" spans="1:22" s="624" customFormat="1" ht="16.5" customHeight="1">
      <c r="A1220" s="750"/>
      <c r="B1220" s="750"/>
      <c r="C1220" s="750"/>
      <c r="D1220" s="750"/>
      <c r="E1220" s="750"/>
      <c r="F1220" s="750"/>
      <c r="G1220" s="750"/>
      <c r="H1220" s="750"/>
      <c r="I1220" s="750"/>
      <c r="J1220" s="871"/>
      <c r="K1220" s="801"/>
      <c r="L1220" s="899"/>
      <c r="M1220" s="650"/>
      <c r="N1220" s="917"/>
      <c r="O1220" s="646"/>
      <c r="P1220" s="933"/>
      <c r="Q1220" s="646"/>
      <c r="R1220" s="942"/>
      <c r="S1220" s="650"/>
      <c r="T1220" s="934"/>
      <c r="U1220" s="650"/>
      <c r="V1220" s="930"/>
    </row>
    <row r="1221" spans="1:22" s="624" customFormat="1" ht="16.5" customHeight="1">
      <c r="A1221" s="750"/>
      <c r="B1221" s="750"/>
      <c r="C1221" s="750"/>
      <c r="D1221" s="750"/>
      <c r="E1221" s="750"/>
      <c r="F1221" s="750"/>
      <c r="G1221" s="750"/>
      <c r="H1221" s="750"/>
      <c r="I1221" s="750"/>
      <c r="J1221" s="871"/>
      <c r="K1221" s="801"/>
      <c r="L1221" s="899"/>
      <c r="M1221" s="650"/>
      <c r="N1221" s="917"/>
      <c r="O1221" s="646"/>
      <c r="P1221" s="933"/>
      <c r="Q1221" s="646"/>
      <c r="R1221" s="942"/>
      <c r="S1221" s="650"/>
      <c r="T1221" s="934"/>
      <c r="U1221" s="650"/>
      <c r="V1221" s="930"/>
    </row>
    <row r="1222" spans="1:22" s="624" customFormat="1" ht="16.5" customHeight="1">
      <c r="A1222" s="750"/>
      <c r="B1222" s="750"/>
      <c r="C1222" s="750"/>
      <c r="D1222" s="750"/>
      <c r="E1222" s="750"/>
      <c r="F1222" s="750"/>
      <c r="G1222" s="750"/>
      <c r="H1222" s="750"/>
      <c r="I1222" s="750"/>
      <c r="J1222" s="871"/>
      <c r="K1222" s="801"/>
      <c r="L1222" s="899"/>
      <c r="M1222" s="650"/>
      <c r="N1222" s="917"/>
      <c r="O1222" s="646"/>
      <c r="P1222" s="933"/>
      <c r="Q1222" s="646"/>
      <c r="R1222" s="942"/>
      <c r="S1222" s="650"/>
      <c r="T1222" s="934"/>
      <c r="U1222" s="650"/>
      <c r="V1222" s="930"/>
    </row>
    <row r="1223" spans="1:22" s="624" customFormat="1" ht="16.5" customHeight="1">
      <c r="A1223" s="750"/>
      <c r="B1223" s="750"/>
      <c r="C1223" s="750"/>
      <c r="D1223" s="750"/>
      <c r="E1223" s="750"/>
      <c r="F1223" s="750"/>
      <c r="G1223" s="750"/>
      <c r="H1223" s="750"/>
      <c r="I1223" s="750"/>
      <c r="J1223" s="871"/>
      <c r="K1223" s="801"/>
      <c r="L1223" s="899"/>
      <c r="M1223" s="650"/>
      <c r="N1223" s="917"/>
      <c r="O1223" s="646"/>
      <c r="P1223" s="933"/>
      <c r="Q1223" s="646"/>
      <c r="R1223" s="942"/>
      <c r="S1223" s="650"/>
      <c r="T1223" s="934"/>
      <c r="U1223" s="650"/>
      <c r="V1223" s="930"/>
    </row>
    <row r="1224" spans="1:22" s="624" customFormat="1" ht="16.5" customHeight="1">
      <c r="A1224" s="750"/>
      <c r="B1224" s="750"/>
      <c r="C1224" s="750"/>
      <c r="D1224" s="750"/>
      <c r="E1224" s="750"/>
      <c r="F1224" s="750"/>
      <c r="G1224" s="750"/>
      <c r="H1224" s="750"/>
      <c r="I1224" s="750"/>
      <c r="J1224" s="871"/>
      <c r="K1224" s="801"/>
      <c r="L1224" s="899"/>
      <c r="M1224" s="650"/>
      <c r="N1224" s="917"/>
      <c r="O1224" s="646"/>
      <c r="P1224" s="933"/>
      <c r="Q1224" s="646"/>
      <c r="R1224" s="942"/>
      <c r="S1224" s="650"/>
      <c r="T1224" s="934"/>
      <c r="U1224" s="650"/>
      <c r="V1224" s="930"/>
    </row>
    <row r="1225" spans="1:22" s="624" customFormat="1" ht="16.5" customHeight="1">
      <c r="A1225" s="750"/>
      <c r="B1225" s="750"/>
      <c r="C1225" s="750"/>
      <c r="D1225" s="750"/>
      <c r="E1225" s="750"/>
      <c r="F1225" s="750"/>
      <c r="G1225" s="750"/>
      <c r="H1225" s="750"/>
      <c r="I1225" s="750"/>
      <c r="J1225" s="871"/>
      <c r="K1225" s="801"/>
      <c r="L1225" s="899"/>
      <c r="M1225" s="650"/>
      <c r="N1225" s="917"/>
      <c r="O1225" s="646"/>
      <c r="P1225" s="933"/>
      <c r="Q1225" s="646"/>
      <c r="R1225" s="942"/>
      <c r="S1225" s="650"/>
      <c r="T1225" s="934"/>
      <c r="U1225" s="650"/>
      <c r="V1225" s="930"/>
    </row>
    <row r="1226" spans="1:22" s="624" customFormat="1" ht="16.5" customHeight="1">
      <c r="A1226" s="750"/>
      <c r="B1226" s="750"/>
      <c r="C1226" s="750"/>
      <c r="D1226" s="750"/>
      <c r="E1226" s="750"/>
      <c r="F1226" s="750"/>
      <c r="G1226" s="750"/>
      <c r="H1226" s="750"/>
      <c r="I1226" s="750"/>
      <c r="J1226" s="871"/>
      <c r="K1226" s="801"/>
      <c r="L1226" s="899"/>
      <c r="M1226" s="650"/>
      <c r="N1226" s="917"/>
      <c r="O1226" s="646"/>
      <c r="P1226" s="933"/>
      <c r="Q1226" s="646"/>
      <c r="R1226" s="942"/>
      <c r="S1226" s="650"/>
      <c r="T1226" s="934"/>
      <c r="U1226" s="650"/>
      <c r="V1226" s="930"/>
    </row>
    <row r="1227" spans="1:22" s="624" customFormat="1" ht="16.5" customHeight="1">
      <c r="A1227" s="750"/>
      <c r="B1227" s="750"/>
      <c r="C1227" s="750"/>
      <c r="D1227" s="750"/>
      <c r="E1227" s="750"/>
      <c r="F1227" s="750"/>
      <c r="G1227" s="750"/>
      <c r="H1227" s="750"/>
      <c r="I1227" s="750"/>
      <c r="J1227" s="871"/>
      <c r="K1227" s="801"/>
      <c r="L1227" s="899"/>
      <c r="M1227" s="650"/>
      <c r="N1227" s="917"/>
      <c r="O1227" s="646"/>
      <c r="P1227" s="933"/>
      <c r="Q1227" s="646"/>
      <c r="R1227" s="942"/>
      <c r="S1227" s="650"/>
      <c r="T1227" s="934"/>
      <c r="U1227" s="650"/>
      <c r="V1227" s="930"/>
    </row>
    <row r="1228" spans="1:22" s="624" customFormat="1" ht="16.5" customHeight="1">
      <c r="A1228" s="750"/>
      <c r="B1228" s="750"/>
      <c r="C1228" s="750"/>
      <c r="D1228" s="750"/>
      <c r="E1228" s="750"/>
      <c r="F1228" s="750"/>
      <c r="G1228" s="750"/>
      <c r="H1228" s="750"/>
      <c r="I1228" s="750"/>
      <c r="J1228" s="871"/>
      <c r="K1228" s="801"/>
      <c r="L1228" s="899"/>
      <c r="M1228" s="650"/>
      <c r="N1228" s="917"/>
      <c r="O1228" s="646"/>
      <c r="P1228" s="933"/>
      <c r="Q1228" s="646"/>
      <c r="R1228" s="942"/>
      <c r="S1228" s="650"/>
      <c r="T1228" s="934"/>
      <c r="U1228" s="650"/>
      <c r="V1228" s="930"/>
    </row>
    <row r="1229" spans="1:22" s="624" customFormat="1" ht="16.5" customHeight="1">
      <c r="A1229" s="750"/>
      <c r="B1229" s="750"/>
      <c r="C1229" s="750"/>
      <c r="D1229" s="750"/>
      <c r="E1229" s="750"/>
      <c r="F1229" s="750"/>
      <c r="G1229" s="750"/>
      <c r="H1229" s="750"/>
      <c r="I1229" s="750"/>
      <c r="J1229" s="871"/>
      <c r="K1229" s="801"/>
      <c r="L1229" s="899"/>
      <c r="M1229" s="650"/>
      <c r="N1229" s="917"/>
      <c r="O1229" s="646"/>
      <c r="P1229" s="933"/>
      <c r="Q1229" s="646"/>
      <c r="R1229" s="942"/>
      <c r="S1229" s="650"/>
      <c r="T1229" s="934"/>
      <c r="U1229" s="650"/>
      <c r="V1229" s="930"/>
    </row>
    <row r="1230" spans="1:22" s="624" customFormat="1" ht="16.5" customHeight="1">
      <c r="A1230" s="750"/>
      <c r="B1230" s="750"/>
      <c r="C1230" s="750"/>
      <c r="D1230" s="750"/>
      <c r="E1230" s="750"/>
      <c r="F1230" s="750"/>
      <c r="G1230" s="750"/>
      <c r="H1230" s="750"/>
      <c r="I1230" s="750"/>
      <c r="J1230" s="871"/>
      <c r="K1230" s="801"/>
      <c r="L1230" s="899"/>
      <c r="M1230" s="650"/>
      <c r="N1230" s="917"/>
      <c r="O1230" s="646"/>
      <c r="P1230" s="933"/>
      <c r="Q1230" s="646"/>
      <c r="R1230" s="942"/>
      <c r="S1230" s="650"/>
      <c r="T1230" s="934"/>
      <c r="U1230" s="650"/>
      <c r="V1230" s="930"/>
    </row>
    <row r="1231" spans="1:22" s="624" customFormat="1" ht="16.5" customHeight="1">
      <c r="A1231" s="750"/>
      <c r="B1231" s="750"/>
      <c r="C1231" s="750"/>
      <c r="D1231" s="750"/>
      <c r="E1231" s="750"/>
      <c r="F1231" s="750"/>
      <c r="G1231" s="750"/>
      <c r="H1231" s="750"/>
      <c r="I1231" s="750"/>
      <c r="J1231" s="871"/>
      <c r="K1231" s="801"/>
      <c r="L1231" s="899"/>
      <c r="M1231" s="650"/>
      <c r="N1231" s="917"/>
      <c r="O1231" s="646"/>
      <c r="P1231" s="933"/>
      <c r="Q1231" s="646"/>
      <c r="R1231" s="942"/>
      <c r="S1231" s="650"/>
      <c r="T1231" s="934"/>
      <c r="U1231" s="650"/>
      <c r="V1231" s="930"/>
    </row>
    <row r="1232" spans="1:22" s="624" customFormat="1" ht="16.5" customHeight="1">
      <c r="A1232" s="750"/>
      <c r="B1232" s="750"/>
      <c r="C1232" s="750"/>
      <c r="D1232" s="750"/>
      <c r="E1232" s="750"/>
      <c r="F1232" s="750"/>
      <c r="G1232" s="750"/>
      <c r="H1232" s="750"/>
      <c r="I1232" s="750"/>
      <c r="J1232" s="871"/>
      <c r="K1232" s="801"/>
      <c r="L1232" s="899"/>
      <c r="M1232" s="650"/>
      <c r="N1232" s="917"/>
      <c r="O1232" s="646"/>
      <c r="P1232" s="933"/>
      <c r="Q1232" s="646"/>
      <c r="R1232" s="942"/>
      <c r="S1232" s="650"/>
      <c r="T1232" s="934"/>
      <c r="U1232" s="650"/>
      <c r="V1232" s="930"/>
    </row>
    <row r="1233" spans="1:22" s="624" customFormat="1" ht="16.5" customHeight="1">
      <c r="A1233" s="750"/>
      <c r="B1233" s="750"/>
      <c r="C1233" s="750"/>
      <c r="D1233" s="750"/>
      <c r="E1233" s="750"/>
      <c r="F1233" s="750"/>
      <c r="G1233" s="750"/>
      <c r="H1233" s="750"/>
      <c r="I1233" s="750"/>
      <c r="J1233" s="871"/>
      <c r="K1233" s="801"/>
      <c r="L1233" s="899"/>
      <c r="M1233" s="650"/>
      <c r="N1233" s="917"/>
      <c r="O1233" s="646"/>
      <c r="P1233" s="933"/>
      <c r="Q1233" s="646"/>
      <c r="R1233" s="942"/>
      <c r="S1233" s="650"/>
      <c r="T1233" s="934"/>
      <c r="U1233" s="650"/>
      <c r="V1233" s="930"/>
    </row>
    <row r="1234" spans="1:22" s="624" customFormat="1" ht="16.5" customHeight="1">
      <c r="A1234" s="750"/>
      <c r="B1234" s="750"/>
      <c r="C1234" s="750"/>
      <c r="D1234" s="750"/>
      <c r="E1234" s="750"/>
      <c r="F1234" s="750"/>
      <c r="G1234" s="750"/>
      <c r="H1234" s="750"/>
      <c r="I1234" s="750"/>
      <c r="J1234" s="871"/>
      <c r="K1234" s="801"/>
      <c r="L1234" s="899"/>
      <c r="M1234" s="650"/>
      <c r="N1234" s="917"/>
      <c r="O1234" s="646"/>
      <c r="P1234" s="933"/>
      <c r="Q1234" s="646"/>
      <c r="R1234" s="942"/>
      <c r="S1234" s="650"/>
      <c r="T1234" s="934"/>
      <c r="U1234" s="650"/>
      <c r="V1234" s="930"/>
    </row>
    <row r="1235" spans="1:22" s="624" customFormat="1" ht="16.5" customHeight="1">
      <c r="A1235" s="750"/>
      <c r="B1235" s="750"/>
      <c r="C1235" s="750"/>
      <c r="D1235" s="750"/>
      <c r="E1235" s="750"/>
      <c r="F1235" s="750"/>
      <c r="G1235" s="750"/>
      <c r="H1235" s="750"/>
      <c r="I1235" s="750"/>
      <c r="J1235" s="871"/>
      <c r="K1235" s="801"/>
      <c r="L1235" s="899"/>
      <c r="M1235" s="650"/>
      <c r="N1235" s="917"/>
      <c r="O1235" s="646"/>
      <c r="P1235" s="933"/>
      <c r="Q1235" s="646"/>
      <c r="R1235" s="942"/>
      <c r="S1235" s="650"/>
      <c r="T1235" s="934"/>
      <c r="U1235" s="650"/>
      <c r="V1235" s="930"/>
    </row>
    <row r="1236" spans="1:22" s="624" customFormat="1" ht="16.5" customHeight="1">
      <c r="A1236" s="750"/>
      <c r="B1236" s="750"/>
      <c r="C1236" s="750"/>
      <c r="D1236" s="750"/>
      <c r="E1236" s="750"/>
      <c r="F1236" s="750"/>
      <c r="G1236" s="750"/>
      <c r="H1236" s="750"/>
      <c r="I1236" s="750"/>
      <c r="J1236" s="871"/>
      <c r="K1236" s="801"/>
      <c r="L1236" s="899"/>
      <c r="M1236" s="650"/>
      <c r="N1236" s="917"/>
      <c r="O1236" s="646"/>
      <c r="P1236" s="933"/>
      <c r="Q1236" s="646"/>
      <c r="R1236" s="942"/>
      <c r="S1236" s="650"/>
      <c r="T1236" s="934"/>
      <c r="U1236" s="650"/>
      <c r="V1236" s="930"/>
    </row>
    <row r="1237" spans="1:22" s="624" customFormat="1" ht="16.5" customHeight="1">
      <c r="A1237" s="750"/>
      <c r="B1237" s="750"/>
      <c r="C1237" s="750"/>
      <c r="D1237" s="750"/>
      <c r="E1237" s="750"/>
      <c r="F1237" s="750"/>
      <c r="G1237" s="750"/>
      <c r="H1237" s="750"/>
      <c r="I1237" s="750"/>
      <c r="J1237" s="871"/>
      <c r="K1237" s="801"/>
      <c r="L1237" s="899"/>
      <c r="M1237" s="650"/>
      <c r="N1237" s="917"/>
      <c r="O1237" s="646"/>
      <c r="P1237" s="933"/>
      <c r="Q1237" s="646"/>
      <c r="R1237" s="942"/>
      <c r="S1237" s="650"/>
      <c r="T1237" s="934"/>
      <c r="U1237" s="650"/>
      <c r="V1237" s="930"/>
    </row>
    <row r="1238" spans="1:22" s="624" customFormat="1" ht="16.5" customHeight="1">
      <c r="A1238" s="750"/>
      <c r="B1238" s="750"/>
      <c r="C1238" s="750"/>
      <c r="D1238" s="750"/>
      <c r="E1238" s="750"/>
      <c r="F1238" s="750"/>
      <c r="G1238" s="750"/>
      <c r="H1238" s="750"/>
      <c r="I1238" s="750"/>
      <c r="J1238" s="871"/>
      <c r="K1238" s="801"/>
      <c r="L1238" s="899"/>
      <c r="M1238" s="650"/>
      <c r="N1238" s="917"/>
      <c r="O1238" s="646"/>
      <c r="P1238" s="933"/>
      <c r="Q1238" s="646"/>
      <c r="R1238" s="942"/>
      <c r="S1238" s="650"/>
      <c r="T1238" s="934"/>
      <c r="U1238" s="650"/>
      <c r="V1238" s="930"/>
    </row>
    <row r="1239" spans="1:22" s="624" customFormat="1" ht="16.5" customHeight="1">
      <c r="A1239" s="750"/>
      <c r="B1239" s="750"/>
      <c r="C1239" s="750"/>
      <c r="D1239" s="750"/>
      <c r="E1239" s="750"/>
      <c r="F1239" s="750"/>
      <c r="G1239" s="750"/>
      <c r="H1239" s="750"/>
      <c r="I1239" s="750"/>
      <c r="J1239" s="871"/>
      <c r="K1239" s="801"/>
      <c r="L1239" s="899"/>
      <c r="M1239" s="650"/>
      <c r="N1239" s="917"/>
      <c r="O1239" s="646"/>
      <c r="P1239" s="933"/>
      <c r="Q1239" s="646"/>
      <c r="R1239" s="942"/>
      <c r="S1239" s="650"/>
      <c r="T1239" s="934"/>
      <c r="U1239" s="650"/>
      <c r="V1239" s="930"/>
    </row>
    <row r="1240" spans="1:22" s="624" customFormat="1" ht="16.5" customHeight="1">
      <c r="A1240" s="750"/>
      <c r="B1240" s="750"/>
      <c r="C1240" s="750"/>
      <c r="D1240" s="750"/>
      <c r="E1240" s="750"/>
      <c r="F1240" s="750"/>
      <c r="G1240" s="750"/>
      <c r="H1240" s="750"/>
      <c r="I1240" s="750"/>
      <c r="J1240" s="871"/>
      <c r="K1240" s="801"/>
      <c r="L1240" s="899"/>
      <c r="M1240" s="650"/>
      <c r="N1240" s="917"/>
      <c r="O1240" s="646"/>
      <c r="P1240" s="933"/>
      <c r="Q1240" s="646"/>
      <c r="R1240" s="942"/>
      <c r="S1240" s="650"/>
      <c r="T1240" s="934"/>
      <c r="U1240" s="650"/>
      <c r="V1240" s="930"/>
    </row>
    <row r="1241" spans="1:22" s="624" customFormat="1" ht="16.5" customHeight="1">
      <c r="A1241" s="750"/>
      <c r="B1241" s="750"/>
      <c r="C1241" s="750"/>
      <c r="D1241" s="750"/>
      <c r="E1241" s="750"/>
      <c r="F1241" s="750"/>
      <c r="G1241" s="750"/>
      <c r="H1241" s="750"/>
      <c r="I1241" s="750"/>
      <c r="J1241" s="871"/>
      <c r="K1241" s="801"/>
      <c r="L1241" s="899"/>
      <c r="M1241" s="650"/>
      <c r="N1241" s="917"/>
      <c r="O1241" s="646"/>
      <c r="P1241" s="933"/>
      <c r="Q1241" s="646"/>
      <c r="R1241" s="942"/>
      <c r="S1241" s="650"/>
      <c r="T1241" s="934"/>
      <c r="U1241" s="650"/>
      <c r="V1241" s="930"/>
    </row>
    <row r="1242" spans="1:22" s="624" customFormat="1" ht="16.5" customHeight="1">
      <c r="A1242" s="750"/>
      <c r="B1242" s="750"/>
      <c r="C1242" s="750"/>
      <c r="D1242" s="750"/>
      <c r="E1242" s="750"/>
      <c r="F1242" s="750"/>
      <c r="G1242" s="750"/>
      <c r="H1242" s="750"/>
      <c r="I1242" s="750"/>
      <c r="J1242" s="871"/>
      <c r="K1242" s="801"/>
      <c r="L1242" s="899"/>
      <c r="M1242" s="650"/>
      <c r="N1242" s="917"/>
      <c r="O1242" s="646"/>
      <c r="P1242" s="933"/>
      <c r="Q1242" s="646"/>
      <c r="R1242" s="942"/>
      <c r="S1242" s="650"/>
      <c r="T1242" s="934"/>
      <c r="U1242" s="650"/>
      <c r="V1242" s="930"/>
    </row>
    <row r="1243" spans="1:22" s="624" customFormat="1" ht="16.5" customHeight="1">
      <c r="A1243" s="750"/>
      <c r="B1243" s="750"/>
      <c r="C1243" s="750"/>
      <c r="D1243" s="750"/>
      <c r="E1243" s="750"/>
      <c r="F1243" s="750"/>
      <c r="G1243" s="750"/>
      <c r="H1243" s="750"/>
      <c r="I1243" s="750"/>
      <c r="J1243" s="871"/>
      <c r="K1243" s="801"/>
      <c r="L1243" s="899"/>
      <c r="M1243" s="650"/>
      <c r="N1243" s="917"/>
      <c r="O1243" s="646"/>
      <c r="P1243" s="933"/>
      <c r="Q1243" s="646"/>
      <c r="R1243" s="942"/>
      <c r="S1243" s="650"/>
      <c r="T1243" s="934"/>
      <c r="U1243" s="650"/>
      <c r="V1243" s="930"/>
    </row>
    <row r="1244" spans="1:22" s="624" customFormat="1" ht="16.5" customHeight="1">
      <c r="A1244" s="750"/>
      <c r="B1244" s="750"/>
      <c r="C1244" s="750"/>
      <c r="D1244" s="750"/>
      <c r="E1244" s="750"/>
      <c r="F1244" s="750"/>
      <c r="G1244" s="750"/>
      <c r="H1244" s="750"/>
      <c r="I1244" s="750"/>
      <c r="J1244" s="871"/>
      <c r="K1244" s="801"/>
      <c r="L1244" s="899"/>
      <c r="M1244" s="650"/>
      <c r="N1244" s="917"/>
      <c r="O1244" s="646"/>
      <c r="P1244" s="933"/>
      <c r="Q1244" s="646"/>
      <c r="R1244" s="942"/>
      <c r="S1244" s="650"/>
      <c r="T1244" s="934"/>
      <c r="U1244" s="650"/>
      <c r="V1244" s="930"/>
    </row>
    <row r="1245" spans="1:22" s="624" customFormat="1" ht="16.5" customHeight="1">
      <c r="A1245" s="750"/>
      <c r="B1245" s="750"/>
      <c r="C1245" s="750"/>
      <c r="D1245" s="750"/>
      <c r="E1245" s="750"/>
      <c r="F1245" s="750"/>
      <c r="G1245" s="750"/>
      <c r="H1245" s="750"/>
      <c r="I1245" s="750"/>
      <c r="J1245" s="871"/>
      <c r="K1245" s="801"/>
      <c r="L1245" s="899"/>
      <c r="M1245" s="650"/>
      <c r="N1245" s="917"/>
      <c r="O1245" s="646"/>
      <c r="P1245" s="933"/>
      <c r="Q1245" s="646"/>
      <c r="R1245" s="942"/>
      <c r="S1245" s="650"/>
      <c r="T1245" s="934"/>
      <c r="U1245" s="650"/>
      <c r="V1245" s="930"/>
    </row>
    <row r="1246" spans="1:22" s="624" customFormat="1" ht="16.5" customHeight="1">
      <c r="A1246" s="750"/>
      <c r="B1246" s="750"/>
      <c r="C1246" s="750"/>
      <c r="D1246" s="750"/>
      <c r="E1246" s="750"/>
      <c r="F1246" s="750"/>
      <c r="G1246" s="750"/>
      <c r="H1246" s="750"/>
      <c r="I1246" s="750"/>
      <c r="J1246" s="871"/>
      <c r="K1246" s="801"/>
      <c r="L1246" s="899"/>
      <c r="M1246" s="650"/>
      <c r="N1246" s="917"/>
      <c r="O1246" s="646"/>
      <c r="P1246" s="933"/>
      <c r="Q1246" s="646"/>
      <c r="R1246" s="942"/>
      <c r="S1246" s="650"/>
      <c r="T1246" s="934"/>
      <c r="U1246" s="650"/>
      <c r="V1246" s="930"/>
    </row>
    <row r="1247" spans="1:22" s="624" customFormat="1" ht="16.5" customHeight="1">
      <c r="A1247" s="750"/>
      <c r="B1247" s="750"/>
      <c r="C1247" s="750"/>
      <c r="D1247" s="750"/>
      <c r="E1247" s="750"/>
      <c r="F1247" s="750"/>
      <c r="G1247" s="750"/>
      <c r="H1247" s="750"/>
      <c r="I1247" s="750"/>
      <c r="J1247" s="871"/>
      <c r="K1247" s="801"/>
      <c r="L1247" s="899"/>
      <c r="M1247" s="650"/>
      <c r="N1247" s="917"/>
      <c r="O1247" s="646"/>
      <c r="P1247" s="933"/>
      <c r="Q1247" s="646"/>
      <c r="R1247" s="942"/>
      <c r="S1247" s="650"/>
      <c r="T1247" s="934"/>
      <c r="U1247" s="650"/>
      <c r="V1247" s="930"/>
    </row>
    <row r="1248" spans="1:22" s="624" customFormat="1" ht="16.5" customHeight="1">
      <c r="A1248" s="750"/>
      <c r="B1248" s="750"/>
      <c r="C1248" s="750"/>
      <c r="D1248" s="750"/>
      <c r="E1248" s="750"/>
      <c r="F1248" s="750"/>
      <c r="G1248" s="750"/>
      <c r="H1248" s="750"/>
      <c r="I1248" s="750"/>
      <c r="J1248" s="871"/>
      <c r="K1248" s="801"/>
      <c r="L1248" s="899"/>
      <c r="M1248" s="650"/>
      <c r="N1248" s="917"/>
      <c r="O1248" s="646"/>
      <c r="P1248" s="933"/>
      <c r="Q1248" s="646"/>
      <c r="R1248" s="942"/>
      <c r="S1248" s="650"/>
      <c r="T1248" s="934"/>
      <c r="U1248" s="650"/>
      <c r="V1248" s="930"/>
    </row>
    <row r="1249" spans="1:22" s="624" customFormat="1" ht="16.5" customHeight="1">
      <c r="A1249" s="750"/>
      <c r="B1249" s="750"/>
      <c r="C1249" s="750"/>
      <c r="D1249" s="750"/>
      <c r="E1249" s="750"/>
      <c r="F1249" s="750"/>
      <c r="G1249" s="750"/>
      <c r="H1249" s="750"/>
      <c r="I1249" s="750"/>
      <c r="J1249" s="871"/>
      <c r="K1249" s="801"/>
      <c r="L1249" s="899"/>
      <c r="M1249" s="650"/>
      <c r="N1249" s="917"/>
      <c r="O1249" s="646"/>
      <c r="P1249" s="933"/>
      <c r="Q1249" s="646"/>
      <c r="R1249" s="942"/>
      <c r="S1249" s="650"/>
      <c r="T1249" s="934"/>
      <c r="U1249" s="650"/>
      <c r="V1249" s="930"/>
    </row>
    <row r="1250" spans="1:22" s="624" customFormat="1" ht="16.5" customHeight="1">
      <c r="A1250" s="750"/>
      <c r="B1250" s="750"/>
      <c r="C1250" s="750"/>
      <c r="D1250" s="750"/>
      <c r="E1250" s="750"/>
      <c r="F1250" s="750"/>
      <c r="G1250" s="750"/>
      <c r="H1250" s="750"/>
      <c r="I1250" s="750"/>
      <c r="J1250" s="871"/>
      <c r="K1250" s="801"/>
      <c r="L1250" s="899"/>
      <c r="M1250" s="650"/>
      <c r="N1250" s="917"/>
      <c r="O1250" s="646"/>
      <c r="P1250" s="933"/>
      <c r="Q1250" s="646"/>
      <c r="R1250" s="942"/>
      <c r="S1250" s="650"/>
      <c r="T1250" s="934"/>
      <c r="U1250" s="650"/>
      <c r="V1250" s="930"/>
    </row>
    <row r="1251" spans="1:22" s="624" customFormat="1" ht="16.5" customHeight="1">
      <c r="A1251" s="750"/>
      <c r="B1251" s="750"/>
      <c r="C1251" s="750"/>
      <c r="D1251" s="750"/>
      <c r="E1251" s="750"/>
      <c r="F1251" s="750"/>
      <c r="G1251" s="750"/>
      <c r="H1251" s="750"/>
      <c r="I1251" s="750"/>
      <c r="J1251" s="871"/>
      <c r="K1251" s="801"/>
      <c r="L1251" s="899"/>
      <c r="M1251" s="650"/>
      <c r="N1251" s="917"/>
      <c r="O1251" s="646"/>
      <c r="P1251" s="933"/>
      <c r="Q1251" s="646"/>
      <c r="R1251" s="942"/>
      <c r="S1251" s="650"/>
      <c r="T1251" s="934"/>
      <c r="U1251" s="650"/>
      <c r="V1251" s="930"/>
    </row>
    <row r="1252" spans="1:22" s="624" customFormat="1" ht="16.5" customHeight="1">
      <c r="A1252" s="750"/>
      <c r="B1252" s="750"/>
      <c r="C1252" s="750"/>
      <c r="D1252" s="750"/>
      <c r="E1252" s="750"/>
      <c r="F1252" s="750"/>
      <c r="G1252" s="750"/>
      <c r="H1252" s="750"/>
      <c r="I1252" s="750"/>
      <c r="J1252" s="871"/>
      <c r="K1252" s="801"/>
      <c r="L1252" s="899"/>
      <c r="M1252" s="650"/>
      <c r="N1252" s="917"/>
      <c r="O1252" s="646"/>
      <c r="P1252" s="933"/>
      <c r="Q1252" s="646"/>
      <c r="R1252" s="942"/>
      <c r="S1252" s="650"/>
      <c r="T1252" s="934"/>
      <c r="U1252" s="650"/>
      <c r="V1252" s="930"/>
    </row>
    <row r="1253" spans="1:22" s="624" customFormat="1" ht="16.5" customHeight="1">
      <c r="A1253" s="750"/>
      <c r="B1253" s="750"/>
      <c r="C1253" s="750"/>
      <c r="D1253" s="750"/>
      <c r="E1253" s="750"/>
      <c r="F1253" s="750"/>
      <c r="G1253" s="750"/>
      <c r="H1253" s="750"/>
      <c r="I1253" s="750"/>
      <c r="J1253" s="871"/>
      <c r="K1253" s="801"/>
      <c r="L1253" s="899"/>
      <c r="M1253" s="650"/>
      <c r="N1253" s="917"/>
      <c r="O1253" s="646"/>
      <c r="P1253" s="933"/>
      <c r="Q1253" s="646"/>
      <c r="R1253" s="942"/>
      <c r="S1253" s="650"/>
      <c r="T1253" s="934"/>
      <c r="U1253" s="650"/>
      <c r="V1253" s="930"/>
    </row>
    <row r="1254" spans="1:22" s="624" customFormat="1" ht="16.5" customHeight="1">
      <c r="A1254" s="750"/>
      <c r="B1254" s="750"/>
      <c r="C1254" s="750"/>
      <c r="D1254" s="750"/>
      <c r="E1254" s="750"/>
      <c r="F1254" s="750"/>
      <c r="G1254" s="750"/>
      <c r="H1254" s="750"/>
      <c r="I1254" s="750"/>
      <c r="J1254" s="871"/>
      <c r="K1254" s="801"/>
      <c r="L1254" s="899"/>
      <c r="M1254" s="650"/>
      <c r="N1254" s="917"/>
      <c r="O1254" s="646"/>
      <c r="P1254" s="933"/>
      <c r="Q1254" s="646"/>
      <c r="R1254" s="942"/>
      <c r="S1254" s="650"/>
      <c r="T1254" s="934"/>
      <c r="U1254" s="650"/>
      <c r="V1254" s="930"/>
    </row>
    <row r="1255" spans="1:22" s="624" customFormat="1" ht="16.5" customHeight="1">
      <c r="A1255" s="750"/>
      <c r="B1255" s="750"/>
      <c r="C1255" s="750"/>
      <c r="D1255" s="750"/>
      <c r="E1255" s="750"/>
      <c r="F1255" s="750"/>
      <c r="G1255" s="750"/>
      <c r="H1255" s="750"/>
      <c r="I1255" s="750"/>
      <c r="J1255" s="871"/>
      <c r="K1255" s="801"/>
      <c r="L1255" s="899"/>
      <c r="M1255" s="650"/>
      <c r="N1255" s="917"/>
      <c r="O1255" s="646"/>
      <c r="P1255" s="933"/>
      <c r="Q1255" s="646"/>
      <c r="R1255" s="942"/>
      <c r="S1255" s="650"/>
      <c r="T1255" s="934"/>
      <c r="U1255" s="650"/>
      <c r="V1255" s="930"/>
    </row>
    <row r="1256" spans="1:22" s="624" customFormat="1" ht="16.5" customHeight="1">
      <c r="A1256" s="750"/>
      <c r="B1256" s="750"/>
      <c r="C1256" s="750"/>
      <c r="D1256" s="750"/>
      <c r="E1256" s="750"/>
      <c r="F1256" s="750"/>
      <c r="G1256" s="750"/>
      <c r="H1256" s="750"/>
      <c r="I1256" s="750"/>
      <c r="J1256" s="871"/>
      <c r="K1256" s="801"/>
      <c r="L1256" s="899"/>
      <c r="M1256" s="650"/>
      <c r="N1256" s="917"/>
      <c r="O1256" s="646"/>
      <c r="P1256" s="933"/>
      <c r="Q1256" s="646"/>
      <c r="R1256" s="942"/>
      <c r="S1256" s="650"/>
      <c r="T1256" s="934"/>
      <c r="U1256" s="650"/>
      <c r="V1256" s="930"/>
    </row>
    <row r="1257" spans="1:22" s="624" customFormat="1" ht="16.5" customHeight="1">
      <c r="A1257" s="750"/>
      <c r="B1257" s="750"/>
      <c r="C1257" s="750"/>
      <c r="D1257" s="750"/>
      <c r="E1257" s="750"/>
      <c r="F1257" s="750"/>
      <c r="G1257" s="750"/>
      <c r="H1257" s="750"/>
      <c r="I1257" s="750"/>
      <c r="J1257" s="871"/>
      <c r="K1257" s="801"/>
      <c r="L1257" s="899"/>
      <c r="M1257" s="650"/>
      <c r="N1257" s="917"/>
      <c r="O1257" s="646"/>
      <c r="P1257" s="933"/>
      <c r="Q1257" s="646"/>
      <c r="R1257" s="942"/>
      <c r="S1257" s="650"/>
      <c r="T1257" s="934"/>
      <c r="U1257" s="650"/>
      <c r="V1257" s="930"/>
    </row>
    <row r="1258" spans="1:22" s="624" customFormat="1" ht="16.5" customHeight="1">
      <c r="A1258" s="750"/>
      <c r="B1258" s="750"/>
      <c r="C1258" s="750"/>
      <c r="D1258" s="750"/>
      <c r="E1258" s="750"/>
      <c r="F1258" s="750"/>
      <c r="G1258" s="750"/>
      <c r="H1258" s="750"/>
      <c r="I1258" s="750"/>
      <c r="J1258" s="871"/>
      <c r="K1258" s="801"/>
      <c r="L1258" s="899"/>
      <c r="M1258" s="650"/>
      <c r="N1258" s="917"/>
      <c r="O1258" s="646"/>
      <c r="P1258" s="933"/>
      <c r="Q1258" s="646"/>
      <c r="R1258" s="942"/>
      <c r="S1258" s="650"/>
      <c r="T1258" s="934"/>
      <c r="U1258" s="650"/>
      <c r="V1258" s="930"/>
    </row>
    <row r="1259" spans="1:22" s="624" customFormat="1" ht="16.5" customHeight="1">
      <c r="A1259" s="750"/>
      <c r="B1259" s="750"/>
      <c r="C1259" s="750"/>
      <c r="D1259" s="750"/>
      <c r="E1259" s="750"/>
      <c r="F1259" s="750"/>
      <c r="G1259" s="750"/>
      <c r="H1259" s="750"/>
      <c r="I1259" s="750"/>
      <c r="J1259" s="871"/>
      <c r="K1259" s="801"/>
      <c r="L1259" s="899"/>
      <c r="M1259" s="650"/>
      <c r="N1259" s="917"/>
      <c r="O1259" s="646"/>
      <c r="P1259" s="933"/>
      <c r="Q1259" s="646"/>
      <c r="R1259" s="942"/>
      <c r="S1259" s="650"/>
      <c r="T1259" s="934"/>
      <c r="U1259" s="650"/>
      <c r="V1259" s="930"/>
    </row>
    <row r="1260" spans="1:22" s="624" customFormat="1" ht="16.5" customHeight="1">
      <c r="A1260" s="750"/>
      <c r="B1260" s="750"/>
      <c r="C1260" s="750"/>
      <c r="D1260" s="750"/>
      <c r="E1260" s="750"/>
      <c r="F1260" s="750"/>
      <c r="G1260" s="750"/>
      <c r="H1260" s="750"/>
      <c r="I1260" s="750"/>
      <c r="J1260" s="871"/>
      <c r="K1260" s="801"/>
      <c r="L1260" s="899"/>
      <c r="M1260" s="650"/>
      <c r="N1260" s="917"/>
      <c r="O1260" s="646"/>
      <c r="P1260" s="933"/>
      <c r="Q1260" s="646"/>
      <c r="R1260" s="942"/>
      <c r="S1260" s="650"/>
      <c r="T1260" s="934"/>
      <c r="U1260" s="650"/>
      <c r="V1260" s="930"/>
    </row>
    <row r="1261" spans="1:22" s="624" customFormat="1" ht="16.5" customHeight="1">
      <c r="A1261" s="750"/>
      <c r="B1261" s="750"/>
      <c r="C1261" s="750"/>
      <c r="D1261" s="750"/>
      <c r="E1261" s="750"/>
      <c r="F1261" s="750"/>
      <c r="G1261" s="750"/>
      <c r="H1261" s="750"/>
      <c r="I1261" s="750"/>
      <c r="J1261" s="871"/>
      <c r="K1261" s="801"/>
      <c r="L1261" s="899"/>
      <c r="M1261" s="650"/>
      <c r="N1261" s="917"/>
      <c r="O1261" s="646"/>
      <c r="P1261" s="933"/>
      <c r="Q1261" s="646"/>
      <c r="R1261" s="942"/>
      <c r="S1261" s="650"/>
      <c r="T1261" s="934"/>
      <c r="U1261" s="650"/>
      <c r="V1261" s="930"/>
    </row>
    <row r="1262" spans="1:22" s="624" customFormat="1" ht="16.5" customHeight="1">
      <c r="A1262" s="750"/>
      <c r="B1262" s="750"/>
      <c r="C1262" s="750"/>
      <c r="D1262" s="750"/>
      <c r="E1262" s="750"/>
      <c r="F1262" s="750"/>
      <c r="G1262" s="750"/>
      <c r="H1262" s="750"/>
      <c r="I1262" s="750"/>
      <c r="J1262" s="871"/>
      <c r="K1262" s="801"/>
      <c r="L1262" s="899"/>
      <c r="M1262" s="650"/>
      <c r="N1262" s="917"/>
      <c r="O1262" s="646"/>
      <c r="P1262" s="933"/>
      <c r="Q1262" s="646"/>
      <c r="R1262" s="942"/>
      <c r="S1262" s="650"/>
      <c r="T1262" s="934"/>
      <c r="U1262" s="650"/>
      <c r="V1262" s="930"/>
    </row>
    <row r="1263" spans="1:22" s="624" customFormat="1" ht="16.5" customHeight="1">
      <c r="A1263" s="750"/>
      <c r="B1263" s="750"/>
      <c r="C1263" s="750"/>
      <c r="D1263" s="750"/>
      <c r="E1263" s="750"/>
      <c r="F1263" s="750"/>
      <c r="G1263" s="750"/>
      <c r="H1263" s="750"/>
      <c r="I1263" s="750"/>
      <c r="J1263" s="871"/>
      <c r="K1263" s="801"/>
      <c r="L1263" s="899"/>
      <c r="M1263" s="650"/>
      <c r="N1263" s="917"/>
      <c r="O1263" s="646"/>
      <c r="P1263" s="933"/>
      <c r="Q1263" s="646"/>
      <c r="R1263" s="942"/>
      <c r="S1263" s="650"/>
      <c r="T1263" s="934"/>
      <c r="U1263" s="650"/>
      <c r="V1263" s="930"/>
    </row>
    <row r="1264" spans="1:22" s="624" customFormat="1" ht="16.5" customHeight="1">
      <c r="A1264" s="750"/>
      <c r="B1264" s="750"/>
      <c r="C1264" s="750"/>
      <c r="D1264" s="750"/>
      <c r="E1264" s="750"/>
      <c r="F1264" s="750"/>
      <c r="G1264" s="750"/>
      <c r="H1264" s="750"/>
      <c r="I1264" s="750"/>
      <c r="J1264" s="871"/>
      <c r="K1264" s="801"/>
      <c r="L1264" s="899"/>
      <c r="M1264" s="650"/>
      <c r="N1264" s="917"/>
      <c r="O1264" s="646"/>
      <c r="P1264" s="933"/>
      <c r="Q1264" s="646"/>
      <c r="R1264" s="942"/>
      <c r="S1264" s="650"/>
      <c r="T1264" s="934"/>
      <c r="U1264" s="650"/>
      <c r="V1264" s="930"/>
    </row>
    <row r="1265" spans="1:22" s="624" customFormat="1" ht="16.5" customHeight="1">
      <c r="A1265" s="750"/>
      <c r="B1265" s="750"/>
      <c r="C1265" s="750"/>
      <c r="D1265" s="750"/>
      <c r="E1265" s="750"/>
      <c r="F1265" s="750"/>
      <c r="G1265" s="750"/>
      <c r="H1265" s="750"/>
      <c r="I1265" s="750"/>
      <c r="J1265" s="871"/>
      <c r="K1265" s="801"/>
      <c r="L1265" s="899"/>
      <c r="M1265" s="650"/>
      <c r="N1265" s="917"/>
      <c r="O1265" s="646"/>
      <c r="P1265" s="933"/>
      <c r="Q1265" s="646"/>
      <c r="R1265" s="942"/>
      <c r="S1265" s="650"/>
      <c r="T1265" s="934"/>
      <c r="U1265" s="650"/>
      <c r="V1265" s="930"/>
    </row>
    <row r="1266" spans="1:22" s="624" customFormat="1" ht="16.5" customHeight="1">
      <c r="A1266" s="750"/>
      <c r="B1266" s="750"/>
      <c r="C1266" s="750"/>
      <c r="D1266" s="750"/>
      <c r="E1266" s="750"/>
      <c r="F1266" s="750"/>
      <c r="G1266" s="750"/>
      <c r="H1266" s="750"/>
      <c r="I1266" s="750"/>
      <c r="J1266" s="871"/>
      <c r="K1266" s="801"/>
      <c r="L1266" s="899"/>
      <c r="M1266" s="650"/>
      <c r="N1266" s="917"/>
      <c r="O1266" s="646"/>
      <c r="P1266" s="933"/>
      <c r="Q1266" s="646"/>
      <c r="R1266" s="942"/>
      <c r="S1266" s="650"/>
      <c r="T1266" s="934"/>
      <c r="U1266" s="650"/>
      <c r="V1266" s="930"/>
    </row>
    <row r="1267" spans="1:22" s="624" customFormat="1" ht="16.5" customHeight="1">
      <c r="A1267" s="750"/>
      <c r="B1267" s="750"/>
      <c r="C1267" s="750"/>
      <c r="D1267" s="750"/>
      <c r="E1267" s="750"/>
      <c r="F1267" s="750"/>
      <c r="G1267" s="750"/>
      <c r="H1267" s="750"/>
      <c r="I1267" s="750"/>
      <c r="J1267" s="871"/>
      <c r="K1267" s="801"/>
      <c r="L1267" s="899"/>
      <c r="M1267" s="650"/>
      <c r="N1267" s="917"/>
      <c r="O1267" s="646"/>
      <c r="P1267" s="933"/>
      <c r="Q1267" s="646"/>
      <c r="R1267" s="942"/>
      <c r="S1267" s="650"/>
      <c r="T1267" s="934"/>
      <c r="U1267" s="650"/>
      <c r="V1267" s="930"/>
    </row>
    <row r="1268" spans="1:22" s="624" customFormat="1" ht="16.5" customHeight="1">
      <c r="A1268" s="750"/>
      <c r="B1268" s="750"/>
      <c r="C1268" s="750"/>
      <c r="D1268" s="750"/>
      <c r="E1268" s="750"/>
      <c r="F1268" s="750"/>
      <c r="G1268" s="750"/>
      <c r="H1268" s="750"/>
      <c r="I1268" s="750"/>
      <c r="J1268" s="871"/>
      <c r="K1268" s="801"/>
      <c r="L1268" s="899"/>
      <c r="M1268" s="650"/>
      <c r="N1268" s="917"/>
      <c r="O1268" s="646"/>
      <c r="P1268" s="933"/>
      <c r="Q1268" s="646"/>
      <c r="R1268" s="942"/>
      <c r="S1268" s="650"/>
      <c r="T1268" s="934"/>
      <c r="U1268" s="650"/>
      <c r="V1268" s="930"/>
    </row>
    <row r="1269" spans="1:22" s="624" customFormat="1" ht="16.5" customHeight="1">
      <c r="A1269" s="750"/>
      <c r="B1269" s="750"/>
      <c r="C1269" s="750"/>
      <c r="D1269" s="750"/>
      <c r="E1269" s="750"/>
      <c r="F1269" s="750"/>
      <c r="G1269" s="750"/>
      <c r="H1269" s="750"/>
      <c r="I1269" s="750"/>
      <c r="J1269" s="871"/>
      <c r="K1269" s="801"/>
      <c r="L1269" s="899"/>
      <c r="M1269" s="650"/>
      <c r="N1269" s="917"/>
      <c r="O1269" s="646"/>
      <c r="P1269" s="933"/>
      <c r="Q1269" s="646"/>
      <c r="R1269" s="942"/>
      <c r="S1269" s="650"/>
      <c r="T1269" s="934"/>
      <c r="U1269" s="650"/>
      <c r="V1269" s="930"/>
    </row>
    <row r="1270" spans="1:22" s="624" customFormat="1" ht="16.5" customHeight="1">
      <c r="A1270" s="750"/>
      <c r="B1270" s="750"/>
      <c r="C1270" s="750"/>
      <c r="D1270" s="750"/>
      <c r="E1270" s="750"/>
      <c r="F1270" s="750"/>
      <c r="G1270" s="750"/>
      <c r="H1270" s="750"/>
      <c r="I1270" s="750"/>
      <c r="J1270" s="871"/>
      <c r="K1270" s="801"/>
      <c r="L1270" s="899"/>
      <c r="M1270" s="650"/>
      <c r="N1270" s="917"/>
      <c r="O1270" s="646"/>
      <c r="P1270" s="933"/>
      <c r="Q1270" s="646"/>
      <c r="R1270" s="942"/>
      <c r="S1270" s="650"/>
      <c r="T1270" s="934"/>
      <c r="U1270" s="650"/>
      <c r="V1270" s="930"/>
    </row>
    <row r="1271" spans="1:22" s="624" customFormat="1" ht="16.5" customHeight="1">
      <c r="A1271" s="750"/>
      <c r="B1271" s="750"/>
      <c r="C1271" s="750"/>
      <c r="D1271" s="750"/>
      <c r="E1271" s="750"/>
      <c r="F1271" s="750"/>
      <c r="G1271" s="750"/>
      <c r="H1271" s="750"/>
      <c r="I1271" s="750"/>
      <c r="J1271" s="871"/>
      <c r="K1271" s="801"/>
      <c r="L1271" s="899"/>
      <c r="M1271" s="650"/>
      <c r="N1271" s="917"/>
      <c r="O1271" s="646"/>
      <c r="P1271" s="933"/>
      <c r="Q1271" s="646"/>
      <c r="R1271" s="942"/>
      <c r="S1271" s="650"/>
      <c r="T1271" s="934"/>
      <c r="U1271" s="650"/>
      <c r="V1271" s="930"/>
    </row>
    <row r="1272" spans="1:22" s="624" customFormat="1" ht="16.5" customHeight="1">
      <c r="A1272" s="750"/>
      <c r="B1272" s="750"/>
      <c r="C1272" s="750"/>
      <c r="D1272" s="750"/>
      <c r="E1272" s="750"/>
      <c r="F1272" s="750"/>
      <c r="G1272" s="750"/>
      <c r="H1272" s="750"/>
      <c r="I1272" s="750"/>
      <c r="J1272" s="871"/>
      <c r="K1272" s="801"/>
      <c r="L1272" s="899"/>
      <c r="M1272" s="650"/>
      <c r="N1272" s="917"/>
      <c r="O1272" s="646"/>
      <c r="P1272" s="933"/>
      <c r="Q1272" s="646"/>
      <c r="R1272" s="942"/>
      <c r="S1272" s="650"/>
      <c r="T1272" s="934"/>
      <c r="U1272" s="650"/>
      <c r="V1272" s="930"/>
    </row>
    <row r="1273" spans="1:22" s="624" customFormat="1" ht="16.5" customHeight="1">
      <c r="A1273" s="750"/>
      <c r="B1273" s="750"/>
      <c r="C1273" s="750"/>
      <c r="D1273" s="750"/>
      <c r="E1273" s="750"/>
      <c r="F1273" s="750"/>
      <c r="G1273" s="750"/>
      <c r="H1273" s="750"/>
      <c r="I1273" s="750"/>
      <c r="J1273" s="871"/>
      <c r="K1273" s="801"/>
      <c r="L1273" s="899"/>
      <c r="M1273" s="650"/>
      <c r="N1273" s="917"/>
      <c r="O1273" s="646"/>
      <c r="P1273" s="933"/>
      <c r="Q1273" s="646"/>
      <c r="R1273" s="942"/>
      <c r="S1273" s="650"/>
      <c r="T1273" s="934"/>
      <c r="U1273" s="650"/>
      <c r="V1273" s="930"/>
    </row>
    <row r="1274" spans="1:22" s="624" customFormat="1" ht="16.5" customHeight="1">
      <c r="A1274" s="750"/>
      <c r="B1274" s="750"/>
      <c r="C1274" s="750"/>
      <c r="D1274" s="750"/>
      <c r="E1274" s="750"/>
      <c r="F1274" s="750"/>
      <c r="G1274" s="750"/>
      <c r="H1274" s="750"/>
      <c r="I1274" s="750"/>
      <c r="J1274" s="871"/>
      <c r="K1274" s="801"/>
      <c r="L1274" s="899"/>
      <c r="M1274" s="650"/>
      <c r="N1274" s="917"/>
      <c r="O1274" s="646"/>
      <c r="P1274" s="933"/>
      <c r="Q1274" s="646"/>
      <c r="R1274" s="942"/>
      <c r="S1274" s="650"/>
      <c r="T1274" s="934"/>
      <c r="U1274" s="650"/>
      <c r="V1274" s="930"/>
    </row>
    <row r="1275" spans="1:22" s="624" customFormat="1" ht="16.5" customHeight="1">
      <c r="A1275" s="750"/>
      <c r="B1275" s="750"/>
      <c r="C1275" s="750"/>
      <c r="D1275" s="750"/>
      <c r="E1275" s="750"/>
      <c r="F1275" s="750"/>
      <c r="G1275" s="750"/>
      <c r="H1275" s="750"/>
      <c r="I1275" s="750"/>
      <c r="J1275" s="871"/>
      <c r="K1275" s="801"/>
      <c r="L1275" s="899"/>
      <c r="M1275" s="650"/>
      <c r="N1275" s="917"/>
      <c r="O1275" s="646"/>
      <c r="P1275" s="933"/>
      <c r="Q1275" s="646"/>
      <c r="R1275" s="942"/>
      <c r="S1275" s="650"/>
      <c r="T1275" s="934"/>
      <c r="U1275" s="650"/>
      <c r="V1275" s="930"/>
    </row>
    <row r="1276" spans="1:22" s="624" customFormat="1" ht="16.5" customHeight="1">
      <c r="A1276" s="750"/>
      <c r="B1276" s="750"/>
      <c r="C1276" s="750"/>
      <c r="D1276" s="750"/>
      <c r="E1276" s="750"/>
      <c r="F1276" s="750"/>
      <c r="G1276" s="750"/>
      <c r="H1276" s="750"/>
      <c r="I1276" s="750"/>
      <c r="J1276" s="871"/>
      <c r="K1276" s="801"/>
      <c r="L1276" s="899"/>
      <c r="M1276" s="650"/>
      <c r="N1276" s="917"/>
      <c r="O1276" s="646"/>
      <c r="P1276" s="933"/>
      <c r="Q1276" s="646"/>
      <c r="R1276" s="942"/>
      <c r="S1276" s="650"/>
      <c r="T1276" s="934"/>
      <c r="U1276" s="650"/>
      <c r="V1276" s="930"/>
    </row>
    <row r="1277" spans="1:22" s="624" customFormat="1" ht="16.5" customHeight="1">
      <c r="A1277" s="750"/>
      <c r="B1277" s="750"/>
      <c r="C1277" s="750"/>
      <c r="D1277" s="750"/>
      <c r="E1277" s="750"/>
      <c r="F1277" s="750"/>
      <c r="G1277" s="750"/>
      <c r="H1277" s="750"/>
      <c r="I1277" s="750"/>
      <c r="J1277" s="871"/>
      <c r="K1277" s="801"/>
      <c r="L1277" s="899"/>
      <c r="M1277" s="650"/>
      <c r="N1277" s="917"/>
      <c r="O1277" s="646"/>
      <c r="P1277" s="933"/>
      <c r="Q1277" s="646"/>
      <c r="R1277" s="942"/>
      <c r="S1277" s="650"/>
      <c r="T1277" s="934"/>
      <c r="U1277" s="650"/>
      <c r="V1277" s="930"/>
    </row>
    <row r="1278" spans="1:22" s="624" customFormat="1" ht="16.5" customHeight="1">
      <c r="A1278" s="750"/>
      <c r="B1278" s="750"/>
      <c r="C1278" s="750"/>
      <c r="D1278" s="750"/>
      <c r="E1278" s="750"/>
      <c r="F1278" s="750"/>
      <c r="G1278" s="750"/>
      <c r="H1278" s="750"/>
      <c r="I1278" s="750"/>
      <c r="J1278" s="871"/>
      <c r="K1278" s="801"/>
      <c r="L1278" s="899"/>
      <c r="M1278" s="650"/>
      <c r="N1278" s="917"/>
      <c r="O1278" s="646"/>
      <c r="P1278" s="933"/>
      <c r="Q1278" s="646"/>
      <c r="R1278" s="942"/>
      <c r="S1278" s="650"/>
      <c r="T1278" s="934"/>
      <c r="U1278" s="650"/>
      <c r="V1278" s="930"/>
    </row>
    <row r="1279" spans="1:22" s="624" customFormat="1" ht="16.5" customHeight="1">
      <c r="A1279" s="750"/>
      <c r="B1279" s="750"/>
      <c r="C1279" s="750"/>
      <c r="D1279" s="750"/>
      <c r="E1279" s="750"/>
      <c r="F1279" s="750"/>
      <c r="G1279" s="750"/>
      <c r="H1279" s="750"/>
      <c r="I1279" s="750"/>
      <c r="J1279" s="871"/>
      <c r="K1279" s="801"/>
      <c r="L1279" s="899"/>
      <c r="M1279" s="650"/>
      <c r="N1279" s="917"/>
      <c r="O1279" s="646"/>
      <c r="P1279" s="933"/>
      <c r="Q1279" s="646"/>
      <c r="R1279" s="942"/>
      <c r="S1279" s="650"/>
      <c r="T1279" s="934"/>
      <c r="U1279" s="650"/>
      <c r="V1279" s="930"/>
    </row>
    <row r="1280" spans="1:22" s="624" customFormat="1" ht="16.5" customHeight="1">
      <c r="A1280" s="750"/>
      <c r="B1280" s="750"/>
      <c r="C1280" s="750"/>
      <c r="D1280" s="750"/>
      <c r="E1280" s="750"/>
      <c r="F1280" s="750"/>
      <c r="G1280" s="750"/>
      <c r="H1280" s="750"/>
      <c r="I1280" s="750"/>
      <c r="J1280" s="871"/>
      <c r="K1280" s="801"/>
      <c r="L1280" s="899"/>
      <c r="M1280" s="650"/>
      <c r="N1280" s="917"/>
      <c r="O1280" s="646"/>
      <c r="P1280" s="933"/>
      <c r="Q1280" s="646"/>
      <c r="R1280" s="942"/>
      <c r="S1280" s="650"/>
      <c r="T1280" s="934"/>
      <c r="U1280" s="650"/>
      <c r="V1280" s="930"/>
    </row>
    <row r="1281" spans="1:22" s="624" customFormat="1" ht="16.5" customHeight="1">
      <c r="A1281" s="750"/>
      <c r="B1281" s="750"/>
      <c r="C1281" s="750"/>
      <c r="D1281" s="750"/>
      <c r="E1281" s="750"/>
      <c r="F1281" s="750"/>
      <c r="G1281" s="750"/>
      <c r="H1281" s="750"/>
      <c r="I1281" s="750"/>
      <c r="J1281" s="871"/>
      <c r="K1281" s="801"/>
      <c r="L1281" s="899"/>
      <c r="M1281" s="650"/>
      <c r="N1281" s="917"/>
      <c r="O1281" s="646"/>
      <c r="P1281" s="933"/>
      <c r="Q1281" s="646"/>
      <c r="R1281" s="942"/>
      <c r="S1281" s="650"/>
      <c r="T1281" s="934"/>
      <c r="U1281" s="650"/>
      <c r="V1281" s="930"/>
    </row>
    <row r="1282" spans="1:22" s="624" customFormat="1" ht="16.5" customHeight="1">
      <c r="A1282" s="750"/>
      <c r="B1282" s="750"/>
      <c r="C1282" s="750"/>
      <c r="D1282" s="750"/>
      <c r="E1282" s="750"/>
      <c r="F1282" s="750"/>
      <c r="G1282" s="750"/>
      <c r="H1282" s="750"/>
      <c r="I1282" s="750"/>
      <c r="J1282" s="871"/>
      <c r="K1282" s="801"/>
      <c r="L1282" s="899"/>
      <c r="M1282" s="650"/>
      <c r="N1282" s="917"/>
      <c r="O1282" s="646"/>
      <c r="P1282" s="933"/>
      <c r="Q1282" s="646"/>
      <c r="R1282" s="942"/>
      <c r="S1282" s="650"/>
      <c r="T1282" s="934"/>
      <c r="U1282" s="650"/>
      <c r="V1282" s="930"/>
    </row>
    <row r="1283" spans="1:22" s="624" customFormat="1" ht="16.5" customHeight="1">
      <c r="A1283" s="750"/>
      <c r="B1283" s="750"/>
      <c r="C1283" s="750"/>
      <c r="D1283" s="750"/>
      <c r="E1283" s="750"/>
      <c r="F1283" s="750"/>
      <c r="G1283" s="750"/>
      <c r="H1283" s="750"/>
      <c r="I1283" s="750"/>
      <c r="J1283" s="871"/>
      <c r="K1283" s="801"/>
      <c r="L1283" s="899"/>
      <c r="M1283" s="650"/>
      <c r="N1283" s="917"/>
      <c r="O1283" s="646"/>
      <c r="P1283" s="933"/>
      <c r="Q1283" s="646"/>
      <c r="R1283" s="942"/>
      <c r="S1283" s="650"/>
      <c r="T1283" s="934"/>
      <c r="U1283" s="650"/>
      <c r="V1283" s="930"/>
    </row>
    <row r="1284" spans="1:22" s="624" customFormat="1" ht="16.5" customHeight="1">
      <c r="A1284" s="750"/>
      <c r="B1284" s="750"/>
      <c r="C1284" s="750"/>
      <c r="D1284" s="750"/>
      <c r="E1284" s="750"/>
      <c r="F1284" s="750"/>
      <c r="G1284" s="750"/>
      <c r="H1284" s="750"/>
      <c r="I1284" s="750"/>
      <c r="J1284" s="871"/>
      <c r="K1284" s="801"/>
      <c r="L1284" s="899"/>
      <c r="M1284" s="650"/>
      <c r="N1284" s="917"/>
      <c r="O1284" s="646"/>
      <c r="P1284" s="933"/>
      <c r="Q1284" s="646"/>
      <c r="R1284" s="942"/>
      <c r="S1284" s="650"/>
      <c r="T1284" s="934"/>
      <c r="U1284" s="650"/>
      <c r="V1284" s="930"/>
    </row>
    <row r="1285" spans="1:22" s="624" customFormat="1" ht="16.5" customHeight="1">
      <c r="A1285" s="750"/>
      <c r="B1285" s="750"/>
      <c r="C1285" s="750"/>
      <c r="D1285" s="750"/>
      <c r="E1285" s="750"/>
      <c r="F1285" s="750"/>
      <c r="G1285" s="750"/>
      <c r="H1285" s="750"/>
      <c r="I1285" s="750"/>
      <c r="J1285" s="871"/>
      <c r="K1285" s="801"/>
      <c r="L1285" s="899"/>
      <c r="M1285" s="650"/>
      <c r="N1285" s="917"/>
      <c r="O1285" s="646"/>
      <c r="P1285" s="933"/>
      <c r="Q1285" s="646"/>
      <c r="R1285" s="942"/>
      <c r="S1285" s="650"/>
      <c r="T1285" s="934"/>
      <c r="U1285" s="650"/>
      <c r="V1285" s="930"/>
    </row>
    <row r="1286" spans="1:22" s="624" customFormat="1" ht="16.5" customHeight="1">
      <c r="A1286" s="750"/>
      <c r="B1286" s="750"/>
      <c r="C1286" s="750"/>
      <c r="D1286" s="750"/>
      <c r="E1286" s="750"/>
      <c r="F1286" s="750"/>
      <c r="G1286" s="750"/>
      <c r="H1286" s="750"/>
      <c r="I1286" s="750"/>
      <c r="J1286" s="871"/>
      <c r="K1286" s="801"/>
      <c r="L1286" s="899"/>
      <c r="M1286" s="650"/>
      <c r="N1286" s="917"/>
      <c r="O1286" s="646"/>
      <c r="P1286" s="933"/>
      <c r="Q1286" s="646"/>
      <c r="R1286" s="942"/>
      <c r="S1286" s="650"/>
      <c r="T1286" s="934"/>
      <c r="U1286" s="650"/>
      <c r="V1286" s="930"/>
    </row>
    <row r="1287" spans="1:22" s="624" customFormat="1" ht="16.5" customHeight="1">
      <c r="A1287" s="750"/>
      <c r="B1287" s="750"/>
      <c r="C1287" s="750"/>
      <c r="D1287" s="750"/>
      <c r="E1287" s="750"/>
      <c r="F1287" s="750"/>
      <c r="G1287" s="750"/>
      <c r="H1287" s="750"/>
      <c r="I1287" s="750"/>
      <c r="J1287" s="871"/>
      <c r="K1287" s="801"/>
      <c r="L1287" s="899"/>
      <c r="M1287" s="650"/>
      <c r="N1287" s="917"/>
      <c r="O1287" s="646"/>
      <c r="P1287" s="933"/>
      <c r="Q1287" s="646"/>
      <c r="R1287" s="942"/>
      <c r="S1287" s="650"/>
      <c r="T1287" s="934"/>
      <c r="U1287" s="650"/>
      <c r="V1287" s="930"/>
    </row>
    <row r="1288" spans="1:22" s="624" customFormat="1" ht="16.5" customHeight="1">
      <c r="A1288" s="750"/>
      <c r="B1288" s="750"/>
      <c r="C1288" s="750"/>
      <c r="D1288" s="750"/>
      <c r="E1288" s="750"/>
      <c r="F1288" s="750"/>
      <c r="G1288" s="750"/>
      <c r="H1288" s="750"/>
      <c r="I1288" s="750"/>
      <c r="J1288" s="871"/>
      <c r="K1288" s="801"/>
      <c r="L1288" s="899"/>
      <c r="M1288" s="650"/>
      <c r="N1288" s="917"/>
      <c r="O1288" s="646"/>
      <c r="P1288" s="933"/>
      <c r="Q1288" s="646"/>
      <c r="R1288" s="942"/>
      <c r="S1288" s="650"/>
      <c r="T1288" s="934"/>
      <c r="U1288" s="650"/>
      <c r="V1288" s="930"/>
    </row>
    <row r="1289" spans="1:22" s="624" customFormat="1" ht="16.5" customHeight="1">
      <c r="A1289" s="750"/>
      <c r="B1289" s="750"/>
      <c r="C1289" s="750"/>
      <c r="D1289" s="750"/>
      <c r="E1289" s="750"/>
      <c r="F1289" s="750"/>
      <c r="G1289" s="750"/>
      <c r="H1289" s="750"/>
      <c r="I1289" s="750"/>
      <c r="J1289" s="871"/>
      <c r="K1289" s="801"/>
      <c r="L1289" s="899"/>
      <c r="M1289" s="650"/>
      <c r="N1289" s="917"/>
      <c r="O1289" s="646"/>
      <c r="P1289" s="933"/>
      <c r="Q1289" s="646"/>
      <c r="R1289" s="942"/>
      <c r="S1289" s="650"/>
      <c r="T1289" s="934"/>
      <c r="U1289" s="650"/>
      <c r="V1289" s="930"/>
    </row>
    <row r="1290" spans="1:22" s="624" customFormat="1" ht="16.5" customHeight="1">
      <c r="A1290" s="750"/>
      <c r="B1290" s="750"/>
      <c r="C1290" s="750"/>
      <c r="D1290" s="750"/>
      <c r="E1290" s="750"/>
      <c r="F1290" s="750"/>
      <c r="G1290" s="750"/>
      <c r="H1290" s="750"/>
      <c r="I1290" s="750"/>
      <c r="J1290" s="871"/>
      <c r="K1290" s="801"/>
      <c r="L1290" s="899"/>
      <c r="M1290" s="650"/>
      <c r="N1290" s="917"/>
      <c r="O1290" s="646"/>
      <c r="P1290" s="933"/>
      <c r="Q1290" s="646"/>
      <c r="R1290" s="942"/>
      <c r="S1290" s="650"/>
      <c r="T1290" s="934"/>
      <c r="U1290" s="650"/>
      <c r="V1290" s="930"/>
    </row>
    <row r="1291" spans="1:22" s="624" customFormat="1" ht="16.5" customHeight="1">
      <c r="A1291" s="750"/>
      <c r="B1291" s="750"/>
      <c r="C1291" s="750"/>
      <c r="D1291" s="750"/>
      <c r="E1291" s="750"/>
      <c r="F1291" s="750"/>
      <c r="G1291" s="750"/>
      <c r="H1291" s="750"/>
      <c r="I1291" s="750"/>
      <c r="J1291" s="871"/>
      <c r="K1291" s="801"/>
      <c r="L1291" s="899"/>
      <c r="M1291" s="650"/>
      <c r="N1291" s="917"/>
      <c r="O1291" s="646"/>
      <c r="P1291" s="933"/>
      <c r="Q1291" s="646"/>
      <c r="R1291" s="942"/>
      <c r="S1291" s="650"/>
      <c r="T1291" s="934"/>
      <c r="U1291" s="650"/>
      <c r="V1291" s="930"/>
    </row>
    <row r="1292" spans="1:22" s="624" customFormat="1" ht="16.5" customHeight="1">
      <c r="A1292" s="750"/>
      <c r="B1292" s="750"/>
      <c r="C1292" s="750"/>
      <c r="D1292" s="750"/>
      <c r="E1292" s="750"/>
      <c r="F1292" s="750"/>
      <c r="G1292" s="750"/>
      <c r="H1292" s="750"/>
      <c r="I1292" s="750"/>
      <c r="J1292" s="871"/>
      <c r="K1292" s="801"/>
      <c r="L1292" s="899"/>
      <c r="M1292" s="650"/>
      <c r="N1292" s="917"/>
      <c r="O1292" s="646"/>
      <c r="P1292" s="933"/>
      <c r="Q1292" s="646"/>
      <c r="R1292" s="942"/>
      <c r="S1292" s="650"/>
      <c r="T1292" s="934"/>
      <c r="U1292" s="650"/>
      <c r="V1292" s="930"/>
    </row>
    <row r="1293" spans="1:22" s="624" customFormat="1" ht="16.5" customHeight="1">
      <c r="A1293" s="750"/>
      <c r="B1293" s="750"/>
      <c r="C1293" s="750"/>
      <c r="D1293" s="750"/>
      <c r="E1293" s="750"/>
      <c r="F1293" s="750"/>
      <c r="G1293" s="750"/>
      <c r="H1293" s="750"/>
      <c r="I1293" s="750"/>
      <c r="J1293" s="871"/>
      <c r="K1293" s="801"/>
      <c r="L1293" s="899"/>
      <c r="M1293" s="650"/>
      <c r="N1293" s="917"/>
      <c r="O1293" s="646"/>
      <c r="P1293" s="933"/>
      <c r="Q1293" s="646"/>
      <c r="R1293" s="942"/>
      <c r="S1293" s="650"/>
      <c r="T1293" s="934"/>
      <c r="U1293" s="650"/>
      <c r="V1293" s="930"/>
    </row>
    <row r="1294" spans="1:22" s="624" customFormat="1" ht="16.5" customHeight="1">
      <c r="A1294" s="750"/>
      <c r="B1294" s="750"/>
      <c r="C1294" s="750"/>
      <c r="D1294" s="750"/>
      <c r="E1294" s="750"/>
      <c r="F1294" s="750"/>
      <c r="G1294" s="750"/>
      <c r="H1294" s="750"/>
      <c r="I1294" s="750"/>
      <c r="J1294" s="871"/>
      <c r="K1294" s="801"/>
      <c r="L1294" s="899"/>
      <c r="M1294" s="650"/>
      <c r="N1294" s="917"/>
      <c r="O1294" s="646"/>
      <c r="P1294" s="933"/>
      <c r="Q1294" s="646"/>
      <c r="R1294" s="942"/>
      <c r="S1294" s="650"/>
      <c r="T1294" s="934"/>
      <c r="U1294" s="650"/>
      <c r="V1294" s="930"/>
    </row>
    <row r="1295" spans="1:22" s="624" customFormat="1" ht="16.5" customHeight="1">
      <c r="A1295" s="750"/>
      <c r="B1295" s="750"/>
      <c r="C1295" s="750"/>
      <c r="D1295" s="750"/>
      <c r="E1295" s="750"/>
      <c r="F1295" s="750"/>
      <c r="G1295" s="750"/>
      <c r="H1295" s="750"/>
      <c r="I1295" s="750"/>
      <c r="J1295" s="871"/>
      <c r="K1295" s="801"/>
      <c r="L1295" s="899"/>
      <c r="M1295" s="650"/>
      <c r="N1295" s="917"/>
      <c r="O1295" s="646"/>
      <c r="P1295" s="933"/>
      <c r="Q1295" s="646"/>
      <c r="R1295" s="942"/>
      <c r="S1295" s="650"/>
      <c r="T1295" s="934"/>
      <c r="U1295" s="650"/>
      <c r="V1295" s="930"/>
    </row>
    <row r="1296" spans="1:22" s="624" customFormat="1" ht="16.5" customHeight="1">
      <c r="A1296" s="750"/>
      <c r="B1296" s="750"/>
      <c r="C1296" s="750"/>
      <c r="D1296" s="750"/>
      <c r="E1296" s="750"/>
      <c r="F1296" s="750"/>
      <c r="G1296" s="750"/>
      <c r="H1296" s="750"/>
      <c r="I1296" s="750"/>
      <c r="J1296" s="871"/>
      <c r="K1296" s="801"/>
      <c r="L1296" s="899"/>
      <c r="M1296" s="650"/>
      <c r="N1296" s="917"/>
      <c r="O1296" s="646"/>
      <c r="P1296" s="933"/>
      <c r="Q1296" s="646"/>
      <c r="R1296" s="942"/>
      <c r="S1296" s="650"/>
      <c r="T1296" s="934"/>
      <c r="U1296" s="650"/>
      <c r="V1296" s="930"/>
    </row>
    <row r="1297" spans="1:22" s="624" customFormat="1" ht="16.5" customHeight="1">
      <c r="A1297" s="750"/>
      <c r="B1297" s="750"/>
      <c r="C1297" s="750"/>
      <c r="D1297" s="750"/>
      <c r="E1297" s="750"/>
      <c r="F1297" s="750"/>
      <c r="G1297" s="750"/>
      <c r="H1297" s="750"/>
      <c r="I1297" s="750"/>
      <c r="J1297" s="871"/>
      <c r="K1297" s="801"/>
      <c r="L1297" s="899"/>
      <c r="M1297" s="650"/>
      <c r="N1297" s="917"/>
      <c r="O1297" s="646"/>
      <c r="P1297" s="933"/>
      <c r="Q1297" s="646"/>
      <c r="R1297" s="942"/>
      <c r="S1297" s="650"/>
      <c r="T1297" s="934"/>
      <c r="U1297" s="650"/>
      <c r="V1297" s="930"/>
    </row>
    <row r="1298" spans="1:22" s="624" customFormat="1" ht="16.5" customHeight="1">
      <c r="A1298" s="750"/>
      <c r="B1298" s="750"/>
      <c r="C1298" s="750"/>
      <c r="D1298" s="750"/>
      <c r="E1298" s="750"/>
      <c r="F1298" s="750"/>
      <c r="G1298" s="750"/>
      <c r="H1298" s="750"/>
      <c r="I1298" s="750"/>
      <c r="J1298" s="871"/>
      <c r="K1298" s="801"/>
      <c r="L1298" s="899"/>
      <c r="M1298" s="650"/>
      <c r="N1298" s="917"/>
      <c r="O1298" s="646"/>
      <c r="P1298" s="933"/>
      <c r="Q1298" s="646"/>
      <c r="R1298" s="942"/>
      <c r="S1298" s="650"/>
      <c r="T1298" s="934"/>
      <c r="U1298" s="650"/>
      <c r="V1298" s="930"/>
    </row>
    <row r="1299" spans="1:22" s="624" customFormat="1" ht="16.5" customHeight="1">
      <c r="A1299" s="750"/>
      <c r="B1299" s="750"/>
      <c r="C1299" s="750"/>
      <c r="D1299" s="750"/>
      <c r="E1299" s="750"/>
      <c r="F1299" s="750"/>
      <c r="G1299" s="750"/>
      <c r="H1299" s="750"/>
      <c r="I1299" s="750"/>
      <c r="J1299" s="871"/>
      <c r="K1299" s="801"/>
      <c r="L1299" s="899"/>
      <c r="M1299" s="650"/>
      <c r="N1299" s="917"/>
      <c r="O1299" s="646"/>
      <c r="P1299" s="933"/>
      <c r="Q1299" s="646"/>
      <c r="R1299" s="942"/>
      <c r="S1299" s="650"/>
      <c r="T1299" s="934"/>
      <c r="U1299" s="650"/>
      <c r="V1299" s="930"/>
    </row>
    <row r="1300" spans="1:22" s="624" customFormat="1" ht="16.5" customHeight="1">
      <c r="A1300" s="750"/>
      <c r="B1300" s="750"/>
      <c r="C1300" s="750"/>
      <c r="D1300" s="750"/>
      <c r="E1300" s="750"/>
      <c r="F1300" s="750"/>
      <c r="G1300" s="750"/>
      <c r="H1300" s="750"/>
      <c r="I1300" s="750"/>
      <c r="J1300" s="871"/>
      <c r="K1300" s="801"/>
      <c r="L1300" s="899"/>
      <c r="M1300" s="650"/>
      <c r="N1300" s="917"/>
      <c r="O1300" s="646"/>
      <c r="P1300" s="933"/>
      <c r="Q1300" s="646"/>
      <c r="R1300" s="942"/>
      <c r="S1300" s="650"/>
      <c r="T1300" s="934"/>
      <c r="U1300" s="650"/>
      <c r="V1300" s="930"/>
    </row>
    <row r="1301" spans="1:22" s="624" customFormat="1" ht="16.5" customHeight="1">
      <c r="A1301" s="750"/>
      <c r="B1301" s="750"/>
      <c r="C1301" s="750"/>
      <c r="D1301" s="750"/>
      <c r="E1301" s="750"/>
      <c r="F1301" s="750"/>
      <c r="G1301" s="750"/>
      <c r="H1301" s="750"/>
      <c r="I1301" s="750"/>
      <c r="J1301" s="871"/>
      <c r="K1301" s="801"/>
      <c r="L1301" s="899"/>
      <c r="M1301" s="650"/>
      <c r="N1301" s="917"/>
      <c r="O1301" s="646"/>
      <c r="P1301" s="933"/>
      <c r="Q1301" s="646"/>
      <c r="R1301" s="942"/>
      <c r="S1301" s="650"/>
      <c r="T1301" s="934"/>
      <c r="U1301" s="650"/>
      <c r="V1301" s="930"/>
    </row>
    <row r="1302" spans="1:22" s="624" customFormat="1" ht="16.5" customHeight="1">
      <c r="A1302" s="750"/>
      <c r="B1302" s="750"/>
      <c r="C1302" s="750"/>
      <c r="D1302" s="750"/>
      <c r="E1302" s="750"/>
      <c r="F1302" s="750"/>
      <c r="G1302" s="750"/>
      <c r="H1302" s="750"/>
      <c r="I1302" s="750"/>
      <c r="J1302" s="871"/>
      <c r="K1302" s="801"/>
      <c r="L1302" s="899"/>
      <c r="M1302" s="650"/>
      <c r="N1302" s="917"/>
      <c r="O1302" s="646"/>
      <c r="P1302" s="933"/>
      <c r="Q1302" s="646"/>
      <c r="R1302" s="942"/>
      <c r="S1302" s="650"/>
      <c r="T1302" s="934"/>
      <c r="U1302" s="650"/>
      <c r="V1302" s="930"/>
    </row>
    <row r="1303" spans="1:22" s="624" customFormat="1" ht="16.5" customHeight="1">
      <c r="A1303" s="750"/>
      <c r="B1303" s="750"/>
      <c r="C1303" s="750"/>
      <c r="D1303" s="750"/>
      <c r="E1303" s="750"/>
      <c r="F1303" s="750"/>
      <c r="G1303" s="750"/>
      <c r="H1303" s="750"/>
      <c r="I1303" s="750"/>
      <c r="J1303" s="871"/>
      <c r="K1303" s="801"/>
      <c r="L1303" s="899"/>
      <c r="M1303" s="650"/>
      <c r="N1303" s="917"/>
      <c r="O1303" s="646"/>
      <c r="P1303" s="933"/>
      <c r="Q1303" s="646"/>
      <c r="R1303" s="942"/>
      <c r="S1303" s="650"/>
      <c r="T1303" s="934"/>
      <c r="U1303" s="650"/>
      <c r="V1303" s="930"/>
    </row>
    <row r="1304" spans="1:22" s="624" customFormat="1" ht="16.5" customHeight="1">
      <c r="A1304" s="750"/>
      <c r="B1304" s="750"/>
      <c r="C1304" s="750"/>
      <c r="D1304" s="750"/>
      <c r="E1304" s="750"/>
      <c r="F1304" s="750"/>
      <c r="G1304" s="750"/>
      <c r="H1304" s="750"/>
      <c r="I1304" s="750"/>
      <c r="J1304" s="871"/>
      <c r="K1304" s="801"/>
      <c r="L1304" s="899"/>
      <c r="M1304" s="650"/>
      <c r="N1304" s="917"/>
      <c r="O1304" s="646"/>
      <c r="P1304" s="933"/>
      <c r="Q1304" s="646"/>
      <c r="R1304" s="942"/>
      <c r="S1304" s="650"/>
      <c r="T1304" s="934"/>
      <c r="U1304" s="650"/>
      <c r="V1304" s="930"/>
    </row>
    <row r="1305" spans="1:22" s="624" customFormat="1" ht="16.5" customHeight="1">
      <c r="A1305" s="750"/>
      <c r="B1305" s="750"/>
      <c r="C1305" s="750"/>
      <c r="D1305" s="750"/>
      <c r="E1305" s="750"/>
      <c r="F1305" s="750"/>
      <c r="G1305" s="750"/>
      <c r="H1305" s="750"/>
      <c r="I1305" s="750"/>
      <c r="J1305" s="871"/>
      <c r="K1305" s="801"/>
      <c r="L1305" s="899"/>
      <c r="M1305" s="650"/>
      <c r="N1305" s="917"/>
      <c r="O1305" s="646"/>
      <c r="P1305" s="933"/>
      <c r="Q1305" s="646"/>
      <c r="R1305" s="942"/>
      <c r="S1305" s="650"/>
      <c r="T1305" s="934"/>
      <c r="U1305" s="650"/>
      <c r="V1305" s="930"/>
    </row>
    <row r="1306" spans="1:22" s="624" customFormat="1" ht="16.5" customHeight="1">
      <c r="A1306" s="750"/>
      <c r="B1306" s="750"/>
      <c r="C1306" s="750"/>
      <c r="D1306" s="750"/>
      <c r="E1306" s="750"/>
      <c r="F1306" s="750"/>
      <c r="G1306" s="750"/>
      <c r="H1306" s="750"/>
      <c r="I1306" s="750"/>
      <c r="J1306" s="871"/>
      <c r="K1306" s="801"/>
      <c r="L1306" s="899"/>
      <c r="M1306" s="650"/>
      <c r="N1306" s="917"/>
      <c r="O1306" s="646"/>
      <c r="P1306" s="933"/>
      <c r="Q1306" s="646"/>
      <c r="R1306" s="942"/>
      <c r="S1306" s="650"/>
      <c r="T1306" s="934"/>
      <c r="U1306" s="650"/>
      <c r="V1306" s="930"/>
    </row>
    <row r="1307" spans="1:22" s="624" customFormat="1" ht="16.5" customHeight="1">
      <c r="A1307" s="750"/>
      <c r="B1307" s="750"/>
      <c r="C1307" s="750"/>
      <c r="D1307" s="750"/>
      <c r="E1307" s="750"/>
      <c r="F1307" s="750"/>
      <c r="G1307" s="750"/>
      <c r="H1307" s="750"/>
      <c r="I1307" s="750"/>
      <c r="J1307" s="871"/>
      <c r="K1307" s="801"/>
      <c r="L1307" s="899"/>
      <c r="M1307" s="650"/>
      <c r="N1307" s="917"/>
      <c r="O1307" s="646"/>
      <c r="P1307" s="933"/>
      <c r="Q1307" s="646"/>
      <c r="R1307" s="942"/>
      <c r="S1307" s="650"/>
      <c r="T1307" s="934"/>
      <c r="U1307" s="650"/>
      <c r="V1307" s="930"/>
    </row>
    <row r="1308" spans="1:22" s="624" customFormat="1" ht="16.5" customHeight="1">
      <c r="A1308" s="750"/>
      <c r="B1308" s="750"/>
      <c r="C1308" s="750"/>
      <c r="D1308" s="750"/>
      <c r="E1308" s="750"/>
      <c r="F1308" s="750"/>
      <c r="G1308" s="750"/>
      <c r="H1308" s="750"/>
      <c r="I1308" s="750"/>
      <c r="J1308" s="871"/>
      <c r="K1308" s="801"/>
      <c r="L1308" s="899"/>
      <c r="M1308" s="650"/>
      <c r="N1308" s="917"/>
      <c r="O1308" s="646"/>
      <c r="P1308" s="933"/>
      <c r="Q1308" s="646"/>
      <c r="R1308" s="942"/>
      <c r="S1308" s="650"/>
      <c r="T1308" s="934"/>
      <c r="U1308" s="650"/>
      <c r="V1308" s="930"/>
    </row>
    <row r="1309" spans="1:22" s="624" customFormat="1" ht="16.5" customHeight="1">
      <c r="A1309" s="750"/>
      <c r="B1309" s="750"/>
      <c r="C1309" s="750"/>
      <c r="D1309" s="750"/>
      <c r="E1309" s="750"/>
      <c r="F1309" s="750"/>
      <c r="G1309" s="750"/>
      <c r="H1309" s="750"/>
      <c r="I1309" s="750"/>
      <c r="J1309" s="871"/>
      <c r="K1309" s="801"/>
      <c r="L1309" s="899"/>
      <c r="M1309" s="650"/>
      <c r="N1309" s="917"/>
      <c r="O1309" s="646"/>
      <c r="P1309" s="933"/>
      <c r="Q1309" s="646"/>
      <c r="R1309" s="942"/>
      <c r="S1309" s="650"/>
      <c r="T1309" s="934"/>
      <c r="U1309" s="650"/>
      <c r="V1309" s="930"/>
    </row>
    <row r="1310" spans="1:22" s="624" customFormat="1" ht="16.5" customHeight="1">
      <c r="A1310" s="750"/>
      <c r="B1310" s="750"/>
      <c r="C1310" s="750"/>
      <c r="D1310" s="750"/>
      <c r="E1310" s="750"/>
      <c r="F1310" s="750"/>
      <c r="G1310" s="750"/>
      <c r="H1310" s="750"/>
      <c r="I1310" s="750"/>
      <c r="J1310" s="871"/>
      <c r="K1310" s="801"/>
      <c r="L1310" s="899"/>
      <c r="M1310" s="650"/>
      <c r="N1310" s="917"/>
      <c r="O1310" s="646"/>
      <c r="P1310" s="933"/>
      <c r="Q1310" s="646"/>
      <c r="R1310" s="942"/>
      <c r="S1310" s="650"/>
      <c r="T1310" s="934"/>
      <c r="U1310" s="650"/>
      <c r="V1310" s="930"/>
    </row>
    <row r="1311" spans="1:22" s="624" customFormat="1" ht="16.5" customHeight="1">
      <c r="A1311" s="750"/>
      <c r="B1311" s="750"/>
      <c r="C1311" s="750"/>
      <c r="D1311" s="750"/>
      <c r="E1311" s="750"/>
      <c r="F1311" s="750"/>
      <c r="G1311" s="750"/>
      <c r="H1311" s="750"/>
      <c r="I1311" s="750"/>
      <c r="J1311" s="871"/>
      <c r="K1311" s="801"/>
      <c r="L1311" s="899"/>
      <c r="M1311" s="650"/>
      <c r="N1311" s="917"/>
      <c r="O1311" s="646"/>
      <c r="P1311" s="933"/>
      <c r="Q1311" s="646"/>
      <c r="R1311" s="942"/>
      <c r="S1311" s="650"/>
      <c r="T1311" s="934"/>
      <c r="U1311" s="650"/>
      <c r="V1311" s="930"/>
    </row>
    <row r="1312" spans="1:22" s="624" customFormat="1" ht="16.5" customHeight="1">
      <c r="A1312" s="750"/>
      <c r="B1312" s="750"/>
      <c r="C1312" s="750"/>
      <c r="D1312" s="750"/>
      <c r="E1312" s="750"/>
      <c r="F1312" s="750"/>
      <c r="G1312" s="750"/>
      <c r="H1312" s="750"/>
      <c r="I1312" s="750"/>
      <c r="J1312" s="871"/>
      <c r="K1312" s="801"/>
      <c r="L1312" s="899"/>
      <c r="M1312" s="650"/>
      <c r="N1312" s="917"/>
      <c r="O1312" s="646"/>
      <c r="P1312" s="933"/>
      <c r="Q1312" s="646"/>
      <c r="R1312" s="942"/>
      <c r="S1312" s="650"/>
      <c r="T1312" s="934"/>
      <c r="U1312" s="650"/>
      <c r="V1312" s="930"/>
    </row>
    <row r="1313" spans="1:22" s="624" customFormat="1" ht="16.5" customHeight="1">
      <c r="A1313" s="750"/>
      <c r="B1313" s="750"/>
      <c r="C1313" s="750"/>
      <c r="D1313" s="750"/>
      <c r="E1313" s="750"/>
      <c r="F1313" s="750"/>
      <c r="G1313" s="750"/>
      <c r="H1313" s="750"/>
      <c r="I1313" s="750"/>
      <c r="J1313" s="871"/>
      <c r="K1313" s="801"/>
      <c r="L1313" s="899"/>
      <c r="M1313" s="650"/>
      <c r="N1313" s="917"/>
      <c r="O1313" s="646"/>
      <c r="P1313" s="933"/>
      <c r="Q1313" s="646"/>
      <c r="R1313" s="942"/>
      <c r="S1313" s="650"/>
      <c r="T1313" s="934"/>
      <c r="U1313" s="650"/>
      <c r="V1313" s="930"/>
    </row>
    <row r="1314" spans="1:22" s="624" customFormat="1" ht="16.5" customHeight="1">
      <c r="A1314" s="750"/>
      <c r="B1314" s="750"/>
      <c r="C1314" s="750"/>
      <c r="D1314" s="750"/>
      <c r="E1314" s="750"/>
      <c r="F1314" s="750"/>
      <c r="G1314" s="750"/>
      <c r="H1314" s="750"/>
      <c r="I1314" s="750"/>
      <c r="J1314" s="871"/>
      <c r="K1314" s="801"/>
      <c r="L1314" s="899"/>
      <c r="M1314" s="650"/>
      <c r="N1314" s="917"/>
      <c r="O1314" s="646"/>
      <c r="P1314" s="933"/>
      <c r="Q1314" s="646"/>
      <c r="R1314" s="942"/>
      <c r="S1314" s="650"/>
      <c r="T1314" s="934"/>
      <c r="U1314" s="650"/>
      <c r="V1314" s="930"/>
    </row>
    <row r="1315" spans="1:22" s="624" customFormat="1" ht="16.5" customHeight="1">
      <c r="A1315" s="750"/>
      <c r="B1315" s="750"/>
      <c r="C1315" s="750"/>
      <c r="D1315" s="750"/>
      <c r="E1315" s="750"/>
      <c r="F1315" s="750"/>
      <c r="G1315" s="750"/>
      <c r="H1315" s="750"/>
      <c r="I1315" s="750"/>
      <c r="J1315" s="871"/>
      <c r="K1315" s="801"/>
      <c r="L1315" s="899"/>
      <c r="M1315" s="650"/>
      <c r="N1315" s="917"/>
      <c r="O1315" s="646"/>
      <c r="P1315" s="933"/>
      <c r="Q1315" s="646"/>
      <c r="R1315" s="942"/>
      <c r="S1315" s="650"/>
      <c r="T1315" s="934"/>
      <c r="U1315" s="650"/>
      <c r="V1315" s="930"/>
    </row>
    <row r="1316" spans="1:22" s="624" customFormat="1" ht="16.5" customHeight="1">
      <c r="A1316" s="750"/>
      <c r="B1316" s="750"/>
      <c r="C1316" s="750"/>
      <c r="D1316" s="750"/>
      <c r="E1316" s="750"/>
      <c r="F1316" s="750"/>
      <c r="G1316" s="750"/>
      <c r="H1316" s="750"/>
      <c r="I1316" s="750"/>
      <c r="J1316" s="871"/>
      <c r="K1316" s="801"/>
      <c r="L1316" s="899"/>
      <c r="M1316" s="650"/>
      <c r="N1316" s="917"/>
      <c r="O1316" s="646"/>
      <c r="P1316" s="933"/>
      <c r="Q1316" s="646"/>
      <c r="R1316" s="942"/>
      <c r="S1316" s="650"/>
      <c r="T1316" s="934"/>
      <c r="U1316" s="650"/>
      <c r="V1316" s="930"/>
    </row>
    <row r="1317" spans="1:22" s="624" customFormat="1" ht="16.5" customHeight="1">
      <c r="A1317" s="750"/>
      <c r="B1317" s="750"/>
      <c r="C1317" s="750"/>
      <c r="D1317" s="750"/>
      <c r="E1317" s="750"/>
      <c r="F1317" s="750"/>
      <c r="G1317" s="750"/>
      <c r="H1317" s="750"/>
      <c r="I1317" s="750"/>
      <c r="J1317" s="871"/>
      <c r="K1317" s="801"/>
      <c r="L1317" s="899"/>
      <c r="M1317" s="650"/>
      <c r="N1317" s="917"/>
      <c r="O1317" s="646"/>
      <c r="P1317" s="933"/>
      <c r="Q1317" s="646"/>
      <c r="R1317" s="942"/>
      <c r="S1317" s="650"/>
      <c r="T1317" s="934"/>
      <c r="U1317" s="650"/>
      <c r="V1317" s="930"/>
    </row>
    <row r="1318" spans="1:22" s="624" customFormat="1" ht="16.5" customHeight="1">
      <c r="A1318" s="750"/>
      <c r="B1318" s="750"/>
      <c r="C1318" s="750"/>
      <c r="D1318" s="750"/>
      <c r="E1318" s="750"/>
      <c r="F1318" s="750"/>
      <c r="G1318" s="750"/>
      <c r="H1318" s="750"/>
      <c r="I1318" s="750"/>
      <c r="J1318" s="871"/>
      <c r="K1318" s="801"/>
      <c r="L1318" s="899"/>
      <c r="M1318" s="650"/>
      <c r="N1318" s="917"/>
      <c r="O1318" s="646"/>
      <c r="P1318" s="933"/>
      <c r="Q1318" s="646"/>
      <c r="R1318" s="942"/>
      <c r="S1318" s="650"/>
      <c r="T1318" s="934"/>
      <c r="U1318" s="650"/>
      <c r="V1318" s="930"/>
    </row>
    <row r="1319" spans="1:22" s="624" customFormat="1" ht="16.5" customHeight="1">
      <c r="A1319" s="750"/>
      <c r="B1319" s="750"/>
      <c r="C1319" s="750"/>
      <c r="D1319" s="750"/>
      <c r="E1319" s="750"/>
      <c r="F1319" s="750"/>
      <c r="G1319" s="750"/>
      <c r="H1319" s="750"/>
      <c r="I1319" s="750"/>
      <c r="J1319" s="871"/>
      <c r="K1319" s="801"/>
      <c r="L1319" s="899"/>
      <c r="M1319" s="650"/>
      <c r="N1319" s="917"/>
      <c r="O1319" s="646"/>
      <c r="P1319" s="933"/>
      <c r="Q1319" s="646"/>
      <c r="R1319" s="942"/>
      <c r="S1319" s="650"/>
      <c r="T1319" s="934"/>
      <c r="U1319" s="650"/>
      <c r="V1319" s="930"/>
    </row>
    <row r="1320" spans="1:22" s="624" customFormat="1" ht="16.5" customHeight="1">
      <c r="A1320" s="750"/>
      <c r="B1320" s="750"/>
      <c r="C1320" s="750"/>
      <c r="D1320" s="750"/>
      <c r="E1320" s="750"/>
      <c r="F1320" s="750"/>
      <c r="G1320" s="750"/>
      <c r="H1320" s="750"/>
      <c r="I1320" s="750"/>
      <c r="J1320" s="871"/>
      <c r="K1320" s="801"/>
      <c r="L1320" s="899"/>
      <c r="M1320" s="650"/>
      <c r="N1320" s="917"/>
      <c r="O1320" s="646"/>
      <c r="P1320" s="933"/>
      <c r="Q1320" s="646"/>
      <c r="R1320" s="942"/>
      <c r="S1320" s="650"/>
      <c r="T1320" s="934"/>
      <c r="U1320" s="650"/>
      <c r="V1320" s="930"/>
    </row>
    <row r="1321" spans="1:22" s="624" customFormat="1" ht="16.5" customHeight="1">
      <c r="A1321" s="750"/>
      <c r="B1321" s="750"/>
      <c r="C1321" s="750"/>
      <c r="D1321" s="750"/>
      <c r="E1321" s="750"/>
      <c r="F1321" s="750"/>
      <c r="G1321" s="750"/>
      <c r="H1321" s="750"/>
      <c r="I1321" s="750"/>
      <c r="J1321" s="871"/>
      <c r="K1321" s="801"/>
      <c r="L1321" s="899"/>
      <c r="M1321" s="650"/>
      <c r="N1321" s="917"/>
      <c r="O1321" s="646"/>
      <c r="P1321" s="933"/>
      <c r="Q1321" s="646"/>
      <c r="R1321" s="942"/>
      <c r="S1321" s="650"/>
      <c r="T1321" s="934"/>
      <c r="U1321" s="650"/>
      <c r="V1321" s="930"/>
    </row>
    <row r="1322" spans="1:22" s="624" customFormat="1" ht="16.5" customHeight="1">
      <c r="A1322" s="750"/>
      <c r="B1322" s="750"/>
      <c r="C1322" s="750"/>
      <c r="D1322" s="750"/>
      <c r="E1322" s="750"/>
      <c r="F1322" s="750"/>
      <c r="G1322" s="750"/>
      <c r="H1322" s="750"/>
      <c r="I1322" s="750"/>
      <c r="J1322" s="871"/>
      <c r="K1322" s="801"/>
      <c r="L1322" s="899"/>
      <c r="M1322" s="650"/>
      <c r="N1322" s="917"/>
      <c r="O1322" s="646"/>
      <c r="P1322" s="933"/>
      <c r="Q1322" s="646"/>
      <c r="R1322" s="942"/>
      <c r="S1322" s="650"/>
      <c r="T1322" s="934"/>
      <c r="U1322" s="650"/>
      <c r="V1322" s="930"/>
    </row>
    <row r="1323" spans="1:22" s="624" customFormat="1" ht="16.5" customHeight="1">
      <c r="A1323" s="750"/>
      <c r="B1323" s="750"/>
      <c r="C1323" s="750"/>
      <c r="D1323" s="750"/>
      <c r="E1323" s="750"/>
      <c r="F1323" s="750"/>
      <c r="G1323" s="750"/>
      <c r="H1323" s="750"/>
      <c r="I1323" s="750"/>
      <c r="J1323" s="871"/>
      <c r="K1323" s="801"/>
      <c r="L1323" s="899"/>
      <c r="M1323" s="650"/>
      <c r="N1323" s="917"/>
      <c r="O1323" s="646"/>
      <c r="P1323" s="933"/>
      <c r="Q1323" s="646"/>
      <c r="R1323" s="942"/>
      <c r="S1323" s="650"/>
      <c r="T1323" s="934"/>
      <c r="U1323" s="650"/>
      <c r="V1323" s="930"/>
    </row>
    <row r="1324" spans="1:22" s="624" customFormat="1" ht="16.5" customHeight="1">
      <c r="A1324" s="750"/>
      <c r="B1324" s="750"/>
      <c r="C1324" s="750"/>
      <c r="D1324" s="750"/>
      <c r="E1324" s="750"/>
      <c r="F1324" s="750"/>
      <c r="G1324" s="750"/>
      <c r="H1324" s="750"/>
      <c r="I1324" s="750"/>
      <c r="J1324" s="871"/>
      <c r="K1324" s="801"/>
      <c r="L1324" s="899"/>
      <c r="M1324" s="650"/>
      <c r="N1324" s="917"/>
      <c r="O1324" s="646"/>
      <c r="P1324" s="933"/>
      <c r="Q1324" s="646"/>
      <c r="R1324" s="942"/>
      <c r="S1324" s="650"/>
      <c r="T1324" s="934"/>
      <c r="U1324" s="650"/>
      <c r="V1324" s="930"/>
    </row>
    <row r="1325" spans="1:22" s="624" customFormat="1" ht="16.5" customHeight="1">
      <c r="A1325" s="750"/>
      <c r="B1325" s="750"/>
      <c r="C1325" s="750"/>
      <c r="D1325" s="750"/>
      <c r="E1325" s="750"/>
      <c r="F1325" s="750"/>
      <c r="G1325" s="750"/>
      <c r="H1325" s="750"/>
      <c r="I1325" s="750"/>
      <c r="J1325" s="871"/>
      <c r="K1325" s="801"/>
      <c r="L1325" s="899"/>
      <c r="M1325" s="650"/>
      <c r="N1325" s="917"/>
      <c r="O1325" s="646"/>
      <c r="P1325" s="933"/>
      <c r="Q1325" s="646"/>
      <c r="R1325" s="942"/>
      <c r="S1325" s="650"/>
      <c r="T1325" s="934"/>
      <c r="U1325" s="650"/>
      <c r="V1325" s="930"/>
    </row>
    <row r="1326" spans="1:22" s="624" customFormat="1" ht="16.5" customHeight="1">
      <c r="A1326" s="750"/>
      <c r="B1326" s="750"/>
      <c r="C1326" s="750"/>
      <c r="D1326" s="750"/>
      <c r="E1326" s="750"/>
      <c r="F1326" s="750"/>
      <c r="G1326" s="750"/>
      <c r="H1326" s="750"/>
      <c r="I1326" s="750"/>
      <c r="J1326" s="871"/>
      <c r="K1326" s="801"/>
      <c r="L1326" s="899"/>
      <c r="M1326" s="650"/>
      <c r="N1326" s="917"/>
      <c r="O1326" s="646"/>
      <c r="P1326" s="933"/>
      <c r="Q1326" s="646"/>
      <c r="R1326" s="942"/>
      <c r="S1326" s="650"/>
      <c r="T1326" s="934"/>
      <c r="U1326" s="650"/>
      <c r="V1326" s="930"/>
    </row>
    <row r="1327" spans="1:22" s="624" customFormat="1" ht="16.5" customHeight="1">
      <c r="A1327" s="750"/>
      <c r="B1327" s="750"/>
      <c r="C1327" s="750"/>
      <c r="D1327" s="750"/>
      <c r="E1327" s="750"/>
      <c r="F1327" s="750"/>
      <c r="G1327" s="750"/>
      <c r="H1327" s="750"/>
      <c r="I1327" s="750"/>
      <c r="J1327" s="871"/>
      <c r="K1327" s="801"/>
      <c r="L1327" s="899"/>
      <c r="M1327" s="650"/>
      <c r="N1327" s="917"/>
      <c r="O1327" s="646"/>
      <c r="P1327" s="933"/>
      <c r="Q1327" s="646"/>
      <c r="R1327" s="942"/>
      <c r="S1327" s="650"/>
      <c r="T1327" s="934"/>
      <c r="U1327" s="650"/>
      <c r="V1327" s="930"/>
    </row>
    <row r="1328" spans="1:22" s="624" customFormat="1" ht="16.5" customHeight="1">
      <c r="A1328" s="750"/>
      <c r="B1328" s="750"/>
      <c r="C1328" s="750"/>
      <c r="D1328" s="750"/>
      <c r="E1328" s="750"/>
      <c r="F1328" s="750"/>
      <c r="G1328" s="750"/>
      <c r="H1328" s="750"/>
      <c r="I1328" s="750"/>
      <c r="J1328" s="871"/>
      <c r="K1328" s="801"/>
      <c r="L1328" s="899"/>
      <c r="M1328" s="650"/>
      <c r="N1328" s="917"/>
      <c r="O1328" s="646"/>
      <c r="P1328" s="933"/>
      <c r="Q1328" s="646"/>
      <c r="R1328" s="942"/>
      <c r="S1328" s="650"/>
      <c r="T1328" s="934"/>
      <c r="U1328" s="650"/>
      <c r="V1328" s="930"/>
    </row>
    <row r="1329" spans="1:22" s="624" customFormat="1" ht="16.5" customHeight="1">
      <c r="A1329" s="750"/>
      <c r="B1329" s="750"/>
      <c r="C1329" s="750"/>
      <c r="D1329" s="750"/>
      <c r="E1329" s="750"/>
      <c r="F1329" s="750"/>
      <c r="G1329" s="750"/>
      <c r="H1329" s="750"/>
      <c r="I1329" s="750"/>
      <c r="J1329" s="871"/>
      <c r="K1329" s="801"/>
      <c r="L1329" s="899"/>
      <c r="M1329" s="650"/>
      <c r="N1329" s="917"/>
      <c r="O1329" s="646"/>
      <c r="P1329" s="933"/>
      <c r="Q1329" s="646"/>
      <c r="R1329" s="942"/>
      <c r="S1329" s="650"/>
      <c r="T1329" s="934"/>
      <c r="U1329" s="650"/>
      <c r="V1329" s="930"/>
    </row>
    <row r="1330" spans="1:22" s="624" customFormat="1" ht="16.5" customHeight="1">
      <c r="A1330" s="750"/>
      <c r="B1330" s="750"/>
      <c r="C1330" s="750"/>
      <c r="D1330" s="750"/>
      <c r="E1330" s="750"/>
      <c r="F1330" s="750"/>
      <c r="G1330" s="750"/>
      <c r="H1330" s="750"/>
      <c r="I1330" s="750"/>
      <c r="J1330" s="871"/>
      <c r="K1330" s="801"/>
      <c r="L1330" s="899"/>
      <c r="M1330" s="650"/>
      <c r="N1330" s="917"/>
      <c r="O1330" s="646"/>
      <c r="P1330" s="933"/>
      <c r="Q1330" s="646"/>
      <c r="R1330" s="942"/>
      <c r="S1330" s="650"/>
      <c r="T1330" s="934"/>
      <c r="U1330" s="650"/>
      <c r="V1330" s="930"/>
    </row>
    <row r="1331" spans="1:22" s="624" customFormat="1" ht="16.5" customHeight="1">
      <c r="A1331" s="750"/>
      <c r="B1331" s="750"/>
      <c r="C1331" s="750"/>
      <c r="D1331" s="750"/>
      <c r="E1331" s="750"/>
      <c r="F1331" s="750"/>
      <c r="G1331" s="750"/>
      <c r="H1331" s="750"/>
      <c r="I1331" s="750"/>
      <c r="J1331" s="871"/>
      <c r="K1331" s="801"/>
      <c r="L1331" s="899"/>
      <c r="M1331" s="650"/>
      <c r="N1331" s="917"/>
      <c r="O1331" s="646"/>
      <c r="P1331" s="933"/>
      <c r="Q1331" s="646"/>
      <c r="R1331" s="942"/>
      <c r="S1331" s="650"/>
      <c r="T1331" s="934"/>
      <c r="U1331" s="650"/>
      <c r="V1331" s="930"/>
    </row>
    <row r="1332" spans="1:22" s="624" customFormat="1" ht="16.5" customHeight="1">
      <c r="A1332" s="750"/>
      <c r="B1332" s="750"/>
      <c r="C1332" s="750"/>
      <c r="D1332" s="750"/>
      <c r="E1332" s="750"/>
      <c r="F1332" s="750"/>
      <c r="G1332" s="750"/>
      <c r="H1332" s="750"/>
      <c r="I1332" s="750"/>
      <c r="J1332" s="871"/>
      <c r="K1332" s="801"/>
      <c r="L1332" s="899"/>
      <c r="M1332" s="650"/>
      <c r="N1332" s="917"/>
      <c r="O1332" s="646"/>
      <c r="P1332" s="933"/>
      <c r="Q1332" s="646"/>
      <c r="R1332" s="942"/>
      <c r="S1332" s="650"/>
      <c r="T1332" s="934"/>
      <c r="U1332" s="650"/>
      <c r="V1332" s="930"/>
    </row>
    <row r="1333" spans="1:22" s="624" customFormat="1" ht="16.5" customHeight="1">
      <c r="A1333" s="750"/>
      <c r="B1333" s="750"/>
      <c r="C1333" s="750"/>
      <c r="D1333" s="750"/>
      <c r="E1333" s="750"/>
      <c r="F1333" s="750"/>
      <c r="G1333" s="750"/>
      <c r="H1333" s="750"/>
      <c r="I1333" s="750"/>
      <c r="J1333" s="871"/>
      <c r="K1333" s="801"/>
      <c r="L1333" s="899"/>
      <c r="M1333" s="650"/>
      <c r="N1333" s="917"/>
      <c r="O1333" s="646"/>
      <c r="P1333" s="933"/>
      <c r="Q1333" s="646"/>
      <c r="R1333" s="942"/>
      <c r="S1333" s="650"/>
      <c r="T1333" s="934"/>
      <c r="U1333" s="650"/>
      <c r="V1333" s="930"/>
    </row>
    <row r="1334" spans="1:22" s="624" customFormat="1" ht="16.5" customHeight="1">
      <c r="A1334" s="750"/>
      <c r="B1334" s="750"/>
      <c r="C1334" s="750"/>
      <c r="D1334" s="750"/>
      <c r="E1334" s="750"/>
      <c r="F1334" s="750"/>
      <c r="G1334" s="750"/>
      <c r="H1334" s="750"/>
      <c r="I1334" s="750"/>
      <c r="J1334" s="871"/>
      <c r="K1334" s="801"/>
      <c r="L1334" s="899"/>
      <c r="M1334" s="650"/>
      <c r="N1334" s="917"/>
      <c r="O1334" s="646"/>
      <c r="P1334" s="933"/>
      <c r="Q1334" s="646"/>
      <c r="R1334" s="942"/>
      <c r="S1334" s="650"/>
      <c r="T1334" s="934"/>
      <c r="U1334" s="650"/>
      <c r="V1334" s="930"/>
    </row>
    <row r="1335" spans="1:22" s="624" customFormat="1" ht="16.5" customHeight="1">
      <c r="A1335" s="750"/>
      <c r="B1335" s="750"/>
      <c r="C1335" s="750"/>
      <c r="D1335" s="750"/>
      <c r="E1335" s="750"/>
      <c r="F1335" s="750"/>
      <c r="G1335" s="750"/>
      <c r="H1335" s="750"/>
      <c r="I1335" s="750"/>
      <c r="J1335" s="871"/>
      <c r="K1335" s="801"/>
      <c r="L1335" s="899"/>
      <c r="M1335" s="650"/>
      <c r="N1335" s="917"/>
      <c r="O1335" s="646"/>
      <c r="P1335" s="933"/>
      <c r="Q1335" s="646"/>
      <c r="R1335" s="942"/>
      <c r="S1335" s="650"/>
      <c r="T1335" s="934"/>
      <c r="U1335" s="650"/>
      <c r="V1335" s="930"/>
    </row>
    <row r="1336" spans="1:22" s="624" customFormat="1" ht="16.5" customHeight="1">
      <c r="A1336" s="750"/>
      <c r="B1336" s="750"/>
      <c r="C1336" s="750"/>
      <c r="D1336" s="750"/>
      <c r="E1336" s="750"/>
      <c r="F1336" s="750"/>
      <c r="G1336" s="750"/>
      <c r="H1336" s="750"/>
      <c r="I1336" s="750"/>
      <c r="J1336" s="871"/>
      <c r="K1336" s="801"/>
      <c r="L1336" s="899"/>
      <c r="M1336" s="650"/>
      <c r="N1336" s="917"/>
      <c r="O1336" s="646"/>
      <c r="P1336" s="933"/>
      <c r="Q1336" s="646"/>
      <c r="R1336" s="942"/>
      <c r="S1336" s="650"/>
      <c r="T1336" s="934"/>
      <c r="U1336" s="650"/>
      <c r="V1336" s="930"/>
    </row>
    <row r="1337" spans="1:22" s="624" customFormat="1" ht="16.5" customHeight="1">
      <c r="A1337" s="750"/>
      <c r="B1337" s="750"/>
      <c r="C1337" s="750"/>
      <c r="D1337" s="750"/>
      <c r="E1337" s="750"/>
      <c r="F1337" s="750"/>
      <c r="G1337" s="750"/>
      <c r="H1337" s="750"/>
      <c r="I1337" s="750"/>
      <c r="J1337" s="871"/>
      <c r="K1337" s="801"/>
      <c r="L1337" s="899"/>
      <c r="M1337" s="650"/>
      <c r="N1337" s="917"/>
      <c r="O1337" s="646"/>
      <c r="P1337" s="933"/>
      <c r="Q1337" s="646"/>
      <c r="R1337" s="942"/>
      <c r="S1337" s="650"/>
      <c r="T1337" s="934"/>
      <c r="U1337" s="650"/>
      <c r="V1337" s="930"/>
    </row>
    <row r="1338" spans="1:22" s="624" customFormat="1" ht="16.5" customHeight="1">
      <c r="A1338" s="750"/>
      <c r="B1338" s="750"/>
      <c r="C1338" s="750"/>
      <c r="D1338" s="750"/>
      <c r="E1338" s="750"/>
      <c r="F1338" s="750"/>
      <c r="G1338" s="750"/>
      <c r="H1338" s="750"/>
      <c r="I1338" s="750"/>
      <c r="J1338" s="871"/>
      <c r="K1338" s="801"/>
      <c r="L1338" s="899"/>
      <c r="M1338" s="650"/>
      <c r="N1338" s="917"/>
      <c r="O1338" s="646"/>
      <c r="P1338" s="933"/>
      <c r="Q1338" s="646"/>
      <c r="R1338" s="942"/>
      <c r="S1338" s="650"/>
      <c r="T1338" s="934"/>
      <c r="U1338" s="650"/>
      <c r="V1338" s="930"/>
    </row>
    <row r="1339" spans="1:22" s="624" customFormat="1" ht="16.5" customHeight="1">
      <c r="A1339" s="750"/>
      <c r="B1339" s="750"/>
      <c r="C1339" s="750"/>
      <c r="D1339" s="750"/>
      <c r="E1339" s="750"/>
      <c r="F1339" s="750"/>
      <c r="G1339" s="750"/>
      <c r="H1339" s="750"/>
      <c r="I1339" s="750"/>
      <c r="J1339" s="871"/>
      <c r="K1339" s="801"/>
      <c r="L1339" s="899"/>
      <c r="M1339" s="650"/>
      <c r="N1339" s="917"/>
      <c r="O1339" s="646"/>
      <c r="P1339" s="933"/>
      <c r="Q1339" s="646"/>
      <c r="R1339" s="942"/>
      <c r="S1339" s="650"/>
      <c r="T1339" s="934"/>
      <c r="U1339" s="650"/>
      <c r="V1339" s="930"/>
    </row>
    <row r="1340" spans="1:22" s="624" customFormat="1" ht="16.5" customHeight="1">
      <c r="A1340" s="750"/>
      <c r="B1340" s="750"/>
      <c r="C1340" s="750"/>
      <c r="D1340" s="750"/>
      <c r="E1340" s="750"/>
      <c r="F1340" s="750"/>
      <c r="G1340" s="750"/>
      <c r="H1340" s="750"/>
      <c r="I1340" s="750"/>
      <c r="J1340" s="871"/>
      <c r="K1340" s="801"/>
      <c r="L1340" s="899"/>
      <c r="M1340" s="650"/>
      <c r="N1340" s="917"/>
      <c r="O1340" s="646"/>
      <c r="P1340" s="933"/>
      <c r="Q1340" s="646"/>
      <c r="R1340" s="942"/>
      <c r="S1340" s="650"/>
      <c r="T1340" s="934"/>
      <c r="U1340" s="650"/>
      <c r="V1340" s="930"/>
    </row>
    <row r="1341" spans="1:22" s="624" customFormat="1" ht="16.5" customHeight="1">
      <c r="A1341" s="750"/>
      <c r="B1341" s="750"/>
      <c r="C1341" s="750"/>
      <c r="D1341" s="750"/>
      <c r="E1341" s="750"/>
      <c r="F1341" s="750"/>
      <c r="G1341" s="750"/>
      <c r="H1341" s="750"/>
      <c r="I1341" s="750"/>
      <c r="J1341" s="871"/>
      <c r="K1341" s="801"/>
      <c r="L1341" s="899"/>
      <c r="M1341" s="650"/>
      <c r="N1341" s="917"/>
      <c r="O1341" s="646"/>
      <c r="P1341" s="933"/>
      <c r="Q1341" s="646"/>
      <c r="R1341" s="942"/>
      <c r="S1341" s="650"/>
      <c r="T1341" s="934"/>
      <c r="U1341" s="650"/>
      <c r="V1341" s="930"/>
    </row>
    <row r="1342" spans="1:22" s="624" customFormat="1" ht="16.5" customHeight="1">
      <c r="A1342" s="750"/>
      <c r="B1342" s="750"/>
      <c r="C1342" s="750"/>
      <c r="D1342" s="750"/>
      <c r="E1342" s="750"/>
      <c r="F1342" s="750"/>
      <c r="G1342" s="750"/>
      <c r="H1342" s="750"/>
      <c r="I1342" s="750"/>
      <c r="J1342" s="871"/>
      <c r="K1342" s="801"/>
      <c r="L1342" s="899"/>
      <c r="M1342" s="650"/>
      <c r="N1342" s="917"/>
      <c r="O1342" s="646"/>
      <c r="P1342" s="933"/>
      <c r="Q1342" s="646"/>
      <c r="R1342" s="942"/>
      <c r="S1342" s="650"/>
      <c r="T1342" s="934"/>
      <c r="U1342" s="650"/>
      <c r="V1342" s="930"/>
    </row>
    <row r="1343" spans="1:22" s="624" customFormat="1" ht="16.5" customHeight="1">
      <c r="A1343" s="750"/>
      <c r="B1343" s="750"/>
      <c r="C1343" s="750"/>
      <c r="D1343" s="750"/>
      <c r="E1343" s="750"/>
      <c r="F1343" s="750"/>
      <c r="G1343" s="750"/>
      <c r="H1343" s="750"/>
      <c r="I1343" s="750"/>
      <c r="J1343" s="871"/>
      <c r="K1343" s="801"/>
      <c r="L1343" s="899"/>
      <c r="M1343" s="650"/>
      <c r="N1343" s="917"/>
      <c r="O1343" s="646"/>
      <c r="P1343" s="933"/>
      <c r="Q1343" s="646"/>
      <c r="R1343" s="942"/>
      <c r="S1343" s="650"/>
      <c r="T1343" s="934"/>
      <c r="U1343" s="650"/>
      <c r="V1343" s="930"/>
    </row>
    <row r="1344" spans="1:22" s="624" customFormat="1" ht="16.5" customHeight="1">
      <c r="A1344" s="750"/>
      <c r="B1344" s="750"/>
      <c r="C1344" s="750"/>
      <c r="D1344" s="750"/>
      <c r="E1344" s="750"/>
      <c r="F1344" s="750"/>
      <c r="G1344" s="750"/>
      <c r="H1344" s="750"/>
      <c r="I1344" s="750"/>
      <c r="J1344" s="871"/>
      <c r="K1344" s="801"/>
      <c r="L1344" s="899"/>
      <c r="M1344" s="650"/>
      <c r="N1344" s="917"/>
      <c r="O1344" s="646"/>
      <c r="P1344" s="933"/>
      <c r="Q1344" s="646"/>
      <c r="R1344" s="942"/>
      <c r="S1344" s="650"/>
      <c r="T1344" s="934"/>
      <c r="U1344" s="650"/>
      <c r="V1344" s="930"/>
    </row>
    <row r="1345" spans="1:22" s="624" customFormat="1" ht="16.5" customHeight="1">
      <c r="A1345" s="750"/>
      <c r="B1345" s="750"/>
      <c r="C1345" s="750"/>
      <c r="D1345" s="750"/>
      <c r="E1345" s="750"/>
      <c r="F1345" s="750"/>
      <c r="G1345" s="750"/>
      <c r="H1345" s="750"/>
      <c r="I1345" s="750"/>
      <c r="J1345" s="871"/>
      <c r="K1345" s="801"/>
      <c r="L1345" s="899"/>
      <c r="M1345" s="650"/>
      <c r="N1345" s="917"/>
      <c r="O1345" s="646"/>
      <c r="P1345" s="933"/>
      <c r="Q1345" s="646"/>
      <c r="R1345" s="942"/>
      <c r="S1345" s="650"/>
      <c r="T1345" s="934"/>
      <c r="U1345" s="650"/>
      <c r="V1345" s="930"/>
    </row>
    <row r="1346" spans="1:22" s="624" customFormat="1" ht="16.5" customHeight="1">
      <c r="A1346" s="750"/>
      <c r="B1346" s="750"/>
      <c r="C1346" s="750"/>
      <c r="D1346" s="750"/>
      <c r="E1346" s="750"/>
      <c r="F1346" s="750"/>
      <c r="G1346" s="750"/>
      <c r="H1346" s="750"/>
      <c r="I1346" s="750"/>
      <c r="J1346" s="871"/>
      <c r="K1346" s="801"/>
      <c r="L1346" s="899"/>
      <c r="M1346" s="650"/>
      <c r="N1346" s="917"/>
      <c r="O1346" s="646"/>
      <c r="P1346" s="933"/>
      <c r="Q1346" s="646"/>
      <c r="R1346" s="942"/>
      <c r="S1346" s="650"/>
      <c r="T1346" s="934"/>
      <c r="U1346" s="650"/>
      <c r="V1346" s="930"/>
    </row>
    <row r="1347" spans="1:22" s="624" customFormat="1" ht="16.5" customHeight="1">
      <c r="A1347" s="750"/>
      <c r="B1347" s="750"/>
      <c r="C1347" s="750"/>
      <c r="D1347" s="750"/>
      <c r="E1347" s="750"/>
      <c r="F1347" s="750"/>
      <c r="G1347" s="750"/>
      <c r="H1347" s="750"/>
      <c r="I1347" s="750"/>
      <c r="J1347" s="871"/>
      <c r="K1347" s="801"/>
      <c r="L1347" s="899"/>
      <c r="M1347" s="650"/>
      <c r="N1347" s="917"/>
      <c r="O1347" s="646"/>
      <c r="P1347" s="933"/>
      <c r="Q1347" s="646"/>
      <c r="R1347" s="942"/>
      <c r="S1347" s="650"/>
      <c r="T1347" s="934"/>
      <c r="U1347" s="650"/>
      <c r="V1347" s="930"/>
    </row>
    <row r="1348" spans="1:22" s="624" customFormat="1" ht="16.5" customHeight="1">
      <c r="A1348" s="750"/>
      <c r="B1348" s="750"/>
      <c r="C1348" s="750"/>
      <c r="D1348" s="750"/>
      <c r="E1348" s="750"/>
      <c r="F1348" s="750"/>
      <c r="G1348" s="750"/>
      <c r="H1348" s="750"/>
      <c r="I1348" s="750"/>
      <c r="J1348" s="871"/>
      <c r="K1348" s="801"/>
      <c r="L1348" s="899"/>
      <c r="M1348" s="650"/>
      <c r="N1348" s="917"/>
      <c r="O1348" s="646"/>
      <c r="P1348" s="933"/>
      <c r="Q1348" s="646"/>
      <c r="R1348" s="942"/>
      <c r="S1348" s="650"/>
      <c r="T1348" s="934"/>
      <c r="U1348" s="650"/>
      <c r="V1348" s="930"/>
    </row>
    <row r="1349" spans="1:22" s="624" customFormat="1" ht="16.5" customHeight="1">
      <c r="A1349" s="750"/>
      <c r="B1349" s="750"/>
      <c r="C1349" s="750"/>
      <c r="D1349" s="750"/>
      <c r="E1349" s="750"/>
      <c r="F1349" s="750"/>
      <c r="G1349" s="750"/>
      <c r="H1349" s="750"/>
      <c r="I1349" s="750"/>
      <c r="J1349" s="871"/>
      <c r="K1349" s="801"/>
      <c r="L1349" s="899"/>
      <c r="M1349" s="650"/>
      <c r="N1349" s="917"/>
      <c r="O1349" s="646"/>
      <c r="P1349" s="933"/>
      <c r="Q1349" s="646"/>
      <c r="R1349" s="942"/>
      <c r="S1349" s="650"/>
      <c r="T1349" s="934"/>
      <c r="U1349" s="650"/>
      <c r="V1349" s="930"/>
    </row>
    <row r="1350" spans="1:22" s="624" customFormat="1" ht="16.5" customHeight="1">
      <c r="A1350" s="750"/>
      <c r="B1350" s="750"/>
      <c r="C1350" s="750"/>
      <c r="D1350" s="750"/>
      <c r="E1350" s="750"/>
      <c r="F1350" s="750"/>
      <c r="G1350" s="750"/>
      <c r="H1350" s="750"/>
      <c r="I1350" s="750"/>
      <c r="J1350" s="871"/>
      <c r="K1350" s="801"/>
      <c r="L1350" s="899"/>
      <c r="M1350" s="650"/>
      <c r="N1350" s="917"/>
      <c r="O1350" s="646"/>
      <c r="P1350" s="933"/>
      <c r="Q1350" s="646"/>
      <c r="R1350" s="942"/>
      <c r="S1350" s="650"/>
      <c r="T1350" s="934"/>
      <c r="U1350" s="650"/>
      <c r="V1350" s="930"/>
    </row>
    <row r="1351" spans="1:22" s="624" customFormat="1" ht="16.5" customHeight="1">
      <c r="A1351" s="750"/>
      <c r="B1351" s="750"/>
      <c r="C1351" s="750"/>
      <c r="D1351" s="750"/>
      <c r="E1351" s="750"/>
      <c r="F1351" s="750"/>
      <c r="G1351" s="750"/>
      <c r="H1351" s="750"/>
      <c r="I1351" s="750"/>
      <c r="J1351" s="871"/>
      <c r="K1351" s="801"/>
      <c r="L1351" s="899"/>
      <c r="M1351" s="650"/>
      <c r="N1351" s="917"/>
      <c r="O1351" s="646"/>
      <c r="P1351" s="933"/>
      <c r="Q1351" s="646"/>
      <c r="R1351" s="942"/>
      <c r="S1351" s="650"/>
      <c r="T1351" s="934"/>
      <c r="U1351" s="650"/>
      <c r="V1351" s="930"/>
    </row>
    <row r="1352" spans="1:22" s="624" customFormat="1" ht="16.5" customHeight="1">
      <c r="A1352" s="750"/>
      <c r="B1352" s="750"/>
      <c r="C1352" s="750"/>
      <c r="D1352" s="750"/>
      <c r="E1352" s="750"/>
      <c r="F1352" s="750"/>
      <c r="G1352" s="750"/>
      <c r="H1352" s="750"/>
      <c r="I1352" s="750"/>
      <c r="J1352" s="871"/>
      <c r="K1352" s="801"/>
      <c r="L1352" s="899"/>
      <c r="M1352" s="650"/>
      <c r="N1352" s="917"/>
      <c r="O1352" s="646"/>
      <c r="P1352" s="933"/>
      <c r="Q1352" s="646"/>
      <c r="R1352" s="942"/>
      <c r="S1352" s="650"/>
      <c r="T1352" s="934"/>
      <c r="U1352" s="650"/>
      <c r="V1352" s="930"/>
    </row>
    <row r="1353" spans="1:22" s="624" customFormat="1" ht="16.5" customHeight="1">
      <c r="A1353" s="750"/>
      <c r="B1353" s="750"/>
      <c r="C1353" s="750"/>
      <c r="D1353" s="750"/>
      <c r="E1353" s="750"/>
      <c r="F1353" s="750"/>
      <c r="G1353" s="750"/>
      <c r="H1353" s="750"/>
      <c r="I1353" s="750"/>
      <c r="J1353" s="871"/>
      <c r="K1353" s="801"/>
      <c r="L1353" s="899"/>
      <c r="M1353" s="650"/>
      <c r="N1353" s="917"/>
      <c r="O1353" s="646"/>
      <c r="P1353" s="933"/>
      <c r="Q1353" s="646"/>
      <c r="R1353" s="942"/>
      <c r="S1353" s="650"/>
      <c r="T1353" s="934"/>
      <c r="U1353" s="650"/>
      <c r="V1353" s="930"/>
    </row>
    <row r="1354" spans="1:22" s="624" customFormat="1" ht="16.5" customHeight="1">
      <c r="A1354" s="750"/>
      <c r="B1354" s="750"/>
      <c r="C1354" s="750"/>
      <c r="D1354" s="750"/>
      <c r="E1354" s="750"/>
      <c r="F1354" s="750"/>
      <c r="G1354" s="750"/>
      <c r="H1354" s="750"/>
      <c r="I1354" s="750"/>
      <c r="J1354" s="871"/>
      <c r="K1354" s="801"/>
      <c r="L1354" s="899"/>
      <c r="M1354" s="650"/>
      <c r="N1354" s="917"/>
      <c r="O1354" s="646"/>
      <c r="P1354" s="933"/>
      <c r="Q1354" s="646"/>
      <c r="R1354" s="942"/>
      <c r="S1354" s="650"/>
      <c r="T1354" s="934"/>
      <c r="U1354" s="650"/>
      <c r="V1354" s="930"/>
    </row>
    <row r="1355" spans="1:22" s="624" customFormat="1" ht="16.5" customHeight="1">
      <c r="A1355" s="750"/>
      <c r="B1355" s="750"/>
      <c r="C1355" s="750"/>
      <c r="D1355" s="750"/>
      <c r="E1355" s="750"/>
      <c r="F1355" s="750"/>
      <c r="G1355" s="750"/>
      <c r="H1355" s="750"/>
      <c r="I1355" s="750"/>
      <c r="J1355" s="871"/>
      <c r="K1355" s="801"/>
      <c r="L1355" s="899"/>
      <c r="M1355" s="650"/>
      <c r="N1355" s="917"/>
      <c r="O1355" s="646"/>
      <c r="P1355" s="933"/>
      <c r="Q1355" s="646"/>
      <c r="R1355" s="942"/>
      <c r="S1355" s="650"/>
      <c r="T1355" s="934"/>
      <c r="U1355" s="650"/>
      <c r="V1355" s="930"/>
    </row>
    <row r="1356" spans="1:22" s="624" customFormat="1" ht="16.5" customHeight="1">
      <c r="A1356" s="750"/>
      <c r="B1356" s="750"/>
      <c r="C1356" s="750"/>
      <c r="D1356" s="750"/>
      <c r="E1356" s="750"/>
      <c r="F1356" s="750"/>
      <c r="G1356" s="750"/>
      <c r="H1356" s="750"/>
      <c r="I1356" s="750"/>
      <c r="J1356" s="871"/>
      <c r="K1356" s="801"/>
      <c r="L1356" s="899"/>
      <c r="M1356" s="650"/>
      <c r="N1356" s="917"/>
      <c r="O1356" s="646"/>
      <c r="P1356" s="933"/>
      <c r="Q1356" s="646"/>
      <c r="R1356" s="942"/>
      <c r="S1356" s="650"/>
      <c r="T1356" s="934"/>
      <c r="U1356" s="650"/>
      <c r="V1356" s="930"/>
    </row>
    <row r="1357" spans="1:22" s="624" customFormat="1" ht="16.5" customHeight="1">
      <c r="A1357" s="750"/>
      <c r="B1357" s="750"/>
      <c r="C1357" s="750"/>
      <c r="D1357" s="750"/>
      <c r="E1357" s="750"/>
      <c r="F1357" s="750"/>
      <c r="G1357" s="750"/>
      <c r="H1357" s="750"/>
      <c r="I1357" s="750"/>
      <c r="J1357" s="871"/>
      <c r="K1357" s="801"/>
      <c r="L1357" s="899"/>
      <c r="M1357" s="650"/>
      <c r="N1357" s="917"/>
      <c r="O1357" s="646"/>
      <c r="P1357" s="933"/>
      <c r="Q1357" s="646"/>
      <c r="R1357" s="942"/>
      <c r="S1357" s="650"/>
      <c r="T1357" s="934"/>
      <c r="U1357" s="650"/>
      <c r="V1357" s="930"/>
    </row>
    <row r="1358" spans="1:22" s="624" customFormat="1" ht="16.5" customHeight="1">
      <c r="A1358" s="750"/>
      <c r="B1358" s="750"/>
      <c r="C1358" s="750"/>
      <c r="D1358" s="750"/>
      <c r="E1358" s="750"/>
      <c r="F1358" s="750"/>
      <c r="G1358" s="750"/>
      <c r="H1358" s="750"/>
      <c r="I1358" s="750"/>
      <c r="J1358" s="871"/>
      <c r="K1358" s="801"/>
      <c r="L1358" s="899"/>
      <c r="M1358" s="650"/>
      <c r="N1358" s="917"/>
      <c r="O1358" s="646"/>
      <c r="P1358" s="933"/>
      <c r="Q1358" s="646"/>
      <c r="R1358" s="942"/>
      <c r="S1358" s="650"/>
      <c r="T1358" s="934"/>
      <c r="U1358" s="650"/>
      <c r="V1358" s="930"/>
    </row>
    <row r="1359" spans="1:22" s="624" customFormat="1" ht="16.5" customHeight="1">
      <c r="A1359" s="750"/>
      <c r="B1359" s="750"/>
      <c r="C1359" s="750"/>
      <c r="D1359" s="750"/>
      <c r="E1359" s="750"/>
      <c r="F1359" s="750"/>
      <c r="G1359" s="750"/>
      <c r="H1359" s="750"/>
      <c r="I1359" s="750"/>
      <c r="J1359" s="871"/>
      <c r="K1359" s="801"/>
      <c r="L1359" s="899"/>
      <c r="M1359" s="650"/>
      <c r="N1359" s="917"/>
      <c r="O1359" s="646"/>
      <c r="P1359" s="933"/>
      <c r="Q1359" s="646"/>
      <c r="R1359" s="942"/>
      <c r="S1359" s="650"/>
      <c r="T1359" s="934"/>
      <c r="U1359" s="650"/>
      <c r="V1359" s="930"/>
    </row>
    <row r="1360" spans="1:22" s="624" customFormat="1" ht="16.5" customHeight="1">
      <c r="A1360" s="750"/>
      <c r="B1360" s="750"/>
      <c r="C1360" s="750"/>
      <c r="D1360" s="750"/>
      <c r="E1360" s="750"/>
      <c r="F1360" s="750"/>
      <c r="G1360" s="750"/>
      <c r="H1360" s="750"/>
      <c r="I1360" s="750"/>
      <c r="J1360" s="871"/>
      <c r="K1360" s="801"/>
      <c r="L1360" s="899"/>
      <c r="M1360" s="650"/>
      <c r="N1360" s="917"/>
      <c r="O1360" s="646"/>
      <c r="P1360" s="933"/>
      <c r="Q1360" s="646"/>
      <c r="R1360" s="942"/>
      <c r="S1360" s="650"/>
      <c r="T1360" s="934"/>
      <c r="U1360" s="650"/>
      <c r="V1360" s="930"/>
    </row>
    <row r="1361" spans="1:22" s="624" customFormat="1" ht="16.5" customHeight="1">
      <c r="A1361" s="750"/>
      <c r="B1361" s="750"/>
      <c r="C1361" s="750"/>
      <c r="D1361" s="750"/>
      <c r="E1361" s="750"/>
      <c r="F1361" s="750"/>
      <c r="G1361" s="750"/>
      <c r="H1361" s="750"/>
      <c r="I1361" s="750"/>
      <c r="J1361" s="871"/>
      <c r="K1361" s="801"/>
      <c r="L1361" s="899"/>
      <c r="M1361" s="650"/>
      <c r="N1361" s="917"/>
      <c r="O1361" s="646"/>
      <c r="P1361" s="933"/>
      <c r="Q1361" s="646"/>
      <c r="R1361" s="942"/>
      <c r="S1361" s="650"/>
      <c r="T1361" s="934"/>
      <c r="U1361" s="650"/>
      <c r="V1361" s="930"/>
    </row>
    <row r="1362" spans="1:22" s="624" customFormat="1" ht="16.5" customHeight="1">
      <c r="A1362" s="750"/>
      <c r="B1362" s="750"/>
      <c r="C1362" s="750"/>
      <c r="D1362" s="750"/>
      <c r="E1362" s="750"/>
      <c r="F1362" s="750"/>
      <c r="G1362" s="750"/>
      <c r="H1362" s="750"/>
      <c r="I1362" s="750"/>
      <c r="J1362" s="871"/>
      <c r="K1362" s="801"/>
      <c r="L1362" s="899"/>
      <c r="M1362" s="650"/>
      <c r="N1362" s="917"/>
      <c r="O1362" s="646"/>
      <c r="P1362" s="933"/>
      <c r="Q1362" s="646"/>
      <c r="R1362" s="942"/>
      <c r="S1362" s="650"/>
      <c r="T1362" s="934"/>
      <c r="U1362" s="650"/>
      <c r="V1362" s="930"/>
    </row>
    <row r="1363" spans="1:22" s="624" customFormat="1" ht="16.5" customHeight="1">
      <c r="A1363" s="750"/>
      <c r="B1363" s="750"/>
      <c r="C1363" s="750"/>
      <c r="D1363" s="750"/>
      <c r="E1363" s="750"/>
      <c r="F1363" s="750"/>
      <c r="G1363" s="750"/>
      <c r="H1363" s="750"/>
      <c r="I1363" s="750"/>
      <c r="J1363" s="871"/>
      <c r="K1363" s="801"/>
      <c r="L1363" s="899"/>
      <c r="M1363" s="650"/>
      <c r="N1363" s="917"/>
      <c r="O1363" s="646"/>
      <c r="P1363" s="933"/>
      <c r="Q1363" s="646"/>
      <c r="R1363" s="942"/>
      <c r="S1363" s="650"/>
      <c r="T1363" s="934"/>
      <c r="U1363" s="650"/>
      <c r="V1363" s="930"/>
    </row>
    <row r="1364" spans="1:22" s="624" customFormat="1" ht="16.5" customHeight="1">
      <c r="A1364" s="750"/>
      <c r="B1364" s="750"/>
      <c r="C1364" s="750"/>
      <c r="D1364" s="750"/>
      <c r="E1364" s="750"/>
      <c r="F1364" s="750"/>
      <c r="G1364" s="750"/>
      <c r="H1364" s="750"/>
      <c r="I1364" s="750"/>
      <c r="J1364" s="871"/>
      <c r="K1364" s="801"/>
      <c r="L1364" s="899"/>
      <c r="M1364" s="650"/>
      <c r="N1364" s="917"/>
      <c r="O1364" s="646"/>
      <c r="P1364" s="933"/>
      <c r="Q1364" s="646"/>
      <c r="R1364" s="942"/>
      <c r="S1364" s="650"/>
      <c r="T1364" s="934"/>
      <c r="U1364" s="650"/>
      <c r="V1364" s="930"/>
    </row>
    <row r="1365" spans="1:22" s="624" customFormat="1" ht="16.5" customHeight="1">
      <c r="A1365" s="750"/>
      <c r="B1365" s="750"/>
      <c r="C1365" s="750"/>
      <c r="D1365" s="750"/>
      <c r="E1365" s="750"/>
      <c r="F1365" s="750"/>
      <c r="G1365" s="750"/>
      <c r="H1365" s="750"/>
      <c r="I1365" s="750"/>
      <c r="J1365" s="871"/>
      <c r="K1365" s="801"/>
      <c r="L1365" s="899"/>
      <c r="M1365" s="650"/>
      <c r="N1365" s="917"/>
      <c r="O1365" s="646"/>
      <c r="P1365" s="933"/>
      <c r="Q1365" s="646"/>
      <c r="R1365" s="942"/>
      <c r="S1365" s="650"/>
      <c r="T1365" s="934"/>
      <c r="U1365" s="650"/>
      <c r="V1365" s="930"/>
    </row>
    <row r="1366" spans="1:22" s="624" customFormat="1" ht="16.5" customHeight="1">
      <c r="A1366" s="750"/>
      <c r="B1366" s="750"/>
      <c r="C1366" s="750"/>
      <c r="D1366" s="750"/>
      <c r="E1366" s="750"/>
      <c r="F1366" s="750"/>
      <c r="G1366" s="750"/>
      <c r="H1366" s="750"/>
      <c r="I1366" s="750"/>
      <c r="J1366" s="871"/>
      <c r="K1366" s="801"/>
      <c r="L1366" s="899"/>
      <c r="M1366" s="650"/>
      <c r="N1366" s="917"/>
      <c r="O1366" s="646"/>
      <c r="P1366" s="933"/>
      <c r="Q1366" s="646"/>
      <c r="R1366" s="942"/>
      <c r="S1366" s="650"/>
      <c r="T1366" s="934"/>
      <c r="U1366" s="650"/>
      <c r="V1366" s="930"/>
    </row>
    <row r="1367" spans="1:22" s="624" customFormat="1" ht="16.5" customHeight="1">
      <c r="A1367" s="750"/>
      <c r="B1367" s="750"/>
      <c r="C1367" s="750"/>
      <c r="D1367" s="750"/>
      <c r="E1367" s="750"/>
      <c r="F1367" s="750"/>
      <c r="G1367" s="750"/>
      <c r="H1367" s="750"/>
      <c r="I1367" s="750"/>
      <c r="J1367" s="871"/>
      <c r="K1367" s="801"/>
      <c r="L1367" s="899"/>
      <c r="M1367" s="650"/>
      <c r="N1367" s="917"/>
      <c r="O1367" s="646"/>
      <c r="P1367" s="933"/>
      <c r="Q1367" s="646"/>
      <c r="R1367" s="942"/>
      <c r="S1367" s="650"/>
      <c r="T1367" s="934"/>
      <c r="U1367" s="650"/>
      <c r="V1367" s="930"/>
    </row>
    <row r="1368" spans="1:22" s="624" customFormat="1" ht="16.5" customHeight="1">
      <c r="A1368" s="750"/>
      <c r="B1368" s="750"/>
      <c r="C1368" s="750"/>
      <c r="D1368" s="750"/>
      <c r="E1368" s="750"/>
      <c r="F1368" s="750"/>
      <c r="G1368" s="750"/>
      <c r="H1368" s="750"/>
      <c r="I1368" s="750"/>
      <c r="J1368" s="871"/>
      <c r="K1368" s="801"/>
      <c r="L1368" s="899"/>
      <c r="M1368" s="650"/>
      <c r="N1368" s="917"/>
      <c r="O1368" s="646"/>
      <c r="P1368" s="933"/>
      <c r="Q1368" s="646"/>
      <c r="R1368" s="942"/>
      <c r="S1368" s="650"/>
      <c r="T1368" s="934"/>
      <c r="U1368" s="650"/>
      <c r="V1368" s="930"/>
    </row>
    <row r="1369" spans="1:22" s="624" customFormat="1" ht="16.5" customHeight="1">
      <c r="A1369" s="750"/>
      <c r="B1369" s="750"/>
      <c r="C1369" s="750"/>
      <c r="D1369" s="750"/>
      <c r="E1369" s="750"/>
      <c r="F1369" s="750"/>
      <c r="G1369" s="750"/>
      <c r="H1369" s="750"/>
      <c r="I1369" s="750"/>
      <c r="J1369" s="871"/>
      <c r="K1369" s="801"/>
      <c r="L1369" s="899"/>
      <c r="M1369" s="650"/>
      <c r="N1369" s="917"/>
      <c r="O1369" s="646"/>
      <c r="P1369" s="933"/>
      <c r="Q1369" s="646"/>
      <c r="R1369" s="942"/>
      <c r="S1369" s="650"/>
      <c r="T1369" s="934"/>
      <c r="U1369" s="650"/>
      <c r="V1369" s="930"/>
    </row>
    <row r="1370" spans="1:22" s="624" customFormat="1" ht="16.5" customHeight="1">
      <c r="A1370" s="750"/>
      <c r="B1370" s="750"/>
      <c r="C1370" s="750"/>
      <c r="D1370" s="750"/>
      <c r="E1370" s="750"/>
      <c r="F1370" s="750"/>
      <c r="G1370" s="750"/>
      <c r="H1370" s="750"/>
      <c r="I1370" s="750"/>
      <c r="J1370" s="871"/>
      <c r="K1370" s="801"/>
      <c r="L1370" s="899"/>
      <c r="M1370" s="650"/>
      <c r="N1370" s="917"/>
      <c r="O1370" s="646"/>
      <c r="P1370" s="933"/>
      <c r="Q1370" s="646"/>
      <c r="R1370" s="942"/>
      <c r="S1370" s="650"/>
      <c r="T1370" s="934"/>
      <c r="U1370" s="650"/>
      <c r="V1370" s="930"/>
    </row>
    <row r="1371" spans="1:22" s="624" customFormat="1" ht="16.5" customHeight="1">
      <c r="A1371" s="750"/>
      <c r="B1371" s="750"/>
      <c r="C1371" s="750"/>
      <c r="D1371" s="750"/>
      <c r="E1371" s="750"/>
      <c r="F1371" s="750"/>
      <c r="G1371" s="750"/>
      <c r="H1371" s="750"/>
      <c r="I1371" s="750"/>
      <c r="J1371" s="871"/>
      <c r="K1371" s="801"/>
      <c r="L1371" s="899"/>
      <c r="M1371" s="650"/>
      <c r="N1371" s="917"/>
      <c r="O1371" s="646"/>
      <c r="P1371" s="933"/>
      <c r="Q1371" s="646"/>
      <c r="R1371" s="942"/>
      <c r="S1371" s="650"/>
      <c r="T1371" s="934"/>
      <c r="U1371" s="650"/>
      <c r="V1371" s="930"/>
    </row>
    <row r="1372" spans="1:22" s="624" customFormat="1" ht="16.5" customHeight="1">
      <c r="A1372" s="750"/>
      <c r="B1372" s="750"/>
      <c r="C1372" s="750"/>
      <c r="D1372" s="750"/>
      <c r="E1372" s="750"/>
      <c r="F1372" s="750"/>
      <c r="G1372" s="750"/>
      <c r="H1372" s="750"/>
      <c r="I1372" s="750"/>
      <c r="J1372" s="871"/>
      <c r="K1372" s="801"/>
      <c r="L1372" s="899"/>
      <c r="M1372" s="650"/>
      <c r="N1372" s="917"/>
      <c r="O1372" s="646"/>
      <c r="P1372" s="933"/>
      <c r="Q1372" s="646"/>
      <c r="R1372" s="942"/>
      <c r="S1372" s="650"/>
      <c r="T1372" s="934"/>
      <c r="U1372" s="650"/>
      <c r="V1372" s="930"/>
    </row>
    <row r="1373" spans="1:22" s="624" customFormat="1" ht="16.5" customHeight="1">
      <c r="A1373" s="750"/>
      <c r="B1373" s="750"/>
      <c r="C1373" s="750"/>
      <c r="D1373" s="750"/>
      <c r="E1373" s="750"/>
      <c r="F1373" s="750"/>
      <c r="G1373" s="750"/>
      <c r="H1373" s="750"/>
      <c r="I1373" s="750"/>
      <c r="J1373" s="871"/>
      <c r="K1373" s="801"/>
      <c r="L1373" s="899"/>
      <c r="M1373" s="650"/>
      <c r="N1373" s="917"/>
      <c r="O1373" s="646"/>
      <c r="P1373" s="933"/>
      <c r="Q1373" s="646"/>
      <c r="R1373" s="942"/>
      <c r="S1373" s="650"/>
      <c r="T1373" s="934"/>
      <c r="U1373" s="650"/>
      <c r="V1373" s="930"/>
    </row>
    <row r="1374" spans="1:22" s="624" customFormat="1" ht="16.5" customHeight="1">
      <c r="A1374" s="750"/>
      <c r="B1374" s="750"/>
      <c r="C1374" s="750"/>
      <c r="D1374" s="750"/>
      <c r="E1374" s="750"/>
      <c r="F1374" s="750"/>
      <c r="G1374" s="750"/>
      <c r="H1374" s="750"/>
      <c r="I1374" s="750"/>
      <c r="J1374" s="871"/>
      <c r="K1374" s="801"/>
      <c r="L1374" s="899"/>
      <c r="M1374" s="650"/>
      <c r="N1374" s="917"/>
      <c r="O1374" s="646"/>
      <c r="P1374" s="933"/>
      <c r="Q1374" s="646"/>
      <c r="R1374" s="942"/>
      <c r="S1374" s="650"/>
      <c r="T1374" s="934"/>
      <c r="U1374" s="650"/>
      <c r="V1374" s="930"/>
    </row>
    <row r="1375" spans="1:22" s="624" customFormat="1" ht="16.5" customHeight="1">
      <c r="A1375" s="750"/>
      <c r="B1375" s="750"/>
      <c r="C1375" s="750"/>
      <c r="D1375" s="750"/>
      <c r="E1375" s="750"/>
      <c r="F1375" s="750"/>
      <c r="G1375" s="750"/>
      <c r="H1375" s="750"/>
      <c r="I1375" s="750"/>
      <c r="J1375" s="871"/>
      <c r="K1375" s="801"/>
      <c r="L1375" s="899"/>
      <c r="M1375" s="650"/>
      <c r="N1375" s="917"/>
      <c r="O1375" s="646"/>
      <c r="P1375" s="933"/>
      <c r="Q1375" s="646"/>
      <c r="R1375" s="942"/>
      <c r="S1375" s="650"/>
      <c r="T1375" s="934"/>
      <c r="U1375" s="650"/>
      <c r="V1375" s="930"/>
    </row>
    <row r="1376" spans="1:22" s="624" customFormat="1" ht="16.5" customHeight="1">
      <c r="A1376" s="750"/>
      <c r="B1376" s="750"/>
      <c r="C1376" s="750"/>
      <c r="D1376" s="750"/>
      <c r="E1376" s="750"/>
      <c r="F1376" s="750"/>
      <c r="G1376" s="750"/>
      <c r="H1376" s="750"/>
      <c r="I1376" s="750"/>
      <c r="J1376" s="871"/>
      <c r="K1376" s="801"/>
      <c r="L1376" s="899"/>
      <c r="M1376" s="650"/>
      <c r="N1376" s="917"/>
      <c r="O1376" s="646"/>
      <c r="P1376" s="933"/>
      <c r="Q1376" s="646"/>
      <c r="R1376" s="942"/>
      <c r="S1376" s="650"/>
      <c r="T1376" s="934"/>
      <c r="U1376" s="650"/>
      <c r="V1376" s="930"/>
    </row>
    <row r="1377" spans="1:22" s="624" customFormat="1" ht="16.5" customHeight="1">
      <c r="A1377" s="750"/>
      <c r="B1377" s="750"/>
      <c r="C1377" s="750"/>
      <c r="D1377" s="750"/>
      <c r="E1377" s="750"/>
      <c r="F1377" s="750"/>
      <c r="G1377" s="750"/>
      <c r="H1377" s="750"/>
      <c r="I1377" s="750"/>
      <c r="J1377" s="871"/>
      <c r="K1377" s="801"/>
      <c r="L1377" s="899"/>
      <c r="M1377" s="650"/>
      <c r="N1377" s="917"/>
      <c r="O1377" s="646"/>
      <c r="P1377" s="933"/>
      <c r="Q1377" s="646"/>
      <c r="R1377" s="942"/>
      <c r="S1377" s="650"/>
      <c r="T1377" s="934"/>
      <c r="U1377" s="650"/>
      <c r="V1377" s="930"/>
    </row>
    <row r="1378" spans="1:22" s="624" customFormat="1" ht="16.5" customHeight="1">
      <c r="A1378" s="750"/>
      <c r="B1378" s="750"/>
      <c r="C1378" s="750"/>
      <c r="D1378" s="750"/>
      <c r="E1378" s="750"/>
      <c r="F1378" s="750"/>
      <c r="G1378" s="750"/>
      <c r="H1378" s="750"/>
      <c r="I1378" s="750"/>
      <c r="J1378" s="871"/>
      <c r="K1378" s="801"/>
      <c r="L1378" s="899"/>
      <c r="M1378" s="650"/>
      <c r="N1378" s="917"/>
      <c r="O1378" s="646"/>
      <c r="P1378" s="933"/>
      <c r="Q1378" s="646"/>
      <c r="R1378" s="942"/>
      <c r="S1378" s="650"/>
      <c r="T1378" s="934"/>
      <c r="U1378" s="650"/>
      <c r="V1378" s="930"/>
    </row>
    <row r="1379" spans="1:22" s="624" customFormat="1" ht="16.5" customHeight="1">
      <c r="A1379" s="750"/>
      <c r="B1379" s="750"/>
      <c r="C1379" s="750"/>
      <c r="D1379" s="750"/>
      <c r="E1379" s="750"/>
      <c r="F1379" s="750"/>
      <c r="G1379" s="750"/>
      <c r="H1379" s="750"/>
      <c r="I1379" s="750"/>
      <c r="J1379" s="871"/>
      <c r="K1379" s="801"/>
      <c r="L1379" s="899"/>
      <c r="M1379" s="650"/>
      <c r="N1379" s="917"/>
      <c r="O1379" s="646"/>
      <c r="P1379" s="933"/>
      <c r="Q1379" s="646"/>
      <c r="R1379" s="942"/>
      <c r="S1379" s="650"/>
      <c r="T1379" s="934"/>
      <c r="U1379" s="650"/>
      <c r="V1379" s="930"/>
    </row>
    <row r="1380" spans="1:22" s="624" customFormat="1" ht="16.5" customHeight="1">
      <c r="A1380" s="750"/>
      <c r="B1380" s="750"/>
      <c r="C1380" s="750"/>
      <c r="D1380" s="750"/>
      <c r="E1380" s="750"/>
      <c r="F1380" s="750"/>
      <c r="G1380" s="750"/>
      <c r="H1380" s="750"/>
      <c r="I1380" s="750"/>
      <c r="J1380" s="871"/>
      <c r="K1380" s="801"/>
      <c r="L1380" s="899"/>
      <c r="M1380" s="650"/>
      <c r="N1380" s="917"/>
      <c r="O1380" s="646"/>
      <c r="P1380" s="933"/>
      <c r="Q1380" s="646"/>
      <c r="R1380" s="942"/>
      <c r="S1380" s="650"/>
      <c r="T1380" s="934"/>
      <c r="U1380" s="650"/>
      <c r="V1380" s="930"/>
    </row>
    <row r="1381" spans="1:22" s="624" customFormat="1" ht="16.5" customHeight="1">
      <c r="A1381" s="750"/>
      <c r="B1381" s="750"/>
      <c r="C1381" s="750"/>
      <c r="D1381" s="750"/>
      <c r="E1381" s="750"/>
      <c r="F1381" s="750"/>
      <c r="G1381" s="750"/>
      <c r="H1381" s="750"/>
      <c r="I1381" s="750"/>
      <c r="J1381" s="871"/>
      <c r="K1381" s="801"/>
      <c r="L1381" s="899"/>
      <c r="M1381" s="650"/>
      <c r="N1381" s="917"/>
      <c r="O1381" s="646"/>
      <c r="P1381" s="933"/>
      <c r="Q1381" s="646"/>
      <c r="R1381" s="942"/>
      <c r="S1381" s="650"/>
      <c r="T1381" s="934"/>
      <c r="U1381" s="650"/>
      <c r="V1381" s="930"/>
    </row>
    <row r="1382" spans="1:22" s="624" customFormat="1" ht="16.5" customHeight="1">
      <c r="A1382" s="750"/>
      <c r="B1382" s="750"/>
      <c r="C1382" s="750"/>
      <c r="D1382" s="750"/>
      <c r="E1382" s="750"/>
      <c r="F1382" s="750"/>
      <c r="G1382" s="750"/>
      <c r="H1382" s="750"/>
      <c r="I1382" s="750"/>
      <c r="J1382" s="871"/>
      <c r="K1382" s="801"/>
      <c r="L1382" s="899"/>
      <c r="M1382" s="650"/>
      <c r="N1382" s="917"/>
      <c r="O1382" s="646"/>
      <c r="P1382" s="933"/>
      <c r="Q1382" s="646"/>
      <c r="R1382" s="942"/>
      <c r="S1382" s="650"/>
      <c r="T1382" s="934"/>
      <c r="U1382" s="650"/>
      <c r="V1382" s="930"/>
    </row>
    <row r="1383" spans="1:22" s="624" customFormat="1" ht="16.5" customHeight="1">
      <c r="A1383" s="750"/>
      <c r="B1383" s="750"/>
      <c r="C1383" s="750"/>
      <c r="D1383" s="750"/>
      <c r="E1383" s="750"/>
      <c r="F1383" s="750"/>
      <c r="G1383" s="750"/>
      <c r="H1383" s="750"/>
      <c r="I1383" s="750"/>
      <c r="J1383" s="871"/>
      <c r="K1383" s="801"/>
      <c r="L1383" s="899"/>
      <c r="M1383" s="650"/>
      <c r="N1383" s="917"/>
      <c r="O1383" s="646"/>
      <c r="P1383" s="933"/>
      <c r="Q1383" s="646"/>
      <c r="R1383" s="942"/>
      <c r="S1383" s="650"/>
      <c r="T1383" s="934"/>
      <c r="U1383" s="650"/>
      <c r="V1383" s="930"/>
    </row>
    <row r="1384" spans="1:22" s="624" customFormat="1" ht="16.5" customHeight="1">
      <c r="A1384" s="750"/>
      <c r="B1384" s="750"/>
      <c r="C1384" s="750"/>
      <c r="D1384" s="750"/>
      <c r="E1384" s="750"/>
      <c r="F1384" s="750"/>
      <c r="G1384" s="750"/>
      <c r="H1384" s="750"/>
      <c r="I1384" s="750"/>
      <c r="J1384" s="871"/>
      <c r="K1384" s="801"/>
      <c r="L1384" s="899"/>
      <c r="M1384" s="650"/>
      <c r="N1384" s="917"/>
      <c r="O1384" s="646"/>
      <c r="P1384" s="933"/>
      <c r="Q1384" s="646"/>
      <c r="R1384" s="942"/>
      <c r="S1384" s="650"/>
      <c r="T1384" s="934"/>
      <c r="U1384" s="650"/>
      <c r="V1384" s="930"/>
    </row>
    <row r="1385" spans="1:22" s="624" customFormat="1" ht="16.5" customHeight="1">
      <c r="A1385" s="750"/>
      <c r="B1385" s="750"/>
      <c r="C1385" s="750"/>
      <c r="D1385" s="750"/>
      <c r="E1385" s="750"/>
      <c r="F1385" s="750"/>
      <c r="G1385" s="750"/>
      <c r="H1385" s="750"/>
      <c r="I1385" s="750"/>
      <c r="J1385" s="871"/>
      <c r="K1385" s="801"/>
      <c r="L1385" s="899"/>
      <c r="M1385" s="650"/>
      <c r="N1385" s="917"/>
      <c r="O1385" s="646"/>
      <c r="P1385" s="933"/>
      <c r="Q1385" s="646"/>
      <c r="R1385" s="942"/>
      <c r="S1385" s="650"/>
      <c r="T1385" s="934"/>
      <c r="U1385" s="650"/>
      <c r="V1385" s="930"/>
    </row>
    <row r="1386" spans="1:22" s="624" customFormat="1" ht="16.5" customHeight="1">
      <c r="A1386" s="750"/>
      <c r="B1386" s="750"/>
      <c r="C1386" s="750"/>
      <c r="D1386" s="750"/>
      <c r="E1386" s="750"/>
      <c r="F1386" s="750"/>
      <c r="G1386" s="750"/>
      <c r="H1386" s="750"/>
      <c r="I1386" s="750"/>
      <c r="J1386" s="871"/>
      <c r="K1386" s="801"/>
      <c r="L1386" s="899"/>
      <c r="M1386" s="650"/>
      <c r="N1386" s="917"/>
      <c r="O1386" s="646"/>
      <c r="P1386" s="933"/>
      <c r="Q1386" s="646"/>
      <c r="R1386" s="942"/>
      <c r="S1386" s="650"/>
      <c r="T1386" s="934"/>
      <c r="U1386" s="650"/>
      <c r="V1386" s="930"/>
    </row>
    <row r="1387" spans="1:22" s="624" customFormat="1" ht="16.5" customHeight="1">
      <c r="A1387" s="750"/>
      <c r="B1387" s="750"/>
      <c r="C1387" s="750"/>
      <c r="D1387" s="750"/>
      <c r="E1387" s="750"/>
      <c r="F1387" s="750"/>
      <c r="G1387" s="750"/>
      <c r="H1387" s="750"/>
      <c r="I1387" s="750"/>
      <c r="J1387" s="871"/>
      <c r="K1387" s="801"/>
      <c r="L1387" s="899"/>
      <c r="M1387" s="650"/>
      <c r="N1387" s="917"/>
      <c r="O1387" s="646"/>
      <c r="P1387" s="933"/>
      <c r="Q1387" s="646"/>
      <c r="R1387" s="942"/>
      <c r="S1387" s="650"/>
      <c r="T1387" s="934"/>
      <c r="U1387" s="650"/>
      <c r="V1387" s="930"/>
    </row>
    <row r="1388" spans="1:22" s="624" customFormat="1" ht="16.5" customHeight="1">
      <c r="A1388" s="750"/>
      <c r="B1388" s="750"/>
      <c r="C1388" s="750"/>
      <c r="D1388" s="750"/>
      <c r="E1388" s="750"/>
      <c r="F1388" s="750"/>
      <c r="G1388" s="750"/>
      <c r="H1388" s="750"/>
      <c r="I1388" s="750"/>
      <c r="J1388" s="871"/>
      <c r="K1388" s="801"/>
      <c r="L1388" s="899"/>
      <c r="M1388" s="650"/>
      <c r="N1388" s="917"/>
      <c r="O1388" s="646"/>
      <c r="P1388" s="933"/>
      <c r="Q1388" s="646"/>
      <c r="R1388" s="942"/>
      <c r="S1388" s="650"/>
      <c r="T1388" s="934"/>
      <c r="U1388" s="650"/>
      <c r="V1388" s="930"/>
    </row>
    <row r="1389" spans="1:22" s="624" customFormat="1" ht="16.5" customHeight="1">
      <c r="A1389" s="750"/>
      <c r="B1389" s="750"/>
      <c r="C1389" s="750"/>
      <c r="D1389" s="750"/>
      <c r="E1389" s="750"/>
      <c r="F1389" s="750"/>
      <c r="G1389" s="750"/>
      <c r="H1389" s="750"/>
      <c r="I1389" s="750"/>
      <c r="J1389" s="871"/>
      <c r="K1389" s="801"/>
      <c r="L1389" s="899"/>
      <c r="M1389" s="650"/>
      <c r="N1389" s="917"/>
      <c r="O1389" s="646"/>
      <c r="P1389" s="933"/>
      <c r="Q1389" s="646"/>
      <c r="R1389" s="942"/>
      <c r="S1389" s="650"/>
      <c r="T1389" s="934"/>
      <c r="U1389" s="650"/>
      <c r="V1389" s="930"/>
    </row>
    <row r="1390" spans="1:22" s="624" customFormat="1" ht="16.5" customHeight="1">
      <c r="A1390" s="750"/>
      <c r="B1390" s="750"/>
      <c r="C1390" s="750"/>
      <c r="D1390" s="750"/>
      <c r="E1390" s="750"/>
      <c r="F1390" s="750"/>
      <c r="G1390" s="750"/>
      <c r="H1390" s="750"/>
      <c r="I1390" s="750"/>
      <c r="J1390" s="871"/>
      <c r="K1390" s="801"/>
      <c r="L1390" s="899"/>
      <c r="M1390" s="650"/>
      <c r="N1390" s="917"/>
      <c r="O1390" s="646"/>
      <c r="P1390" s="933"/>
      <c r="Q1390" s="646"/>
      <c r="R1390" s="942"/>
      <c r="S1390" s="650"/>
      <c r="T1390" s="934"/>
      <c r="U1390" s="650"/>
      <c r="V1390" s="930"/>
    </row>
    <row r="1391" spans="1:22" s="624" customFormat="1" ht="16.5" customHeight="1">
      <c r="A1391" s="750"/>
      <c r="B1391" s="750"/>
      <c r="C1391" s="750"/>
      <c r="D1391" s="750"/>
      <c r="E1391" s="750"/>
      <c r="F1391" s="750"/>
      <c r="G1391" s="750"/>
      <c r="H1391" s="750"/>
      <c r="I1391" s="750"/>
      <c r="J1391" s="871"/>
      <c r="K1391" s="801"/>
      <c r="L1391" s="899"/>
      <c r="M1391" s="650"/>
      <c r="N1391" s="917"/>
      <c r="O1391" s="646"/>
      <c r="P1391" s="933"/>
      <c r="Q1391" s="646"/>
      <c r="R1391" s="942"/>
      <c r="S1391" s="650"/>
      <c r="T1391" s="934"/>
      <c r="U1391" s="650"/>
      <c r="V1391" s="930"/>
    </row>
    <row r="1392" spans="1:22" s="624" customFormat="1" ht="16.5" customHeight="1">
      <c r="A1392" s="750"/>
      <c r="B1392" s="750"/>
      <c r="C1392" s="750"/>
      <c r="D1392" s="750"/>
      <c r="E1392" s="750"/>
      <c r="F1392" s="750"/>
      <c r="G1392" s="750"/>
      <c r="H1392" s="750"/>
      <c r="I1392" s="750"/>
      <c r="J1392" s="871"/>
      <c r="K1392" s="801"/>
      <c r="L1392" s="899"/>
      <c r="M1392" s="650"/>
      <c r="N1392" s="917"/>
      <c r="O1392" s="646"/>
      <c r="P1392" s="933"/>
      <c r="Q1392" s="646"/>
      <c r="R1392" s="942"/>
      <c r="S1392" s="650"/>
      <c r="T1392" s="934"/>
      <c r="U1392" s="650"/>
      <c r="V1392" s="930"/>
    </row>
    <row r="1393" spans="1:22" s="624" customFormat="1" ht="16.5" customHeight="1">
      <c r="A1393" s="750"/>
      <c r="B1393" s="750"/>
      <c r="C1393" s="750"/>
      <c r="D1393" s="750"/>
      <c r="E1393" s="750"/>
      <c r="F1393" s="750"/>
      <c r="G1393" s="750"/>
      <c r="H1393" s="750"/>
      <c r="I1393" s="750"/>
      <c r="J1393" s="871"/>
      <c r="K1393" s="801"/>
      <c r="L1393" s="899"/>
      <c r="M1393" s="650"/>
      <c r="N1393" s="917"/>
      <c r="O1393" s="646"/>
      <c r="P1393" s="933"/>
      <c r="Q1393" s="646"/>
      <c r="R1393" s="942"/>
      <c r="S1393" s="650"/>
      <c r="T1393" s="934"/>
      <c r="U1393" s="650"/>
      <c r="V1393" s="930"/>
    </row>
    <row r="1394" spans="1:22" s="624" customFormat="1" ht="16.5" customHeight="1">
      <c r="A1394" s="750"/>
      <c r="B1394" s="750"/>
      <c r="C1394" s="750"/>
      <c r="D1394" s="750"/>
      <c r="E1394" s="750"/>
      <c r="F1394" s="750"/>
      <c r="G1394" s="750"/>
      <c r="H1394" s="750"/>
      <c r="I1394" s="750"/>
      <c r="J1394" s="871"/>
      <c r="K1394" s="801"/>
      <c r="L1394" s="899"/>
      <c r="M1394" s="650"/>
      <c r="N1394" s="917"/>
      <c r="O1394" s="646"/>
      <c r="P1394" s="933"/>
      <c r="Q1394" s="646"/>
      <c r="R1394" s="942"/>
      <c r="S1394" s="650"/>
      <c r="T1394" s="934"/>
      <c r="U1394" s="650"/>
      <c r="V1394" s="930"/>
    </row>
    <row r="1395" spans="1:22" s="624" customFormat="1" ht="16.5" customHeight="1">
      <c r="A1395" s="750"/>
      <c r="B1395" s="750"/>
      <c r="C1395" s="750"/>
      <c r="D1395" s="750"/>
      <c r="E1395" s="750"/>
      <c r="F1395" s="750"/>
      <c r="G1395" s="750"/>
      <c r="H1395" s="750"/>
      <c r="I1395" s="750"/>
      <c r="J1395" s="871"/>
      <c r="K1395" s="801"/>
      <c r="L1395" s="899"/>
      <c r="M1395" s="650"/>
      <c r="N1395" s="917"/>
      <c r="O1395" s="646"/>
      <c r="P1395" s="933"/>
      <c r="Q1395" s="646"/>
      <c r="R1395" s="942"/>
      <c r="S1395" s="650"/>
      <c r="T1395" s="934"/>
      <c r="U1395" s="650"/>
      <c r="V1395" s="930"/>
    </row>
    <row r="1396" spans="1:22" s="624" customFormat="1" ht="16.5" customHeight="1">
      <c r="A1396" s="750"/>
      <c r="B1396" s="750"/>
      <c r="C1396" s="750"/>
      <c r="D1396" s="750"/>
      <c r="E1396" s="750"/>
      <c r="F1396" s="750"/>
      <c r="G1396" s="750"/>
      <c r="H1396" s="750"/>
      <c r="I1396" s="750"/>
      <c r="J1396" s="871"/>
      <c r="K1396" s="801"/>
      <c r="L1396" s="899"/>
      <c r="M1396" s="650"/>
      <c r="N1396" s="917"/>
      <c r="O1396" s="646"/>
      <c r="P1396" s="933"/>
      <c r="Q1396" s="646"/>
      <c r="R1396" s="942"/>
      <c r="S1396" s="650"/>
      <c r="T1396" s="934"/>
      <c r="U1396" s="650"/>
      <c r="V1396" s="930"/>
    </row>
    <row r="1397" spans="1:22" s="624" customFormat="1" ht="16.5" customHeight="1">
      <c r="A1397" s="750"/>
      <c r="B1397" s="750"/>
      <c r="C1397" s="750"/>
      <c r="D1397" s="750"/>
      <c r="E1397" s="750"/>
      <c r="F1397" s="750"/>
      <c r="G1397" s="750"/>
      <c r="H1397" s="750"/>
      <c r="I1397" s="750"/>
      <c r="J1397" s="871"/>
      <c r="K1397" s="801"/>
      <c r="L1397" s="899"/>
      <c r="M1397" s="650"/>
      <c r="N1397" s="917"/>
      <c r="O1397" s="646"/>
      <c r="P1397" s="933"/>
      <c r="Q1397" s="646"/>
      <c r="R1397" s="942"/>
      <c r="S1397" s="650"/>
      <c r="T1397" s="934"/>
      <c r="U1397" s="650"/>
      <c r="V1397" s="930"/>
    </row>
    <row r="1398" spans="1:22" s="624" customFormat="1" ht="16.5" customHeight="1">
      <c r="A1398" s="750"/>
      <c r="B1398" s="750"/>
      <c r="C1398" s="750"/>
      <c r="D1398" s="750"/>
      <c r="E1398" s="750"/>
      <c r="F1398" s="750"/>
      <c r="G1398" s="750"/>
      <c r="H1398" s="750"/>
      <c r="I1398" s="750"/>
      <c r="J1398" s="871"/>
      <c r="K1398" s="801"/>
      <c r="L1398" s="899"/>
      <c r="M1398" s="650"/>
      <c r="N1398" s="917"/>
      <c r="O1398" s="646"/>
      <c r="P1398" s="933"/>
      <c r="Q1398" s="646"/>
      <c r="R1398" s="942"/>
      <c r="S1398" s="650"/>
      <c r="T1398" s="934"/>
      <c r="U1398" s="650"/>
      <c r="V1398" s="930"/>
    </row>
    <row r="1399" spans="1:22" s="624" customFormat="1" ht="16.5" customHeight="1">
      <c r="A1399" s="750"/>
      <c r="B1399" s="750"/>
      <c r="C1399" s="750"/>
      <c r="D1399" s="750"/>
      <c r="E1399" s="750"/>
      <c r="F1399" s="750"/>
      <c r="G1399" s="750"/>
      <c r="H1399" s="750"/>
      <c r="I1399" s="750"/>
      <c r="J1399" s="871"/>
      <c r="K1399" s="801"/>
      <c r="L1399" s="899"/>
      <c r="M1399" s="650"/>
      <c r="N1399" s="917"/>
      <c r="O1399" s="646"/>
      <c r="P1399" s="933"/>
      <c r="Q1399" s="646"/>
      <c r="R1399" s="942"/>
      <c r="S1399" s="650"/>
      <c r="T1399" s="934"/>
      <c r="U1399" s="650"/>
      <c r="V1399" s="930"/>
    </row>
    <row r="1400" spans="1:22" s="624" customFormat="1" ht="16.5" customHeight="1">
      <c r="A1400" s="750"/>
      <c r="B1400" s="750"/>
      <c r="C1400" s="750"/>
      <c r="D1400" s="750"/>
      <c r="E1400" s="750"/>
      <c r="F1400" s="750"/>
      <c r="G1400" s="750"/>
      <c r="H1400" s="750"/>
      <c r="I1400" s="750"/>
      <c r="J1400" s="871"/>
      <c r="K1400" s="801"/>
      <c r="L1400" s="899"/>
      <c r="M1400" s="650"/>
      <c r="N1400" s="917"/>
      <c r="O1400" s="646"/>
      <c r="P1400" s="933"/>
      <c r="Q1400" s="646"/>
      <c r="R1400" s="942"/>
      <c r="S1400" s="650"/>
      <c r="T1400" s="934"/>
      <c r="U1400" s="650"/>
      <c r="V1400" s="930"/>
    </row>
    <row r="1401" spans="1:22" s="624" customFormat="1" ht="16.5" customHeight="1">
      <c r="A1401" s="750"/>
      <c r="B1401" s="750"/>
      <c r="C1401" s="750"/>
      <c r="D1401" s="750"/>
      <c r="E1401" s="750"/>
      <c r="F1401" s="750"/>
      <c r="G1401" s="750"/>
      <c r="H1401" s="750"/>
      <c r="I1401" s="750"/>
      <c r="J1401" s="871"/>
      <c r="K1401" s="801"/>
      <c r="L1401" s="899"/>
      <c r="M1401" s="650"/>
      <c r="N1401" s="917"/>
      <c r="O1401" s="646"/>
      <c r="P1401" s="933"/>
      <c r="Q1401" s="646"/>
      <c r="R1401" s="942"/>
      <c r="S1401" s="650"/>
      <c r="T1401" s="934"/>
      <c r="U1401" s="650"/>
      <c r="V1401" s="930"/>
    </row>
    <row r="1402" spans="1:22" s="624" customFormat="1" ht="16.5" customHeight="1">
      <c r="A1402" s="750"/>
      <c r="B1402" s="750"/>
      <c r="C1402" s="750"/>
      <c r="D1402" s="750"/>
      <c r="E1402" s="750"/>
      <c r="F1402" s="750"/>
      <c r="G1402" s="750"/>
      <c r="H1402" s="750"/>
      <c r="I1402" s="750"/>
      <c r="J1402" s="871"/>
      <c r="K1402" s="801"/>
      <c r="L1402" s="899"/>
      <c r="M1402" s="650"/>
      <c r="N1402" s="917"/>
      <c r="O1402" s="646"/>
      <c r="P1402" s="933"/>
      <c r="Q1402" s="646"/>
      <c r="R1402" s="942"/>
      <c r="S1402" s="650"/>
      <c r="T1402" s="934"/>
      <c r="U1402" s="650"/>
      <c r="V1402" s="930"/>
    </row>
    <row r="1403" spans="1:22" s="624" customFormat="1" ht="16.5" customHeight="1">
      <c r="A1403" s="750"/>
      <c r="B1403" s="750"/>
      <c r="C1403" s="750"/>
      <c r="D1403" s="750"/>
      <c r="E1403" s="750"/>
      <c r="F1403" s="750"/>
      <c r="G1403" s="750"/>
      <c r="H1403" s="750"/>
      <c r="I1403" s="750"/>
      <c r="J1403" s="871"/>
      <c r="K1403" s="801"/>
      <c r="L1403" s="899"/>
      <c r="M1403" s="650"/>
      <c r="N1403" s="917"/>
      <c r="O1403" s="646"/>
      <c r="P1403" s="933"/>
      <c r="Q1403" s="646"/>
      <c r="R1403" s="942"/>
      <c r="S1403" s="650"/>
      <c r="T1403" s="934"/>
      <c r="U1403" s="650"/>
      <c r="V1403" s="930"/>
    </row>
    <row r="1404" spans="1:22" s="624" customFormat="1" ht="16.5" customHeight="1">
      <c r="A1404" s="750"/>
      <c r="B1404" s="750"/>
      <c r="C1404" s="750"/>
      <c r="D1404" s="750"/>
      <c r="E1404" s="750"/>
      <c r="F1404" s="750"/>
      <c r="G1404" s="750"/>
      <c r="H1404" s="750"/>
      <c r="I1404" s="750"/>
      <c r="J1404" s="871"/>
      <c r="K1404" s="801"/>
      <c r="L1404" s="899"/>
      <c r="M1404" s="650"/>
      <c r="N1404" s="917"/>
      <c r="O1404" s="646"/>
      <c r="P1404" s="933"/>
      <c r="Q1404" s="646"/>
      <c r="R1404" s="942"/>
      <c r="S1404" s="650"/>
      <c r="T1404" s="934"/>
      <c r="U1404" s="650"/>
      <c r="V1404" s="930"/>
    </row>
    <row r="1405" spans="1:22" s="624" customFormat="1" ht="16.5" customHeight="1">
      <c r="A1405" s="750"/>
      <c r="B1405" s="750"/>
      <c r="C1405" s="750"/>
      <c r="D1405" s="750"/>
      <c r="E1405" s="750"/>
      <c r="F1405" s="750"/>
      <c r="G1405" s="750"/>
      <c r="H1405" s="750"/>
      <c r="I1405" s="750"/>
      <c r="J1405" s="871"/>
      <c r="K1405" s="801"/>
      <c r="L1405" s="899"/>
      <c r="M1405" s="650"/>
      <c r="N1405" s="917"/>
      <c r="O1405" s="646"/>
      <c r="P1405" s="933"/>
      <c r="Q1405" s="646"/>
      <c r="R1405" s="942"/>
      <c r="S1405" s="650"/>
      <c r="T1405" s="934"/>
      <c r="U1405" s="650"/>
      <c r="V1405" s="930"/>
    </row>
    <row r="1406" spans="1:22" s="624" customFormat="1" ht="16.5" customHeight="1">
      <c r="A1406" s="750"/>
      <c r="B1406" s="750"/>
      <c r="C1406" s="750"/>
      <c r="D1406" s="750"/>
      <c r="E1406" s="750"/>
      <c r="F1406" s="750"/>
      <c r="G1406" s="750"/>
      <c r="H1406" s="750"/>
      <c r="I1406" s="750"/>
      <c r="J1406" s="871"/>
      <c r="K1406" s="801"/>
      <c r="L1406" s="899"/>
      <c r="M1406" s="650"/>
      <c r="N1406" s="917"/>
      <c r="O1406" s="646"/>
      <c r="P1406" s="933"/>
      <c r="Q1406" s="646"/>
      <c r="R1406" s="942"/>
      <c r="S1406" s="650"/>
      <c r="T1406" s="934"/>
      <c r="U1406" s="650"/>
      <c r="V1406" s="930"/>
    </row>
    <row r="1407" spans="1:22" s="624" customFormat="1" ht="16.5" customHeight="1">
      <c r="A1407" s="750"/>
      <c r="B1407" s="750"/>
      <c r="C1407" s="750"/>
      <c r="D1407" s="750"/>
      <c r="E1407" s="750"/>
      <c r="F1407" s="750"/>
      <c r="G1407" s="750"/>
      <c r="H1407" s="750"/>
      <c r="I1407" s="750"/>
      <c r="J1407" s="871"/>
      <c r="K1407" s="801"/>
      <c r="L1407" s="899"/>
      <c r="M1407" s="650"/>
      <c r="N1407" s="917"/>
      <c r="O1407" s="646"/>
      <c r="P1407" s="933"/>
      <c r="Q1407" s="646"/>
      <c r="R1407" s="942"/>
      <c r="S1407" s="650"/>
      <c r="T1407" s="934"/>
      <c r="U1407" s="650"/>
      <c r="V1407" s="930"/>
    </row>
    <row r="1408" spans="1:22" s="624" customFormat="1" ht="16.5" customHeight="1">
      <c r="A1408" s="750"/>
      <c r="B1408" s="750"/>
      <c r="C1408" s="750"/>
      <c r="D1408" s="750"/>
      <c r="E1408" s="750"/>
      <c r="F1408" s="750"/>
      <c r="G1408" s="750"/>
      <c r="H1408" s="750"/>
      <c r="I1408" s="750"/>
      <c r="J1408" s="871"/>
      <c r="K1408" s="801"/>
      <c r="L1408" s="899"/>
      <c r="M1408" s="650"/>
      <c r="N1408" s="917"/>
      <c r="O1408" s="646"/>
      <c r="P1408" s="933"/>
      <c r="Q1408" s="646"/>
      <c r="R1408" s="942"/>
      <c r="S1408" s="650"/>
      <c r="T1408" s="934"/>
      <c r="U1408" s="650"/>
      <c r="V1408" s="930"/>
    </row>
    <row r="1409" spans="1:22" s="624" customFormat="1" ht="16.5" customHeight="1">
      <c r="A1409" s="750"/>
      <c r="B1409" s="750"/>
      <c r="C1409" s="750"/>
      <c r="D1409" s="750"/>
      <c r="E1409" s="750"/>
      <c r="F1409" s="750"/>
      <c r="G1409" s="750"/>
      <c r="H1409" s="750"/>
      <c r="I1409" s="750"/>
      <c r="J1409" s="871"/>
      <c r="K1409" s="801"/>
      <c r="L1409" s="899"/>
      <c r="M1409" s="650"/>
      <c r="N1409" s="917"/>
      <c r="O1409" s="646"/>
      <c r="P1409" s="933"/>
      <c r="Q1409" s="646"/>
      <c r="R1409" s="942"/>
      <c r="S1409" s="650"/>
      <c r="T1409" s="934"/>
      <c r="U1409" s="650"/>
      <c r="V1409" s="930"/>
    </row>
    <row r="1410" spans="1:22" s="624" customFormat="1" ht="16.5" customHeight="1">
      <c r="A1410" s="750"/>
      <c r="B1410" s="750"/>
      <c r="C1410" s="750"/>
      <c r="D1410" s="750"/>
      <c r="E1410" s="750"/>
      <c r="F1410" s="750"/>
      <c r="G1410" s="750"/>
      <c r="H1410" s="750"/>
      <c r="I1410" s="750"/>
      <c r="J1410" s="871"/>
      <c r="K1410" s="801"/>
      <c r="L1410" s="899"/>
      <c r="M1410" s="650"/>
      <c r="N1410" s="917"/>
      <c r="O1410" s="646"/>
      <c r="P1410" s="933"/>
      <c r="Q1410" s="646"/>
      <c r="R1410" s="942"/>
      <c r="S1410" s="650"/>
      <c r="T1410" s="934"/>
      <c r="U1410" s="650"/>
      <c r="V1410" s="930"/>
    </row>
    <row r="1411" spans="1:22" s="624" customFormat="1" ht="16.5" customHeight="1">
      <c r="A1411" s="750"/>
      <c r="B1411" s="750"/>
      <c r="C1411" s="750"/>
      <c r="D1411" s="750"/>
      <c r="E1411" s="750"/>
      <c r="F1411" s="750"/>
      <c r="G1411" s="750"/>
      <c r="H1411" s="750"/>
      <c r="I1411" s="750"/>
      <c r="J1411" s="871"/>
      <c r="K1411" s="801"/>
      <c r="L1411" s="899"/>
      <c r="M1411" s="650"/>
      <c r="N1411" s="917"/>
      <c r="O1411" s="646"/>
      <c r="P1411" s="933"/>
      <c r="Q1411" s="646"/>
      <c r="R1411" s="942"/>
      <c r="S1411" s="650"/>
      <c r="T1411" s="934"/>
      <c r="U1411" s="650"/>
      <c r="V1411" s="930"/>
    </row>
    <row r="1412" spans="1:22" s="624" customFormat="1" ht="16.5" customHeight="1">
      <c r="A1412" s="750"/>
      <c r="B1412" s="750"/>
      <c r="C1412" s="750"/>
      <c r="D1412" s="750"/>
      <c r="E1412" s="750"/>
      <c r="F1412" s="750"/>
      <c r="G1412" s="750"/>
      <c r="H1412" s="750"/>
      <c r="I1412" s="750"/>
      <c r="J1412" s="871"/>
      <c r="K1412" s="801"/>
      <c r="L1412" s="899"/>
      <c r="M1412" s="650"/>
      <c r="N1412" s="917"/>
      <c r="O1412" s="646"/>
      <c r="P1412" s="933"/>
      <c r="Q1412" s="646"/>
      <c r="R1412" s="942"/>
      <c r="S1412" s="650"/>
      <c r="T1412" s="934"/>
      <c r="U1412" s="650"/>
      <c r="V1412" s="930"/>
    </row>
    <row r="1413" spans="1:22" s="624" customFormat="1" ht="16.5" customHeight="1">
      <c r="A1413" s="750"/>
      <c r="B1413" s="750"/>
      <c r="C1413" s="750"/>
      <c r="D1413" s="750"/>
      <c r="E1413" s="750"/>
      <c r="F1413" s="750"/>
      <c r="G1413" s="750"/>
      <c r="H1413" s="750"/>
      <c r="I1413" s="750"/>
      <c r="J1413" s="871"/>
      <c r="K1413" s="801"/>
      <c r="L1413" s="899"/>
      <c r="M1413" s="650"/>
      <c r="N1413" s="917"/>
      <c r="O1413" s="646"/>
      <c r="P1413" s="933"/>
      <c r="Q1413" s="646"/>
      <c r="R1413" s="942"/>
      <c r="S1413" s="650"/>
      <c r="T1413" s="934"/>
      <c r="U1413" s="650"/>
      <c r="V1413" s="930"/>
    </row>
    <row r="1414" spans="1:22" s="624" customFormat="1" ht="16.5" customHeight="1">
      <c r="A1414" s="750"/>
      <c r="B1414" s="750"/>
      <c r="C1414" s="750"/>
      <c r="D1414" s="750"/>
      <c r="E1414" s="750"/>
      <c r="F1414" s="750"/>
      <c r="G1414" s="750"/>
      <c r="H1414" s="750"/>
      <c r="I1414" s="750"/>
      <c r="J1414" s="871"/>
      <c r="K1414" s="801"/>
      <c r="L1414" s="899"/>
      <c r="M1414" s="650"/>
      <c r="N1414" s="917"/>
      <c r="O1414" s="646"/>
      <c r="P1414" s="933"/>
      <c r="Q1414" s="646"/>
      <c r="R1414" s="942"/>
      <c r="S1414" s="650"/>
      <c r="T1414" s="934"/>
      <c r="U1414" s="650"/>
      <c r="V1414" s="930"/>
    </row>
    <row r="1415" spans="1:22" s="624" customFormat="1" ht="16.5" customHeight="1">
      <c r="A1415" s="750"/>
      <c r="B1415" s="750"/>
      <c r="C1415" s="750"/>
      <c r="D1415" s="750"/>
      <c r="E1415" s="750"/>
      <c r="F1415" s="750"/>
      <c r="G1415" s="750"/>
      <c r="H1415" s="750"/>
      <c r="I1415" s="750"/>
      <c r="J1415" s="871"/>
      <c r="K1415" s="801"/>
      <c r="L1415" s="899"/>
      <c r="M1415" s="650"/>
      <c r="N1415" s="917"/>
      <c r="O1415" s="646"/>
      <c r="P1415" s="933"/>
      <c r="Q1415" s="646"/>
      <c r="R1415" s="942"/>
      <c r="S1415" s="650"/>
      <c r="T1415" s="934"/>
      <c r="U1415" s="650"/>
      <c r="V1415" s="930"/>
    </row>
    <row r="1416" spans="1:22" s="624" customFormat="1" ht="16.5" customHeight="1">
      <c r="A1416" s="750"/>
      <c r="B1416" s="750"/>
      <c r="C1416" s="750"/>
      <c r="D1416" s="750"/>
      <c r="E1416" s="750"/>
      <c r="F1416" s="750"/>
      <c r="G1416" s="750"/>
      <c r="H1416" s="750"/>
      <c r="I1416" s="750"/>
      <c r="J1416" s="871"/>
      <c r="K1416" s="801"/>
      <c r="L1416" s="899"/>
      <c r="M1416" s="650"/>
      <c r="N1416" s="917"/>
      <c r="O1416" s="646"/>
      <c r="P1416" s="933"/>
      <c r="Q1416" s="646"/>
      <c r="R1416" s="942"/>
      <c r="S1416" s="650"/>
      <c r="T1416" s="934"/>
      <c r="U1416" s="650"/>
      <c r="V1416" s="930"/>
    </row>
    <row r="1417" spans="1:22" s="624" customFormat="1" ht="16.5" customHeight="1">
      <c r="A1417" s="750"/>
      <c r="B1417" s="750"/>
      <c r="C1417" s="750"/>
      <c r="D1417" s="750"/>
      <c r="E1417" s="750"/>
      <c r="F1417" s="750"/>
      <c r="G1417" s="750"/>
      <c r="H1417" s="750"/>
      <c r="I1417" s="750"/>
      <c r="J1417" s="871"/>
      <c r="K1417" s="801"/>
      <c r="L1417" s="899"/>
      <c r="M1417" s="650"/>
      <c r="N1417" s="917"/>
      <c r="O1417" s="646"/>
      <c r="P1417" s="933"/>
      <c r="Q1417" s="646"/>
      <c r="R1417" s="942"/>
      <c r="S1417" s="650"/>
      <c r="T1417" s="934"/>
      <c r="U1417" s="650"/>
      <c r="V1417" s="930"/>
    </row>
    <row r="1418" spans="1:22" s="624" customFormat="1" ht="16.5" customHeight="1">
      <c r="A1418" s="750"/>
      <c r="B1418" s="750"/>
      <c r="C1418" s="750"/>
      <c r="D1418" s="750"/>
      <c r="E1418" s="750"/>
      <c r="F1418" s="750"/>
      <c r="G1418" s="750"/>
      <c r="H1418" s="750"/>
      <c r="I1418" s="750"/>
      <c r="J1418" s="871"/>
      <c r="K1418" s="801"/>
      <c r="L1418" s="899"/>
      <c r="M1418" s="650"/>
      <c r="N1418" s="917"/>
      <c r="O1418" s="646"/>
      <c r="P1418" s="933"/>
      <c r="Q1418" s="646"/>
      <c r="R1418" s="942"/>
      <c r="S1418" s="650"/>
      <c r="T1418" s="934"/>
      <c r="U1418" s="650"/>
      <c r="V1418" s="930"/>
    </row>
    <row r="1419" spans="1:22" s="624" customFormat="1" ht="16.5" customHeight="1">
      <c r="A1419" s="750"/>
      <c r="B1419" s="750"/>
      <c r="C1419" s="750"/>
      <c r="D1419" s="750"/>
      <c r="E1419" s="750"/>
      <c r="F1419" s="750"/>
      <c r="G1419" s="750"/>
      <c r="H1419" s="750"/>
      <c r="I1419" s="750"/>
      <c r="J1419" s="871"/>
      <c r="K1419" s="801"/>
      <c r="L1419" s="899"/>
      <c r="M1419" s="650"/>
      <c r="N1419" s="917"/>
      <c r="O1419" s="646"/>
      <c r="P1419" s="933"/>
      <c r="Q1419" s="646"/>
      <c r="R1419" s="942"/>
      <c r="S1419" s="650"/>
      <c r="T1419" s="934"/>
      <c r="U1419" s="650"/>
      <c r="V1419" s="930"/>
    </row>
    <row r="1420" spans="1:22" s="624" customFormat="1" ht="16.5" customHeight="1">
      <c r="A1420" s="750"/>
      <c r="B1420" s="750"/>
      <c r="C1420" s="750"/>
      <c r="D1420" s="750"/>
      <c r="E1420" s="750"/>
      <c r="F1420" s="750"/>
      <c r="G1420" s="750"/>
      <c r="H1420" s="750"/>
      <c r="I1420" s="750"/>
      <c r="J1420" s="871"/>
      <c r="K1420" s="801"/>
      <c r="L1420" s="899"/>
      <c r="M1420" s="650"/>
      <c r="N1420" s="917"/>
      <c r="O1420" s="646"/>
      <c r="P1420" s="933"/>
      <c r="Q1420" s="646"/>
      <c r="R1420" s="942"/>
      <c r="S1420" s="650"/>
      <c r="T1420" s="934"/>
      <c r="U1420" s="650"/>
      <c r="V1420" s="930"/>
    </row>
    <row r="1421" spans="1:22" s="624" customFormat="1" ht="16.5" customHeight="1">
      <c r="A1421" s="750"/>
      <c r="B1421" s="750"/>
      <c r="C1421" s="750"/>
      <c r="D1421" s="750"/>
      <c r="E1421" s="750"/>
      <c r="F1421" s="750"/>
      <c r="G1421" s="750"/>
      <c r="H1421" s="750"/>
      <c r="I1421" s="750"/>
      <c r="J1421" s="871"/>
      <c r="K1421" s="801"/>
      <c r="L1421" s="899"/>
      <c r="M1421" s="650"/>
      <c r="N1421" s="917"/>
      <c r="O1421" s="646"/>
      <c r="P1421" s="933"/>
      <c r="Q1421" s="646"/>
      <c r="R1421" s="942"/>
      <c r="S1421" s="650"/>
      <c r="T1421" s="934"/>
      <c r="U1421" s="650"/>
      <c r="V1421" s="930"/>
    </row>
    <row r="1422" spans="1:22" s="624" customFormat="1" ht="16.5" customHeight="1">
      <c r="A1422" s="750"/>
      <c r="B1422" s="750"/>
      <c r="C1422" s="750"/>
      <c r="D1422" s="750"/>
      <c r="E1422" s="750"/>
      <c r="F1422" s="750"/>
      <c r="G1422" s="750"/>
      <c r="H1422" s="750"/>
      <c r="I1422" s="750"/>
      <c r="J1422" s="871"/>
      <c r="K1422" s="801"/>
      <c r="L1422" s="899"/>
      <c r="M1422" s="650"/>
      <c r="N1422" s="917"/>
      <c r="O1422" s="646"/>
      <c r="P1422" s="933"/>
      <c r="Q1422" s="646"/>
      <c r="R1422" s="942"/>
      <c r="S1422" s="650"/>
      <c r="T1422" s="934"/>
      <c r="U1422" s="650"/>
      <c r="V1422" s="930"/>
    </row>
    <row r="1423" spans="1:22" s="624" customFormat="1" ht="16.5" customHeight="1">
      <c r="A1423" s="750"/>
      <c r="B1423" s="750"/>
      <c r="C1423" s="750"/>
      <c r="D1423" s="750"/>
      <c r="E1423" s="750"/>
      <c r="F1423" s="750"/>
      <c r="G1423" s="750"/>
      <c r="H1423" s="750"/>
      <c r="I1423" s="750"/>
      <c r="J1423" s="871"/>
      <c r="K1423" s="801"/>
      <c r="L1423" s="899"/>
      <c r="M1423" s="650"/>
      <c r="N1423" s="917"/>
      <c r="O1423" s="646"/>
      <c r="P1423" s="933"/>
      <c r="Q1423" s="646"/>
      <c r="R1423" s="942"/>
      <c r="S1423" s="650"/>
      <c r="T1423" s="934"/>
      <c r="U1423" s="650"/>
      <c r="V1423" s="930"/>
    </row>
    <row r="1424" spans="1:22" s="624" customFormat="1" ht="16.5" customHeight="1">
      <c r="A1424" s="750"/>
      <c r="B1424" s="750"/>
      <c r="C1424" s="750"/>
      <c r="D1424" s="750"/>
      <c r="E1424" s="750"/>
      <c r="F1424" s="750"/>
      <c r="G1424" s="750"/>
      <c r="H1424" s="750"/>
      <c r="I1424" s="750"/>
      <c r="J1424" s="871"/>
      <c r="K1424" s="801"/>
      <c r="L1424" s="899"/>
      <c r="M1424" s="650"/>
      <c r="N1424" s="917"/>
      <c r="O1424" s="646"/>
      <c r="P1424" s="933"/>
      <c r="Q1424" s="646"/>
      <c r="R1424" s="942"/>
      <c r="S1424" s="650"/>
      <c r="T1424" s="934"/>
      <c r="U1424" s="650"/>
      <c r="V1424" s="930"/>
    </row>
    <row r="1425" spans="1:22" s="624" customFormat="1" ht="16.5" customHeight="1">
      <c r="A1425" s="750"/>
      <c r="B1425" s="750"/>
      <c r="C1425" s="750"/>
      <c r="D1425" s="750"/>
      <c r="E1425" s="750"/>
      <c r="F1425" s="750"/>
      <c r="G1425" s="750"/>
      <c r="H1425" s="750"/>
      <c r="I1425" s="750"/>
      <c r="J1425" s="871"/>
      <c r="K1425" s="801"/>
      <c r="L1425" s="899"/>
      <c r="M1425" s="650"/>
      <c r="N1425" s="917"/>
      <c r="O1425" s="646"/>
      <c r="P1425" s="933"/>
      <c r="Q1425" s="646"/>
      <c r="R1425" s="942"/>
      <c r="S1425" s="650"/>
      <c r="T1425" s="934"/>
      <c r="U1425" s="650"/>
      <c r="V1425" s="930"/>
    </row>
    <row r="1426" spans="1:22" s="624" customFormat="1" ht="16.5" customHeight="1">
      <c r="A1426" s="750"/>
      <c r="B1426" s="750"/>
      <c r="C1426" s="750"/>
      <c r="D1426" s="750"/>
      <c r="E1426" s="750"/>
      <c r="F1426" s="750"/>
      <c r="G1426" s="750"/>
      <c r="H1426" s="750"/>
      <c r="I1426" s="750"/>
      <c r="J1426" s="871"/>
      <c r="K1426" s="801"/>
      <c r="L1426" s="899"/>
      <c r="M1426" s="650"/>
      <c r="N1426" s="917"/>
      <c r="O1426" s="646"/>
      <c r="P1426" s="933"/>
      <c r="Q1426" s="646"/>
      <c r="R1426" s="942"/>
      <c r="S1426" s="650"/>
      <c r="T1426" s="934"/>
      <c r="U1426" s="650"/>
      <c r="V1426" s="930"/>
    </row>
    <row r="1427" spans="1:22" s="624" customFormat="1" ht="16.5" customHeight="1">
      <c r="A1427" s="750"/>
      <c r="B1427" s="750"/>
      <c r="C1427" s="750"/>
      <c r="D1427" s="750"/>
      <c r="E1427" s="750"/>
      <c r="F1427" s="750"/>
      <c r="G1427" s="750"/>
      <c r="H1427" s="750"/>
      <c r="I1427" s="750"/>
      <c r="J1427" s="871"/>
      <c r="K1427" s="801"/>
      <c r="L1427" s="899"/>
      <c r="M1427" s="650"/>
      <c r="N1427" s="917"/>
      <c r="O1427" s="646"/>
      <c r="P1427" s="933"/>
      <c r="Q1427" s="646"/>
      <c r="R1427" s="942"/>
      <c r="S1427" s="650"/>
      <c r="T1427" s="934"/>
      <c r="U1427" s="650"/>
      <c r="V1427" s="930"/>
    </row>
    <row r="1428" spans="1:22" s="624" customFormat="1" ht="16.5" customHeight="1">
      <c r="A1428" s="750"/>
      <c r="B1428" s="750"/>
      <c r="C1428" s="750"/>
      <c r="D1428" s="750"/>
      <c r="E1428" s="750"/>
      <c r="F1428" s="750"/>
      <c r="G1428" s="750"/>
      <c r="H1428" s="750"/>
      <c r="I1428" s="750"/>
      <c r="J1428" s="871"/>
      <c r="K1428" s="801"/>
      <c r="L1428" s="899"/>
      <c r="M1428" s="650"/>
      <c r="N1428" s="917"/>
      <c r="O1428" s="646"/>
      <c r="P1428" s="933"/>
      <c r="Q1428" s="646"/>
      <c r="R1428" s="942"/>
      <c r="S1428" s="650"/>
      <c r="T1428" s="934"/>
      <c r="U1428" s="650"/>
      <c r="V1428" s="930"/>
    </row>
    <row r="1429" spans="1:22" s="624" customFormat="1" ht="16.5" customHeight="1">
      <c r="A1429" s="750"/>
      <c r="B1429" s="750"/>
      <c r="C1429" s="750"/>
      <c r="D1429" s="750"/>
      <c r="E1429" s="750"/>
      <c r="F1429" s="750"/>
      <c r="G1429" s="750"/>
      <c r="H1429" s="750"/>
      <c r="I1429" s="750"/>
      <c r="J1429" s="871"/>
      <c r="K1429" s="801"/>
      <c r="L1429" s="899"/>
      <c r="M1429" s="650"/>
      <c r="N1429" s="917"/>
      <c r="O1429" s="646"/>
      <c r="P1429" s="933"/>
      <c r="Q1429" s="646"/>
      <c r="R1429" s="942"/>
      <c r="S1429" s="650"/>
      <c r="T1429" s="934"/>
      <c r="U1429" s="650"/>
      <c r="V1429" s="930"/>
    </row>
    <row r="1430" spans="1:22" s="624" customFormat="1" ht="16.5" customHeight="1">
      <c r="A1430" s="750"/>
      <c r="B1430" s="750"/>
      <c r="C1430" s="750"/>
      <c r="D1430" s="750"/>
      <c r="E1430" s="750"/>
      <c r="F1430" s="750"/>
      <c r="G1430" s="750"/>
      <c r="H1430" s="750"/>
      <c r="I1430" s="750"/>
      <c r="J1430" s="871"/>
      <c r="K1430" s="801"/>
      <c r="L1430" s="899"/>
      <c r="M1430" s="650"/>
      <c r="N1430" s="917"/>
      <c r="O1430" s="646"/>
      <c r="P1430" s="933"/>
      <c r="Q1430" s="646"/>
      <c r="R1430" s="942"/>
      <c r="S1430" s="650"/>
      <c r="T1430" s="934"/>
      <c r="U1430" s="650"/>
      <c r="V1430" s="930"/>
    </row>
    <row r="1431" spans="1:22" s="624" customFormat="1" ht="16.5" customHeight="1">
      <c r="A1431" s="750"/>
      <c r="B1431" s="750"/>
      <c r="C1431" s="750"/>
      <c r="D1431" s="750"/>
      <c r="E1431" s="750"/>
      <c r="F1431" s="750"/>
      <c r="G1431" s="750"/>
      <c r="H1431" s="750"/>
      <c r="I1431" s="750"/>
      <c r="J1431" s="871"/>
      <c r="K1431" s="801"/>
      <c r="L1431" s="899"/>
      <c r="M1431" s="650"/>
      <c r="N1431" s="917"/>
      <c r="O1431" s="646"/>
      <c r="P1431" s="933"/>
      <c r="Q1431" s="646"/>
      <c r="R1431" s="942"/>
      <c r="S1431" s="650"/>
      <c r="T1431" s="934"/>
      <c r="U1431" s="650"/>
      <c r="V1431" s="930"/>
    </row>
    <row r="1432" spans="1:22" s="624" customFormat="1" ht="16.5" customHeight="1">
      <c r="A1432" s="750"/>
      <c r="B1432" s="750"/>
      <c r="C1432" s="750"/>
      <c r="D1432" s="750"/>
      <c r="E1432" s="750"/>
      <c r="F1432" s="750"/>
      <c r="G1432" s="750"/>
      <c r="H1432" s="750"/>
      <c r="I1432" s="750"/>
      <c r="J1432" s="871"/>
      <c r="K1432" s="801"/>
      <c r="L1432" s="899"/>
      <c r="M1432" s="650"/>
      <c r="N1432" s="917"/>
      <c r="O1432" s="646"/>
      <c r="P1432" s="933"/>
      <c r="Q1432" s="646"/>
      <c r="R1432" s="942"/>
      <c r="S1432" s="650"/>
      <c r="T1432" s="934"/>
      <c r="U1432" s="650"/>
      <c r="V1432" s="930"/>
    </row>
    <row r="1433" spans="1:22" s="624" customFormat="1" ht="16.5" customHeight="1">
      <c r="A1433" s="750"/>
      <c r="B1433" s="750"/>
      <c r="C1433" s="750"/>
      <c r="D1433" s="750"/>
      <c r="E1433" s="750"/>
      <c r="F1433" s="750"/>
      <c r="G1433" s="750"/>
      <c r="H1433" s="750"/>
      <c r="I1433" s="750"/>
      <c r="J1433" s="871"/>
      <c r="K1433" s="801"/>
      <c r="L1433" s="899"/>
      <c r="M1433" s="650"/>
      <c r="N1433" s="917"/>
      <c r="O1433" s="646"/>
      <c r="P1433" s="933"/>
      <c r="Q1433" s="646"/>
      <c r="R1433" s="942"/>
      <c r="S1433" s="650"/>
      <c r="T1433" s="934"/>
      <c r="U1433" s="650"/>
      <c r="V1433" s="930"/>
    </row>
    <row r="1434" spans="1:22" s="624" customFormat="1" ht="16.5" customHeight="1">
      <c r="A1434" s="750"/>
      <c r="B1434" s="750"/>
      <c r="C1434" s="750"/>
      <c r="D1434" s="750"/>
      <c r="E1434" s="750"/>
      <c r="F1434" s="750"/>
      <c r="G1434" s="750"/>
      <c r="H1434" s="750"/>
      <c r="I1434" s="750"/>
      <c r="J1434" s="871"/>
      <c r="K1434" s="801"/>
      <c r="L1434" s="899"/>
      <c r="M1434" s="650"/>
      <c r="N1434" s="917"/>
      <c r="O1434" s="646"/>
      <c r="P1434" s="933"/>
      <c r="Q1434" s="646"/>
      <c r="R1434" s="942"/>
      <c r="S1434" s="650"/>
      <c r="T1434" s="934"/>
      <c r="U1434" s="650"/>
      <c r="V1434" s="930"/>
    </row>
    <row r="1435" spans="1:22" s="624" customFormat="1" ht="16.5" customHeight="1">
      <c r="A1435" s="750"/>
      <c r="B1435" s="750"/>
      <c r="C1435" s="750"/>
      <c r="D1435" s="750"/>
      <c r="E1435" s="750"/>
      <c r="F1435" s="750"/>
      <c r="G1435" s="750"/>
      <c r="H1435" s="750"/>
      <c r="I1435" s="750"/>
      <c r="J1435" s="871"/>
      <c r="K1435" s="801"/>
      <c r="L1435" s="899"/>
      <c r="M1435" s="650"/>
      <c r="N1435" s="917"/>
      <c r="O1435" s="646"/>
      <c r="P1435" s="933"/>
      <c r="Q1435" s="646"/>
      <c r="R1435" s="942"/>
      <c r="S1435" s="650"/>
      <c r="T1435" s="934"/>
      <c r="U1435" s="650"/>
      <c r="V1435" s="930"/>
    </row>
    <row r="1436" spans="1:22" s="624" customFormat="1" ht="16.5" customHeight="1">
      <c r="A1436" s="750"/>
      <c r="B1436" s="750"/>
      <c r="C1436" s="750"/>
      <c r="D1436" s="750"/>
      <c r="E1436" s="750"/>
      <c r="F1436" s="750"/>
      <c r="G1436" s="750"/>
      <c r="H1436" s="750"/>
      <c r="I1436" s="750"/>
      <c r="J1436" s="871"/>
      <c r="K1436" s="801"/>
      <c r="L1436" s="899"/>
      <c r="M1436" s="650"/>
      <c r="N1436" s="917"/>
      <c r="O1436" s="646"/>
      <c r="P1436" s="933"/>
      <c r="Q1436" s="646"/>
      <c r="R1436" s="942"/>
      <c r="S1436" s="650"/>
      <c r="T1436" s="934"/>
      <c r="U1436" s="650"/>
      <c r="V1436" s="930"/>
    </row>
    <row r="1437" spans="1:22" s="624" customFormat="1" ht="16.5" customHeight="1">
      <c r="A1437" s="750"/>
      <c r="B1437" s="750"/>
      <c r="C1437" s="750"/>
      <c r="D1437" s="750"/>
      <c r="E1437" s="750"/>
      <c r="F1437" s="750"/>
      <c r="G1437" s="750"/>
      <c r="H1437" s="750"/>
      <c r="I1437" s="750"/>
      <c r="J1437" s="871"/>
      <c r="K1437" s="801"/>
      <c r="L1437" s="899"/>
      <c r="M1437" s="650"/>
      <c r="N1437" s="917"/>
      <c r="O1437" s="646"/>
      <c r="P1437" s="933"/>
      <c r="Q1437" s="646"/>
      <c r="R1437" s="942"/>
      <c r="S1437" s="650"/>
      <c r="T1437" s="934"/>
      <c r="U1437" s="650"/>
      <c r="V1437" s="930"/>
    </row>
    <row r="1438" spans="1:22" s="624" customFormat="1" ht="16.5" customHeight="1">
      <c r="A1438" s="750"/>
      <c r="B1438" s="750"/>
      <c r="C1438" s="750"/>
      <c r="D1438" s="750"/>
      <c r="E1438" s="750"/>
      <c r="F1438" s="750"/>
      <c r="G1438" s="750"/>
      <c r="H1438" s="750"/>
      <c r="I1438" s="750"/>
      <c r="J1438" s="871"/>
      <c r="K1438" s="801"/>
      <c r="L1438" s="899"/>
      <c r="M1438" s="650"/>
      <c r="N1438" s="917"/>
      <c r="O1438" s="646"/>
      <c r="P1438" s="933"/>
      <c r="Q1438" s="646"/>
      <c r="R1438" s="942"/>
      <c r="S1438" s="650"/>
      <c r="T1438" s="934"/>
      <c r="U1438" s="650"/>
      <c r="V1438" s="930"/>
    </row>
    <row r="1439" spans="1:22" s="624" customFormat="1" ht="16.5" customHeight="1">
      <c r="A1439" s="750"/>
      <c r="B1439" s="750"/>
      <c r="C1439" s="750"/>
      <c r="D1439" s="750"/>
      <c r="E1439" s="750"/>
      <c r="F1439" s="750"/>
      <c r="G1439" s="750"/>
      <c r="H1439" s="750"/>
      <c r="I1439" s="750"/>
      <c r="J1439" s="871"/>
      <c r="K1439" s="801"/>
      <c r="L1439" s="899"/>
      <c r="M1439" s="650"/>
      <c r="N1439" s="917"/>
      <c r="O1439" s="646"/>
      <c r="P1439" s="933"/>
      <c r="Q1439" s="646"/>
      <c r="R1439" s="942"/>
      <c r="S1439" s="650"/>
      <c r="T1439" s="934"/>
      <c r="U1439" s="650"/>
      <c r="V1439" s="930"/>
    </row>
    <row r="1440" spans="1:22" s="624" customFormat="1" ht="16.5" customHeight="1">
      <c r="A1440" s="750"/>
      <c r="B1440" s="750"/>
      <c r="C1440" s="750"/>
      <c r="D1440" s="750"/>
      <c r="E1440" s="750"/>
      <c r="F1440" s="750"/>
      <c r="G1440" s="750"/>
      <c r="H1440" s="750"/>
      <c r="I1440" s="750"/>
      <c r="J1440" s="871"/>
      <c r="K1440" s="801"/>
      <c r="L1440" s="899"/>
      <c r="M1440" s="650"/>
      <c r="N1440" s="917"/>
      <c r="O1440" s="646"/>
      <c r="P1440" s="933"/>
      <c r="Q1440" s="646"/>
      <c r="R1440" s="942"/>
      <c r="S1440" s="650"/>
      <c r="T1440" s="934"/>
      <c r="U1440" s="650"/>
      <c r="V1440" s="930"/>
    </row>
    <row r="1441" spans="1:22" s="624" customFormat="1" ht="16.5" customHeight="1">
      <c r="A1441" s="750"/>
      <c r="B1441" s="750"/>
      <c r="C1441" s="750"/>
      <c r="D1441" s="750"/>
      <c r="E1441" s="750"/>
      <c r="F1441" s="750"/>
      <c r="G1441" s="750"/>
      <c r="H1441" s="750"/>
      <c r="I1441" s="750"/>
      <c r="J1441" s="871"/>
      <c r="K1441" s="801"/>
      <c r="L1441" s="899"/>
      <c r="M1441" s="650"/>
      <c r="N1441" s="917"/>
      <c r="O1441" s="646"/>
      <c r="P1441" s="933"/>
      <c r="Q1441" s="646"/>
      <c r="R1441" s="942"/>
      <c r="S1441" s="650"/>
      <c r="T1441" s="934"/>
      <c r="U1441" s="650"/>
      <c r="V1441" s="930"/>
    </row>
    <row r="1442" spans="1:22" s="624" customFormat="1" ht="16.5" customHeight="1">
      <c r="A1442" s="750"/>
      <c r="B1442" s="750"/>
      <c r="C1442" s="750"/>
      <c r="D1442" s="750"/>
      <c r="E1442" s="750"/>
      <c r="F1442" s="750"/>
      <c r="G1442" s="750"/>
      <c r="H1442" s="750"/>
      <c r="I1442" s="750"/>
      <c r="J1442" s="871"/>
      <c r="K1442" s="801"/>
      <c r="L1442" s="899"/>
      <c r="M1442" s="650"/>
      <c r="N1442" s="917"/>
      <c r="O1442" s="646"/>
      <c r="P1442" s="933"/>
      <c r="Q1442" s="646"/>
      <c r="R1442" s="942"/>
      <c r="S1442" s="650"/>
      <c r="T1442" s="934"/>
      <c r="U1442" s="650"/>
      <c r="V1442" s="930"/>
    </row>
    <row r="1443" spans="1:22" s="624" customFormat="1" ht="16.5" customHeight="1">
      <c r="A1443" s="750"/>
      <c r="B1443" s="750"/>
      <c r="C1443" s="750"/>
      <c r="D1443" s="750"/>
      <c r="E1443" s="750"/>
      <c r="F1443" s="750"/>
      <c r="G1443" s="750"/>
      <c r="H1443" s="750"/>
      <c r="I1443" s="750"/>
      <c r="J1443" s="871"/>
      <c r="K1443" s="801"/>
      <c r="L1443" s="899"/>
      <c r="M1443" s="650"/>
      <c r="N1443" s="917"/>
      <c r="O1443" s="646"/>
      <c r="P1443" s="933"/>
      <c r="Q1443" s="646"/>
      <c r="R1443" s="942"/>
      <c r="S1443" s="650"/>
      <c r="T1443" s="934"/>
      <c r="U1443" s="650"/>
      <c r="V1443" s="930"/>
    </row>
    <row r="1444" spans="1:22" s="624" customFormat="1" ht="16.5" customHeight="1">
      <c r="A1444" s="750"/>
      <c r="B1444" s="750"/>
      <c r="C1444" s="750"/>
      <c r="D1444" s="750"/>
      <c r="E1444" s="750"/>
      <c r="F1444" s="750"/>
      <c r="G1444" s="750"/>
      <c r="H1444" s="750"/>
      <c r="I1444" s="750"/>
      <c r="J1444" s="871"/>
      <c r="K1444" s="801"/>
      <c r="L1444" s="899"/>
      <c r="M1444" s="650"/>
      <c r="N1444" s="917"/>
      <c r="O1444" s="646"/>
      <c r="P1444" s="933"/>
      <c r="Q1444" s="646"/>
      <c r="R1444" s="942"/>
      <c r="S1444" s="650"/>
      <c r="T1444" s="934"/>
      <c r="U1444" s="650"/>
      <c r="V1444" s="930"/>
    </row>
    <row r="1445" spans="1:22" s="624" customFormat="1" ht="16.5" customHeight="1">
      <c r="A1445" s="750"/>
      <c r="B1445" s="750"/>
      <c r="C1445" s="750"/>
      <c r="D1445" s="750"/>
      <c r="E1445" s="750"/>
      <c r="F1445" s="750"/>
      <c r="G1445" s="750"/>
      <c r="H1445" s="750"/>
      <c r="I1445" s="750"/>
      <c r="J1445" s="871"/>
      <c r="K1445" s="801"/>
      <c r="L1445" s="899"/>
      <c r="M1445" s="650"/>
      <c r="N1445" s="917"/>
      <c r="O1445" s="646"/>
      <c r="P1445" s="933"/>
      <c r="Q1445" s="646"/>
      <c r="R1445" s="942"/>
      <c r="S1445" s="650"/>
      <c r="T1445" s="934"/>
      <c r="U1445" s="650"/>
      <c r="V1445" s="930"/>
    </row>
    <row r="1446" spans="1:22" s="624" customFormat="1" ht="16.5" customHeight="1">
      <c r="A1446" s="750"/>
      <c r="B1446" s="750"/>
      <c r="C1446" s="750"/>
      <c r="D1446" s="750"/>
      <c r="E1446" s="750"/>
      <c r="F1446" s="750"/>
      <c r="G1446" s="750"/>
      <c r="H1446" s="750"/>
      <c r="I1446" s="750"/>
      <c r="J1446" s="871"/>
      <c r="K1446" s="801"/>
      <c r="L1446" s="899"/>
      <c r="M1446" s="650"/>
      <c r="N1446" s="917"/>
      <c r="O1446" s="646"/>
      <c r="P1446" s="933"/>
      <c r="Q1446" s="646"/>
      <c r="R1446" s="942"/>
      <c r="S1446" s="650"/>
      <c r="T1446" s="934"/>
      <c r="U1446" s="650"/>
      <c r="V1446" s="930"/>
    </row>
    <row r="1447" spans="1:22" s="624" customFormat="1" ht="16.5" customHeight="1">
      <c r="A1447" s="750"/>
      <c r="B1447" s="750"/>
      <c r="C1447" s="750"/>
      <c r="D1447" s="750"/>
      <c r="E1447" s="750"/>
      <c r="F1447" s="750"/>
      <c r="G1447" s="750"/>
      <c r="H1447" s="750"/>
      <c r="I1447" s="750"/>
      <c r="J1447" s="871"/>
      <c r="K1447" s="801"/>
      <c r="L1447" s="899"/>
      <c r="M1447" s="650"/>
      <c r="N1447" s="917"/>
      <c r="O1447" s="646"/>
      <c r="P1447" s="933"/>
      <c r="Q1447" s="646"/>
      <c r="R1447" s="942"/>
      <c r="S1447" s="650"/>
      <c r="T1447" s="934"/>
      <c r="U1447" s="650"/>
      <c r="V1447" s="930"/>
    </row>
    <row r="1448" spans="1:22" s="624" customFormat="1" ht="16.5" customHeight="1">
      <c r="A1448" s="750"/>
      <c r="B1448" s="750"/>
      <c r="C1448" s="750"/>
      <c r="D1448" s="750"/>
      <c r="E1448" s="750"/>
      <c r="F1448" s="750"/>
      <c r="G1448" s="750"/>
      <c r="H1448" s="750"/>
      <c r="I1448" s="750"/>
      <c r="J1448" s="871"/>
      <c r="K1448" s="801"/>
      <c r="L1448" s="899"/>
      <c r="M1448" s="650"/>
      <c r="N1448" s="917"/>
      <c r="O1448" s="646"/>
      <c r="P1448" s="933"/>
      <c r="Q1448" s="646"/>
      <c r="R1448" s="942"/>
      <c r="S1448" s="650"/>
      <c r="T1448" s="934"/>
      <c r="U1448" s="650"/>
      <c r="V1448" s="930"/>
    </row>
    <row r="1449" spans="1:22" s="624" customFormat="1" ht="16.5" customHeight="1">
      <c r="A1449" s="750"/>
      <c r="B1449" s="750"/>
      <c r="C1449" s="750"/>
      <c r="D1449" s="750"/>
      <c r="E1449" s="750"/>
      <c r="F1449" s="750"/>
      <c r="G1449" s="750"/>
      <c r="H1449" s="750"/>
      <c r="I1449" s="750"/>
      <c r="J1449" s="871"/>
      <c r="K1449" s="801"/>
      <c r="L1449" s="899"/>
      <c r="M1449" s="650"/>
      <c r="N1449" s="917"/>
      <c r="O1449" s="646"/>
      <c r="P1449" s="933"/>
      <c r="Q1449" s="646"/>
      <c r="R1449" s="942"/>
      <c r="S1449" s="650"/>
      <c r="T1449" s="934"/>
      <c r="U1449" s="650"/>
      <c r="V1449" s="930"/>
    </row>
    <row r="1450" spans="1:22" s="624" customFormat="1" ht="16.5" customHeight="1">
      <c r="A1450" s="750"/>
      <c r="B1450" s="750"/>
      <c r="C1450" s="750"/>
      <c r="D1450" s="750"/>
      <c r="E1450" s="750"/>
      <c r="F1450" s="750"/>
      <c r="G1450" s="750"/>
      <c r="H1450" s="750"/>
      <c r="I1450" s="750"/>
      <c r="J1450" s="871"/>
      <c r="K1450" s="801"/>
      <c r="L1450" s="899"/>
      <c r="M1450" s="650"/>
      <c r="N1450" s="917"/>
      <c r="O1450" s="646"/>
      <c r="P1450" s="933"/>
      <c r="Q1450" s="646"/>
      <c r="R1450" s="942"/>
      <c r="S1450" s="650"/>
      <c r="T1450" s="934"/>
      <c r="U1450" s="650"/>
      <c r="V1450" s="930"/>
    </row>
    <row r="1451" spans="1:22" s="624" customFormat="1" ht="16.5" customHeight="1">
      <c r="A1451" s="750"/>
      <c r="B1451" s="750"/>
      <c r="C1451" s="750"/>
      <c r="D1451" s="750"/>
      <c r="E1451" s="750"/>
      <c r="F1451" s="750"/>
      <c r="G1451" s="750"/>
      <c r="H1451" s="750"/>
      <c r="I1451" s="750"/>
      <c r="J1451" s="871"/>
      <c r="K1451" s="801"/>
      <c r="L1451" s="899"/>
      <c r="M1451" s="650"/>
      <c r="N1451" s="917"/>
      <c r="O1451" s="646"/>
      <c r="P1451" s="933"/>
      <c r="Q1451" s="646"/>
      <c r="R1451" s="942"/>
      <c r="S1451" s="650"/>
      <c r="T1451" s="934"/>
      <c r="U1451" s="650"/>
      <c r="V1451" s="930"/>
    </row>
    <row r="1452" spans="1:22" s="624" customFormat="1" ht="16.5" customHeight="1">
      <c r="A1452" s="750"/>
      <c r="B1452" s="750"/>
      <c r="C1452" s="750"/>
      <c r="D1452" s="750"/>
      <c r="E1452" s="750"/>
      <c r="F1452" s="750"/>
      <c r="G1452" s="750"/>
      <c r="H1452" s="750"/>
      <c r="I1452" s="750"/>
      <c r="J1452" s="871"/>
      <c r="K1452" s="801"/>
      <c r="L1452" s="899"/>
      <c r="M1452" s="650"/>
      <c r="N1452" s="917"/>
      <c r="O1452" s="646"/>
      <c r="P1452" s="933"/>
      <c r="Q1452" s="646"/>
      <c r="R1452" s="942"/>
      <c r="S1452" s="650"/>
      <c r="T1452" s="934"/>
      <c r="U1452" s="650"/>
      <c r="V1452" s="930"/>
    </row>
    <row r="1453" spans="1:22" s="624" customFormat="1" ht="16.5" customHeight="1">
      <c r="A1453" s="750"/>
      <c r="B1453" s="750"/>
      <c r="C1453" s="750"/>
      <c r="D1453" s="750"/>
      <c r="E1453" s="750"/>
      <c r="F1453" s="750"/>
      <c r="G1453" s="750"/>
      <c r="H1453" s="750"/>
      <c r="I1453" s="750"/>
      <c r="J1453" s="871"/>
      <c r="K1453" s="801"/>
      <c r="L1453" s="899"/>
      <c r="M1453" s="650"/>
      <c r="N1453" s="917"/>
      <c r="O1453" s="646"/>
      <c r="P1453" s="933"/>
      <c r="Q1453" s="646"/>
      <c r="R1453" s="942"/>
      <c r="S1453" s="650"/>
      <c r="T1453" s="934"/>
      <c r="U1453" s="650"/>
      <c r="V1453" s="930"/>
    </row>
    <row r="1454" spans="1:22" s="624" customFormat="1" ht="16.5" customHeight="1">
      <c r="A1454" s="750"/>
      <c r="B1454" s="750"/>
      <c r="C1454" s="750"/>
      <c r="D1454" s="750"/>
      <c r="E1454" s="750"/>
      <c r="F1454" s="750"/>
      <c r="G1454" s="750"/>
      <c r="H1454" s="750"/>
      <c r="I1454" s="750"/>
      <c r="J1454" s="871"/>
      <c r="K1454" s="801"/>
      <c r="L1454" s="899"/>
      <c r="M1454" s="650"/>
      <c r="N1454" s="917"/>
      <c r="O1454" s="646"/>
      <c r="P1454" s="933"/>
      <c r="Q1454" s="646"/>
      <c r="R1454" s="942"/>
      <c r="S1454" s="650"/>
      <c r="T1454" s="934"/>
      <c r="U1454" s="650"/>
      <c r="V1454" s="930"/>
    </row>
    <row r="1455" spans="1:22" s="624" customFormat="1" ht="16.5" customHeight="1">
      <c r="A1455" s="750"/>
      <c r="B1455" s="750"/>
      <c r="C1455" s="750"/>
      <c r="D1455" s="750"/>
      <c r="E1455" s="750"/>
      <c r="F1455" s="750"/>
      <c r="G1455" s="750"/>
      <c r="H1455" s="750"/>
      <c r="I1455" s="750"/>
      <c r="J1455" s="871"/>
      <c r="K1455" s="801"/>
      <c r="L1455" s="899"/>
      <c r="M1455" s="650"/>
      <c r="N1455" s="917"/>
      <c r="O1455" s="646"/>
      <c r="P1455" s="933"/>
      <c r="Q1455" s="646"/>
      <c r="R1455" s="942"/>
      <c r="S1455" s="650"/>
      <c r="T1455" s="934"/>
      <c r="U1455" s="650"/>
      <c r="V1455" s="930"/>
    </row>
    <row r="1456" spans="1:22" s="624" customFormat="1" ht="16.5" customHeight="1">
      <c r="A1456" s="750"/>
      <c r="B1456" s="750"/>
      <c r="C1456" s="750"/>
      <c r="D1456" s="750"/>
      <c r="E1456" s="750"/>
      <c r="F1456" s="750"/>
      <c r="G1456" s="750"/>
      <c r="H1456" s="750"/>
      <c r="I1456" s="750"/>
      <c r="J1456" s="871"/>
      <c r="K1456" s="801"/>
      <c r="L1456" s="899"/>
      <c r="M1456" s="650"/>
      <c r="N1456" s="917"/>
      <c r="O1456" s="646"/>
      <c r="P1456" s="933"/>
      <c r="Q1456" s="646"/>
      <c r="R1456" s="942"/>
      <c r="S1456" s="650"/>
      <c r="T1456" s="934"/>
      <c r="U1456" s="650"/>
      <c r="V1456" s="930"/>
    </row>
    <row r="1457" spans="1:22" s="624" customFormat="1" ht="16.5" customHeight="1">
      <c r="A1457" s="750"/>
      <c r="B1457" s="750"/>
      <c r="C1457" s="750"/>
      <c r="D1457" s="750"/>
      <c r="E1457" s="750"/>
      <c r="F1457" s="750"/>
      <c r="G1457" s="750"/>
      <c r="H1457" s="750"/>
      <c r="I1457" s="750"/>
      <c r="J1457" s="871"/>
      <c r="K1457" s="801"/>
      <c r="L1457" s="899"/>
      <c r="M1457" s="650"/>
      <c r="N1457" s="917"/>
      <c r="O1457" s="646"/>
      <c r="P1457" s="933"/>
      <c r="Q1457" s="646"/>
      <c r="R1457" s="942"/>
      <c r="S1457" s="650"/>
      <c r="T1457" s="934"/>
      <c r="U1457" s="650"/>
      <c r="V1457" s="930"/>
    </row>
    <row r="1458" spans="1:22" s="624" customFormat="1" ht="16.5" customHeight="1">
      <c r="A1458" s="750"/>
      <c r="B1458" s="750"/>
      <c r="C1458" s="750"/>
      <c r="D1458" s="750"/>
      <c r="E1458" s="750"/>
      <c r="F1458" s="750"/>
      <c r="G1458" s="750"/>
      <c r="H1458" s="750"/>
      <c r="I1458" s="750"/>
      <c r="J1458" s="871"/>
      <c r="K1458" s="801"/>
      <c r="L1458" s="899"/>
      <c r="M1458" s="650"/>
      <c r="N1458" s="917"/>
      <c r="O1458" s="646"/>
      <c r="P1458" s="933"/>
      <c r="Q1458" s="646"/>
      <c r="R1458" s="942"/>
      <c r="S1458" s="650"/>
      <c r="T1458" s="934"/>
      <c r="U1458" s="650"/>
      <c r="V1458" s="930"/>
    </row>
    <row r="1459" spans="1:22" s="624" customFormat="1" ht="16.5" customHeight="1">
      <c r="A1459" s="750"/>
      <c r="B1459" s="750"/>
      <c r="C1459" s="750"/>
      <c r="D1459" s="750"/>
      <c r="E1459" s="750"/>
      <c r="F1459" s="750"/>
      <c r="G1459" s="750"/>
      <c r="H1459" s="750"/>
      <c r="I1459" s="750"/>
      <c r="J1459" s="871"/>
      <c r="K1459" s="801"/>
      <c r="L1459" s="899"/>
      <c r="M1459" s="650"/>
      <c r="N1459" s="917"/>
      <c r="O1459" s="646"/>
      <c r="P1459" s="933"/>
      <c r="Q1459" s="646"/>
      <c r="R1459" s="942"/>
      <c r="S1459" s="650"/>
      <c r="T1459" s="934"/>
      <c r="U1459" s="650"/>
      <c r="V1459" s="930"/>
    </row>
    <row r="1460" spans="1:22" s="624" customFormat="1" ht="16.5" customHeight="1">
      <c r="A1460" s="750"/>
      <c r="B1460" s="750"/>
      <c r="C1460" s="750"/>
      <c r="D1460" s="750"/>
      <c r="E1460" s="750"/>
      <c r="F1460" s="750"/>
      <c r="G1460" s="750"/>
      <c r="H1460" s="750"/>
      <c r="I1460" s="750"/>
      <c r="J1460" s="871"/>
      <c r="K1460" s="801"/>
      <c r="L1460" s="899"/>
      <c r="M1460" s="650"/>
      <c r="N1460" s="917"/>
      <c r="O1460" s="646"/>
      <c r="P1460" s="933"/>
      <c r="Q1460" s="646"/>
      <c r="R1460" s="942"/>
      <c r="S1460" s="650"/>
      <c r="T1460" s="934"/>
      <c r="U1460" s="650"/>
      <c r="V1460" s="930"/>
    </row>
    <row r="1461" spans="1:22" s="624" customFormat="1" ht="16.5" customHeight="1">
      <c r="A1461" s="750"/>
      <c r="B1461" s="750"/>
      <c r="C1461" s="750"/>
      <c r="D1461" s="750"/>
      <c r="E1461" s="750"/>
      <c r="F1461" s="750"/>
      <c r="G1461" s="750"/>
      <c r="H1461" s="750"/>
      <c r="I1461" s="750"/>
      <c r="J1461" s="871"/>
      <c r="K1461" s="801"/>
      <c r="L1461" s="899"/>
      <c r="M1461" s="650"/>
      <c r="N1461" s="917"/>
      <c r="O1461" s="646"/>
      <c r="P1461" s="933"/>
      <c r="Q1461" s="646"/>
      <c r="R1461" s="942"/>
      <c r="S1461" s="650"/>
      <c r="T1461" s="934"/>
      <c r="U1461" s="650"/>
      <c r="V1461" s="930"/>
    </row>
    <row r="1462" spans="1:22" s="624" customFormat="1" ht="16.5" customHeight="1">
      <c r="A1462" s="750"/>
      <c r="B1462" s="750"/>
      <c r="C1462" s="750"/>
      <c r="D1462" s="750"/>
      <c r="E1462" s="750"/>
      <c r="F1462" s="750"/>
      <c r="G1462" s="750"/>
      <c r="H1462" s="750"/>
      <c r="I1462" s="750"/>
      <c r="J1462" s="871"/>
      <c r="K1462" s="801"/>
      <c r="L1462" s="899"/>
      <c r="M1462" s="650"/>
      <c r="N1462" s="917"/>
      <c r="O1462" s="646"/>
      <c r="P1462" s="933"/>
      <c r="Q1462" s="646"/>
      <c r="R1462" s="942"/>
      <c r="S1462" s="650"/>
      <c r="T1462" s="934"/>
      <c r="U1462" s="650"/>
      <c r="V1462" s="930"/>
    </row>
    <row r="1463" spans="1:22" s="624" customFormat="1" ht="16.5" customHeight="1">
      <c r="A1463" s="750"/>
      <c r="B1463" s="750"/>
      <c r="C1463" s="750"/>
      <c r="D1463" s="750"/>
      <c r="E1463" s="750"/>
      <c r="F1463" s="750"/>
      <c r="G1463" s="750"/>
      <c r="H1463" s="750"/>
      <c r="I1463" s="750"/>
      <c r="J1463" s="871"/>
      <c r="K1463" s="801"/>
      <c r="L1463" s="899"/>
      <c r="M1463" s="650"/>
      <c r="N1463" s="917"/>
      <c r="O1463" s="646"/>
      <c r="P1463" s="933"/>
      <c r="Q1463" s="646"/>
      <c r="R1463" s="942"/>
      <c r="S1463" s="650"/>
      <c r="T1463" s="934"/>
      <c r="U1463" s="650"/>
      <c r="V1463" s="930"/>
    </row>
    <row r="1464" spans="1:22" s="624" customFormat="1" ht="16.5" customHeight="1">
      <c r="A1464" s="750"/>
      <c r="B1464" s="750"/>
      <c r="C1464" s="750"/>
      <c r="D1464" s="750"/>
      <c r="E1464" s="750"/>
      <c r="F1464" s="750"/>
      <c r="G1464" s="750"/>
      <c r="H1464" s="750"/>
      <c r="I1464" s="750"/>
      <c r="J1464" s="871"/>
      <c r="K1464" s="801"/>
      <c r="L1464" s="899"/>
      <c r="M1464" s="650"/>
      <c r="N1464" s="917"/>
      <c r="O1464" s="646"/>
      <c r="P1464" s="933"/>
      <c r="Q1464" s="646"/>
      <c r="R1464" s="942"/>
      <c r="S1464" s="650"/>
      <c r="T1464" s="934"/>
      <c r="U1464" s="650"/>
      <c r="V1464" s="930"/>
    </row>
    <row r="1465" spans="1:22" s="624" customFormat="1" ht="16.5" customHeight="1">
      <c r="A1465" s="750"/>
      <c r="B1465" s="750"/>
      <c r="C1465" s="750"/>
      <c r="D1465" s="750"/>
      <c r="E1465" s="750"/>
      <c r="F1465" s="750"/>
      <c r="G1465" s="750"/>
      <c r="H1465" s="750"/>
      <c r="I1465" s="750"/>
      <c r="J1465" s="871"/>
      <c r="K1465" s="801"/>
      <c r="L1465" s="899"/>
      <c r="M1465" s="650"/>
      <c r="N1465" s="917"/>
      <c r="O1465" s="646"/>
      <c r="P1465" s="933"/>
      <c r="Q1465" s="646"/>
      <c r="R1465" s="942"/>
      <c r="S1465" s="650"/>
      <c r="T1465" s="934"/>
      <c r="U1465" s="650"/>
      <c r="V1465" s="930"/>
    </row>
    <row r="1466" spans="1:22" s="624" customFormat="1" ht="16.5" customHeight="1">
      <c r="A1466" s="750"/>
      <c r="B1466" s="750"/>
      <c r="C1466" s="750"/>
      <c r="D1466" s="750"/>
      <c r="E1466" s="750"/>
      <c r="F1466" s="750"/>
      <c r="G1466" s="750"/>
      <c r="H1466" s="750"/>
      <c r="I1466" s="750"/>
      <c r="J1466" s="871"/>
      <c r="K1466" s="801"/>
      <c r="L1466" s="899"/>
      <c r="M1466" s="650"/>
      <c r="N1466" s="917"/>
      <c r="O1466" s="646"/>
      <c r="P1466" s="933"/>
      <c r="Q1466" s="646"/>
      <c r="R1466" s="942"/>
      <c r="S1466" s="650"/>
      <c r="T1466" s="934"/>
      <c r="U1466" s="650"/>
      <c r="V1466" s="930"/>
    </row>
    <row r="1467" spans="1:22" s="624" customFormat="1" ht="16.5" customHeight="1">
      <c r="A1467" s="750"/>
      <c r="B1467" s="750"/>
      <c r="C1467" s="750"/>
      <c r="D1467" s="750"/>
      <c r="E1467" s="750"/>
      <c r="F1467" s="750"/>
      <c r="G1467" s="750"/>
      <c r="H1467" s="750"/>
      <c r="I1467" s="750"/>
      <c r="J1467" s="871"/>
      <c r="K1467" s="801"/>
      <c r="L1467" s="899"/>
      <c r="M1467" s="650"/>
      <c r="N1467" s="917"/>
      <c r="O1467" s="646"/>
      <c r="P1467" s="933"/>
      <c r="Q1467" s="646"/>
      <c r="R1467" s="942"/>
      <c r="S1467" s="650"/>
      <c r="T1467" s="934"/>
      <c r="U1467" s="650"/>
      <c r="V1467" s="930"/>
    </row>
    <row r="1468" spans="1:22" s="624" customFormat="1" ht="16.5" customHeight="1">
      <c r="A1468" s="750"/>
      <c r="B1468" s="750"/>
      <c r="C1468" s="750"/>
      <c r="D1468" s="750"/>
      <c r="E1468" s="750"/>
      <c r="F1468" s="750"/>
      <c r="G1468" s="750"/>
      <c r="H1468" s="750"/>
      <c r="I1468" s="750"/>
      <c r="J1468" s="871"/>
      <c r="K1468" s="801"/>
      <c r="L1468" s="899"/>
      <c r="M1468" s="650"/>
      <c r="N1468" s="917"/>
      <c r="O1468" s="646"/>
      <c r="P1468" s="933"/>
      <c r="Q1468" s="646"/>
      <c r="R1468" s="942"/>
      <c r="S1468" s="650"/>
      <c r="T1468" s="934"/>
      <c r="U1468" s="650"/>
      <c r="V1468" s="930"/>
    </row>
    <row r="1469" spans="1:22" s="624" customFormat="1" ht="16.5" customHeight="1">
      <c r="A1469" s="750"/>
      <c r="B1469" s="750"/>
      <c r="C1469" s="750"/>
      <c r="D1469" s="750"/>
      <c r="E1469" s="750"/>
      <c r="F1469" s="750"/>
      <c r="G1469" s="750"/>
      <c r="H1469" s="750"/>
      <c r="I1469" s="750"/>
      <c r="J1469" s="871"/>
      <c r="K1469" s="801"/>
      <c r="L1469" s="899"/>
      <c r="M1469" s="650"/>
      <c r="N1469" s="917"/>
      <c r="O1469" s="646"/>
      <c r="P1469" s="933"/>
      <c r="Q1469" s="646"/>
      <c r="R1469" s="942"/>
      <c r="S1469" s="650"/>
      <c r="T1469" s="934"/>
      <c r="U1469" s="650"/>
      <c r="V1469" s="930"/>
    </row>
    <row r="1470" spans="1:22" s="624" customFormat="1" ht="16.5" customHeight="1">
      <c r="A1470" s="750"/>
      <c r="B1470" s="750"/>
      <c r="C1470" s="750"/>
      <c r="D1470" s="750"/>
      <c r="E1470" s="750"/>
      <c r="F1470" s="750"/>
      <c r="G1470" s="750"/>
      <c r="H1470" s="750"/>
      <c r="I1470" s="750"/>
      <c r="J1470" s="871"/>
      <c r="K1470" s="801"/>
      <c r="L1470" s="899"/>
      <c r="M1470" s="650"/>
      <c r="N1470" s="917"/>
      <c r="O1470" s="646"/>
      <c r="P1470" s="933"/>
      <c r="Q1470" s="646"/>
      <c r="R1470" s="942"/>
      <c r="S1470" s="650"/>
      <c r="T1470" s="934"/>
      <c r="U1470" s="650"/>
      <c r="V1470" s="930"/>
    </row>
    <row r="1471" spans="1:22" s="624" customFormat="1" ht="16.5" customHeight="1">
      <c r="A1471" s="750"/>
      <c r="B1471" s="750"/>
      <c r="C1471" s="750"/>
      <c r="D1471" s="750"/>
      <c r="E1471" s="750"/>
      <c r="F1471" s="750"/>
      <c r="G1471" s="750"/>
      <c r="H1471" s="750"/>
      <c r="I1471" s="750"/>
      <c r="J1471" s="871"/>
      <c r="K1471" s="801"/>
      <c r="L1471" s="899"/>
      <c r="M1471" s="650"/>
      <c r="N1471" s="917"/>
      <c r="O1471" s="646"/>
      <c r="P1471" s="933"/>
      <c r="Q1471" s="646"/>
      <c r="R1471" s="942"/>
      <c r="S1471" s="650"/>
      <c r="T1471" s="934"/>
      <c r="U1471" s="650"/>
      <c r="V1471" s="930"/>
    </row>
    <row r="1472" spans="1:22" s="624" customFormat="1" ht="16.5" customHeight="1">
      <c r="A1472" s="750"/>
      <c r="B1472" s="750"/>
      <c r="C1472" s="750"/>
      <c r="D1472" s="750"/>
      <c r="E1472" s="750"/>
      <c r="F1472" s="750"/>
      <c r="G1472" s="750"/>
      <c r="H1472" s="750"/>
      <c r="I1472" s="750"/>
      <c r="J1472" s="871"/>
      <c r="K1472" s="801"/>
      <c r="L1472" s="899"/>
      <c r="M1472" s="650"/>
      <c r="N1472" s="917"/>
      <c r="O1472" s="646"/>
      <c r="P1472" s="933"/>
      <c r="Q1472" s="646"/>
      <c r="R1472" s="942"/>
      <c r="S1472" s="650"/>
      <c r="T1472" s="934"/>
      <c r="U1472" s="650"/>
      <c r="V1472" s="930"/>
    </row>
    <row r="1473" spans="1:22" s="624" customFormat="1" ht="16.5" customHeight="1">
      <c r="A1473" s="750"/>
      <c r="B1473" s="750"/>
      <c r="C1473" s="750"/>
      <c r="D1473" s="750"/>
      <c r="E1473" s="750"/>
      <c r="F1473" s="750"/>
      <c r="G1473" s="750"/>
      <c r="H1473" s="750"/>
      <c r="I1473" s="750"/>
      <c r="J1473" s="871"/>
      <c r="K1473" s="801"/>
      <c r="L1473" s="899"/>
      <c r="M1473" s="650"/>
      <c r="N1473" s="917"/>
      <c r="O1473" s="646"/>
      <c r="P1473" s="933"/>
      <c r="Q1473" s="646"/>
      <c r="R1473" s="942"/>
      <c r="S1473" s="650"/>
      <c r="T1473" s="934"/>
      <c r="U1473" s="650"/>
      <c r="V1473" s="930"/>
    </row>
    <row r="1474" spans="1:22" s="624" customFormat="1" ht="16.5" customHeight="1">
      <c r="A1474" s="750"/>
      <c r="B1474" s="750"/>
      <c r="C1474" s="750"/>
      <c r="D1474" s="750"/>
      <c r="E1474" s="750"/>
      <c r="F1474" s="750"/>
      <c r="G1474" s="750"/>
      <c r="H1474" s="750"/>
      <c r="I1474" s="750"/>
      <c r="J1474" s="871"/>
      <c r="K1474" s="801"/>
      <c r="L1474" s="899"/>
      <c r="M1474" s="650"/>
      <c r="N1474" s="917"/>
      <c r="O1474" s="646"/>
      <c r="P1474" s="933"/>
      <c r="Q1474" s="646"/>
      <c r="R1474" s="942"/>
      <c r="S1474" s="650"/>
      <c r="T1474" s="934"/>
      <c r="U1474" s="650"/>
      <c r="V1474" s="930"/>
    </row>
    <row r="1475" spans="1:22" s="624" customFormat="1" ht="16.5" customHeight="1">
      <c r="A1475" s="750"/>
      <c r="B1475" s="750"/>
      <c r="C1475" s="750"/>
      <c r="D1475" s="750"/>
      <c r="E1475" s="750"/>
      <c r="F1475" s="750"/>
      <c r="G1475" s="750"/>
      <c r="H1475" s="750"/>
      <c r="I1475" s="750"/>
      <c r="J1475" s="871"/>
      <c r="K1475" s="801"/>
      <c r="L1475" s="899"/>
      <c r="M1475" s="650"/>
      <c r="N1475" s="917"/>
      <c r="O1475" s="646"/>
      <c r="P1475" s="933"/>
      <c r="Q1475" s="646"/>
      <c r="R1475" s="942"/>
      <c r="S1475" s="650"/>
      <c r="T1475" s="934"/>
      <c r="U1475" s="650"/>
      <c r="V1475" s="930"/>
    </row>
    <row r="1476" spans="1:22" s="624" customFormat="1" ht="16.5" customHeight="1">
      <c r="A1476" s="750"/>
      <c r="B1476" s="750"/>
      <c r="C1476" s="750"/>
      <c r="D1476" s="750"/>
      <c r="E1476" s="750"/>
      <c r="F1476" s="750"/>
      <c r="G1476" s="750"/>
      <c r="H1476" s="750"/>
      <c r="I1476" s="750"/>
      <c r="J1476" s="871"/>
      <c r="K1476" s="801"/>
      <c r="L1476" s="899"/>
      <c r="M1476" s="650"/>
      <c r="N1476" s="917"/>
      <c r="O1476" s="646"/>
      <c r="P1476" s="933"/>
      <c r="Q1476" s="646"/>
      <c r="R1476" s="942"/>
      <c r="S1476" s="650"/>
      <c r="T1476" s="934"/>
      <c r="U1476" s="650"/>
      <c r="V1476" s="930"/>
    </row>
    <row r="1477" spans="1:22" s="624" customFormat="1" ht="16.5" customHeight="1">
      <c r="A1477" s="750"/>
      <c r="B1477" s="750"/>
      <c r="C1477" s="750"/>
      <c r="D1477" s="750"/>
      <c r="E1477" s="750"/>
      <c r="F1477" s="750"/>
      <c r="G1477" s="750"/>
      <c r="H1477" s="750"/>
      <c r="I1477" s="750"/>
      <c r="J1477" s="871"/>
      <c r="K1477" s="801"/>
      <c r="L1477" s="899"/>
      <c r="M1477" s="650"/>
      <c r="N1477" s="917"/>
      <c r="O1477" s="646"/>
      <c r="P1477" s="933"/>
      <c r="Q1477" s="646"/>
      <c r="R1477" s="942"/>
      <c r="S1477" s="650"/>
      <c r="T1477" s="934"/>
      <c r="U1477" s="650"/>
      <c r="V1477" s="930"/>
    </row>
    <row r="1478" spans="1:22" s="624" customFormat="1" ht="16.5" customHeight="1">
      <c r="A1478" s="750"/>
      <c r="B1478" s="750"/>
      <c r="C1478" s="750"/>
      <c r="D1478" s="750"/>
      <c r="E1478" s="750"/>
      <c r="F1478" s="750"/>
      <c r="G1478" s="750"/>
      <c r="H1478" s="750"/>
      <c r="I1478" s="750"/>
      <c r="J1478" s="871"/>
      <c r="K1478" s="801"/>
      <c r="L1478" s="899"/>
      <c r="M1478" s="650"/>
      <c r="N1478" s="917"/>
      <c r="O1478" s="646"/>
      <c r="P1478" s="933"/>
      <c r="Q1478" s="646"/>
      <c r="R1478" s="942"/>
      <c r="S1478" s="650"/>
      <c r="T1478" s="934"/>
      <c r="U1478" s="650"/>
      <c r="V1478" s="930"/>
    </row>
    <row r="1479" spans="1:22" s="624" customFormat="1" ht="16.5" customHeight="1">
      <c r="A1479" s="750"/>
      <c r="B1479" s="750"/>
      <c r="C1479" s="750"/>
      <c r="D1479" s="750"/>
      <c r="E1479" s="750"/>
      <c r="F1479" s="750"/>
      <c r="G1479" s="750"/>
      <c r="H1479" s="750"/>
      <c r="I1479" s="750"/>
      <c r="J1479" s="871"/>
      <c r="K1479" s="801"/>
      <c r="L1479" s="899"/>
      <c r="M1479" s="650"/>
      <c r="N1479" s="917"/>
      <c r="O1479" s="646"/>
      <c r="P1479" s="933"/>
      <c r="Q1479" s="646"/>
      <c r="R1479" s="942"/>
      <c r="S1479" s="650"/>
      <c r="T1479" s="934"/>
      <c r="U1479" s="650"/>
      <c r="V1479" s="930"/>
    </row>
    <row r="1480" spans="1:22" s="624" customFormat="1" ht="16.5" customHeight="1">
      <c r="A1480" s="750"/>
      <c r="B1480" s="750"/>
      <c r="C1480" s="750"/>
      <c r="D1480" s="750"/>
      <c r="E1480" s="750"/>
      <c r="F1480" s="750"/>
      <c r="G1480" s="750"/>
      <c r="H1480" s="750"/>
      <c r="I1480" s="750"/>
      <c r="J1480" s="871"/>
      <c r="K1480" s="801"/>
      <c r="L1480" s="899"/>
      <c r="M1480" s="650"/>
      <c r="N1480" s="917"/>
      <c r="O1480" s="646"/>
      <c r="P1480" s="933"/>
      <c r="Q1480" s="646"/>
      <c r="R1480" s="942"/>
      <c r="S1480" s="650"/>
      <c r="T1480" s="934"/>
      <c r="U1480" s="650"/>
      <c r="V1480" s="930"/>
    </row>
    <row r="1481" spans="1:22" s="624" customFormat="1" ht="16.5" customHeight="1">
      <c r="A1481" s="750"/>
      <c r="B1481" s="750"/>
      <c r="C1481" s="750"/>
      <c r="D1481" s="750"/>
      <c r="E1481" s="750"/>
      <c r="F1481" s="750"/>
      <c r="G1481" s="750"/>
      <c r="H1481" s="750"/>
      <c r="I1481" s="750"/>
      <c r="J1481" s="871"/>
      <c r="K1481" s="801"/>
      <c r="L1481" s="899"/>
      <c r="M1481" s="650"/>
      <c r="N1481" s="917"/>
      <c r="O1481" s="646"/>
      <c r="P1481" s="933"/>
      <c r="Q1481" s="646"/>
      <c r="R1481" s="942"/>
      <c r="S1481" s="650"/>
      <c r="T1481" s="934"/>
      <c r="U1481" s="650"/>
      <c r="V1481" s="930"/>
    </row>
    <row r="1482" spans="1:22" s="624" customFormat="1" ht="16.5" customHeight="1">
      <c r="A1482" s="750"/>
      <c r="B1482" s="750"/>
      <c r="C1482" s="750"/>
      <c r="D1482" s="750"/>
      <c r="E1482" s="750"/>
      <c r="F1482" s="750"/>
      <c r="G1482" s="750"/>
      <c r="H1482" s="750"/>
      <c r="I1482" s="750"/>
      <c r="J1482" s="871"/>
      <c r="K1482" s="801"/>
      <c r="L1482" s="899"/>
      <c r="M1482" s="650"/>
      <c r="N1482" s="917"/>
      <c r="O1482" s="646"/>
      <c r="P1482" s="933"/>
      <c r="Q1482" s="646"/>
      <c r="R1482" s="942"/>
      <c r="S1482" s="650"/>
      <c r="T1482" s="934"/>
      <c r="U1482" s="650"/>
      <c r="V1482" s="930"/>
    </row>
    <row r="1483" spans="1:22" s="624" customFormat="1" ht="16.5" customHeight="1">
      <c r="A1483" s="750"/>
      <c r="B1483" s="750"/>
      <c r="C1483" s="750"/>
      <c r="D1483" s="750"/>
      <c r="E1483" s="750"/>
      <c r="F1483" s="750"/>
      <c r="G1483" s="750"/>
      <c r="H1483" s="750"/>
      <c r="I1483" s="750"/>
      <c r="J1483" s="871"/>
      <c r="K1483" s="801"/>
      <c r="L1483" s="899"/>
      <c r="M1483" s="650"/>
      <c r="N1483" s="917"/>
      <c r="O1483" s="646"/>
      <c r="P1483" s="933"/>
      <c r="Q1483" s="646"/>
      <c r="R1483" s="942"/>
      <c r="S1483" s="650"/>
      <c r="T1483" s="934"/>
      <c r="U1483" s="650"/>
      <c r="V1483" s="930"/>
    </row>
    <row r="1484" spans="1:22" s="624" customFormat="1" ht="16.5" customHeight="1">
      <c r="A1484" s="750"/>
      <c r="B1484" s="750"/>
      <c r="C1484" s="750"/>
      <c r="D1484" s="750"/>
      <c r="E1484" s="750"/>
      <c r="F1484" s="750"/>
      <c r="G1484" s="750"/>
      <c r="H1484" s="750"/>
      <c r="I1484" s="750"/>
      <c r="J1484" s="871"/>
      <c r="K1484" s="801"/>
      <c r="L1484" s="899"/>
      <c r="M1484" s="650"/>
      <c r="N1484" s="917"/>
      <c r="O1484" s="646"/>
      <c r="P1484" s="933"/>
      <c r="Q1484" s="646"/>
      <c r="R1484" s="942"/>
      <c r="S1484" s="650"/>
      <c r="T1484" s="934"/>
      <c r="U1484" s="650"/>
      <c r="V1484" s="930"/>
    </row>
    <row r="1485" spans="1:22" s="624" customFormat="1" ht="16.5" customHeight="1">
      <c r="A1485" s="750"/>
      <c r="B1485" s="750"/>
      <c r="C1485" s="750"/>
      <c r="D1485" s="750"/>
      <c r="E1485" s="750"/>
      <c r="F1485" s="750"/>
      <c r="G1485" s="750"/>
      <c r="H1485" s="750"/>
      <c r="I1485" s="750"/>
      <c r="J1485" s="871"/>
      <c r="K1485" s="801"/>
      <c r="L1485" s="899"/>
      <c r="M1485" s="650"/>
      <c r="N1485" s="917"/>
      <c r="O1485" s="646"/>
      <c r="P1485" s="933"/>
      <c r="Q1485" s="646"/>
      <c r="R1485" s="942"/>
      <c r="S1485" s="650"/>
      <c r="T1485" s="934"/>
      <c r="U1485" s="650"/>
      <c r="V1485" s="930"/>
    </row>
    <row r="1486" spans="1:22" s="624" customFormat="1" ht="16.5" customHeight="1">
      <c r="A1486" s="750"/>
      <c r="B1486" s="750"/>
      <c r="C1486" s="750"/>
      <c r="D1486" s="750"/>
      <c r="E1486" s="750"/>
      <c r="F1486" s="750"/>
      <c r="G1486" s="750"/>
      <c r="H1486" s="750"/>
      <c r="I1486" s="750"/>
      <c r="J1486" s="871"/>
      <c r="K1486" s="801"/>
      <c r="L1486" s="899"/>
      <c r="M1486" s="650"/>
      <c r="N1486" s="917"/>
      <c r="O1486" s="646"/>
      <c r="P1486" s="933"/>
      <c r="Q1486" s="646"/>
      <c r="R1486" s="942"/>
      <c r="S1486" s="650"/>
      <c r="T1486" s="934"/>
      <c r="U1486" s="650"/>
      <c r="V1486" s="930"/>
    </row>
    <row r="1487" spans="1:22" s="624" customFormat="1" ht="16.5" customHeight="1">
      <c r="A1487" s="750"/>
      <c r="B1487" s="750"/>
      <c r="C1487" s="750"/>
      <c r="D1487" s="750"/>
      <c r="E1487" s="750"/>
      <c r="F1487" s="750"/>
      <c r="G1487" s="750"/>
      <c r="H1487" s="750"/>
      <c r="I1487" s="750"/>
      <c r="J1487" s="871"/>
      <c r="K1487" s="801"/>
      <c r="L1487" s="899"/>
      <c r="M1487" s="650"/>
      <c r="N1487" s="917"/>
      <c r="O1487" s="646"/>
      <c r="P1487" s="933"/>
      <c r="Q1487" s="646"/>
      <c r="R1487" s="942"/>
      <c r="S1487" s="650"/>
      <c r="T1487" s="934"/>
      <c r="U1487" s="650"/>
      <c r="V1487" s="930"/>
    </row>
    <row r="1488" spans="1:22" s="624" customFormat="1" ht="16.5" customHeight="1">
      <c r="A1488" s="750"/>
      <c r="B1488" s="750"/>
      <c r="C1488" s="750"/>
      <c r="D1488" s="750"/>
      <c r="E1488" s="750"/>
      <c r="F1488" s="750"/>
      <c r="G1488" s="750"/>
      <c r="H1488" s="750"/>
      <c r="I1488" s="750"/>
      <c r="J1488" s="871"/>
      <c r="K1488" s="801"/>
      <c r="L1488" s="899"/>
      <c r="M1488" s="650"/>
      <c r="N1488" s="917"/>
      <c r="O1488" s="646"/>
      <c r="P1488" s="933"/>
      <c r="Q1488" s="646"/>
      <c r="R1488" s="942"/>
      <c r="S1488" s="650"/>
      <c r="T1488" s="934"/>
      <c r="U1488" s="650"/>
      <c r="V1488" s="930"/>
    </row>
    <row r="1489" spans="1:22" s="624" customFormat="1" ht="16.5" customHeight="1">
      <c r="A1489" s="750"/>
      <c r="B1489" s="750"/>
      <c r="C1489" s="750"/>
      <c r="D1489" s="750"/>
      <c r="E1489" s="750"/>
      <c r="F1489" s="750"/>
      <c r="G1489" s="750"/>
      <c r="H1489" s="750"/>
      <c r="I1489" s="750"/>
      <c r="J1489" s="871"/>
      <c r="K1489" s="801"/>
      <c r="L1489" s="899"/>
      <c r="M1489" s="650"/>
      <c r="N1489" s="917"/>
      <c r="O1489" s="646"/>
      <c r="P1489" s="933"/>
      <c r="Q1489" s="646"/>
      <c r="R1489" s="942"/>
      <c r="S1489" s="650"/>
      <c r="T1489" s="934"/>
      <c r="U1489" s="650"/>
      <c r="V1489" s="930"/>
    </row>
    <row r="1490" spans="1:22" s="624" customFormat="1" ht="16.5" customHeight="1">
      <c r="A1490" s="750"/>
      <c r="B1490" s="750"/>
      <c r="C1490" s="750"/>
      <c r="D1490" s="750"/>
      <c r="E1490" s="750"/>
      <c r="F1490" s="750"/>
      <c r="G1490" s="750"/>
      <c r="H1490" s="750"/>
      <c r="I1490" s="750"/>
      <c r="J1490" s="871"/>
      <c r="K1490" s="801"/>
      <c r="L1490" s="899"/>
      <c r="M1490" s="650"/>
      <c r="N1490" s="917"/>
      <c r="O1490" s="646"/>
      <c r="P1490" s="933"/>
      <c r="Q1490" s="646"/>
      <c r="R1490" s="942"/>
      <c r="S1490" s="650"/>
      <c r="T1490" s="934"/>
      <c r="U1490" s="650"/>
      <c r="V1490" s="930"/>
    </row>
    <row r="1491" spans="1:22" s="624" customFormat="1" ht="16.5" customHeight="1">
      <c r="A1491" s="750"/>
      <c r="B1491" s="750"/>
      <c r="C1491" s="750"/>
      <c r="D1491" s="750"/>
      <c r="E1491" s="750"/>
      <c r="F1491" s="750"/>
      <c r="G1491" s="750"/>
      <c r="H1491" s="750"/>
      <c r="I1491" s="750"/>
      <c r="J1491" s="871"/>
      <c r="K1491" s="801"/>
      <c r="L1491" s="899"/>
      <c r="M1491" s="650"/>
      <c r="N1491" s="917"/>
      <c r="O1491" s="646"/>
      <c r="P1491" s="933"/>
      <c r="Q1491" s="646"/>
      <c r="R1491" s="942"/>
      <c r="S1491" s="650"/>
      <c r="T1491" s="934"/>
      <c r="U1491" s="650"/>
      <c r="V1491" s="930"/>
    </row>
    <row r="1492" spans="1:22" s="624" customFormat="1" ht="16.5" customHeight="1">
      <c r="A1492" s="750"/>
      <c r="B1492" s="750"/>
      <c r="C1492" s="750"/>
      <c r="D1492" s="750"/>
      <c r="E1492" s="750"/>
      <c r="F1492" s="750"/>
      <c r="G1492" s="750"/>
      <c r="H1492" s="750"/>
      <c r="I1492" s="750"/>
      <c r="J1492" s="871"/>
      <c r="K1492" s="801"/>
      <c r="L1492" s="899"/>
      <c r="M1492" s="650"/>
      <c r="N1492" s="917"/>
      <c r="O1492" s="646"/>
      <c r="P1492" s="933"/>
      <c r="Q1492" s="646"/>
      <c r="R1492" s="942"/>
      <c r="S1492" s="650"/>
      <c r="T1492" s="934"/>
      <c r="U1492" s="650"/>
      <c r="V1492" s="930"/>
    </row>
    <row r="1493" spans="1:22" s="624" customFormat="1" ht="16.5" customHeight="1">
      <c r="A1493" s="750"/>
      <c r="B1493" s="750"/>
      <c r="C1493" s="750"/>
      <c r="D1493" s="750"/>
      <c r="E1493" s="750"/>
      <c r="F1493" s="750"/>
      <c r="G1493" s="750"/>
      <c r="H1493" s="750"/>
      <c r="I1493" s="750"/>
      <c r="J1493" s="871"/>
      <c r="K1493" s="801"/>
      <c r="L1493" s="899"/>
      <c r="M1493" s="650"/>
      <c r="N1493" s="917"/>
      <c r="O1493" s="646"/>
      <c r="P1493" s="933"/>
      <c r="Q1493" s="646"/>
      <c r="R1493" s="942"/>
      <c r="S1493" s="650"/>
      <c r="T1493" s="934"/>
      <c r="U1493" s="650"/>
      <c r="V1493" s="930"/>
    </row>
    <row r="1494" spans="1:22" s="624" customFormat="1" ht="16.5" customHeight="1">
      <c r="A1494" s="750"/>
      <c r="B1494" s="750"/>
      <c r="C1494" s="750"/>
      <c r="D1494" s="750"/>
      <c r="E1494" s="750"/>
      <c r="F1494" s="750"/>
      <c r="G1494" s="750"/>
      <c r="H1494" s="750"/>
      <c r="I1494" s="750"/>
      <c r="J1494" s="871"/>
      <c r="K1494" s="801"/>
      <c r="L1494" s="899"/>
      <c r="M1494" s="650"/>
      <c r="N1494" s="917"/>
      <c r="O1494" s="646"/>
      <c r="P1494" s="933"/>
      <c r="Q1494" s="646"/>
      <c r="R1494" s="942"/>
      <c r="S1494" s="650"/>
      <c r="T1494" s="934"/>
      <c r="U1494" s="650"/>
      <c r="V1494" s="930"/>
    </row>
    <row r="1495" spans="1:22" s="624" customFormat="1" ht="16.5" customHeight="1">
      <c r="A1495" s="750"/>
      <c r="B1495" s="750"/>
      <c r="C1495" s="750"/>
      <c r="D1495" s="750"/>
      <c r="E1495" s="750"/>
      <c r="F1495" s="750"/>
      <c r="G1495" s="750"/>
      <c r="H1495" s="750"/>
      <c r="I1495" s="750"/>
      <c r="J1495" s="871"/>
      <c r="K1495" s="801"/>
      <c r="L1495" s="899"/>
      <c r="M1495" s="650"/>
      <c r="N1495" s="917"/>
      <c r="O1495" s="646"/>
      <c r="P1495" s="933"/>
      <c r="Q1495" s="646"/>
      <c r="R1495" s="942"/>
      <c r="S1495" s="650"/>
      <c r="T1495" s="934"/>
      <c r="U1495" s="650"/>
      <c r="V1495" s="930"/>
    </row>
    <row r="1496" spans="1:22" s="624" customFormat="1" ht="16.5" customHeight="1">
      <c r="A1496" s="750"/>
      <c r="B1496" s="750"/>
      <c r="C1496" s="750"/>
      <c r="D1496" s="750"/>
      <c r="E1496" s="750"/>
      <c r="F1496" s="750"/>
      <c r="G1496" s="750"/>
      <c r="H1496" s="750"/>
      <c r="I1496" s="750"/>
      <c r="J1496" s="871"/>
      <c r="K1496" s="801"/>
      <c r="L1496" s="899"/>
      <c r="M1496" s="650"/>
      <c r="N1496" s="917"/>
      <c r="O1496" s="646"/>
      <c r="P1496" s="933"/>
      <c r="Q1496" s="646"/>
      <c r="R1496" s="942"/>
      <c r="S1496" s="650"/>
      <c r="T1496" s="934"/>
      <c r="U1496" s="650"/>
      <c r="V1496" s="930"/>
    </row>
    <row r="1497" spans="1:22" s="624" customFormat="1" ht="16.5" customHeight="1">
      <c r="A1497" s="750"/>
      <c r="B1497" s="750"/>
      <c r="C1497" s="750"/>
      <c r="D1497" s="750"/>
      <c r="E1497" s="750"/>
      <c r="F1497" s="750"/>
      <c r="G1497" s="750"/>
      <c r="H1497" s="750"/>
      <c r="I1497" s="750"/>
      <c r="J1497" s="871"/>
      <c r="K1497" s="801"/>
      <c r="L1497" s="899"/>
      <c r="M1497" s="650"/>
      <c r="N1497" s="917"/>
      <c r="O1497" s="646"/>
      <c r="P1497" s="933"/>
      <c r="Q1497" s="646"/>
      <c r="R1497" s="942"/>
      <c r="S1497" s="650"/>
      <c r="T1497" s="934"/>
      <c r="U1497" s="650"/>
      <c r="V1497" s="930"/>
    </row>
    <row r="1498" spans="1:22" s="624" customFormat="1" ht="16.5" customHeight="1">
      <c r="A1498" s="750"/>
      <c r="B1498" s="750"/>
      <c r="C1498" s="750"/>
      <c r="D1498" s="750"/>
      <c r="E1498" s="750"/>
      <c r="F1498" s="750"/>
      <c r="G1498" s="750"/>
      <c r="H1498" s="750"/>
      <c r="I1498" s="750"/>
      <c r="J1498" s="871"/>
      <c r="K1498" s="801"/>
      <c r="L1498" s="899"/>
      <c r="M1498" s="650"/>
      <c r="N1498" s="917"/>
      <c r="O1498" s="646"/>
      <c r="P1498" s="933"/>
      <c r="Q1498" s="646"/>
      <c r="R1498" s="942"/>
      <c r="S1498" s="650"/>
      <c r="T1498" s="934"/>
      <c r="U1498" s="650"/>
      <c r="V1498" s="930"/>
    </row>
    <row r="1499" spans="1:22" s="624" customFormat="1" ht="16.5" customHeight="1">
      <c r="A1499" s="750"/>
      <c r="B1499" s="750"/>
      <c r="C1499" s="750"/>
      <c r="D1499" s="750"/>
      <c r="E1499" s="750"/>
      <c r="F1499" s="750"/>
      <c r="G1499" s="750"/>
      <c r="H1499" s="750"/>
      <c r="I1499" s="750"/>
      <c r="J1499" s="871"/>
      <c r="K1499" s="801"/>
      <c r="L1499" s="899"/>
      <c r="M1499" s="650"/>
      <c r="N1499" s="917"/>
      <c r="O1499" s="646"/>
      <c r="P1499" s="933"/>
      <c r="Q1499" s="646"/>
      <c r="R1499" s="942"/>
      <c r="S1499" s="650"/>
      <c r="T1499" s="934"/>
      <c r="U1499" s="650"/>
      <c r="V1499" s="930"/>
    </row>
    <row r="1500" spans="1:22" s="624" customFormat="1" ht="16.5" customHeight="1">
      <c r="A1500" s="750"/>
      <c r="B1500" s="750"/>
      <c r="C1500" s="750"/>
      <c r="D1500" s="750"/>
      <c r="E1500" s="750"/>
      <c r="F1500" s="750"/>
      <c r="G1500" s="750"/>
      <c r="H1500" s="750"/>
      <c r="I1500" s="750"/>
      <c r="J1500" s="871"/>
      <c r="K1500" s="801"/>
      <c r="L1500" s="899"/>
      <c r="M1500" s="650"/>
      <c r="N1500" s="917"/>
      <c r="O1500" s="646"/>
      <c r="P1500" s="933"/>
      <c r="Q1500" s="646"/>
      <c r="R1500" s="942"/>
      <c r="S1500" s="650"/>
      <c r="T1500" s="934"/>
      <c r="U1500" s="650"/>
      <c r="V1500" s="930"/>
    </row>
    <row r="1501" spans="1:22" s="624" customFormat="1" ht="16.5" customHeight="1">
      <c r="A1501" s="750"/>
      <c r="B1501" s="750"/>
      <c r="C1501" s="750"/>
      <c r="D1501" s="750"/>
      <c r="E1501" s="750"/>
      <c r="F1501" s="750"/>
      <c r="G1501" s="750"/>
      <c r="H1501" s="750"/>
      <c r="I1501" s="750"/>
      <c r="J1501" s="871"/>
      <c r="K1501" s="801"/>
      <c r="L1501" s="899"/>
      <c r="M1501" s="650"/>
      <c r="N1501" s="917"/>
      <c r="O1501" s="646"/>
      <c r="P1501" s="933"/>
      <c r="Q1501" s="646"/>
      <c r="R1501" s="942"/>
      <c r="S1501" s="650"/>
      <c r="T1501" s="934"/>
      <c r="U1501" s="650"/>
      <c r="V1501" s="930"/>
    </row>
    <row r="1502" spans="1:22" s="624" customFormat="1" ht="16.5" customHeight="1">
      <c r="A1502" s="750"/>
      <c r="B1502" s="750"/>
      <c r="C1502" s="750"/>
      <c r="D1502" s="750"/>
      <c r="E1502" s="750"/>
      <c r="F1502" s="750"/>
      <c r="G1502" s="750"/>
      <c r="H1502" s="750"/>
      <c r="I1502" s="750"/>
      <c r="J1502" s="871"/>
      <c r="K1502" s="801"/>
      <c r="L1502" s="899"/>
      <c r="M1502" s="650"/>
      <c r="N1502" s="917"/>
      <c r="O1502" s="646"/>
      <c r="P1502" s="933"/>
      <c r="Q1502" s="646"/>
      <c r="R1502" s="942"/>
      <c r="S1502" s="650"/>
      <c r="T1502" s="934"/>
      <c r="U1502" s="650"/>
      <c r="V1502" s="930"/>
    </row>
    <row r="1503" spans="1:22" s="624" customFormat="1" ht="16.5" customHeight="1">
      <c r="A1503" s="750"/>
      <c r="B1503" s="750"/>
      <c r="C1503" s="750"/>
      <c r="D1503" s="750"/>
      <c r="E1503" s="750"/>
      <c r="F1503" s="750"/>
      <c r="G1503" s="750"/>
      <c r="H1503" s="750"/>
      <c r="I1503" s="750"/>
      <c r="J1503" s="871"/>
      <c r="K1503" s="801"/>
      <c r="L1503" s="899"/>
      <c r="M1503" s="650"/>
      <c r="N1503" s="917"/>
      <c r="O1503" s="646"/>
      <c r="P1503" s="933"/>
      <c r="Q1503" s="646"/>
      <c r="R1503" s="942"/>
      <c r="S1503" s="650"/>
      <c r="T1503" s="934"/>
      <c r="U1503" s="650"/>
      <c r="V1503" s="930"/>
    </row>
    <row r="1504" spans="1:22" s="624" customFormat="1" ht="16.5" customHeight="1">
      <c r="A1504" s="750"/>
      <c r="B1504" s="750"/>
      <c r="C1504" s="750"/>
      <c r="D1504" s="750"/>
      <c r="E1504" s="750"/>
      <c r="F1504" s="750"/>
      <c r="G1504" s="750"/>
      <c r="H1504" s="750"/>
      <c r="I1504" s="750"/>
      <c r="J1504" s="871"/>
      <c r="K1504" s="801"/>
      <c r="L1504" s="899"/>
      <c r="M1504" s="650"/>
      <c r="N1504" s="917"/>
      <c r="O1504" s="646"/>
      <c r="P1504" s="933"/>
      <c r="Q1504" s="646"/>
      <c r="R1504" s="942"/>
      <c r="S1504" s="650"/>
      <c r="T1504" s="934"/>
      <c r="U1504" s="650"/>
      <c r="V1504" s="930"/>
    </row>
    <row r="1505" spans="1:22" s="624" customFormat="1" ht="16.5" customHeight="1">
      <c r="A1505" s="750"/>
      <c r="B1505" s="750"/>
      <c r="C1505" s="750"/>
      <c r="D1505" s="750"/>
      <c r="E1505" s="750"/>
      <c r="F1505" s="750"/>
      <c r="G1505" s="750"/>
      <c r="H1505" s="750"/>
      <c r="I1505" s="750"/>
      <c r="J1505" s="871"/>
      <c r="K1505" s="801"/>
      <c r="L1505" s="899"/>
      <c r="M1505" s="650"/>
      <c r="N1505" s="917"/>
      <c r="O1505" s="646"/>
      <c r="P1505" s="933"/>
      <c r="Q1505" s="646"/>
      <c r="R1505" s="942"/>
      <c r="S1505" s="650"/>
      <c r="T1505" s="934"/>
      <c r="U1505" s="650"/>
      <c r="V1505" s="930"/>
    </row>
    <row r="1506" spans="1:22" s="624" customFormat="1" ht="16.5" customHeight="1">
      <c r="A1506" s="750"/>
      <c r="B1506" s="750"/>
      <c r="C1506" s="750"/>
      <c r="D1506" s="750"/>
      <c r="E1506" s="750"/>
      <c r="F1506" s="750"/>
      <c r="G1506" s="750"/>
      <c r="H1506" s="750"/>
      <c r="I1506" s="750"/>
      <c r="J1506" s="871"/>
      <c r="K1506" s="801"/>
      <c r="L1506" s="899"/>
      <c r="M1506" s="650"/>
      <c r="N1506" s="917"/>
      <c r="O1506" s="646"/>
      <c r="P1506" s="933"/>
      <c r="Q1506" s="646"/>
      <c r="R1506" s="942"/>
      <c r="S1506" s="650"/>
      <c r="T1506" s="934"/>
      <c r="U1506" s="650"/>
      <c r="V1506" s="930"/>
    </row>
    <row r="1507" spans="1:22" s="624" customFormat="1" ht="16.5" customHeight="1">
      <c r="A1507" s="750"/>
      <c r="B1507" s="750"/>
      <c r="C1507" s="750"/>
      <c r="D1507" s="750"/>
      <c r="E1507" s="750"/>
      <c r="F1507" s="750"/>
      <c r="G1507" s="750"/>
      <c r="H1507" s="750"/>
      <c r="I1507" s="750"/>
      <c r="J1507" s="871"/>
      <c r="K1507" s="801"/>
      <c r="L1507" s="899"/>
      <c r="M1507" s="650"/>
      <c r="N1507" s="917"/>
      <c r="O1507" s="646"/>
      <c r="P1507" s="933"/>
      <c r="Q1507" s="646"/>
      <c r="R1507" s="942"/>
      <c r="S1507" s="650"/>
      <c r="T1507" s="934"/>
      <c r="U1507" s="650"/>
      <c r="V1507" s="930"/>
    </row>
    <row r="1508" spans="1:22" s="624" customFormat="1" ht="16.5" customHeight="1">
      <c r="A1508" s="750"/>
      <c r="B1508" s="750"/>
      <c r="C1508" s="750"/>
      <c r="D1508" s="750"/>
      <c r="E1508" s="750"/>
      <c r="F1508" s="750"/>
      <c r="G1508" s="750"/>
      <c r="H1508" s="750"/>
      <c r="I1508" s="750"/>
      <c r="J1508" s="871"/>
      <c r="K1508" s="801"/>
      <c r="L1508" s="899"/>
      <c r="M1508" s="650"/>
      <c r="N1508" s="917"/>
      <c r="O1508" s="646"/>
      <c r="P1508" s="933"/>
      <c r="Q1508" s="646"/>
      <c r="R1508" s="942"/>
      <c r="S1508" s="650"/>
      <c r="T1508" s="934"/>
      <c r="U1508" s="650"/>
      <c r="V1508" s="930"/>
    </row>
    <row r="1509" spans="1:22" s="624" customFormat="1" ht="16.5" customHeight="1">
      <c r="A1509" s="750"/>
      <c r="B1509" s="750"/>
      <c r="C1509" s="750"/>
      <c r="D1509" s="750"/>
      <c r="E1509" s="750"/>
      <c r="F1509" s="750"/>
      <c r="G1509" s="750"/>
      <c r="H1509" s="750"/>
      <c r="I1509" s="750"/>
      <c r="J1509" s="871"/>
      <c r="K1509" s="801"/>
      <c r="L1509" s="899"/>
      <c r="M1509" s="650"/>
      <c r="N1509" s="917"/>
      <c r="O1509" s="646"/>
      <c r="P1509" s="933"/>
      <c r="Q1509" s="646"/>
      <c r="R1509" s="942"/>
      <c r="S1509" s="650"/>
      <c r="T1509" s="934"/>
      <c r="U1509" s="650"/>
      <c r="V1509" s="930"/>
    </row>
    <row r="1510" spans="1:22" s="624" customFormat="1" ht="16.5" customHeight="1">
      <c r="A1510" s="750"/>
      <c r="B1510" s="750"/>
      <c r="C1510" s="750"/>
      <c r="D1510" s="750"/>
      <c r="E1510" s="750"/>
      <c r="F1510" s="750"/>
      <c r="G1510" s="750"/>
      <c r="H1510" s="750"/>
      <c r="I1510" s="750"/>
      <c r="J1510" s="871"/>
      <c r="K1510" s="801"/>
      <c r="L1510" s="899"/>
      <c r="M1510" s="650"/>
      <c r="N1510" s="917"/>
      <c r="O1510" s="646"/>
      <c r="P1510" s="933"/>
      <c r="Q1510" s="646"/>
      <c r="R1510" s="942"/>
      <c r="S1510" s="650"/>
      <c r="T1510" s="934"/>
      <c r="U1510" s="650"/>
      <c r="V1510" s="930"/>
    </row>
    <row r="1511" spans="1:22" s="624" customFormat="1" ht="16.5" customHeight="1">
      <c r="A1511" s="750"/>
      <c r="B1511" s="750"/>
      <c r="C1511" s="750"/>
      <c r="D1511" s="750"/>
      <c r="E1511" s="750"/>
      <c r="F1511" s="750"/>
      <c r="G1511" s="750"/>
      <c r="H1511" s="750"/>
      <c r="I1511" s="750"/>
      <c r="J1511" s="871"/>
      <c r="K1511" s="801"/>
      <c r="L1511" s="899"/>
      <c r="M1511" s="650"/>
      <c r="N1511" s="917"/>
      <c r="O1511" s="646"/>
      <c r="P1511" s="933"/>
      <c r="Q1511" s="646"/>
      <c r="R1511" s="942"/>
      <c r="S1511" s="650"/>
      <c r="T1511" s="934"/>
      <c r="U1511" s="650"/>
      <c r="V1511" s="930"/>
    </row>
    <row r="1512" spans="1:22" s="624" customFormat="1" ht="16.5" customHeight="1">
      <c r="A1512" s="750"/>
      <c r="B1512" s="750"/>
      <c r="C1512" s="750"/>
      <c r="D1512" s="750"/>
      <c r="E1512" s="750"/>
      <c r="F1512" s="750"/>
      <c r="G1512" s="750"/>
      <c r="H1512" s="750"/>
      <c r="I1512" s="750"/>
      <c r="J1512" s="871"/>
      <c r="K1512" s="801"/>
      <c r="L1512" s="899"/>
      <c r="M1512" s="650"/>
      <c r="N1512" s="917"/>
      <c r="O1512" s="646"/>
      <c r="P1512" s="933"/>
      <c r="Q1512" s="646"/>
      <c r="R1512" s="942"/>
      <c r="S1512" s="650"/>
      <c r="T1512" s="934"/>
      <c r="U1512" s="650"/>
      <c r="V1512" s="930"/>
    </row>
    <row r="1513" spans="1:22" s="624" customFormat="1" ht="16.5" customHeight="1">
      <c r="A1513" s="750"/>
      <c r="B1513" s="750"/>
      <c r="C1513" s="750"/>
      <c r="D1513" s="750"/>
      <c r="E1513" s="750"/>
      <c r="F1513" s="750"/>
      <c r="G1513" s="750"/>
      <c r="H1513" s="750"/>
      <c r="I1513" s="750"/>
      <c r="J1513" s="871"/>
      <c r="K1513" s="801"/>
      <c r="L1513" s="899"/>
      <c r="M1513" s="650"/>
      <c r="N1513" s="917"/>
      <c r="O1513" s="646"/>
      <c r="P1513" s="933"/>
      <c r="Q1513" s="646"/>
      <c r="R1513" s="942"/>
      <c r="S1513" s="650"/>
      <c r="T1513" s="934"/>
      <c r="U1513" s="650"/>
      <c r="V1513" s="930"/>
    </row>
    <row r="1514" spans="1:22" s="624" customFormat="1" ht="16.5" customHeight="1">
      <c r="A1514" s="750"/>
      <c r="B1514" s="750"/>
      <c r="C1514" s="750"/>
      <c r="D1514" s="750"/>
      <c r="E1514" s="750"/>
      <c r="F1514" s="750"/>
      <c r="G1514" s="750"/>
      <c r="H1514" s="750"/>
      <c r="I1514" s="750"/>
      <c r="J1514" s="871"/>
      <c r="K1514" s="801"/>
      <c r="L1514" s="899"/>
      <c r="M1514" s="650"/>
      <c r="N1514" s="917"/>
      <c r="O1514" s="646"/>
      <c r="P1514" s="933"/>
      <c r="Q1514" s="646"/>
      <c r="R1514" s="942"/>
      <c r="S1514" s="650"/>
      <c r="T1514" s="934"/>
      <c r="U1514" s="650"/>
      <c r="V1514" s="930"/>
    </row>
    <row r="1515" spans="1:22" s="624" customFormat="1" ht="16.5" customHeight="1">
      <c r="A1515" s="750"/>
      <c r="B1515" s="750"/>
      <c r="C1515" s="750"/>
      <c r="D1515" s="750"/>
      <c r="E1515" s="750"/>
      <c r="F1515" s="750"/>
      <c r="G1515" s="750"/>
      <c r="H1515" s="750"/>
      <c r="I1515" s="750"/>
      <c r="J1515" s="871"/>
      <c r="K1515" s="801"/>
      <c r="L1515" s="899"/>
      <c r="M1515" s="650"/>
      <c r="N1515" s="917"/>
      <c r="O1515" s="646"/>
      <c r="P1515" s="933"/>
      <c r="Q1515" s="646"/>
      <c r="R1515" s="942"/>
      <c r="S1515" s="650"/>
      <c r="T1515" s="934"/>
      <c r="U1515" s="650"/>
      <c r="V1515" s="930"/>
    </row>
    <row r="1516" spans="1:22" s="624" customFormat="1" ht="16.5" customHeight="1">
      <c r="A1516" s="750"/>
      <c r="B1516" s="750"/>
      <c r="C1516" s="750"/>
      <c r="D1516" s="750"/>
      <c r="E1516" s="750"/>
      <c r="F1516" s="750"/>
      <c r="G1516" s="750"/>
      <c r="H1516" s="750"/>
      <c r="I1516" s="750"/>
      <c r="J1516" s="871"/>
      <c r="K1516" s="801"/>
      <c r="L1516" s="899"/>
      <c r="M1516" s="650"/>
      <c r="N1516" s="917"/>
      <c r="O1516" s="646"/>
      <c r="P1516" s="933"/>
      <c r="Q1516" s="646"/>
      <c r="R1516" s="942"/>
      <c r="S1516" s="650"/>
      <c r="T1516" s="934"/>
      <c r="U1516" s="650"/>
      <c r="V1516" s="930"/>
    </row>
    <row r="1517" spans="1:22" s="624" customFormat="1" ht="16.5" customHeight="1">
      <c r="A1517" s="750"/>
      <c r="B1517" s="750"/>
      <c r="C1517" s="750"/>
      <c r="D1517" s="750"/>
      <c r="E1517" s="750"/>
      <c r="F1517" s="750"/>
      <c r="G1517" s="750"/>
      <c r="H1517" s="750"/>
      <c r="I1517" s="750"/>
      <c r="J1517" s="871"/>
      <c r="K1517" s="801"/>
      <c r="L1517" s="899"/>
      <c r="M1517" s="650"/>
      <c r="N1517" s="917"/>
      <c r="O1517" s="646"/>
      <c r="P1517" s="933"/>
      <c r="Q1517" s="646"/>
      <c r="R1517" s="942"/>
      <c r="S1517" s="650"/>
      <c r="T1517" s="934"/>
      <c r="U1517" s="650"/>
      <c r="V1517" s="930"/>
    </row>
    <row r="1518" spans="1:22" s="624" customFormat="1" ht="16.5" customHeight="1">
      <c r="A1518" s="750"/>
      <c r="B1518" s="750"/>
      <c r="C1518" s="750"/>
      <c r="D1518" s="750"/>
      <c r="E1518" s="750"/>
      <c r="F1518" s="750"/>
      <c r="G1518" s="750"/>
      <c r="H1518" s="750"/>
      <c r="I1518" s="750"/>
      <c r="J1518" s="871"/>
      <c r="K1518" s="801"/>
      <c r="L1518" s="899"/>
      <c r="M1518" s="650"/>
      <c r="N1518" s="917"/>
      <c r="O1518" s="646"/>
      <c r="P1518" s="933"/>
      <c r="Q1518" s="646"/>
      <c r="R1518" s="942"/>
      <c r="S1518" s="650"/>
      <c r="T1518" s="934"/>
      <c r="U1518" s="650"/>
      <c r="V1518" s="930"/>
    </row>
    <row r="1519" spans="1:22" s="624" customFormat="1" ht="16.5" customHeight="1">
      <c r="A1519" s="750"/>
      <c r="B1519" s="750"/>
      <c r="C1519" s="750"/>
      <c r="D1519" s="750"/>
      <c r="E1519" s="750"/>
      <c r="F1519" s="750"/>
      <c r="G1519" s="750"/>
      <c r="H1519" s="750"/>
      <c r="I1519" s="750"/>
      <c r="J1519" s="871"/>
      <c r="K1519" s="801"/>
      <c r="L1519" s="899"/>
      <c r="M1519" s="650"/>
      <c r="N1519" s="917"/>
      <c r="O1519" s="646"/>
      <c r="P1519" s="933"/>
      <c r="Q1519" s="646"/>
      <c r="R1519" s="942"/>
      <c r="S1519" s="650"/>
      <c r="T1519" s="934"/>
      <c r="U1519" s="650"/>
      <c r="V1519" s="930"/>
    </row>
    <row r="1520" spans="1:22" s="624" customFormat="1" ht="16.5" customHeight="1">
      <c r="A1520" s="750"/>
      <c r="B1520" s="750"/>
      <c r="C1520" s="750"/>
      <c r="D1520" s="750"/>
      <c r="E1520" s="750"/>
      <c r="F1520" s="750"/>
      <c r="G1520" s="750"/>
      <c r="H1520" s="750"/>
      <c r="I1520" s="750"/>
      <c r="J1520" s="871"/>
      <c r="K1520" s="801"/>
      <c r="L1520" s="899"/>
      <c r="M1520" s="650"/>
      <c r="N1520" s="917"/>
      <c r="O1520" s="646"/>
      <c r="P1520" s="933"/>
      <c r="Q1520" s="646"/>
      <c r="R1520" s="942"/>
      <c r="S1520" s="650"/>
      <c r="T1520" s="934"/>
      <c r="U1520" s="650"/>
      <c r="V1520" s="930"/>
    </row>
    <row r="1521" spans="1:22" s="624" customFormat="1" ht="16.5" customHeight="1">
      <c r="A1521" s="750"/>
      <c r="B1521" s="750"/>
      <c r="C1521" s="750"/>
      <c r="D1521" s="750"/>
      <c r="E1521" s="750"/>
      <c r="F1521" s="750"/>
      <c r="G1521" s="750"/>
      <c r="H1521" s="750"/>
      <c r="I1521" s="750"/>
      <c r="J1521" s="871"/>
      <c r="K1521" s="801"/>
      <c r="L1521" s="899"/>
      <c r="M1521" s="650"/>
      <c r="N1521" s="917"/>
      <c r="O1521" s="646"/>
      <c r="P1521" s="933"/>
      <c r="Q1521" s="646"/>
      <c r="R1521" s="942"/>
      <c r="S1521" s="650"/>
      <c r="T1521" s="934"/>
      <c r="U1521" s="650"/>
      <c r="V1521" s="930"/>
    </row>
    <row r="1522" spans="1:22" s="624" customFormat="1" ht="16.5" customHeight="1">
      <c r="A1522" s="750"/>
      <c r="B1522" s="750"/>
      <c r="C1522" s="750"/>
      <c r="D1522" s="750"/>
      <c r="E1522" s="750"/>
      <c r="F1522" s="750"/>
      <c r="G1522" s="750"/>
      <c r="H1522" s="750"/>
      <c r="I1522" s="750"/>
      <c r="J1522" s="871"/>
      <c r="K1522" s="801"/>
      <c r="L1522" s="899"/>
      <c r="M1522" s="650"/>
      <c r="N1522" s="917"/>
      <c r="O1522" s="646"/>
      <c r="P1522" s="933"/>
      <c r="Q1522" s="646"/>
      <c r="R1522" s="942"/>
      <c r="S1522" s="650"/>
      <c r="T1522" s="934"/>
      <c r="U1522" s="650"/>
      <c r="V1522" s="930"/>
    </row>
    <row r="1523" spans="1:22" s="624" customFormat="1" ht="16.5" customHeight="1">
      <c r="A1523" s="750"/>
      <c r="B1523" s="750"/>
      <c r="C1523" s="750"/>
      <c r="D1523" s="750"/>
      <c r="E1523" s="750"/>
      <c r="F1523" s="750"/>
      <c r="G1523" s="750"/>
      <c r="H1523" s="750"/>
      <c r="I1523" s="750"/>
      <c r="J1523" s="871"/>
      <c r="K1523" s="801"/>
      <c r="L1523" s="899"/>
      <c r="M1523" s="650"/>
      <c r="N1523" s="917"/>
      <c r="O1523" s="646"/>
      <c r="P1523" s="933"/>
      <c r="Q1523" s="646"/>
      <c r="R1523" s="942"/>
      <c r="S1523" s="650"/>
      <c r="T1523" s="934"/>
      <c r="U1523" s="650"/>
      <c r="V1523" s="930"/>
    </row>
    <row r="1524" spans="1:22" s="624" customFormat="1" ht="16.5" customHeight="1">
      <c r="A1524" s="750"/>
      <c r="B1524" s="750"/>
      <c r="C1524" s="750"/>
      <c r="D1524" s="750"/>
      <c r="E1524" s="750"/>
      <c r="F1524" s="750"/>
      <c r="G1524" s="750"/>
      <c r="H1524" s="750"/>
      <c r="I1524" s="750"/>
      <c r="J1524" s="871"/>
      <c r="K1524" s="801"/>
      <c r="L1524" s="899"/>
      <c r="M1524" s="650"/>
      <c r="N1524" s="917"/>
      <c r="O1524" s="646"/>
      <c r="P1524" s="933"/>
      <c r="Q1524" s="646"/>
      <c r="R1524" s="942"/>
      <c r="S1524" s="650"/>
      <c r="T1524" s="934"/>
      <c r="U1524" s="650"/>
      <c r="V1524" s="930"/>
    </row>
    <row r="1525" spans="1:22" s="624" customFormat="1" ht="16.5" customHeight="1">
      <c r="A1525" s="750"/>
      <c r="B1525" s="750"/>
      <c r="C1525" s="750"/>
      <c r="D1525" s="750"/>
      <c r="E1525" s="750"/>
      <c r="F1525" s="750"/>
      <c r="G1525" s="750"/>
      <c r="H1525" s="750"/>
      <c r="I1525" s="750"/>
      <c r="J1525" s="871"/>
      <c r="K1525" s="801"/>
      <c r="L1525" s="899"/>
      <c r="M1525" s="650"/>
      <c r="N1525" s="917"/>
      <c r="O1525" s="646"/>
      <c r="P1525" s="933"/>
      <c r="Q1525" s="646"/>
      <c r="R1525" s="942"/>
      <c r="S1525" s="650"/>
      <c r="T1525" s="934"/>
      <c r="U1525" s="650"/>
      <c r="V1525" s="930"/>
    </row>
    <row r="1526" spans="1:22" s="624" customFormat="1" ht="16.5" customHeight="1">
      <c r="A1526" s="750"/>
      <c r="B1526" s="750"/>
      <c r="C1526" s="750"/>
      <c r="D1526" s="750"/>
      <c r="E1526" s="750"/>
      <c r="F1526" s="750"/>
      <c r="G1526" s="750"/>
      <c r="H1526" s="750"/>
      <c r="I1526" s="750"/>
      <c r="J1526" s="871"/>
      <c r="K1526" s="801"/>
      <c r="L1526" s="899"/>
      <c r="M1526" s="650"/>
      <c r="N1526" s="917"/>
      <c r="O1526" s="646"/>
      <c r="P1526" s="933"/>
      <c r="Q1526" s="646"/>
      <c r="R1526" s="942"/>
      <c r="S1526" s="650"/>
      <c r="T1526" s="934"/>
      <c r="U1526" s="650"/>
      <c r="V1526" s="930"/>
    </row>
    <row r="1527" spans="1:22" s="624" customFormat="1" ht="16.5" customHeight="1">
      <c r="A1527" s="750"/>
      <c r="B1527" s="750"/>
      <c r="C1527" s="750"/>
      <c r="D1527" s="750"/>
      <c r="E1527" s="750"/>
      <c r="F1527" s="750"/>
      <c r="G1527" s="750"/>
      <c r="H1527" s="750"/>
      <c r="I1527" s="750"/>
      <c r="J1527" s="871"/>
      <c r="K1527" s="801"/>
      <c r="L1527" s="899"/>
      <c r="M1527" s="650"/>
      <c r="N1527" s="917"/>
      <c r="O1527" s="646"/>
      <c r="P1527" s="933"/>
      <c r="Q1527" s="646"/>
      <c r="R1527" s="942"/>
      <c r="S1527" s="650"/>
      <c r="T1527" s="934"/>
      <c r="U1527" s="650"/>
      <c r="V1527" s="930"/>
    </row>
    <row r="1528" spans="1:22" s="624" customFormat="1" ht="16.5" customHeight="1">
      <c r="A1528" s="750"/>
      <c r="B1528" s="750"/>
      <c r="C1528" s="750"/>
      <c r="D1528" s="750"/>
      <c r="E1528" s="750"/>
      <c r="F1528" s="750"/>
      <c r="G1528" s="750"/>
      <c r="H1528" s="750"/>
      <c r="I1528" s="750"/>
      <c r="J1528" s="871"/>
      <c r="K1528" s="801"/>
      <c r="L1528" s="899"/>
      <c r="M1528" s="650"/>
      <c r="N1528" s="917"/>
      <c r="O1528" s="646"/>
      <c r="P1528" s="933"/>
      <c r="Q1528" s="646"/>
      <c r="R1528" s="942"/>
      <c r="S1528" s="650"/>
      <c r="T1528" s="934"/>
      <c r="U1528" s="650"/>
      <c r="V1528" s="930"/>
    </row>
    <row r="1529" spans="1:22" s="624" customFormat="1" ht="16.5" customHeight="1">
      <c r="A1529" s="750"/>
      <c r="B1529" s="750"/>
      <c r="C1529" s="750"/>
      <c r="D1529" s="750"/>
      <c r="E1529" s="750"/>
      <c r="F1529" s="750"/>
      <c r="G1529" s="750"/>
      <c r="H1529" s="750"/>
      <c r="I1529" s="750"/>
      <c r="J1529" s="871"/>
      <c r="K1529" s="801"/>
      <c r="L1529" s="899"/>
      <c r="M1529" s="650"/>
      <c r="N1529" s="917"/>
      <c r="O1529" s="646"/>
      <c r="P1529" s="933"/>
      <c r="Q1529" s="646"/>
      <c r="R1529" s="942"/>
      <c r="S1529" s="650"/>
      <c r="T1529" s="934"/>
      <c r="U1529" s="650"/>
      <c r="V1529" s="930"/>
    </row>
    <row r="1530" spans="1:22" s="624" customFormat="1" ht="16.5" customHeight="1">
      <c r="A1530" s="750"/>
      <c r="B1530" s="750"/>
      <c r="C1530" s="750"/>
      <c r="D1530" s="750"/>
      <c r="E1530" s="750"/>
      <c r="F1530" s="750"/>
      <c r="G1530" s="750"/>
      <c r="H1530" s="750"/>
      <c r="I1530" s="750"/>
      <c r="J1530" s="871"/>
      <c r="K1530" s="801"/>
      <c r="L1530" s="899"/>
      <c r="M1530" s="650"/>
      <c r="N1530" s="917"/>
      <c r="O1530" s="646"/>
      <c r="P1530" s="933"/>
      <c r="Q1530" s="646"/>
      <c r="R1530" s="942"/>
      <c r="S1530" s="650"/>
      <c r="T1530" s="934"/>
      <c r="U1530" s="650"/>
      <c r="V1530" s="930"/>
    </row>
    <row r="1531" spans="1:22" s="624" customFormat="1" ht="16.5" customHeight="1">
      <c r="A1531" s="750"/>
      <c r="B1531" s="750"/>
      <c r="C1531" s="750"/>
      <c r="D1531" s="750"/>
      <c r="E1531" s="750"/>
      <c r="F1531" s="750"/>
      <c r="G1531" s="750"/>
      <c r="H1531" s="750"/>
      <c r="I1531" s="750"/>
      <c r="J1531" s="871"/>
      <c r="K1531" s="801"/>
      <c r="L1531" s="899"/>
      <c r="M1531" s="650"/>
      <c r="N1531" s="917"/>
      <c r="O1531" s="646"/>
      <c r="P1531" s="933"/>
      <c r="Q1531" s="646"/>
      <c r="R1531" s="942"/>
      <c r="S1531" s="650"/>
      <c r="T1531" s="934"/>
      <c r="U1531" s="650"/>
      <c r="V1531" s="930"/>
    </row>
    <row r="1532" spans="1:22" s="624" customFormat="1" ht="16.5" customHeight="1">
      <c r="A1532" s="750"/>
      <c r="B1532" s="750"/>
      <c r="C1532" s="750"/>
      <c r="D1532" s="750"/>
      <c r="E1532" s="750"/>
      <c r="F1532" s="750"/>
      <c r="G1532" s="750"/>
      <c r="H1532" s="750"/>
      <c r="I1532" s="750"/>
      <c r="J1532" s="871"/>
      <c r="K1532" s="801"/>
      <c r="L1532" s="899"/>
      <c r="M1532" s="650"/>
      <c r="N1532" s="917"/>
      <c r="O1532" s="646"/>
      <c r="P1532" s="933"/>
      <c r="Q1532" s="646"/>
      <c r="R1532" s="942"/>
      <c r="S1532" s="650"/>
      <c r="T1532" s="934"/>
      <c r="U1532" s="650"/>
      <c r="V1532" s="930"/>
    </row>
    <row r="1533" spans="1:22" s="624" customFormat="1" ht="16.5" customHeight="1">
      <c r="A1533" s="750"/>
      <c r="B1533" s="750"/>
      <c r="C1533" s="750"/>
      <c r="D1533" s="750"/>
      <c r="E1533" s="750"/>
      <c r="F1533" s="750"/>
      <c r="G1533" s="750"/>
      <c r="H1533" s="750"/>
      <c r="I1533" s="750"/>
      <c r="J1533" s="871"/>
      <c r="K1533" s="801"/>
      <c r="L1533" s="899"/>
      <c r="M1533" s="650"/>
      <c r="N1533" s="917"/>
      <c r="O1533" s="646"/>
      <c r="P1533" s="933"/>
      <c r="Q1533" s="646"/>
      <c r="R1533" s="942"/>
      <c r="S1533" s="650"/>
      <c r="T1533" s="934"/>
      <c r="U1533" s="650"/>
      <c r="V1533" s="930"/>
    </row>
    <row r="1534" spans="1:22" s="624" customFormat="1" ht="16.5" customHeight="1">
      <c r="A1534" s="750"/>
      <c r="B1534" s="750"/>
      <c r="C1534" s="750"/>
      <c r="D1534" s="750"/>
      <c r="E1534" s="750"/>
      <c r="F1534" s="750"/>
      <c r="G1534" s="750"/>
      <c r="H1534" s="750"/>
      <c r="I1534" s="750"/>
      <c r="J1534" s="871"/>
      <c r="K1534" s="801"/>
      <c r="L1534" s="899"/>
      <c r="M1534" s="650"/>
      <c r="N1534" s="917"/>
      <c r="O1534" s="646"/>
      <c r="P1534" s="933"/>
      <c r="Q1534" s="646"/>
      <c r="R1534" s="942"/>
      <c r="S1534" s="650"/>
      <c r="T1534" s="934"/>
      <c r="U1534" s="650"/>
      <c r="V1534" s="930"/>
    </row>
    <row r="1535" spans="1:22" s="624" customFormat="1" ht="16.5" customHeight="1">
      <c r="A1535" s="750"/>
      <c r="B1535" s="750"/>
      <c r="C1535" s="750"/>
      <c r="D1535" s="750"/>
      <c r="E1535" s="750"/>
      <c r="F1535" s="750"/>
      <c r="G1535" s="750"/>
      <c r="H1535" s="750"/>
      <c r="I1535" s="750"/>
      <c r="J1535" s="871"/>
      <c r="K1535" s="801"/>
      <c r="L1535" s="899"/>
      <c r="M1535" s="650"/>
      <c r="N1535" s="917"/>
      <c r="O1535" s="646"/>
      <c r="P1535" s="933"/>
      <c r="Q1535" s="646"/>
      <c r="R1535" s="942"/>
      <c r="S1535" s="650"/>
      <c r="T1535" s="934"/>
      <c r="U1535" s="650"/>
      <c r="V1535" s="930"/>
    </row>
    <row r="1536" spans="1:22" s="624" customFormat="1" ht="16.5" customHeight="1">
      <c r="A1536" s="750"/>
      <c r="B1536" s="750"/>
      <c r="C1536" s="750"/>
      <c r="D1536" s="750"/>
      <c r="E1536" s="750"/>
      <c r="F1536" s="750"/>
      <c r="G1536" s="750"/>
      <c r="H1536" s="750"/>
      <c r="I1536" s="750"/>
      <c r="J1536" s="871"/>
      <c r="K1536" s="801"/>
      <c r="L1536" s="899"/>
      <c r="M1536" s="650"/>
      <c r="N1536" s="917"/>
      <c r="O1536" s="646"/>
      <c r="P1536" s="933"/>
      <c r="Q1536" s="646"/>
      <c r="R1536" s="942"/>
      <c r="S1536" s="650"/>
      <c r="T1536" s="934"/>
      <c r="U1536" s="650"/>
      <c r="V1536" s="930"/>
    </row>
    <row r="1537" spans="1:22" s="624" customFormat="1" ht="16.5" customHeight="1">
      <c r="A1537" s="750"/>
      <c r="B1537" s="750"/>
      <c r="C1537" s="750"/>
      <c r="D1537" s="750"/>
      <c r="E1537" s="750"/>
      <c r="F1537" s="750"/>
      <c r="G1537" s="750"/>
      <c r="H1537" s="750"/>
      <c r="I1537" s="750"/>
      <c r="J1537" s="871"/>
      <c r="K1537" s="801"/>
      <c r="L1537" s="899"/>
      <c r="M1537" s="650"/>
      <c r="N1537" s="917"/>
      <c r="O1537" s="646"/>
      <c r="P1537" s="933"/>
      <c r="Q1537" s="646"/>
      <c r="R1537" s="942"/>
      <c r="S1537" s="650"/>
      <c r="T1537" s="934"/>
      <c r="U1537" s="650"/>
      <c r="V1537" s="930"/>
    </row>
    <row r="1538" spans="1:22" s="624" customFormat="1" ht="16.5" customHeight="1">
      <c r="A1538" s="750"/>
      <c r="B1538" s="750"/>
      <c r="C1538" s="750"/>
      <c r="D1538" s="750"/>
      <c r="E1538" s="750"/>
      <c r="F1538" s="750"/>
      <c r="G1538" s="750"/>
      <c r="H1538" s="750"/>
      <c r="I1538" s="750"/>
      <c r="J1538" s="871"/>
      <c r="K1538" s="801"/>
      <c r="L1538" s="899"/>
      <c r="M1538" s="650"/>
      <c r="N1538" s="917"/>
      <c r="O1538" s="646"/>
      <c r="P1538" s="933"/>
      <c r="Q1538" s="646"/>
      <c r="R1538" s="942"/>
      <c r="S1538" s="650"/>
      <c r="T1538" s="934"/>
      <c r="U1538" s="650"/>
      <c r="V1538" s="930"/>
    </row>
    <row r="1539" spans="1:22" s="624" customFormat="1" ht="16.5" customHeight="1">
      <c r="A1539" s="750"/>
      <c r="B1539" s="750"/>
      <c r="C1539" s="750"/>
      <c r="D1539" s="750"/>
      <c r="E1539" s="750"/>
      <c r="F1539" s="750"/>
      <c r="G1539" s="750"/>
      <c r="H1539" s="750"/>
      <c r="I1539" s="750"/>
      <c r="J1539" s="871"/>
      <c r="K1539" s="801"/>
      <c r="L1539" s="899"/>
      <c r="M1539" s="650"/>
      <c r="N1539" s="917"/>
      <c r="O1539" s="646"/>
      <c r="P1539" s="933"/>
      <c r="Q1539" s="646"/>
      <c r="R1539" s="942"/>
      <c r="S1539" s="650"/>
      <c r="T1539" s="934"/>
      <c r="U1539" s="650"/>
      <c r="V1539" s="930"/>
    </row>
    <row r="1540" spans="1:22" s="624" customFormat="1" ht="16.5" customHeight="1">
      <c r="A1540" s="750"/>
      <c r="B1540" s="750"/>
      <c r="C1540" s="750"/>
      <c r="D1540" s="750"/>
      <c r="E1540" s="750"/>
      <c r="F1540" s="750"/>
      <c r="G1540" s="750"/>
      <c r="H1540" s="750"/>
      <c r="I1540" s="750"/>
      <c r="J1540" s="871"/>
      <c r="K1540" s="801"/>
      <c r="L1540" s="899"/>
      <c r="M1540" s="650"/>
      <c r="N1540" s="917"/>
      <c r="O1540" s="646"/>
      <c r="P1540" s="933"/>
      <c r="Q1540" s="646"/>
      <c r="R1540" s="942"/>
      <c r="S1540" s="650"/>
      <c r="T1540" s="934"/>
      <c r="U1540" s="650"/>
      <c r="V1540" s="930"/>
    </row>
    <row r="1541" spans="1:22" s="624" customFormat="1" ht="16.5" customHeight="1">
      <c r="A1541" s="750"/>
      <c r="B1541" s="750"/>
      <c r="C1541" s="750"/>
      <c r="D1541" s="750"/>
      <c r="E1541" s="750"/>
      <c r="F1541" s="750"/>
      <c r="G1541" s="750"/>
      <c r="H1541" s="750"/>
      <c r="I1541" s="750"/>
      <c r="J1541" s="871"/>
      <c r="K1541" s="801"/>
      <c r="L1541" s="899"/>
      <c r="M1541" s="650"/>
      <c r="N1541" s="917"/>
      <c r="O1541" s="646"/>
      <c r="P1541" s="933"/>
      <c r="Q1541" s="646"/>
      <c r="R1541" s="942"/>
      <c r="S1541" s="650"/>
      <c r="T1541" s="934"/>
      <c r="U1541" s="650"/>
      <c r="V1541" s="930"/>
    </row>
    <row r="1542" spans="1:22" s="624" customFormat="1" ht="16.5" customHeight="1">
      <c r="A1542" s="750"/>
      <c r="B1542" s="750"/>
      <c r="C1542" s="750"/>
      <c r="D1542" s="750"/>
      <c r="E1542" s="750"/>
      <c r="F1542" s="750"/>
      <c r="G1542" s="750"/>
      <c r="H1542" s="750"/>
      <c r="I1542" s="750"/>
      <c r="J1542" s="871"/>
      <c r="K1542" s="801"/>
      <c r="L1542" s="899"/>
      <c r="M1542" s="650"/>
      <c r="N1542" s="917"/>
      <c r="O1542" s="646"/>
      <c r="P1542" s="933"/>
      <c r="Q1542" s="646"/>
      <c r="R1542" s="942"/>
      <c r="S1542" s="650"/>
      <c r="T1542" s="934"/>
      <c r="U1542" s="650"/>
      <c r="V1542" s="930"/>
    </row>
    <row r="1543" spans="1:22" s="624" customFormat="1" ht="16.5" customHeight="1">
      <c r="A1543" s="750"/>
      <c r="B1543" s="750"/>
      <c r="C1543" s="750"/>
      <c r="D1543" s="750"/>
      <c r="E1543" s="750"/>
      <c r="F1543" s="750"/>
      <c r="G1543" s="750"/>
      <c r="H1543" s="750"/>
      <c r="I1543" s="750"/>
      <c r="J1543" s="871"/>
      <c r="K1543" s="801"/>
      <c r="L1543" s="899"/>
      <c r="M1543" s="650"/>
      <c r="N1543" s="917"/>
      <c r="O1543" s="646"/>
      <c r="P1543" s="933"/>
      <c r="Q1543" s="646"/>
      <c r="R1543" s="942"/>
      <c r="S1543" s="650"/>
      <c r="T1543" s="934"/>
      <c r="U1543" s="650"/>
      <c r="V1543" s="930"/>
    </row>
    <row r="1544" spans="1:22" s="624" customFormat="1" ht="16.5" customHeight="1">
      <c r="A1544" s="750"/>
      <c r="B1544" s="750"/>
      <c r="C1544" s="750"/>
      <c r="D1544" s="750"/>
      <c r="E1544" s="750"/>
      <c r="F1544" s="750"/>
      <c r="G1544" s="750"/>
      <c r="H1544" s="750"/>
      <c r="I1544" s="750"/>
      <c r="J1544" s="871"/>
      <c r="K1544" s="801"/>
      <c r="L1544" s="899"/>
      <c r="M1544" s="650"/>
      <c r="N1544" s="917"/>
      <c r="O1544" s="646"/>
      <c r="P1544" s="933"/>
      <c r="Q1544" s="646"/>
      <c r="R1544" s="942"/>
      <c r="S1544" s="650"/>
      <c r="T1544" s="934"/>
      <c r="U1544" s="650"/>
      <c r="V1544" s="930"/>
    </row>
    <row r="1545" spans="1:22" s="624" customFormat="1" ht="16.5" customHeight="1">
      <c r="A1545" s="750"/>
      <c r="B1545" s="750"/>
      <c r="C1545" s="750"/>
      <c r="D1545" s="750"/>
      <c r="E1545" s="750"/>
      <c r="F1545" s="750"/>
      <c r="G1545" s="750"/>
      <c r="H1545" s="750"/>
      <c r="I1545" s="750"/>
      <c r="J1545" s="871"/>
      <c r="K1545" s="801"/>
      <c r="L1545" s="899"/>
      <c r="M1545" s="650"/>
      <c r="N1545" s="917"/>
      <c r="O1545" s="646"/>
      <c r="P1545" s="933"/>
      <c r="Q1545" s="646"/>
      <c r="R1545" s="942"/>
      <c r="S1545" s="650"/>
      <c r="T1545" s="934"/>
      <c r="U1545" s="650"/>
      <c r="V1545" s="930"/>
    </row>
    <row r="1546" spans="1:22" s="624" customFormat="1" ht="16.5" customHeight="1">
      <c r="A1546" s="750"/>
      <c r="B1546" s="750"/>
      <c r="C1546" s="750"/>
      <c r="D1546" s="750"/>
      <c r="E1546" s="750"/>
      <c r="F1546" s="750"/>
      <c r="G1546" s="750"/>
      <c r="H1546" s="750"/>
      <c r="I1546" s="750"/>
      <c r="J1546" s="871"/>
      <c r="K1546" s="801"/>
      <c r="L1546" s="899"/>
      <c r="M1546" s="650"/>
      <c r="N1546" s="917"/>
      <c r="O1546" s="646"/>
      <c r="P1546" s="933"/>
      <c r="Q1546" s="646"/>
      <c r="R1546" s="942"/>
      <c r="S1546" s="650"/>
      <c r="T1546" s="934"/>
      <c r="U1546" s="650"/>
      <c r="V1546" s="930"/>
    </row>
    <row r="1547" spans="1:22" s="624" customFormat="1" ht="16.5" customHeight="1">
      <c r="A1547" s="750"/>
      <c r="B1547" s="750"/>
      <c r="C1547" s="750"/>
      <c r="D1547" s="750"/>
      <c r="E1547" s="750"/>
      <c r="F1547" s="750"/>
      <c r="G1547" s="750"/>
      <c r="H1547" s="750"/>
      <c r="I1547" s="750"/>
      <c r="J1547" s="871"/>
      <c r="K1547" s="801"/>
      <c r="L1547" s="899"/>
      <c r="M1547" s="650"/>
      <c r="N1547" s="917"/>
      <c r="O1547" s="646"/>
      <c r="P1547" s="933"/>
      <c r="Q1547" s="646"/>
      <c r="R1547" s="942"/>
      <c r="S1547" s="650"/>
      <c r="T1547" s="934"/>
      <c r="U1547" s="650"/>
      <c r="V1547" s="930"/>
    </row>
    <row r="1548" spans="1:22" s="624" customFormat="1" ht="16.5" customHeight="1">
      <c r="A1548" s="750"/>
      <c r="B1548" s="750"/>
      <c r="C1548" s="750"/>
      <c r="D1548" s="750"/>
      <c r="E1548" s="750"/>
      <c r="F1548" s="750"/>
      <c r="G1548" s="750"/>
      <c r="H1548" s="750"/>
      <c r="I1548" s="750"/>
      <c r="J1548" s="871"/>
      <c r="K1548" s="801"/>
      <c r="L1548" s="899"/>
      <c r="M1548" s="650"/>
      <c r="N1548" s="917"/>
      <c r="O1548" s="646"/>
      <c r="P1548" s="933"/>
      <c r="Q1548" s="646"/>
      <c r="R1548" s="942"/>
      <c r="S1548" s="650"/>
      <c r="T1548" s="934"/>
      <c r="U1548" s="650"/>
      <c r="V1548" s="930"/>
    </row>
    <row r="1549" spans="1:22" s="624" customFormat="1" ht="16.5" customHeight="1">
      <c r="A1549" s="750"/>
      <c r="B1549" s="750"/>
      <c r="C1549" s="750"/>
      <c r="D1549" s="750"/>
      <c r="E1549" s="750"/>
      <c r="F1549" s="750"/>
      <c r="G1549" s="750"/>
      <c r="H1549" s="750"/>
      <c r="I1549" s="750"/>
      <c r="J1549" s="871"/>
      <c r="K1549" s="801"/>
      <c r="L1549" s="899"/>
      <c r="M1549" s="650"/>
      <c r="N1549" s="917"/>
      <c r="O1549" s="646"/>
      <c r="P1549" s="933"/>
      <c r="Q1549" s="646"/>
      <c r="R1549" s="942"/>
      <c r="S1549" s="650"/>
      <c r="T1549" s="934"/>
      <c r="U1549" s="650"/>
      <c r="V1549" s="930"/>
    </row>
    <row r="1550" spans="1:22" s="624" customFormat="1" ht="16.5" customHeight="1">
      <c r="A1550" s="750"/>
      <c r="B1550" s="750"/>
      <c r="C1550" s="750"/>
      <c r="D1550" s="750"/>
      <c r="E1550" s="750"/>
      <c r="F1550" s="750"/>
      <c r="G1550" s="750"/>
      <c r="H1550" s="750"/>
      <c r="I1550" s="750"/>
      <c r="J1550" s="871"/>
      <c r="K1550" s="801"/>
      <c r="L1550" s="899"/>
      <c r="M1550" s="650"/>
      <c r="N1550" s="917"/>
      <c r="O1550" s="646"/>
      <c r="P1550" s="933"/>
      <c r="Q1550" s="646"/>
      <c r="R1550" s="942"/>
      <c r="S1550" s="650"/>
      <c r="T1550" s="934"/>
      <c r="U1550" s="650"/>
      <c r="V1550" s="930"/>
    </row>
    <row r="1551" spans="1:22" s="624" customFormat="1" ht="16.5" customHeight="1">
      <c r="A1551" s="750"/>
      <c r="B1551" s="750"/>
      <c r="C1551" s="750"/>
      <c r="D1551" s="750"/>
      <c r="E1551" s="750"/>
      <c r="F1551" s="750"/>
      <c r="G1551" s="750"/>
      <c r="H1551" s="750"/>
      <c r="I1551" s="750"/>
      <c r="J1551" s="871"/>
      <c r="K1551" s="801"/>
      <c r="L1551" s="899"/>
      <c r="M1551" s="650"/>
      <c r="N1551" s="917"/>
      <c r="O1551" s="646"/>
      <c r="P1551" s="933"/>
      <c r="Q1551" s="646"/>
      <c r="R1551" s="942"/>
      <c r="S1551" s="650"/>
      <c r="T1551" s="934"/>
      <c r="U1551" s="650"/>
      <c r="V1551" s="930"/>
    </row>
    <row r="1552" spans="1:22" s="624" customFormat="1" ht="16.5" customHeight="1">
      <c r="A1552" s="750"/>
      <c r="B1552" s="750"/>
      <c r="C1552" s="750"/>
      <c r="D1552" s="750"/>
      <c r="E1552" s="750"/>
      <c r="F1552" s="750"/>
      <c r="G1552" s="750"/>
      <c r="H1552" s="750"/>
      <c r="I1552" s="750"/>
      <c r="J1552" s="871"/>
      <c r="K1552" s="801"/>
      <c r="L1552" s="899"/>
      <c r="M1552" s="650"/>
      <c r="N1552" s="917"/>
      <c r="O1552" s="646"/>
      <c r="P1552" s="933"/>
      <c r="Q1552" s="646"/>
      <c r="R1552" s="942"/>
      <c r="S1552" s="650"/>
      <c r="T1552" s="934"/>
      <c r="U1552" s="650"/>
      <c r="V1552" s="930"/>
    </row>
    <row r="1553" spans="1:22" s="624" customFormat="1" ht="16.5" customHeight="1">
      <c r="A1553" s="750"/>
      <c r="B1553" s="750"/>
      <c r="C1553" s="750"/>
      <c r="D1553" s="750"/>
      <c r="E1553" s="750"/>
      <c r="F1553" s="750"/>
      <c r="G1553" s="750"/>
      <c r="H1553" s="750"/>
      <c r="I1553" s="750"/>
      <c r="J1553" s="871"/>
      <c r="K1553" s="801"/>
      <c r="L1553" s="899"/>
      <c r="M1553" s="650"/>
      <c r="N1553" s="917"/>
      <c r="O1553" s="646"/>
      <c r="P1553" s="933"/>
      <c r="Q1553" s="646"/>
      <c r="R1553" s="942"/>
      <c r="S1553" s="650"/>
      <c r="T1553" s="934"/>
      <c r="U1553" s="650"/>
      <c r="V1553" s="930"/>
    </row>
    <row r="1554" spans="1:22" s="624" customFormat="1" ht="16.5" customHeight="1">
      <c r="A1554" s="750"/>
      <c r="B1554" s="750"/>
      <c r="C1554" s="750"/>
      <c r="D1554" s="750"/>
      <c r="E1554" s="750"/>
      <c r="F1554" s="750"/>
      <c r="G1554" s="750"/>
      <c r="H1554" s="750"/>
      <c r="I1554" s="750"/>
      <c r="J1554" s="871"/>
      <c r="K1554" s="801"/>
      <c r="L1554" s="899"/>
      <c r="M1554" s="650"/>
      <c r="N1554" s="917"/>
      <c r="O1554" s="646"/>
      <c r="P1554" s="933"/>
      <c r="Q1554" s="646"/>
      <c r="R1554" s="942"/>
      <c r="S1554" s="650"/>
      <c r="T1554" s="934"/>
      <c r="U1554" s="650"/>
      <c r="V1554" s="930"/>
    </row>
    <row r="1555" spans="1:22" s="624" customFormat="1" ht="16.5" customHeight="1">
      <c r="A1555" s="750"/>
      <c r="B1555" s="750"/>
      <c r="C1555" s="750"/>
      <c r="D1555" s="750"/>
      <c r="E1555" s="750"/>
      <c r="F1555" s="750"/>
      <c r="G1555" s="750"/>
      <c r="H1555" s="750"/>
      <c r="I1555" s="750"/>
      <c r="J1555" s="871"/>
      <c r="K1555" s="801"/>
      <c r="L1555" s="899"/>
      <c r="M1555" s="650"/>
      <c r="N1555" s="917"/>
      <c r="O1555" s="646"/>
      <c r="P1555" s="933"/>
      <c r="Q1555" s="646"/>
      <c r="R1555" s="942"/>
      <c r="S1555" s="650"/>
      <c r="T1555" s="934"/>
      <c r="U1555" s="650"/>
      <c r="V1555" s="930"/>
    </row>
    <row r="1556" spans="1:22" s="624" customFormat="1" ht="16.5" customHeight="1">
      <c r="A1556" s="750"/>
      <c r="B1556" s="750"/>
      <c r="C1556" s="750"/>
      <c r="D1556" s="750"/>
      <c r="E1556" s="750"/>
      <c r="F1556" s="750"/>
      <c r="G1556" s="750"/>
      <c r="H1556" s="750"/>
      <c r="I1556" s="750"/>
      <c r="J1556" s="871"/>
      <c r="K1556" s="801"/>
      <c r="L1556" s="899"/>
      <c r="M1556" s="650"/>
      <c r="N1556" s="917"/>
      <c r="O1556" s="646"/>
      <c r="P1556" s="933"/>
      <c r="Q1556" s="646"/>
      <c r="R1556" s="942"/>
      <c r="S1556" s="650"/>
      <c r="T1556" s="934"/>
      <c r="U1556" s="650"/>
      <c r="V1556" s="930"/>
    </row>
    <row r="1557" spans="1:22" s="624" customFormat="1" ht="16.5" customHeight="1">
      <c r="A1557" s="750"/>
      <c r="B1557" s="750"/>
      <c r="C1557" s="750"/>
      <c r="D1557" s="750"/>
      <c r="E1557" s="750"/>
      <c r="F1557" s="750"/>
      <c r="G1557" s="750"/>
      <c r="H1557" s="750"/>
      <c r="I1557" s="750"/>
      <c r="J1557" s="871"/>
      <c r="K1557" s="801"/>
      <c r="L1557" s="899"/>
      <c r="M1557" s="650"/>
      <c r="N1557" s="917"/>
      <c r="O1557" s="646"/>
      <c r="P1557" s="933"/>
      <c r="Q1557" s="646"/>
      <c r="R1557" s="942"/>
      <c r="S1557" s="650"/>
      <c r="T1557" s="934"/>
      <c r="U1557" s="650"/>
      <c r="V1557" s="930"/>
    </row>
    <row r="1558" spans="1:22" s="624" customFormat="1" ht="16.5" customHeight="1">
      <c r="A1558" s="750"/>
      <c r="B1558" s="750"/>
      <c r="C1558" s="750"/>
      <c r="D1558" s="750"/>
      <c r="E1558" s="750"/>
      <c r="F1558" s="750"/>
      <c r="G1558" s="750"/>
      <c r="H1558" s="750"/>
      <c r="I1558" s="750"/>
      <c r="J1558" s="871"/>
      <c r="K1558" s="801"/>
      <c r="L1558" s="899"/>
      <c r="M1558" s="650"/>
      <c r="N1558" s="917"/>
      <c r="O1558" s="646"/>
      <c r="P1558" s="933"/>
      <c r="Q1558" s="646"/>
      <c r="R1558" s="942"/>
      <c r="S1558" s="650"/>
      <c r="T1558" s="934"/>
      <c r="U1558" s="650"/>
      <c r="V1558" s="930"/>
    </row>
    <row r="1559" spans="1:22" s="624" customFormat="1" ht="16.5" customHeight="1">
      <c r="A1559" s="750"/>
      <c r="B1559" s="750"/>
      <c r="C1559" s="750"/>
      <c r="D1559" s="750"/>
      <c r="E1559" s="750"/>
      <c r="F1559" s="750"/>
      <c r="G1559" s="750"/>
      <c r="H1559" s="750"/>
      <c r="I1559" s="750"/>
      <c r="J1559" s="871"/>
      <c r="K1559" s="801"/>
      <c r="L1559" s="899"/>
      <c r="M1559" s="650"/>
      <c r="N1559" s="917"/>
      <c r="O1559" s="646"/>
      <c r="P1559" s="933"/>
      <c r="Q1559" s="646"/>
      <c r="R1559" s="942"/>
      <c r="S1559" s="650"/>
      <c r="T1559" s="934"/>
      <c r="U1559" s="650"/>
      <c r="V1559" s="930"/>
    </row>
    <row r="1560" spans="1:22" s="624" customFormat="1" ht="16.5" customHeight="1">
      <c r="A1560" s="750"/>
      <c r="B1560" s="750"/>
      <c r="C1560" s="750"/>
      <c r="D1560" s="750"/>
      <c r="E1560" s="750"/>
      <c r="F1560" s="750"/>
      <c r="G1560" s="750"/>
      <c r="H1560" s="750"/>
      <c r="I1560" s="750"/>
      <c r="J1560" s="871"/>
      <c r="K1560" s="801"/>
      <c r="L1560" s="899"/>
      <c r="M1560" s="650"/>
      <c r="N1560" s="917"/>
      <c r="O1560" s="646"/>
      <c r="P1560" s="933"/>
      <c r="Q1560" s="646"/>
      <c r="R1560" s="942"/>
      <c r="S1560" s="650"/>
      <c r="T1560" s="934"/>
      <c r="U1560" s="650"/>
      <c r="V1560" s="930"/>
    </row>
    <row r="1561" spans="1:22" s="624" customFormat="1" ht="16.5" customHeight="1">
      <c r="A1561" s="750"/>
      <c r="B1561" s="750"/>
      <c r="C1561" s="750"/>
      <c r="D1561" s="750"/>
      <c r="E1561" s="750"/>
      <c r="F1561" s="750"/>
      <c r="G1561" s="750"/>
      <c r="H1561" s="750"/>
      <c r="I1561" s="750"/>
      <c r="J1561" s="871"/>
      <c r="K1561" s="801"/>
      <c r="L1561" s="899"/>
      <c r="M1561" s="650"/>
      <c r="N1561" s="917"/>
      <c r="O1561" s="646"/>
      <c r="P1561" s="933"/>
      <c r="Q1561" s="646"/>
      <c r="R1561" s="942"/>
      <c r="S1561" s="650"/>
      <c r="T1561" s="934"/>
      <c r="U1561" s="650"/>
      <c r="V1561" s="930"/>
    </row>
    <row r="1562" spans="1:22" s="624" customFormat="1" ht="16.5" customHeight="1">
      <c r="A1562" s="750"/>
      <c r="B1562" s="750"/>
      <c r="C1562" s="750"/>
      <c r="D1562" s="750"/>
      <c r="E1562" s="750"/>
      <c r="F1562" s="750"/>
      <c r="G1562" s="750"/>
      <c r="H1562" s="750"/>
      <c r="I1562" s="750"/>
      <c r="J1562" s="871"/>
      <c r="K1562" s="801"/>
      <c r="L1562" s="899"/>
      <c r="M1562" s="650"/>
      <c r="N1562" s="917"/>
      <c r="O1562" s="646"/>
      <c r="P1562" s="933"/>
      <c r="Q1562" s="646"/>
      <c r="R1562" s="942"/>
      <c r="S1562" s="650"/>
      <c r="T1562" s="934"/>
      <c r="U1562" s="650"/>
      <c r="V1562" s="930"/>
    </row>
    <row r="1563" spans="1:22" s="624" customFormat="1" ht="16.5" customHeight="1">
      <c r="A1563" s="750"/>
      <c r="B1563" s="750"/>
      <c r="C1563" s="750"/>
      <c r="D1563" s="750"/>
      <c r="E1563" s="750"/>
      <c r="F1563" s="750"/>
      <c r="G1563" s="750"/>
      <c r="H1563" s="750"/>
      <c r="I1563" s="750"/>
      <c r="J1563" s="871"/>
      <c r="K1563" s="801"/>
      <c r="L1563" s="899"/>
      <c r="M1563" s="650"/>
      <c r="N1563" s="917"/>
      <c r="O1563" s="646"/>
      <c r="P1563" s="933"/>
      <c r="Q1563" s="646"/>
      <c r="R1563" s="942"/>
      <c r="S1563" s="650"/>
      <c r="T1563" s="934"/>
      <c r="U1563" s="650"/>
      <c r="V1563" s="930"/>
    </row>
    <row r="1564" spans="1:22" s="624" customFormat="1" ht="16.5" customHeight="1">
      <c r="A1564" s="750"/>
      <c r="B1564" s="750"/>
      <c r="C1564" s="750"/>
      <c r="D1564" s="750"/>
      <c r="E1564" s="750"/>
      <c r="F1564" s="750"/>
      <c r="G1564" s="750"/>
      <c r="H1564" s="750"/>
      <c r="I1564" s="750"/>
      <c r="J1564" s="871"/>
      <c r="K1564" s="801"/>
      <c r="L1564" s="899"/>
      <c r="M1564" s="650"/>
      <c r="N1564" s="917"/>
      <c r="O1564" s="646"/>
      <c r="P1564" s="933"/>
      <c r="Q1564" s="646"/>
      <c r="R1564" s="942"/>
      <c r="S1564" s="650"/>
      <c r="T1564" s="934"/>
      <c r="U1564" s="650"/>
      <c r="V1564" s="930"/>
    </row>
    <row r="1565" spans="1:22" s="624" customFormat="1" ht="16.5" customHeight="1">
      <c r="A1565" s="750"/>
      <c r="B1565" s="750"/>
      <c r="C1565" s="750"/>
      <c r="D1565" s="750"/>
      <c r="E1565" s="750"/>
      <c r="F1565" s="750"/>
      <c r="G1565" s="750"/>
      <c r="H1565" s="750"/>
      <c r="I1565" s="750"/>
      <c r="J1565" s="871"/>
      <c r="K1565" s="801"/>
      <c r="L1565" s="899"/>
      <c r="M1565" s="650"/>
      <c r="N1565" s="917"/>
      <c r="O1565" s="646"/>
      <c r="P1565" s="933"/>
      <c r="Q1565" s="646"/>
      <c r="R1565" s="942"/>
      <c r="S1565" s="650"/>
      <c r="T1565" s="934"/>
      <c r="U1565" s="650"/>
      <c r="V1565" s="930"/>
    </row>
    <row r="1566" spans="1:22" s="624" customFormat="1" ht="16.5" customHeight="1">
      <c r="A1566" s="750"/>
      <c r="B1566" s="750"/>
      <c r="C1566" s="750"/>
      <c r="D1566" s="750"/>
      <c r="E1566" s="750"/>
      <c r="F1566" s="750"/>
      <c r="G1566" s="750"/>
      <c r="H1566" s="750"/>
      <c r="I1566" s="750"/>
      <c r="J1566" s="871"/>
      <c r="K1566" s="801"/>
      <c r="L1566" s="899"/>
      <c r="M1566" s="650"/>
      <c r="N1566" s="917"/>
      <c r="O1566" s="646"/>
      <c r="P1566" s="933"/>
      <c r="Q1566" s="646"/>
      <c r="R1566" s="942"/>
      <c r="S1566" s="650"/>
      <c r="T1566" s="934"/>
      <c r="U1566" s="650"/>
      <c r="V1566" s="930"/>
    </row>
    <row r="1567" spans="1:22" s="624" customFormat="1" ht="16.5" customHeight="1">
      <c r="A1567" s="750"/>
      <c r="B1567" s="750"/>
      <c r="C1567" s="750"/>
      <c r="D1567" s="750"/>
      <c r="E1567" s="750"/>
      <c r="F1567" s="750"/>
      <c r="G1567" s="750"/>
      <c r="H1567" s="750"/>
      <c r="I1567" s="750"/>
      <c r="J1567" s="871"/>
      <c r="K1567" s="801"/>
      <c r="L1567" s="899"/>
      <c r="M1567" s="650"/>
      <c r="N1567" s="917"/>
      <c r="O1567" s="646"/>
      <c r="P1567" s="933"/>
      <c r="Q1567" s="646"/>
      <c r="R1567" s="942"/>
      <c r="S1567" s="650"/>
      <c r="T1567" s="934"/>
      <c r="U1567" s="650"/>
      <c r="V1567" s="930"/>
    </row>
    <row r="1568" spans="1:22" s="624" customFormat="1" ht="16.5" customHeight="1">
      <c r="A1568" s="750"/>
      <c r="B1568" s="750"/>
      <c r="C1568" s="750"/>
      <c r="D1568" s="750"/>
      <c r="E1568" s="750"/>
      <c r="F1568" s="750"/>
      <c r="G1568" s="750"/>
      <c r="H1568" s="750"/>
      <c r="I1568" s="750"/>
      <c r="J1568" s="871"/>
      <c r="K1568" s="801"/>
      <c r="L1568" s="899"/>
      <c r="M1568" s="650"/>
      <c r="N1568" s="917"/>
      <c r="O1568" s="646"/>
      <c r="P1568" s="933"/>
      <c r="Q1568" s="646"/>
      <c r="R1568" s="942"/>
      <c r="S1568" s="650"/>
      <c r="T1568" s="934"/>
      <c r="U1568" s="650"/>
      <c r="V1568" s="930"/>
    </row>
    <row r="1569" spans="1:22" s="624" customFormat="1" ht="16.5" customHeight="1">
      <c r="A1569" s="750"/>
      <c r="B1569" s="750"/>
      <c r="C1569" s="750"/>
      <c r="D1569" s="750"/>
      <c r="E1569" s="750"/>
      <c r="F1569" s="750"/>
      <c r="G1569" s="750"/>
      <c r="H1569" s="750"/>
      <c r="I1569" s="750"/>
      <c r="J1569" s="871"/>
      <c r="K1569" s="801"/>
      <c r="L1569" s="899"/>
      <c r="M1569" s="650"/>
      <c r="N1569" s="917"/>
      <c r="O1569" s="646"/>
      <c r="P1569" s="933"/>
      <c r="Q1569" s="646"/>
      <c r="R1569" s="942"/>
      <c r="S1569" s="650"/>
      <c r="T1569" s="934"/>
      <c r="U1569" s="650"/>
      <c r="V1569" s="930"/>
    </row>
    <row r="1570" spans="1:22" s="624" customFormat="1" ht="16.5" customHeight="1">
      <c r="A1570" s="750"/>
      <c r="B1570" s="750"/>
      <c r="C1570" s="750"/>
      <c r="D1570" s="750"/>
      <c r="E1570" s="750"/>
      <c r="F1570" s="750"/>
      <c r="G1570" s="750"/>
      <c r="H1570" s="750"/>
      <c r="I1570" s="750"/>
      <c r="J1570" s="871"/>
      <c r="K1570" s="801"/>
      <c r="L1570" s="899"/>
      <c r="M1570" s="650"/>
      <c r="N1570" s="917"/>
      <c r="O1570" s="646"/>
      <c r="P1570" s="933"/>
      <c r="Q1570" s="646"/>
      <c r="R1570" s="942"/>
      <c r="S1570" s="650"/>
      <c r="T1570" s="934"/>
      <c r="U1570" s="650"/>
      <c r="V1570" s="930"/>
    </row>
    <row r="1571" spans="1:22" s="624" customFormat="1" ht="16.5" customHeight="1">
      <c r="A1571" s="750"/>
      <c r="B1571" s="750"/>
      <c r="C1571" s="750"/>
      <c r="D1571" s="750"/>
      <c r="E1571" s="750"/>
      <c r="F1571" s="750"/>
      <c r="G1571" s="750"/>
      <c r="H1571" s="750"/>
      <c r="I1571" s="750"/>
      <c r="J1571" s="871"/>
      <c r="K1571" s="801"/>
      <c r="L1571" s="899"/>
      <c r="M1571" s="650"/>
      <c r="N1571" s="917"/>
      <c r="O1571" s="646"/>
      <c r="P1571" s="933"/>
      <c r="Q1571" s="646"/>
      <c r="R1571" s="942"/>
      <c r="S1571" s="650"/>
      <c r="T1571" s="934"/>
      <c r="U1571" s="650"/>
      <c r="V1571" s="930"/>
    </row>
    <row r="1572" spans="1:22" s="624" customFormat="1" ht="16.5" customHeight="1">
      <c r="A1572" s="750"/>
      <c r="B1572" s="750"/>
      <c r="C1572" s="750"/>
      <c r="D1572" s="750"/>
      <c r="E1572" s="750"/>
      <c r="F1572" s="750"/>
      <c r="G1572" s="750"/>
      <c r="H1572" s="750"/>
      <c r="I1572" s="750"/>
      <c r="J1572" s="871"/>
      <c r="K1572" s="801"/>
      <c r="L1572" s="899"/>
      <c r="M1572" s="650"/>
      <c r="N1572" s="917"/>
      <c r="O1572" s="646"/>
      <c r="P1572" s="933"/>
      <c r="Q1572" s="646"/>
      <c r="R1572" s="942"/>
      <c r="S1572" s="650"/>
      <c r="T1572" s="934"/>
      <c r="U1572" s="650"/>
      <c r="V1572" s="930"/>
    </row>
    <row r="1573" spans="1:22" s="624" customFormat="1" ht="16.5" customHeight="1">
      <c r="A1573" s="750"/>
      <c r="B1573" s="750"/>
      <c r="C1573" s="750"/>
      <c r="D1573" s="750"/>
      <c r="E1573" s="750"/>
      <c r="F1573" s="750"/>
      <c r="G1573" s="750"/>
      <c r="H1573" s="750"/>
      <c r="I1573" s="750"/>
      <c r="J1573" s="871"/>
      <c r="K1573" s="801"/>
      <c r="L1573" s="899"/>
      <c r="M1573" s="650"/>
      <c r="N1573" s="917"/>
      <c r="O1573" s="646"/>
      <c r="P1573" s="933"/>
      <c r="Q1573" s="646"/>
      <c r="R1573" s="942"/>
      <c r="S1573" s="650"/>
      <c r="T1573" s="934"/>
      <c r="U1573" s="650"/>
      <c r="V1573" s="930"/>
    </row>
    <row r="1574" spans="1:22" s="624" customFormat="1" ht="16.5" customHeight="1">
      <c r="A1574" s="750"/>
      <c r="B1574" s="750"/>
      <c r="C1574" s="750"/>
      <c r="D1574" s="750"/>
      <c r="E1574" s="750"/>
      <c r="F1574" s="750"/>
      <c r="G1574" s="750"/>
      <c r="H1574" s="750"/>
      <c r="I1574" s="750"/>
      <c r="J1574" s="871"/>
      <c r="K1574" s="801"/>
      <c r="L1574" s="899"/>
      <c r="M1574" s="650"/>
      <c r="N1574" s="917"/>
      <c r="O1574" s="646"/>
      <c r="P1574" s="933"/>
      <c r="Q1574" s="646"/>
      <c r="R1574" s="942"/>
      <c r="S1574" s="650"/>
      <c r="T1574" s="934"/>
      <c r="U1574" s="650"/>
      <c r="V1574" s="930"/>
    </row>
    <row r="1575" spans="1:22" s="624" customFormat="1" ht="16.5" customHeight="1">
      <c r="A1575" s="750"/>
      <c r="B1575" s="750"/>
      <c r="C1575" s="750"/>
      <c r="D1575" s="750"/>
      <c r="E1575" s="750"/>
      <c r="F1575" s="750"/>
      <c r="G1575" s="750"/>
      <c r="H1575" s="750"/>
      <c r="I1575" s="750"/>
      <c r="J1575" s="871"/>
      <c r="K1575" s="801"/>
      <c r="L1575" s="899"/>
      <c r="M1575" s="650"/>
      <c r="N1575" s="917"/>
      <c r="O1575" s="646"/>
      <c r="P1575" s="933"/>
      <c r="Q1575" s="646"/>
      <c r="R1575" s="942"/>
      <c r="S1575" s="650"/>
      <c r="T1575" s="934"/>
      <c r="U1575" s="650"/>
      <c r="V1575" s="930"/>
    </row>
    <row r="1576" spans="1:22" s="624" customFormat="1" ht="16.5" customHeight="1">
      <c r="A1576" s="750"/>
      <c r="B1576" s="750"/>
      <c r="C1576" s="750"/>
      <c r="D1576" s="750"/>
      <c r="E1576" s="750"/>
      <c r="F1576" s="750"/>
      <c r="G1576" s="750"/>
      <c r="H1576" s="750"/>
      <c r="I1576" s="750"/>
      <c r="J1576" s="871"/>
      <c r="K1576" s="801"/>
      <c r="L1576" s="899"/>
      <c r="M1576" s="650"/>
      <c r="N1576" s="917"/>
      <c r="O1576" s="646"/>
      <c r="P1576" s="933"/>
      <c r="Q1576" s="646"/>
      <c r="R1576" s="942"/>
      <c r="S1576" s="650"/>
      <c r="T1576" s="934"/>
      <c r="U1576" s="650"/>
      <c r="V1576" s="930"/>
    </row>
    <row r="1577" spans="1:22" s="624" customFormat="1" ht="16.5" customHeight="1">
      <c r="A1577" s="750"/>
      <c r="B1577" s="750"/>
      <c r="C1577" s="750"/>
      <c r="D1577" s="750"/>
      <c r="E1577" s="750"/>
      <c r="F1577" s="750"/>
      <c r="G1577" s="750"/>
      <c r="H1577" s="750"/>
      <c r="I1577" s="750"/>
      <c r="J1577" s="871"/>
      <c r="K1577" s="801"/>
      <c r="L1577" s="899"/>
      <c r="M1577" s="650"/>
      <c r="N1577" s="917"/>
      <c r="O1577" s="646"/>
      <c r="P1577" s="933"/>
      <c r="Q1577" s="646"/>
      <c r="R1577" s="942"/>
      <c r="S1577" s="650"/>
      <c r="T1577" s="934"/>
      <c r="U1577" s="650"/>
      <c r="V1577" s="930"/>
    </row>
    <row r="1578" spans="1:22" s="624" customFormat="1" ht="16.5" customHeight="1">
      <c r="A1578" s="750"/>
      <c r="B1578" s="750"/>
      <c r="C1578" s="750"/>
      <c r="D1578" s="750"/>
      <c r="E1578" s="750"/>
      <c r="F1578" s="750"/>
      <c r="G1578" s="750"/>
      <c r="H1578" s="750"/>
      <c r="I1578" s="750"/>
      <c r="J1578" s="871"/>
      <c r="K1578" s="801"/>
      <c r="L1578" s="899"/>
      <c r="M1578" s="650"/>
      <c r="N1578" s="917"/>
      <c r="O1578" s="646"/>
      <c r="P1578" s="933"/>
      <c r="Q1578" s="646"/>
      <c r="R1578" s="942"/>
      <c r="S1578" s="650"/>
      <c r="T1578" s="934"/>
      <c r="U1578" s="650"/>
      <c r="V1578" s="930"/>
    </row>
    <row r="1579" spans="1:22" s="624" customFormat="1" ht="16.5" customHeight="1">
      <c r="A1579" s="750"/>
      <c r="B1579" s="750"/>
      <c r="C1579" s="750"/>
      <c r="D1579" s="750"/>
      <c r="E1579" s="750"/>
      <c r="F1579" s="750"/>
      <c r="G1579" s="750"/>
      <c r="H1579" s="750"/>
      <c r="I1579" s="750"/>
      <c r="J1579" s="871"/>
      <c r="K1579" s="801"/>
      <c r="L1579" s="899"/>
      <c r="M1579" s="650"/>
      <c r="N1579" s="917"/>
      <c r="O1579" s="646"/>
      <c r="P1579" s="933"/>
      <c r="Q1579" s="646"/>
      <c r="R1579" s="942"/>
      <c r="S1579" s="650"/>
      <c r="T1579" s="934"/>
      <c r="U1579" s="650"/>
      <c r="V1579" s="930"/>
    </row>
    <row r="1580" spans="1:22" s="624" customFormat="1" ht="16.5" customHeight="1">
      <c r="A1580" s="750"/>
      <c r="B1580" s="750"/>
      <c r="C1580" s="750"/>
      <c r="D1580" s="750"/>
      <c r="E1580" s="750"/>
      <c r="F1580" s="750"/>
      <c r="G1580" s="750"/>
      <c r="H1580" s="750"/>
      <c r="I1580" s="750"/>
      <c r="J1580" s="871"/>
      <c r="K1580" s="801"/>
      <c r="L1580" s="899"/>
      <c r="M1580" s="650"/>
      <c r="N1580" s="917"/>
      <c r="O1580" s="646"/>
      <c r="P1580" s="933"/>
      <c r="Q1580" s="646"/>
      <c r="R1580" s="942"/>
      <c r="S1580" s="650"/>
      <c r="T1580" s="934"/>
      <c r="U1580" s="650"/>
      <c r="V1580" s="930"/>
    </row>
    <row r="1581" spans="1:22" s="624" customFormat="1" ht="16.5" customHeight="1">
      <c r="A1581" s="750"/>
      <c r="B1581" s="750"/>
      <c r="C1581" s="750"/>
      <c r="D1581" s="750"/>
      <c r="E1581" s="750"/>
      <c r="F1581" s="750"/>
      <c r="G1581" s="750"/>
      <c r="H1581" s="750"/>
      <c r="I1581" s="750"/>
      <c r="J1581" s="871"/>
      <c r="K1581" s="801"/>
      <c r="L1581" s="899"/>
      <c r="M1581" s="650"/>
      <c r="N1581" s="917"/>
      <c r="O1581" s="646"/>
      <c r="P1581" s="933"/>
      <c r="Q1581" s="646"/>
      <c r="R1581" s="942"/>
      <c r="S1581" s="650"/>
      <c r="T1581" s="934"/>
      <c r="U1581" s="650"/>
      <c r="V1581" s="930"/>
    </row>
    <row r="1582" spans="1:22" s="624" customFormat="1" ht="16.5" customHeight="1">
      <c r="A1582" s="750"/>
      <c r="B1582" s="750"/>
      <c r="C1582" s="750"/>
      <c r="D1582" s="750"/>
      <c r="E1582" s="750"/>
      <c r="F1582" s="750"/>
      <c r="G1582" s="750"/>
      <c r="H1582" s="750"/>
      <c r="I1582" s="750"/>
      <c r="J1582" s="871"/>
      <c r="K1582" s="801"/>
      <c r="L1582" s="899"/>
      <c r="M1582" s="650"/>
      <c r="N1582" s="917"/>
      <c r="O1582" s="646"/>
      <c r="P1582" s="933"/>
      <c r="Q1582" s="646"/>
      <c r="R1582" s="942"/>
      <c r="S1582" s="650"/>
      <c r="T1582" s="934"/>
      <c r="U1582" s="650"/>
      <c r="V1582" s="930"/>
    </row>
    <row r="1583" spans="1:22" s="624" customFormat="1" ht="16.5" customHeight="1">
      <c r="A1583" s="750"/>
      <c r="B1583" s="750"/>
      <c r="C1583" s="750"/>
      <c r="D1583" s="750"/>
      <c r="E1583" s="750"/>
      <c r="F1583" s="750"/>
      <c r="G1583" s="750"/>
      <c r="H1583" s="750"/>
      <c r="I1583" s="750"/>
      <c r="J1583" s="871"/>
      <c r="K1583" s="801"/>
      <c r="L1583" s="899"/>
      <c r="M1583" s="650"/>
      <c r="N1583" s="917"/>
      <c r="O1583" s="646"/>
      <c r="P1583" s="933"/>
      <c r="Q1583" s="646"/>
      <c r="R1583" s="942"/>
      <c r="S1583" s="650"/>
      <c r="T1583" s="934"/>
      <c r="U1583" s="650"/>
      <c r="V1583" s="930"/>
    </row>
    <row r="1584" spans="1:22" s="624" customFormat="1" ht="16.5" customHeight="1">
      <c r="A1584" s="750"/>
      <c r="B1584" s="750"/>
      <c r="C1584" s="750"/>
      <c r="D1584" s="750"/>
      <c r="E1584" s="750"/>
      <c r="F1584" s="750"/>
      <c r="G1584" s="750"/>
      <c r="H1584" s="750"/>
      <c r="I1584" s="750"/>
      <c r="J1584" s="871"/>
      <c r="K1584" s="801"/>
      <c r="L1584" s="899"/>
      <c r="M1584" s="650"/>
      <c r="N1584" s="917"/>
      <c r="O1584" s="646"/>
      <c r="P1584" s="933"/>
      <c r="Q1584" s="646"/>
      <c r="R1584" s="942"/>
      <c r="S1584" s="650"/>
      <c r="T1584" s="934"/>
      <c r="U1584" s="650"/>
      <c r="V1584" s="930"/>
    </row>
    <row r="1585" spans="1:22" s="624" customFormat="1" ht="16.5" customHeight="1">
      <c r="A1585" s="750"/>
      <c r="B1585" s="750"/>
      <c r="C1585" s="750"/>
      <c r="D1585" s="750"/>
      <c r="E1585" s="750"/>
      <c r="F1585" s="750"/>
      <c r="G1585" s="750"/>
      <c r="H1585" s="750"/>
      <c r="I1585" s="750"/>
      <c r="J1585" s="871"/>
      <c r="K1585" s="801"/>
      <c r="L1585" s="899"/>
      <c r="M1585" s="650"/>
      <c r="N1585" s="917"/>
      <c r="O1585" s="646"/>
      <c r="P1585" s="933"/>
      <c r="Q1585" s="646"/>
      <c r="R1585" s="942"/>
      <c r="S1585" s="650"/>
      <c r="T1585" s="934"/>
      <c r="U1585" s="650"/>
      <c r="V1585" s="930"/>
    </row>
    <row r="1586" spans="1:22" s="624" customFormat="1" ht="16.5" customHeight="1">
      <c r="A1586" s="750"/>
      <c r="B1586" s="750"/>
      <c r="C1586" s="750"/>
      <c r="D1586" s="750"/>
      <c r="E1586" s="750"/>
      <c r="F1586" s="750"/>
      <c r="G1586" s="750"/>
      <c r="H1586" s="750"/>
      <c r="I1586" s="750"/>
      <c r="J1586" s="871"/>
      <c r="K1586" s="801"/>
      <c r="L1586" s="899"/>
      <c r="M1586" s="650"/>
      <c r="N1586" s="917"/>
      <c r="O1586" s="646"/>
      <c r="P1586" s="933"/>
      <c r="Q1586" s="646"/>
      <c r="R1586" s="942"/>
      <c r="S1586" s="650"/>
      <c r="T1586" s="934"/>
      <c r="U1586" s="650"/>
      <c r="V1586" s="930"/>
    </row>
    <row r="1587" spans="1:22" s="624" customFormat="1" ht="16.5" customHeight="1">
      <c r="A1587" s="750"/>
      <c r="B1587" s="750"/>
      <c r="C1587" s="750"/>
      <c r="D1587" s="750"/>
      <c r="E1587" s="750"/>
      <c r="F1587" s="750"/>
      <c r="G1587" s="750"/>
      <c r="H1587" s="750"/>
      <c r="I1587" s="750"/>
      <c r="J1587" s="871"/>
      <c r="K1587" s="801"/>
      <c r="L1587" s="899"/>
      <c r="M1587" s="650"/>
      <c r="N1587" s="917"/>
      <c r="O1587" s="646"/>
      <c r="P1587" s="933"/>
      <c r="Q1587" s="646"/>
      <c r="R1587" s="942"/>
      <c r="S1587" s="650"/>
      <c r="T1587" s="934"/>
      <c r="U1587" s="650"/>
      <c r="V1587" s="930"/>
    </row>
    <row r="1588" spans="1:22" s="624" customFormat="1" ht="16.5" customHeight="1">
      <c r="A1588" s="750"/>
      <c r="B1588" s="750"/>
      <c r="C1588" s="750"/>
      <c r="D1588" s="750"/>
      <c r="E1588" s="750"/>
      <c r="F1588" s="750"/>
      <c r="G1588" s="750"/>
      <c r="H1588" s="750"/>
      <c r="I1588" s="750"/>
      <c r="J1588" s="871"/>
      <c r="K1588" s="801"/>
      <c r="L1588" s="899"/>
      <c r="M1588" s="650"/>
      <c r="N1588" s="917"/>
      <c r="O1588" s="646"/>
      <c r="P1588" s="933"/>
      <c r="Q1588" s="646"/>
      <c r="R1588" s="942"/>
      <c r="S1588" s="650"/>
      <c r="T1588" s="934"/>
      <c r="U1588" s="650"/>
      <c r="V1588" s="930"/>
    </row>
    <row r="1589" spans="1:22" s="624" customFormat="1" ht="16.5" customHeight="1">
      <c r="A1589" s="750"/>
      <c r="B1589" s="750"/>
      <c r="C1589" s="750"/>
      <c r="D1589" s="750"/>
      <c r="E1589" s="750"/>
      <c r="F1589" s="750"/>
      <c r="G1589" s="750"/>
      <c r="H1589" s="750"/>
      <c r="I1589" s="750"/>
      <c r="J1589" s="871"/>
      <c r="K1589" s="801"/>
      <c r="L1589" s="899"/>
      <c r="M1589" s="650"/>
      <c r="N1589" s="917"/>
      <c r="O1589" s="646"/>
      <c r="P1589" s="933"/>
      <c r="Q1589" s="646"/>
      <c r="R1589" s="942"/>
      <c r="S1589" s="650"/>
      <c r="T1589" s="934"/>
      <c r="U1589" s="650"/>
      <c r="V1589" s="930"/>
    </row>
    <row r="1590" spans="1:22" s="624" customFormat="1" ht="16.5" customHeight="1">
      <c r="A1590" s="750"/>
      <c r="B1590" s="750"/>
      <c r="C1590" s="750"/>
      <c r="D1590" s="750"/>
      <c r="E1590" s="750"/>
      <c r="F1590" s="750"/>
      <c r="G1590" s="750"/>
      <c r="H1590" s="750"/>
      <c r="I1590" s="750"/>
      <c r="J1590" s="871"/>
      <c r="K1590" s="801"/>
      <c r="L1590" s="899"/>
      <c r="M1590" s="650"/>
      <c r="N1590" s="917"/>
      <c r="O1590" s="646"/>
      <c r="P1590" s="933"/>
      <c r="Q1590" s="646"/>
      <c r="R1590" s="942"/>
      <c r="S1590" s="650"/>
      <c r="T1590" s="934"/>
      <c r="U1590" s="650"/>
      <c r="V1590" s="930"/>
    </row>
    <row r="1591" spans="1:22" s="624" customFormat="1" ht="16.5" customHeight="1">
      <c r="A1591" s="750"/>
      <c r="B1591" s="750"/>
      <c r="C1591" s="750"/>
      <c r="D1591" s="750"/>
      <c r="E1591" s="750"/>
      <c r="F1591" s="750"/>
      <c r="G1591" s="750"/>
      <c r="H1591" s="750"/>
      <c r="I1591" s="750"/>
      <c r="J1591" s="871"/>
      <c r="K1591" s="801"/>
      <c r="L1591" s="899"/>
      <c r="M1591" s="650"/>
      <c r="N1591" s="917"/>
      <c r="O1591" s="646"/>
      <c r="P1591" s="933"/>
      <c r="Q1591" s="646"/>
      <c r="R1591" s="942"/>
      <c r="S1591" s="650"/>
      <c r="T1591" s="934"/>
      <c r="U1591" s="650"/>
      <c r="V1591" s="930"/>
    </row>
    <row r="1592" spans="1:22" s="624" customFormat="1" ht="16.5" customHeight="1">
      <c r="A1592" s="750"/>
      <c r="B1592" s="750"/>
      <c r="C1592" s="750"/>
      <c r="D1592" s="750"/>
      <c r="E1592" s="750"/>
      <c r="F1592" s="750"/>
      <c r="G1592" s="750"/>
      <c r="H1592" s="750"/>
      <c r="I1592" s="750"/>
      <c r="J1592" s="871"/>
      <c r="K1592" s="801"/>
      <c r="L1592" s="899"/>
      <c r="M1592" s="650"/>
      <c r="N1592" s="917"/>
      <c r="O1592" s="646"/>
      <c r="P1592" s="933"/>
      <c r="Q1592" s="646"/>
      <c r="R1592" s="942"/>
      <c r="S1592" s="650"/>
      <c r="T1592" s="934"/>
      <c r="U1592" s="650"/>
      <c r="V1592" s="930"/>
    </row>
    <row r="1593" spans="1:22" s="624" customFormat="1" ht="16.5" customHeight="1">
      <c r="A1593" s="750"/>
      <c r="B1593" s="750"/>
      <c r="C1593" s="750"/>
      <c r="D1593" s="750"/>
      <c r="E1593" s="750"/>
      <c r="F1593" s="750"/>
      <c r="G1593" s="750"/>
      <c r="H1593" s="750"/>
      <c r="I1593" s="750"/>
      <c r="J1593" s="871"/>
      <c r="K1593" s="801"/>
      <c r="L1593" s="899"/>
      <c r="M1593" s="650"/>
      <c r="N1593" s="917"/>
      <c r="O1593" s="646"/>
      <c r="P1593" s="933"/>
      <c r="Q1593" s="646"/>
      <c r="R1593" s="942"/>
      <c r="S1593" s="650"/>
      <c r="T1593" s="934"/>
      <c r="U1593" s="650"/>
      <c r="V1593" s="930"/>
    </row>
    <row r="1594" spans="1:22" s="624" customFormat="1" ht="16.5" customHeight="1">
      <c r="A1594" s="750"/>
      <c r="B1594" s="750"/>
      <c r="C1594" s="750"/>
      <c r="D1594" s="750"/>
      <c r="E1594" s="750"/>
      <c r="F1594" s="750"/>
      <c r="G1594" s="750"/>
      <c r="H1594" s="750"/>
      <c r="I1594" s="750"/>
      <c r="J1594" s="871"/>
      <c r="K1594" s="801"/>
      <c r="L1594" s="899"/>
      <c r="M1594" s="650"/>
      <c r="N1594" s="917"/>
      <c r="O1594" s="646"/>
      <c r="P1594" s="933"/>
      <c r="Q1594" s="646"/>
      <c r="R1594" s="942"/>
      <c r="S1594" s="650"/>
      <c r="T1594" s="934"/>
      <c r="U1594" s="650"/>
      <c r="V1594" s="930"/>
    </row>
    <row r="1595" spans="1:22" s="624" customFormat="1" ht="16.5" customHeight="1">
      <c r="A1595" s="750"/>
      <c r="B1595" s="750"/>
      <c r="C1595" s="750"/>
      <c r="D1595" s="750"/>
      <c r="E1595" s="750"/>
      <c r="F1595" s="750"/>
      <c r="G1595" s="750"/>
      <c r="H1595" s="750"/>
      <c r="I1595" s="750"/>
      <c r="J1595" s="871"/>
      <c r="K1595" s="801"/>
      <c r="L1595" s="899"/>
      <c r="M1595" s="650"/>
      <c r="N1595" s="917"/>
      <c r="O1595" s="646"/>
      <c r="P1595" s="933"/>
      <c r="Q1595" s="646"/>
      <c r="R1595" s="942"/>
      <c r="S1595" s="650"/>
      <c r="T1595" s="934"/>
      <c r="U1595" s="650"/>
      <c r="V1595" s="930"/>
    </row>
    <row r="1596" spans="1:22" s="624" customFormat="1" ht="16.5" customHeight="1">
      <c r="A1596" s="750"/>
      <c r="B1596" s="750"/>
      <c r="C1596" s="750"/>
      <c r="D1596" s="750"/>
      <c r="E1596" s="750"/>
      <c r="F1596" s="750"/>
      <c r="G1596" s="750"/>
      <c r="H1596" s="750"/>
      <c r="I1596" s="750"/>
      <c r="J1596" s="871"/>
      <c r="K1596" s="801"/>
      <c r="L1596" s="899"/>
      <c r="M1596" s="650"/>
      <c r="N1596" s="917"/>
      <c r="O1596" s="646"/>
      <c r="P1596" s="933"/>
      <c r="Q1596" s="646"/>
      <c r="R1596" s="942"/>
      <c r="S1596" s="650"/>
      <c r="T1596" s="934"/>
      <c r="U1596" s="650"/>
      <c r="V1596" s="930"/>
    </row>
    <row r="1597" spans="1:22" s="624" customFormat="1" ht="16.5" customHeight="1">
      <c r="A1597" s="750"/>
      <c r="B1597" s="750"/>
      <c r="C1597" s="750"/>
      <c r="D1597" s="750"/>
      <c r="E1597" s="750"/>
      <c r="F1597" s="750"/>
      <c r="G1597" s="750"/>
      <c r="H1597" s="750"/>
      <c r="I1597" s="750"/>
      <c r="J1597" s="871"/>
      <c r="K1597" s="801"/>
      <c r="L1597" s="899"/>
      <c r="M1597" s="650"/>
      <c r="N1597" s="917"/>
      <c r="O1597" s="646"/>
      <c r="P1597" s="933"/>
      <c r="Q1597" s="646"/>
      <c r="R1597" s="942"/>
      <c r="S1597" s="650"/>
      <c r="T1597" s="934"/>
      <c r="U1597" s="650"/>
      <c r="V1597" s="930"/>
    </row>
    <row r="1598" spans="1:22" s="624" customFormat="1" ht="16.5" customHeight="1">
      <c r="A1598" s="750"/>
      <c r="B1598" s="750"/>
      <c r="C1598" s="750"/>
      <c r="D1598" s="750"/>
      <c r="E1598" s="750"/>
      <c r="F1598" s="750"/>
      <c r="G1598" s="750"/>
      <c r="H1598" s="750"/>
      <c r="I1598" s="750"/>
      <c r="J1598" s="871"/>
      <c r="K1598" s="801"/>
      <c r="L1598" s="899"/>
      <c r="M1598" s="650"/>
      <c r="N1598" s="917"/>
      <c r="O1598" s="646"/>
      <c r="P1598" s="933"/>
      <c r="Q1598" s="646"/>
      <c r="R1598" s="942"/>
      <c r="S1598" s="650"/>
      <c r="T1598" s="934"/>
      <c r="U1598" s="650"/>
      <c r="V1598" s="930"/>
    </row>
    <row r="1599" spans="1:22" s="624" customFormat="1" ht="16.5" customHeight="1">
      <c r="A1599" s="750"/>
      <c r="B1599" s="750"/>
      <c r="C1599" s="750"/>
      <c r="D1599" s="750"/>
      <c r="E1599" s="750"/>
      <c r="F1599" s="750"/>
      <c r="G1599" s="750"/>
      <c r="H1599" s="750"/>
      <c r="I1599" s="750"/>
      <c r="J1599" s="871"/>
      <c r="K1599" s="801"/>
      <c r="L1599" s="899"/>
      <c r="M1599" s="650"/>
      <c r="N1599" s="917"/>
      <c r="O1599" s="646"/>
      <c r="P1599" s="933"/>
      <c r="Q1599" s="646"/>
      <c r="R1599" s="942"/>
      <c r="S1599" s="650"/>
      <c r="T1599" s="934"/>
      <c r="U1599" s="650"/>
      <c r="V1599" s="930"/>
    </row>
    <row r="1600" spans="1:22" s="624" customFormat="1" ht="16.5" customHeight="1">
      <c r="A1600" s="750"/>
      <c r="B1600" s="750"/>
      <c r="C1600" s="750"/>
      <c r="D1600" s="750"/>
      <c r="E1600" s="750"/>
      <c r="F1600" s="750"/>
      <c r="G1600" s="750"/>
      <c r="H1600" s="750"/>
      <c r="I1600" s="750"/>
      <c r="J1600" s="871"/>
      <c r="K1600" s="801"/>
      <c r="L1600" s="899"/>
      <c r="M1600" s="650"/>
      <c r="N1600" s="917"/>
      <c r="O1600" s="646"/>
      <c r="P1600" s="933"/>
      <c r="Q1600" s="646"/>
      <c r="R1600" s="942"/>
      <c r="S1600" s="650"/>
      <c r="T1600" s="934"/>
      <c r="U1600" s="650"/>
      <c r="V1600" s="930"/>
    </row>
    <row r="1601" spans="1:22" s="624" customFormat="1" ht="16.5" customHeight="1">
      <c r="A1601" s="750"/>
      <c r="B1601" s="750"/>
      <c r="C1601" s="750"/>
      <c r="D1601" s="750"/>
      <c r="E1601" s="750"/>
      <c r="F1601" s="750"/>
      <c r="G1601" s="750"/>
      <c r="H1601" s="750"/>
      <c r="I1601" s="750"/>
      <c r="J1601" s="871"/>
      <c r="K1601" s="801"/>
      <c r="L1601" s="899"/>
      <c r="M1601" s="650"/>
      <c r="N1601" s="917"/>
      <c r="O1601" s="646"/>
      <c r="P1601" s="933"/>
      <c r="Q1601" s="646"/>
      <c r="R1601" s="942"/>
      <c r="S1601" s="650"/>
      <c r="T1601" s="934"/>
      <c r="U1601" s="650"/>
      <c r="V1601" s="930"/>
    </row>
    <row r="1602" spans="1:22" s="624" customFormat="1" ht="16.5" customHeight="1">
      <c r="A1602" s="750"/>
      <c r="B1602" s="750"/>
      <c r="C1602" s="750"/>
      <c r="D1602" s="750"/>
      <c r="E1602" s="750"/>
      <c r="F1602" s="750"/>
      <c r="G1602" s="750"/>
      <c r="H1602" s="750"/>
      <c r="I1602" s="750"/>
      <c r="J1602" s="871"/>
      <c r="K1602" s="801"/>
      <c r="L1602" s="899"/>
      <c r="M1602" s="650"/>
      <c r="N1602" s="917"/>
      <c r="O1602" s="646"/>
      <c r="P1602" s="933"/>
      <c r="Q1602" s="646"/>
      <c r="R1602" s="942"/>
      <c r="S1602" s="650"/>
      <c r="T1602" s="934"/>
      <c r="U1602" s="650"/>
      <c r="V1602" s="930"/>
    </row>
    <row r="1603" spans="1:22" s="624" customFormat="1" ht="16.5" customHeight="1">
      <c r="A1603" s="750"/>
      <c r="B1603" s="750"/>
      <c r="C1603" s="750"/>
      <c r="D1603" s="750"/>
      <c r="E1603" s="750"/>
      <c r="F1603" s="750"/>
      <c r="G1603" s="750"/>
      <c r="H1603" s="750"/>
      <c r="I1603" s="750"/>
      <c r="J1603" s="871"/>
      <c r="K1603" s="801"/>
      <c r="L1603" s="899"/>
      <c r="M1603" s="650"/>
      <c r="N1603" s="917"/>
      <c r="O1603" s="646"/>
      <c r="P1603" s="933"/>
      <c r="Q1603" s="646"/>
      <c r="R1603" s="942"/>
      <c r="S1603" s="650"/>
      <c r="T1603" s="934"/>
      <c r="U1603" s="650"/>
      <c r="V1603" s="930"/>
    </row>
    <row r="1604" spans="1:22" s="624" customFormat="1" ht="16.5" customHeight="1">
      <c r="A1604" s="750"/>
      <c r="B1604" s="750"/>
      <c r="C1604" s="750"/>
      <c r="D1604" s="750"/>
      <c r="E1604" s="750"/>
      <c r="F1604" s="750"/>
      <c r="G1604" s="750"/>
      <c r="H1604" s="750"/>
      <c r="I1604" s="750"/>
      <c r="J1604" s="871"/>
      <c r="K1604" s="801"/>
      <c r="L1604" s="899"/>
      <c r="M1604" s="650"/>
      <c r="N1604" s="917"/>
      <c r="O1604" s="646"/>
      <c r="P1604" s="933"/>
      <c r="Q1604" s="646"/>
      <c r="R1604" s="942"/>
      <c r="S1604" s="650"/>
      <c r="T1604" s="934"/>
      <c r="U1604" s="650"/>
      <c r="V1604" s="930"/>
    </row>
    <row r="1605" spans="1:22" s="624" customFormat="1" ht="16.5" customHeight="1">
      <c r="A1605" s="750"/>
      <c r="B1605" s="750"/>
      <c r="C1605" s="750"/>
      <c r="D1605" s="750"/>
      <c r="E1605" s="750"/>
      <c r="F1605" s="750"/>
      <c r="G1605" s="750"/>
      <c r="H1605" s="750"/>
      <c r="I1605" s="750"/>
      <c r="J1605" s="871"/>
      <c r="K1605" s="801"/>
      <c r="L1605" s="899"/>
      <c r="M1605" s="650"/>
      <c r="N1605" s="917"/>
      <c r="O1605" s="646"/>
      <c r="P1605" s="933"/>
      <c r="Q1605" s="646"/>
      <c r="R1605" s="942"/>
      <c r="S1605" s="650"/>
      <c r="T1605" s="934"/>
      <c r="U1605" s="650"/>
      <c r="V1605" s="930"/>
    </row>
    <row r="1606" spans="1:22" s="624" customFormat="1" ht="16.5" customHeight="1">
      <c r="A1606" s="750"/>
      <c r="B1606" s="750"/>
      <c r="C1606" s="750"/>
      <c r="D1606" s="750"/>
      <c r="E1606" s="750"/>
      <c r="F1606" s="750"/>
      <c r="G1606" s="750"/>
      <c r="H1606" s="750"/>
      <c r="I1606" s="750"/>
      <c r="J1606" s="871"/>
      <c r="K1606" s="801"/>
      <c r="L1606" s="899"/>
      <c r="M1606" s="650"/>
      <c r="N1606" s="917"/>
      <c r="O1606" s="646"/>
      <c r="P1606" s="933"/>
      <c r="Q1606" s="646"/>
      <c r="R1606" s="942"/>
      <c r="S1606" s="650"/>
      <c r="T1606" s="934"/>
      <c r="U1606" s="650"/>
      <c r="V1606" s="930"/>
    </row>
    <row r="1607" spans="1:22" s="624" customFormat="1" ht="16.5" customHeight="1">
      <c r="A1607" s="750"/>
      <c r="B1607" s="750"/>
      <c r="C1607" s="750"/>
      <c r="D1607" s="750"/>
      <c r="E1607" s="750"/>
      <c r="F1607" s="750"/>
      <c r="G1607" s="750"/>
      <c r="H1607" s="750"/>
      <c r="I1607" s="750"/>
      <c r="J1607" s="871"/>
      <c r="K1607" s="801"/>
      <c r="L1607" s="899"/>
      <c r="M1607" s="650"/>
      <c r="N1607" s="917"/>
      <c r="O1607" s="646"/>
      <c r="P1607" s="933"/>
      <c r="Q1607" s="646"/>
      <c r="R1607" s="942"/>
      <c r="S1607" s="650"/>
      <c r="T1607" s="934"/>
      <c r="U1607" s="650"/>
      <c r="V1607" s="930"/>
    </row>
    <row r="1608" spans="1:22" s="624" customFormat="1" ht="16.5" customHeight="1">
      <c r="A1608" s="750"/>
      <c r="B1608" s="750"/>
      <c r="C1608" s="750"/>
      <c r="D1608" s="750"/>
      <c r="E1608" s="750"/>
      <c r="F1608" s="750"/>
      <c r="G1608" s="750"/>
      <c r="H1608" s="750"/>
      <c r="I1608" s="750"/>
      <c r="J1608" s="871"/>
      <c r="K1608" s="801"/>
      <c r="L1608" s="899"/>
      <c r="M1608" s="650"/>
      <c r="N1608" s="917"/>
      <c r="O1608" s="646"/>
      <c r="P1608" s="933"/>
      <c r="Q1608" s="646"/>
      <c r="R1608" s="942"/>
      <c r="S1608" s="650"/>
      <c r="T1608" s="934"/>
      <c r="U1608" s="650"/>
      <c r="V1608" s="930"/>
    </row>
    <row r="1609" spans="1:22" s="624" customFormat="1" ht="16.5" customHeight="1">
      <c r="A1609" s="750"/>
      <c r="B1609" s="750"/>
      <c r="C1609" s="750"/>
      <c r="D1609" s="750"/>
      <c r="E1609" s="750"/>
      <c r="F1609" s="750"/>
      <c r="G1609" s="750"/>
      <c r="H1609" s="750"/>
      <c r="I1609" s="750"/>
      <c r="J1609" s="871"/>
      <c r="K1609" s="801"/>
      <c r="L1609" s="899"/>
      <c r="M1609" s="650"/>
      <c r="N1609" s="917"/>
      <c r="O1609" s="646"/>
      <c r="P1609" s="933"/>
      <c r="Q1609" s="646"/>
      <c r="R1609" s="942"/>
      <c r="S1609" s="650"/>
      <c r="T1609" s="934"/>
      <c r="U1609" s="650"/>
      <c r="V1609" s="930"/>
    </row>
    <row r="1610" spans="1:22" s="624" customFormat="1" ht="16.5" customHeight="1">
      <c r="A1610" s="750"/>
      <c r="B1610" s="750"/>
      <c r="C1610" s="750"/>
      <c r="D1610" s="750"/>
      <c r="E1610" s="750"/>
      <c r="F1610" s="750"/>
      <c r="G1610" s="750"/>
      <c r="H1610" s="750"/>
      <c r="I1610" s="750"/>
      <c r="J1610" s="871"/>
      <c r="K1610" s="801"/>
      <c r="L1610" s="899"/>
      <c r="M1610" s="650"/>
      <c r="N1610" s="917"/>
      <c r="O1610" s="646"/>
      <c r="P1610" s="933"/>
      <c r="Q1610" s="646"/>
      <c r="R1610" s="942"/>
      <c r="S1610" s="650"/>
      <c r="T1610" s="934"/>
      <c r="U1610" s="650"/>
      <c r="V1610" s="930"/>
    </row>
    <row r="1611" spans="1:22" s="624" customFormat="1" ht="16.5" customHeight="1">
      <c r="A1611" s="750"/>
      <c r="B1611" s="750"/>
      <c r="C1611" s="750"/>
      <c r="D1611" s="750"/>
      <c r="E1611" s="750"/>
      <c r="F1611" s="750"/>
      <c r="G1611" s="750"/>
      <c r="H1611" s="750"/>
      <c r="I1611" s="750"/>
      <c r="J1611" s="871"/>
      <c r="K1611" s="801"/>
      <c r="L1611" s="899"/>
      <c r="M1611" s="650"/>
      <c r="N1611" s="917"/>
      <c r="O1611" s="646"/>
      <c r="P1611" s="933"/>
      <c r="Q1611" s="646"/>
      <c r="R1611" s="942"/>
      <c r="S1611" s="650"/>
      <c r="T1611" s="934"/>
      <c r="U1611" s="650"/>
      <c r="V1611" s="930"/>
    </row>
    <row r="1612" spans="1:22" s="624" customFormat="1" ht="16.5" customHeight="1">
      <c r="A1612" s="750"/>
      <c r="B1612" s="750"/>
      <c r="C1612" s="750"/>
      <c r="D1612" s="750"/>
      <c r="E1612" s="750"/>
      <c r="F1612" s="750"/>
      <c r="G1612" s="750"/>
      <c r="H1612" s="750"/>
      <c r="I1612" s="750"/>
      <c r="J1612" s="871"/>
      <c r="K1612" s="801"/>
      <c r="L1612" s="899"/>
      <c r="M1612" s="650"/>
      <c r="N1612" s="917"/>
      <c r="O1612" s="646"/>
      <c r="P1612" s="933"/>
      <c r="Q1612" s="646"/>
      <c r="R1612" s="942"/>
      <c r="S1612" s="650"/>
      <c r="T1612" s="934"/>
      <c r="U1612" s="650"/>
      <c r="V1612" s="930"/>
    </row>
    <row r="1613" spans="1:22" s="624" customFormat="1" ht="16.5" customHeight="1">
      <c r="A1613" s="750"/>
      <c r="B1613" s="750"/>
      <c r="C1613" s="750"/>
      <c r="D1613" s="750"/>
      <c r="E1613" s="750"/>
      <c r="F1613" s="750"/>
      <c r="G1613" s="750"/>
      <c r="H1613" s="750"/>
      <c r="I1613" s="750"/>
      <c r="J1613" s="871"/>
      <c r="K1613" s="801"/>
      <c r="L1613" s="899"/>
      <c r="M1613" s="650"/>
      <c r="N1613" s="917"/>
      <c r="O1613" s="646"/>
      <c r="P1613" s="933"/>
      <c r="Q1613" s="646"/>
      <c r="R1613" s="942"/>
      <c r="S1613" s="650"/>
      <c r="T1613" s="934"/>
      <c r="U1613" s="650"/>
      <c r="V1613" s="930"/>
    </row>
    <row r="1614" spans="1:22" s="624" customFormat="1" ht="16.5" customHeight="1">
      <c r="A1614" s="750"/>
      <c r="B1614" s="750"/>
      <c r="C1614" s="750"/>
      <c r="D1614" s="750"/>
      <c r="E1614" s="750"/>
      <c r="F1614" s="750"/>
      <c r="G1614" s="750"/>
      <c r="H1614" s="750"/>
      <c r="I1614" s="750"/>
      <c r="J1614" s="871"/>
      <c r="K1614" s="801"/>
      <c r="L1614" s="899"/>
      <c r="M1614" s="650"/>
      <c r="N1614" s="917"/>
      <c r="O1614" s="646"/>
      <c r="P1614" s="933"/>
      <c r="Q1614" s="646"/>
      <c r="R1614" s="942"/>
      <c r="S1614" s="650"/>
      <c r="T1614" s="934"/>
      <c r="U1614" s="650"/>
      <c r="V1614" s="930"/>
    </row>
    <row r="1615" spans="1:22" s="624" customFormat="1" ht="16.5" customHeight="1">
      <c r="A1615" s="750"/>
      <c r="B1615" s="750"/>
      <c r="C1615" s="750"/>
      <c r="D1615" s="750"/>
      <c r="E1615" s="750"/>
      <c r="F1615" s="750"/>
      <c r="G1615" s="750"/>
      <c r="H1615" s="750"/>
      <c r="I1615" s="750"/>
      <c r="J1615" s="871"/>
      <c r="K1615" s="801"/>
      <c r="L1615" s="899"/>
      <c r="M1615" s="650"/>
      <c r="N1615" s="917"/>
      <c r="O1615" s="646"/>
      <c r="P1615" s="933"/>
      <c r="Q1615" s="646"/>
      <c r="R1615" s="942"/>
      <c r="S1615" s="650"/>
      <c r="T1615" s="934"/>
      <c r="U1615" s="650"/>
      <c r="V1615" s="930"/>
    </row>
    <row r="1616" spans="1:22" s="624" customFormat="1" ht="16.5" customHeight="1">
      <c r="A1616" s="750"/>
      <c r="B1616" s="750"/>
      <c r="C1616" s="750"/>
      <c r="D1616" s="750"/>
      <c r="E1616" s="750"/>
      <c r="F1616" s="750"/>
      <c r="G1616" s="750"/>
      <c r="H1616" s="750"/>
      <c r="I1616" s="750"/>
      <c r="J1616" s="871"/>
      <c r="K1616" s="801"/>
      <c r="L1616" s="899"/>
      <c r="M1616" s="650"/>
      <c r="N1616" s="917"/>
      <c r="O1616" s="646"/>
      <c r="P1616" s="933"/>
      <c r="Q1616" s="646"/>
      <c r="R1616" s="942"/>
      <c r="S1616" s="650"/>
      <c r="T1616" s="934"/>
      <c r="U1616" s="650"/>
      <c r="V1616" s="930"/>
    </row>
    <row r="1617" spans="1:22" s="624" customFormat="1" ht="16.5" customHeight="1">
      <c r="A1617" s="750"/>
      <c r="B1617" s="750"/>
      <c r="C1617" s="750"/>
      <c r="D1617" s="750"/>
      <c r="E1617" s="750"/>
      <c r="F1617" s="750"/>
      <c r="G1617" s="750"/>
      <c r="H1617" s="750"/>
      <c r="I1617" s="750"/>
      <c r="J1617" s="871"/>
      <c r="K1617" s="801"/>
      <c r="L1617" s="899"/>
      <c r="M1617" s="650"/>
      <c r="N1617" s="917"/>
      <c r="O1617" s="646"/>
      <c r="P1617" s="933"/>
      <c r="Q1617" s="646"/>
      <c r="R1617" s="942"/>
      <c r="S1617" s="650"/>
      <c r="T1617" s="934"/>
      <c r="U1617" s="650"/>
      <c r="V1617" s="930"/>
    </row>
    <row r="1618" spans="1:22" s="624" customFormat="1" ht="16.5" customHeight="1">
      <c r="A1618" s="750"/>
      <c r="B1618" s="750"/>
      <c r="C1618" s="750"/>
      <c r="D1618" s="750"/>
      <c r="E1618" s="750"/>
      <c r="F1618" s="750"/>
      <c r="G1618" s="750"/>
      <c r="H1618" s="750"/>
      <c r="I1618" s="750"/>
      <c r="J1618" s="871"/>
      <c r="K1618" s="801"/>
      <c r="L1618" s="899"/>
      <c r="M1618" s="650"/>
      <c r="N1618" s="917"/>
      <c r="O1618" s="646"/>
      <c r="P1618" s="933"/>
      <c r="Q1618" s="646"/>
      <c r="R1618" s="942"/>
      <c r="S1618" s="650"/>
      <c r="T1618" s="934"/>
      <c r="U1618" s="650"/>
      <c r="V1618" s="930"/>
    </row>
    <row r="1619" spans="1:22" s="624" customFormat="1" ht="16.5" customHeight="1">
      <c r="A1619" s="750"/>
      <c r="B1619" s="750"/>
      <c r="C1619" s="750"/>
      <c r="D1619" s="750"/>
      <c r="E1619" s="750"/>
      <c r="F1619" s="750"/>
      <c r="G1619" s="750"/>
      <c r="H1619" s="750"/>
      <c r="I1619" s="750"/>
      <c r="J1619" s="871"/>
      <c r="K1619" s="801"/>
      <c r="L1619" s="899"/>
      <c r="M1619" s="650"/>
      <c r="N1619" s="917"/>
      <c r="O1619" s="646"/>
      <c r="P1619" s="933"/>
      <c r="Q1619" s="646"/>
      <c r="R1619" s="942"/>
      <c r="S1619" s="650"/>
      <c r="T1619" s="934"/>
      <c r="U1619" s="650"/>
      <c r="V1619" s="930"/>
    </row>
    <row r="1620" spans="1:22" s="624" customFormat="1" ht="16.5" customHeight="1">
      <c r="A1620" s="750"/>
      <c r="B1620" s="750"/>
      <c r="C1620" s="750"/>
      <c r="D1620" s="750"/>
      <c r="E1620" s="750"/>
      <c r="F1620" s="750"/>
      <c r="G1620" s="750"/>
      <c r="H1620" s="750"/>
      <c r="I1620" s="750"/>
      <c r="J1620" s="871"/>
      <c r="K1620" s="801"/>
      <c r="L1620" s="899"/>
      <c r="M1620" s="650"/>
      <c r="N1620" s="917"/>
      <c r="O1620" s="646"/>
      <c r="P1620" s="933"/>
      <c r="Q1620" s="646"/>
      <c r="R1620" s="942"/>
      <c r="S1620" s="650"/>
      <c r="T1620" s="934"/>
      <c r="U1620" s="650"/>
      <c r="V1620" s="930"/>
    </row>
    <row r="1621" spans="1:22" s="624" customFormat="1" ht="16.5" customHeight="1">
      <c r="A1621" s="750"/>
      <c r="B1621" s="750"/>
      <c r="C1621" s="750"/>
      <c r="D1621" s="750"/>
      <c r="E1621" s="750"/>
      <c r="F1621" s="750"/>
      <c r="G1621" s="750"/>
      <c r="H1621" s="750"/>
      <c r="I1621" s="750"/>
      <c r="J1621" s="871"/>
      <c r="K1621" s="801"/>
      <c r="L1621" s="899"/>
      <c r="M1621" s="650"/>
      <c r="N1621" s="917"/>
      <c r="O1621" s="646"/>
      <c r="P1621" s="933"/>
      <c r="Q1621" s="646"/>
      <c r="R1621" s="942"/>
      <c r="S1621" s="650"/>
      <c r="T1621" s="934"/>
      <c r="U1621" s="650"/>
      <c r="V1621" s="930"/>
    </row>
    <row r="1622" spans="1:22" s="624" customFormat="1" ht="16.5" customHeight="1">
      <c r="A1622" s="750"/>
      <c r="B1622" s="750"/>
      <c r="C1622" s="750"/>
      <c r="D1622" s="750"/>
      <c r="E1622" s="750"/>
      <c r="F1622" s="750"/>
      <c r="G1622" s="750"/>
      <c r="H1622" s="750"/>
      <c r="I1622" s="750"/>
      <c r="J1622" s="871"/>
      <c r="K1622" s="801"/>
      <c r="L1622" s="899"/>
      <c r="M1622" s="650"/>
      <c r="N1622" s="917"/>
      <c r="O1622" s="646"/>
      <c r="P1622" s="933"/>
      <c r="Q1622" s="646"/>
      <c r="R1622" s="942"/>
      <c r="S1622" s="650"/>
      <c r="T1622" s="934"/>
      <c r="U1622" s="650"/>
      <c r="V1622" s="930"/>
    </row>
    <row r="1623" spans="1:22" s="624" customFormat="1" ht="16.5" customHeight="1">
      <c r="A1623" s="750"/>
      <c r="B1623" s="750"/>
      <c r="C1623" s="750"/>
      <c r="D1623" s="750"/>
      <c r="E1623" s="750"/>
      <c r="F1623" s="750"/>
      <c r="G1623" s="750"/>
      <c r="H1623" s="750"/>
      <c r="I1623" s="750"/>
      <c r="J1623" s="871"/>
      <c r="K1623" s="801"/>
      <c r="L1623" s="899"/>
      <c r="M1623" s="650"/>
      <c r="N1623" s="917"/>
      <c r="O1623" s="646"/>
      <c r="P1623" s="933"/>
      <c r="Q1623" s="646"/>
      <c r="R1623" s="942"/>
      <c r="S1623" s="650"/>
      <c r="T1623" s="934"/>
      <c r="U1623" s="650"/>
      <c r="V1623" s="930"/>
    </row>
    <row r="1624" spans="1:22" s="624" customFormat="1" ht="16.5" customHeight="1">
      <c r="A1624" s="750"/>
      <c r="B1624" s="750"/>
      <c r="C1624" s="750"/>
      <c r="D1624" s="750"/>
      <c r="E1624" s="750"/>
      <c r="F1624" s="750"/>
      <c r="G1624" s="750"/>
      <c r="H1624" s="750"/>
      <c r="I1624" s="750"/>
      <c r="J1624" s="871"/>
      <c r="K1624" s="801"/>
      <c r="L1624" s="899"/>
      <c r="M1624" s="650"/>
      <c r="N1624" s="917"/>
      <c r="O1624" s="646"/>
      <c r="P1624" s="933"/>
      <c r="Q1624" s="646"/>
      <c r="R1624" s="942"/>
      <c r="S1624" s="650"/>
      <c r="T1624" s="934"/>
      <c r="U1624" s="650"/>
      <c r="V1624" s="930"/>
    </row>
    <row r="1625" spans="1:22" s="624" customFormat="1" ht="16.5" customHeight="1">
      <c r="A1625" s="750"/>
      <c r="B1625" s="750"/>
      <c r="C1625" s="750"/>
      <c r="D1625" s="750"/>
      <c r="E1625" s="750"/>
      <c r="F1625" s="750"/>
      <c r="G1625" s="750"/>
      <c r="H1625" s="750"/>
      <c r="I1625" s="750"/>
      <c r="J1625" s="871"/>
      <c r="K1625" s="801"/>
      <c r="L1625" s="899"/>
      <c r="M1625" s="650"/>
      <c r="N1625" s="917"/>
      <c r="O1625" s="646"/>
      <c r="P1625" s="933"/>
      <c r="Q1625" s="646"/>
      <c r="R1625" s="942"/>
      <c r="S1625" s="650"/>
      <c r="T1625" s="934"/>
      <c r="U1625" s="650"/>
      <c r="V1625" s="930"/>
    </row>
    <row r="1626" spans="1:22" s="624" customFormat="1" ht="16.5" customHeight="1">
      <c r="A1626" s="750"/>
      <c r="B1626" s="750"/>
      <c r="C1626" s="750"/>
      <c r="D1626" s="750"/>
      <c r="E1626" s="750"/>
      <c r="F1626" s="750"/>
      <c r="G1626" s="750"/>
      <c r="H1626" s="750"/>
      <c r="I1626" s="750"/>
      <c r="J1626" s="871"/>
      <c r="K1626" s="801"/>
      <c r="L1626" s="899"/>
      <c r="M1626" s="650"/>
      <c r="N1626" s="917"/>
      <c r="O1626" s="646"/>
      <c r="P1626" s="933"/>
      <c r="Q1626" s="646"/>
      <c r="R1626" s="942"/>
      <c r="S1626" s="650"/>
      <c r="T1626" s="934"/>
      <c r="U1626" s="650"/>
      <c r="V1626" s="930"/>
    </row>
    <row r="1627" spans="1:22" s="624" customFormat="1" ht="16.5" customHeight="1">
      <c r="A1627" s="750"/>
      <c r="B1627" s="750"/>
      <c r="C1627" s="750"/>
      <c r="D1627" s="750"/>
      <c r="E1627" s="750"/>
      <c r="F1627" s="750"/>
      <c r="G1627" s="750"/>
      <c r="H1627" s="750"/>
      <c r="I1627" s="750"/>
      <c r="J1627" s="871"/>
      <c r="K1627" s="801"/>
      <c r="L1627" s="899"/>
      <c r="M1627" s="650"/>
      <c r="N1627" s="917"/>
      <c r="O1627" s="646"/>
      <c r="P1627" s="933"/>
      <c r="Q1627" s="646"/>
      <c r="R1627" s="942"/>
      <c r="S1627" s="650"/>
      <c r="T1627" s="934"/>
      <c r="U1627" s="650"/>
      <c r="V1627" s="930"/>
    </row>
    <row r="1628" spans="1:22" s="624" customFormat="1" ht="16.5" customHeight="1">
      <c r="A1628" s="750"/>
      <c r="B1628" s="750"/>
      <c r="C1628" s="750"/>
      <c r="D1628" s="750"/>
      <c r="E1628" s="750"/>
      <c r="F1628" s="750"/>
      <c r="G1628" s="750"/>
      <c r="H1628" s="750"/>
      <c r="I1628" s="750"/>
      <c r="J1628" s="871"/>
      <c r="K1628" s="801"/>
      <c r="L1628" s="899"/>
      <c r="M1628" s="650"/>
      <c r="N1628" s="917"/>
      <c r="O1628" s="646"/>
      <c r="P1628" s="933"/>
      <c r="Q1628" s="646"/>
      <c r="R1628" s="942"/>
      <c r="S1628" s="650"/>
      <c r="T1628" s="934"/>
      <c r="U1628" s="650"/>
      <c r="V1628" s="930"/>
    </row>
    <row r="1629" spans="1:22" s="624" customFormat="1" ht="16.5" customHeight="1">
      <c r="A1629" s="750"/>
      <c r="B1629" s="750"/>
      <c r="C1629" s="750"/>
      <c r="D1629" s="750"/>
      <c r="E1629" s="750"/>
      <c r="F1629" s="750"/>
      <c r="G1629" s="750"/>
      <c r="H1629" s="750"/>
      <c r="I1629" s="750"/>
      <c r="J1629" s="871"/>
      <c r="K1629" s="801"/>
      <c r="L1629" s="899"/>
      <c r="M1629" s="650"/>
      <c r="N1629" s="917"/>
      <c r="O1629" s="646"/>
      <c r="P1629" s="933"/>
      <c r="Q1629" s="646"/>
      <c r="R1629" s="942"/>
      <c r="S1629" s="650"/>
      <c r="T1629" s="934"/>
      <c r="U1629" s="650"/>
      <c r="V1629" s="930"/>
    </row>
    <row r="1630" spans="1:22" s="624" customFormat="1" ht="16.5" customHeight="1">
      <c r="A1630" s="750"/>
      <c r="B1630" s="750"/>
      <c r="C1630" s="750"/>
      <c r="D1630" s="750"/>
      <c r="E1630" s="750"/>
      <c r="F1630" s="750"/>
      <c r="G1630" s="750"/>
      <c r="H1630" s="750"/>
      <c r="I1630" s="750"/>
      <c r="J1630" s="871"/>
      <c r="K1630" s="801"/>
      <c r="L1630" s="899"/>
      <c r="M1630" s="650"/>
      <c r="N1630" s="917"/>
      <c r="O1630" s="646"/>
      <c r="P1630" s="933"/>
      <c r="Q1630" s="646"/>
      <c r="R1630" s="942"/>
      <c r="S1630" s="650"/>
      <c r="T1630" s="934"/>
      <c r="U1630" s="650"/>
      <c r="V1630" s="930"/>
    </row>
    <row r="1631" spans="1:22" s="624" customFormat="1" ht="16.5" customHeight="1">
      <c r="A1631" s="750"/>
      <c r="B1631" s="750"/>
      <c r="C1631" s="750"/>
      <c r="D1631" s="750"/>
      <c r="E1631" s="750"/>
      <c r="F1631" s="750"/>
      <c r="G1631" s="750"/>
      <c r="H1631" s="750"/>
      <c r="I1631" s="750"/>
      <c r="J1631" s="871"/>
      <c r="K1631" s="801"/>
      <c r="L1631" s="899"/>
      <c r="M1631" s="650"/>
      <c r="N1631" s="917"/>
      <c r="O1631" s="646"/>
      <c r="P1631" s="933"/>
      <c r="Q1631" s="646"/>
      <c r="R1631" s="942"/>
      <c r="S1631" s="650"/>
      <c r="T1631" s="934"/>
      <c r="U1631" s="650"/>
      <c r="V1631" s="930"/>
    </row>
    <row r="1632" spans="1:22" s="624" customFormat="1" ht="16.5" customHeight="1">
      <c r="A1632" s="750"/>
      <c r="B1632" s="750"/>
      <c r="C1632" s="750"/>
      <c r="D1632" s="750"/>
      <c r="E1632" s="750"/>
      <c r="F1632" s="750"/>
      <c r="G1632" s="750"/>
      <c r="H1632" s="750"/>
      <c r="I1632" s="750"/>
      <c r="J1632" s="871"/>
      <c r="K1632" s="801"/>
      <c r="L1632" s="899"/>
      <c r="M1632" s="650"/>
      <c r="N1632" s="917"/>
      <c r="O1632" s="646"/>
      <c r="P1632" s="933"/>
      <c r="Q1632" s="646"/>
      <c r="R1632" s="942"/>
      <c r="S1632" s="650"/>
      <c r="T1632" s="934"/>
      <c r="U1632" s="650"/>
      <c r="V1632" s="930"/>
    </row>
    <row r="1633" spans="1:22" s="624" customFormat="1" ht="16.5" customHeight="1">
      <c r="A1633" s="750"/>
      <c r="B1633" s="750"/>
      <c r="C1633" s="750"/>
      <c r="D1633" s="750"/>
      <c r="E1633" s="750"/>
      <c r="F1633" s="750"/>
      <c r="G1633" s="750"/>
      <c r="H1633" s="750"/>
      <c r="I1633" s="750"/>
      <c r="J1633" s="871"/>
      <c r="K1633" s="801"/>
      <c r="L1633" s="899"/>
      <c r="M1633" s="650"/>
      <c r="N1633" s="917"/>
      <c r="O1633" s="646"/>
      <c r="P1633" s="933"/>
      <c r="Q1633" s="646"/>
      <c r="R1633" s="942"/>
      <c r="S1633" s="650"/>
      <c r="T1633" s="934"/>
      <c r="U1633" s="650"/>
      <c r="V1633" s="930"/>
    </row>
    <row r="1634" spans="1:22" s="624" customFormat="1" ht="16.5" customHeight="1">
      <c r="A1634" s="750"/>
      <c r="B1634" s="750"/>
      <c r="C1634" s="750"/>
      <c r="D1634" s="750"/>
      <c r="E1634" s="750"/>
      <c r="F1634" s="750"/>
      <c r="G1634" s="750"/>
      <c r="H1634" s="750"/>
      <c r="I1634" s="750"/>
      <c r="J1634" s="871"/>
      <c r="K1634" s="801"/>
      <c r="L1634" s="899"/>
      <c r="M1634" s="650"/>
      <c r="N1634" s="917"/>
      <c r="O1634" s="646"/>
      <c r="P1634" s="933"/>
      <c r="Q1634" s="646"/>
      <c r="R1634" s="942"/>
      <c r="S1634" s="650"/>
      <c r="T1634" s="934"/>
      <c r="U1634" s="650"/>
      <c r="V1634" s="930"/>
    </row>
    <row r="1635" spans="1:22" s="624" customFormat="1" ht="16.5" customHeight="1">
      <c r="A1635" s="750"/>
      <c r="B1635" s="750"/>
      <c r="C1635" s="750"/>
      <c r="D1635" s="750"/>
      <c r="E1635" s="750"/>
      <c r="F1635" s="750"/>
      <c r="G1635" s="750"/>
      <c r="H1635" s="750"/>
      <c r="I1635" s="750"/>
      <c r="J1635" s="871"/>
      <c r="K1635" s="801"/>
      <c r="L1635" s="899"/>
      <c r="M1635" s="650"/>
      <c r="N1635" s="917"/>
      <c r="O1635" s="646"/>
      <c r="P1635" s="933"/>
      <c r="Q1635" s="646"/>
      <c r="R1635" s="942"/>
      <c r="S1635" s="650"/>
      <c r="T1635" s="934"/>
      <c r="U1635" s="650"/>
      <c r="V1635" s="930"/>
    </row>
    <row r="1636" spans="1:22" s="624" customFormat="1" ht="16.5" customHeight="1">
      <c r="A1636" s="750"/>
      <c r="B1636" s="750"/>
      <c r="C1636" s="750"/>
      <c r="D1636" s="750"/>
      <c r="E1636" s="750"/>
      <c r="F1636" s="750"/>
      <c r="G1636" s="750"/>
      <c r="H1636" s="750"/>
      <c r="I1636" s="750"/>
      <c r="J1636" s="871"/>
      <c r="K1636" s="801"/>
      <c r="L1636" s="899"/>
      <c r="M1636" s="650"/>
      <c r="N1636" s="917"/>
      <c r="O1636" s="646"/>
      <c r="P1636" s="933"/>
      <c r="Q1636" s="646"/>
      <c r="R1636" s="942"/>
      <c r="S1636" s="650"/>
      <c r="T1636" s="934"/>
      <c r="U1636" s="650"/>
      <c r="V1636" s="930"/>
    </row>
    <row r="1637" spans="1:22" s="624" customFormat="1" ht="16.5" customHeight="1">
      <c r="A1637" s="750"/>
      <c r="B1637" s="750"/>
      <c r="C1637" s="750"/>
      <c r="D1637" s="750"/>
      <c r="E1637" s="750"/>
      <c r="F1637" s="750"/>
      <c r="G1637" s="750"/>
      <c r="H1637" s="750"/>
      <c r="I1637" s="750"/>
      <c r="J1637" s="871"/>
      <c r="K1637" s="801"/>
      <c r="L1637" s="899"/>
      <c r="M1637" s="650"/>
      <c r="N1637" s="917"/>
      <c r="O1637" s="646"/>
      <c r="P1637" s="933"/>
      <c r="Q1637" s="646"/>
      <c r="R1637" s="942"/>
      <c r="S1637" s="650"/>
      <c r="T1637" s="934"/>
      <c r="U1637" s="650"/>
      <c r="V1637" s="930"/>
    </row>
    <row r="1638" spans="1:22" s="624" customFormat="1" ht="16.5" customHeight="1">
      <c r="A1638" s="750"/>
      <c r="B1638" s="750"/>
      <c r="C1638" s="750"/>
      <c r="D1638" s="750"/>
      <c r="E1638" s="750"/>
      <c r="F1638" s="750"/>
      <c r="G1638" s="750"/>
      <c r="H1638" s="750"/>
      <c r="I1638" s="750"/>
      <c r="J1638" s="871"/>
      <c r="K1638" s="801"/>
      <c r="L1638" s="899"/>
      <c r="M1638" s="650"/>
      <c r="N1638" s="917"/>
      <c r="O1638" s="646"/>
      <c r="P1638" s="933"/>
      <c r="Q1638" s="646"/>
      <c r="R1638" s="942"/>
      <c r="S1638" s="650"/>
      <c r="T1638" s="934"/>
      <c r="U1638" s="650"/>
      <c r="V1638" s="930"/>
    </row>
    <row r="1639" spans="1:22" s="624" customFormat="1" ht="16.5" customHeight="1">
      <c r="A1639" s="750"/>
      <c r="B1639" s="750"/>
      <c r="C1639" s="750"/>
      <c r="D1639" s="750"/>
      <c r="E1639" s="750"/>
      <c r="F1639" s="750"/>
      <c r="G1639" s="750"/>
      <c r="H1639" s="750"/>
      <c r="I1639" s="750"/>
      <c r="J1639" s="871"/>
      <c r="K1639" s="801"/>
      <c r="L1639" s="899"/>
      <c r="M1639" s="650"/>
      <c r="N1639" s="917"/>
      <c r="O1639" s="646"/>
      <c r="P1639" s="933"/>
      <c r="Q1639" s="646"/>
      <c r="R1639" s="942"/>
      <c r="S1639" s="650"/>
      <c r="T1639" s="934"/>
      <c r="U1639" s="650"/>
      <c r="V1639" s="930"/>
    </row>
    <row r="1640" spans="1:22" s="624" customFormat="1" ht="16.5" customHeight="1">
      <c r="A1640" s="750"/>
      <c r="B1640" s="750"/>
      <c r="C1640" s="750"/>
      <c r="D1640" s="750"/>
      <c r="E1640" s="750"/>
      <c r="F1640" s="750"/>
      <c r="G1640" s="750"/>
      <c r="H1640" s="750"/>
      <c r="I1640" s="750"/>
      <c r="J1640" s="871"/>
      <c r="K1640" s="801"/>
      <c r="L1640" s="899"/>
      <c r="M1640" s="650"/>
      <c r="N1640" s="917"/>
      <c r="O1640" s="646"/>
      <c r="P1640" s="933"/>
      <c r="Q1640" s="646"/>
      <c r="R1640" s="942"/>
      <c r="S1640" s="650"/>
      <c r="T1640" s="934"/>
      <c r="U1640" s="650"/>
      <c r="V1640" s="930"/>
    </row>
    <row r="1641" spans="1:22" s="624" customFormat="1" ht="16.5" customHeight="1">
      <c r="A1641" s="750"/>
      <c r="B1641" s="750"/>
      <c r="C1641" s="750"/>
      <c r="D1641" s="750"/>
      <c r="E1641" s="750"/>
      <c r="F1641" s="750"/>
      <c r="G1641" s="750"/>
      <c r="H1641" s="750"/>
      <c r="I1641" s="750"/>
      <c r="J1641" s="871"/>
      <c r="K1641" s="801"/>
      <c r="L1641" s="899"/>
      <c r="M1641" s="650"/>
      <c r="N1641" s="917"/>
      <c r="O1641" s="646"/>
      <c r="P1641" s="933"/>
      <c r="Q1641" s="646"/>
      <c r="R1641" s="942"/>
      <c r="S1641" s="650"/>
      <c r="T1641" s="934"/>
      <c r="U1641" s="650"/>
      <c r="V1641" s="930"/>
    </row>
    <row r="1642" spans="1:22" s="624" customFormat="1" ht="16.5" customHeight="1">
      <c r="A1642" s="750"/>
      <c r="B1642" s="750"/>
      <c r="C1642" s="750"/>
      <c r="D1642" s="750"/>
      <c r="E1642" s="750"/>
      <c r="F1642" s="750"/>
      <c r="G1642" s="750"/>
      <c r="H1642" s="750"/>
      <c r="I1642" s="750"/>
      <c r="J1642" s="871"/>
      <c r="K1642" s="801"/>
      <c r="L1642" s="899"/>
      <c r="M1642" s="650"/>
      <c r="N1642" s="917"/>
      <c r="O1642" s="646"/>
      <c r="P1642" s="933"/>
      <c r="Q1642" s="646"/>
      <c r="R1642" s="942"/>
      <c r="S1642" s="650"/>
      <c r="T1642" s="934"/>
      <c r="U1642" s="650"/>
      <c r="V1642" s="930"/>
    </row>
    <row r="1643" spans="1:22" s="624" customFormat="1" ht="16.5" customHeight="1">
      <c r="A1643" s="750"/>
      <c r="B1643" s="750"/>
      <c r="C1643" s="750"/>
      <c r="D1643" s="750"/>
      <c r="E1643" s="750"/>
      <c r="F1643" s="750"/>
      <c r="G1643" s="750"/>
      <c r="H1643" s="750"/>
      <c r="I1643" s="750"/>
      <c r="J1643" s="871"/>
      <c r="K1643" s="801"/>
      <c r="L1643" s="899"/>
      <c r="M1643" s="650"/>
      <c r="N1643" s="917"/>
      <c r="O1643" s="646"/>
      <c r="P1643" s="933"/>
      <c r="Q1643" s="646"/>
      <c r="R1643" s="942"/>
      <c r="S1643" s="650"/>
      <c r="T1643" s="934"/>
      <c r="U1643" s="650"/>
      <c r="V1643" s="930"/>
    </row>
    <row r="1644" spans="1:22" s="624" customFormat="1" ht="16.5" customHeight="1">
      <c r="A1644" s="750"/>
      <c r="B1644" s="750"/>
      <c r="C1644" s="750"/>
      <c r="D1644" s="750"/>
      <c r="E1644" s="750"/>
      <c r="F1644" s="750"/>
      <c r="G1644" s="750"/>
      <c r="H1644" s="750"/>
      <c r="I1644" s="750"/>
      <c r="J1644" s="871"/>
      <c r="K1644" s="801"/>
      <c r="L1644" s="899"/>
      <c r="M1644" s="650"/>
      <c r="N1644" s="917"/>
      <c r="O1644" s="646"/>
      <c r="P1644" s="933"/>
      <c r="Q1644" s="646"/>
      <c r="R1644" s="942"/>
      <c r="S1644" s="650"/>
      <c r="T1644" s="934"/>
      <c r="U1644" s="650"/>
      <c r="V1644" s="930"/>
    </row>
    <row r="1645" spans="1:22" s="624" customFormat="1" ht="16.5" customHeight="1">
      <c r="A1645" s="750"/>
      <c r="B1645" s="750"/>
      <c r="C1645" s="750"/>
      <c r="D1645" s="750"/>
      <c r="E1645" s="750"/>
      <c r="F1645" s="750"/>
      <c r="G1645" s="750"/>
      <c r="H1645" s="750"/>
      <c r="I1645" s="750"/>
      <c r="J1645" s="871"/>
      <c r="K1645" s="801"/>
      <c r="L1645" s="899"/>
      <c r="M1645" s="650"/>
      <c r="N1645" s="917"/>
      <c r="O1645" s="646"/>
      <c r="P1645" s="933"/>
      <c r="Q1645" s="646"/>
      <c r="R1645" s="942"/>
      <c r="S1645" s="650"/>
      <c r="T1645" s="934"/>
      <c r="U1645" s="650"/>
      <c r="V1645" s="930"/>
    </row>
    <row r="1646" spans="1:22" s="624" customFormat="1" ht="16.5" customHeight="1">
      <c r="A1646" s="750"/>
      <c r="B1646" s="750"/>
      <c r="C1646" s="750"/>
      <c r="D1646" s="750"/>
      <c r="E1646" s="750"/>
      <c r="F1646" s="750"/>
      <c r="G1646" s="750"/>
      <c r="H1646" s="750"/>
      <c r="I1646" s="750"/>
      <c r="J1646" s="871"/>
      <c r="K1646" s="801"/>
      <c r="L1646" s="899"/>
      <c r="M1646" s="650"/>
      <c r="N1646" s="917"/>
      <c r="O1646" s="646"/>
      <c r="P1646" s="933"/>
      <c r="Q1646" s="646"/>
      <c r="R1646" s="942"/>
      <c r="S1646" s="650"/>
      <c r="T1646" s="934"/>
      <c r="U1646" s="650"/>
      <c r="V1646" s="930"/>
    </row>
    <row r="1647" spans="1:22" s="624" customFormat="1" ht="16.5" customHeight="1">
      <c r="A1647" s="750"/>
      <c r="B1647" s="750"/>
      <c r="C1647" s="750"/>
      <c r="D1647" s="750"/>
      <c r="E1647" s="750"/>
      <c r="F1647" s="750"/>
      <c r="G1647" s="750"/>
      <c r="H1647" s="750"/>
      <c r="I1647" s="750"/>
      <c r="J1647" s="871"/>
      <c r="K1647" s="801"/>
      <c r="L1647" s="899"/>
      <c r="M1647" s="650"/>
      <c r="N1647" s="917"/>
      <c r="O1647" s="646"/>
      <c r="P1647" s="933"/>
      <c r="Q1647" s="646"/>
      <c r="R1647" s="942"/>
      <c r="S1647" s="650"/>
      <c r="T1647" s="934"/>
      <c r="U1647" s="650"/>
      <c r="V1647" s="930"/>
    </row>
    <row r="1648" spans="1:22" s="624" customFormat="1" ht="16.5" customHeight="1">
      <c r="A1648" s="750"/>
      <c r="B1648" s="750"/>
      <c r="C1648" s="750"/>
      <c r="D1648" s="750"/>
      <c r="E1648" s="750"/>
      <c r="F1648" s="750"/>
      <c r="G1648" s="750"/>
      <c r="H1648" s="750"/>
      <c r="I1648" s="750"/>
      <c r="J1648" s="871"/>
      <c r="K1648" s="801"/>
      <c r="L1648" s="899"/>
      <c r="M1648" s="650"/>
      <c r="N1648" s="917"/>
      <c r="O1648" s="646"/>
      <c r="P1648" s="933"/>
      <c r="Q1648" s="646"/>
      <c r="R1648" s="942"/>
      <c r="S1648" s="650"/>
      <c r="T1648" s="934"/>
      <c r="U1648" s="650"/>
      <c r="V1648" s="930"/>
    </row>
    <row r="1649" spans="1:22" s="624" customFormat="1" ht="16.5" customHeight="1">
      <c r="A1649" s="750"/>
      <c r="B1649" s="750"/>
      <c r="C1649" s="750"/>
      <c r="D1649" s="750"/>
      <c r="E1649" s="750"/>
      <c r="F1649" s="750"/>
      <c r="G1649" s="750"/>
      <c r="H1649" s="750"/>
      <c r="I1649" s="750"/>
      <c r="J1649" s="871"/>
      <c r="K1649" s="801"/>
      <c r="L1649" s="899"/>
      <c r="M1649" s="650"/>
      <c r="N1649" s="917"/>
      <c r="O1649" s="646"/>
      <c r="P1649" s="933"/>
      <c r="Q1649" s="646"/>
      <c r="R1649" s="942"/>
      <c r="S1649" s="650"/>
      <c r="T1649" s="934"/>
      <c r="U1649" s="650"/>
      <c r="V1649" s="930"/>
    </row>
    <row r="1650" spans="1:22" s="624" customFormat="1" ht="16.5" customHeight="1">
      <c r="A1650" s="750"/>
      <c r="B1650" s="750"/>
      <c r="C1650" s="750"/>
      <c r="D1650" s="750"/>
      <c r="E1650" s="750"/>
      <c r="F1650" s="750"/>
      <c r="G1650" s="750"/>
      <c r="H1650" s="750"/>
      <c r="I1650" s="750"/>
      <c r="J1650" s="871"/>
      <c r="K1650" s="801"/>
      <c r="L1650" s="899"/>
      <c r="M1650" s="650"/>
      <c r="N1650" s="917"/>
      <c r="O1650" s="646"/>
      <c r="P1650" s="933"/>
      <c r="Q1650" s="646"/>
      <c r="R1650" s="942"/>
      <c r="S1650" s="650"/>
      <c r="T1650" s="934"/>
      <c r="U1650" s="650"/>
      <c r="V1650" s="930"/>
    </row>
    <row r="1651" spans="1:22" s="624" customFormat="1" ht="16.5" customHeight="1">
      <c r="A1651" s="750"/>
      <c r="B1651" s="750"/>
      <c r="C1651" s="750"/>
      <c r="D1651" s="750"/>
      <c r="E1651" s="750"/>
      <c r="F1651" s="750"/>
      <c r="G1651" s="750"/>
      <c r="H1651" s="750"/>
      <c r="I1651" s="750"/>
      <c r="J1651" s="871"/>
      <c r="K1651" s="801"/>
      <c r="L1651" s="899"/>
      <c r="M1651" s="650"/>
      <c r="N1651" s="917"/>
      <c r="O1651" s="646"/>
      <c r="P1651" s="933"/>
      <c r="Q1651" s="646"/>
      <c r="R1651" s="942"/>
      <c r="S1651" s="650"/>
      <c r="T1651" s="934"/>
      <c r="U1651" s="650"/>
      <c r="V1651" s="930"/>
    </row>
    <row r="1652" spans="1:22" s="624" customFormat="1" ht="16.5" customHeight="1">
      <c r="A1652" s="750"/>
      <c r="B1652" s="750"/>
      <c r="C1652" s="750"/>
      <c r="D1652" s="750"/>
      <c r="E1652" s="750"/>
      <c r="F1652" s="750"/>
      <c r="G1652" s="750"/>
      <c r="H1652" s="750"/>
      <c r="I1652" s="750"/>
      <c r="J1652" s="871"/>
      <c r="K1652" s="801"/>
      <c r="L1652" s="899"/>
      <c r="M1652" s="650"/>
      <c r="N1652" s="917"/>
      <c r="O1652" s="646"/>
      <c r="P1652" s="933"/>
      <c r="Q1652" s="646"/>
      <c r="R1652" s="942"/>
      <c r="S1652" s="650"/>
      <c r="T1652" s="934"/>
      <c r="U1652" s="650"/>
      <c r="V1652" s="930"/>
    </row>
    <row r="1653" spans="1:22" s="624" customFormat="1" ht="16.5" customHeight="1">
      <c r="A1653" s="750"/>
      <c r="B1653" s="750"/>
      <c r="C1653" s="750"/>
      <c r="D1653" s="750"/>
      <c r="E1653" s="750"/>
      <c r="F1653" s="750"/>
      <c r="G1653" s="750"/>
      <c r="H1653" s="750"/>
      <c r="I1653" s="750"/>
      <c r="J1653" s="871"/>
      <c r="K1653" s="801"/>
      <c r="L1653" s="899"/>
      <c r="M1653" s="650"/>
      <c r="N1653" s="917"/>
      <c r="O1653" s="646"/>
      <c r="P1653" s="933"/>
      <c r="Q1653" s="646"/>
      <c r="R1653" s="942"/>
      <c r="S1653" s="650"/>
      <c r="T1653" s="934"/>
      <c r="U1653" s="650"/>
      <c r="V1653" s="930"/>
    </row>
    <row r="1654" spans="1:22" s="624" customFormat="1" ht="16.5" customHeight="1">
      <c r="A1654" s="750"/>
      <c r="B1654" s="750"/>
      <c r="C1654" s="750"/>
      <c r="D1654" s="750"/>
      <c r="E1654" s="750"/>
      <c r="F1654" s="750"/>
      <c r="G1654" s="750"/>
      <c r="H1654" s="750"/>
      <c r="I1654" s="750"/>
      <c r="J1654" s="871"/>
      <c r="K1654" s="801"/>
      <c r="L1654" s="899"/>
      <c r="M1654" s="650"/>
      <c r="N1654" s="917"/>
      <c r="O1654" s="646"/>
      <c r="P1654" s="933"/>
      <c r="Q1654" s="646"/>
      <c r="R1654" s="942"/>
      <c r="S1654" s="650"/>
      <c r="T1654" s="934"/>
      <c r="U1654" s="650"/>
      <c r="V1654" s="930"/>
    </row>
    <row r="1655" spans="1:22" s="624" customFormat="1" ht="16.5" customHeight="1">
      <c r="A1655" s="750"/>
      <c r="B1655" s="750"/>
      <c r="C1655" s="750"/>
      <c r="D1655" s="750"/>
      <c r="E1655" s="750"/>
      <c r="F1655" s="750"/>
      <c r="G1655" s="750"/>
      <c r="H1655" s="750"/>
      <c r="I1655" s="750"/>
      <c r="J1655" s="871"/>
      <c r="K1655" s="801"/>
      <c r="L1655" s="899"/>
      <c r="M1655" s="650"/>
      <c r="N1655" s="917"/>
      <c r="O1655" s="646"/>
      <c r="P1655" s="933"/>
      <c r="Q1655" s="646"/>
      <c r="R1655" s="942"/>
      <c r="S1655" s="650"/>
      <c r="T1655" s="934"/>
      <c r="U1655" s="650"/>
      <c r="V1655" s="930"/>
    </row>
    <row r="1656" spans="1:22" s="624" customFormat="1" ht="16.5" customHeight="1">
      <c r="A1656" s="750"/>
      <c r="B1656" s="750"/>
      <c r="C1656" s="750"/>
      <c r="D1656" s="750"/>
      <c r="E1656" s="750"/>
      <c r="F1656" s="750"/>
      <c r="G1656" s="750"/>
      <c r="H1656" s="750"/>
      <c r="I1656" s="750"/>
      <c r="J1656" s="871"/>
      <c r="K1656" s="801"/>
      <c r="L1656" s="899"/>
      <c r="M1656" s="650"/>
      <c r="N1656" s="917"/>
      <c r="O1656" s="646"/>
      <c r="P1656" s="933"/>
      <c r="Q1656" s="646"/>
      <c r="R1656" s="942"/>
      <c r="S1656" s="650"/>
      <c r="T1656" s="934"/>
      <c r="U1656" s="650"/>
      <c r="V1656" s="930"/>
    </row>
    <row r="1657" spans="1:22" s="624" customFormat="1" ht="16.5" customHeight="1">
      <c r="A1657" s="750"/>
      <c r="B1657" s="750"/>
      <c r="C1657" s="750"/>
      <c r="D1657" s="750"/>
      <c r="E1657" s="750"/>
      <c r="F1657" s="750"/>
      <c r="G1657" s="750"/>
      <c r="H1657" s="750"/>
      <c r="I1657" s="750"/>
      <c r="J1657" s="871"/>
      <c r="K1657" s="801"/>
      <c r="L1657" s="899"/>
      <c r="M1657" s="650"/>
      <c r="N1657" s="917"/>
      <c r="O1657" s="646"/>
      <c r="P1657" s="933"/>
      <c r="Q1657" s="646"/>
      <c r="R1657" s="942"/>
      <c r="S1657" s="650"/>
      <c r="T1657" s="934"/>
      <c r="U1657" s="650"/>
      <c r="V1657" s="930"/>
    </row>
    <row r="1658" spans="1:22" s="624" customFormat="1" ht="16.5" customHeight="1">
      <c r="A1658" s="750"/>
      <c r="B1658" s="750"/>
      <c r="C1658" s="750"/>
      <c r="D1658" s="750"/>
      <c r="E1658" s="750"/>
      <c r="F1658" s="750"/>
      <c r="G1658" s="750"/>
      <c r="H1658" s="750"/>
      <c r="I1658" s="750"/>
      <c r="J1658" s="871"/>
      <c r="K1658" s="801"/>
      <c r="L1658" s="899"/>
      <c r="M1658" s="650"/>
      <c r="N1658" s="917"/>
      <c r="O1658" s="646"/>
      <c r="P1658" s="933"/>
      <c r="Q1658" s="646"/>
      <c r="R1658" s="942"/>
      <c r="S1658" s="650"/>
      <c r="T1658" s="934"/>
      <c r="U1658" s="650"/>
      <c r="V1658" s="930"/>
    </row>
    <row r="1659" spans="1:22" s="624" customFormat="1" ht="16.5" customHeight="1">
      <c r="A1659" s="750"/>
      <c r="B1659" s="750"/>
      <c r="C1659" s="750"/>
      <c r="D1659" s="750"/>
      <c r="E1659" s="750"/>
      <c r="F1659" s="750"/>
      <c r="G1659" s="750"/>
      <c r="H1659" s="750"/>
      <c r="I1659" s="750"/>
      <c r="J1659" s="871"/>
      <c r="K1659" s="801"/>
      <c r="L1659" s="899"/>
      <c r="M1659" s="650"/>
      <c r="N1659" s="917"/>
      <c r="O1659" s="646"/>
      <c r="P1659" s="933"/>
      <c r="Q1659" s="646"/>
      <c r="R1659" s="942"/>
      <c r="S1659" s="650"/>
      <c r="T1659" s="934"/>
      <c r="U1659" s="650"/>
      <c r="V1659" s="930"/>
    </row>
    <row r="1660" spans="1:22" s="624" customFormat="1" ht="16.5" customHeight="1">
      <c r="A1660" s="750"/>
      <c r="B1660" s="750"/>
      <c r="C1660" s="750"/>
      <c r="D1660" s="750"/>
      <c r="E1660" s="750"/>
      <c r="F1660" s="750"/>
      <c r="G1660" s="750"/>
      <c r="H1660" s="750"/>
      <c r="I1660" s="750"/>
      <c r="J1660" s="871"/>
      <c r="K1660" s="801"/>
      <c r="L1660" s="899"/>
      <c r="M1660" s="650"/>
      <c r="N1660" s="917"/>
      <c r="O1660" s="646"/>
      <c r="P1660" s="933"/>
      <c r="Q1660" s="646"/>
      <c r="R1660" s="942"/>
      <c r="S1660" s="650"/>
      <c r="T1660" s="934"/>
      <c r="U1660" s="650"/>
      <c r="V1660" s="930"/>
    </row>
    <row r="1661" spans="1:22" s="624" customFormat="1" ht="16.5" customHeight="1">
      <c r="A1661" s="750"/>
      <c r="B1661" s="750"/>
      <c r="C1661" s="750"/>
      <c r="D1661" s="750"/>
      <c r="E1661" s="750"/>
      <c r="F1661" s="750"/>
      <c r="G1661" s="750"/>
      <c r="H1661" s="750"/>
      <c r="I1661" s="750"/>
      <c r="J1661" s="871"/>
      <c r="K1661" s="801"/>
      <c r="L1661" s="899"/>
      <c r="M1661" s="650"/>
      <c r="N1661" s="917"/>
      <c r="O1661" s="646"/>
      <c r="P1661" s="933"/>
      <c r="Q1661" s="646"/>
      <c r="R1661" s="942"/>
      <c r="S1661" s="650"/>
      <c r="T1661" s="934"/>
      <c r="U1661" s="650"/>
      <c r="V1661" s="930"/>
    </row>
    <row r="1662" spans="1:22" s="624" customFormat="1" ht="16.5" customHeight="1">
      <c r="A1662" s="750"/>
      <c r="B1662" s="750"/>
      <c r="C1662" s="750"/>
      <c r="D1662" s="750"/>
      <c r="E1662" s="750"/>
      <c r="F1662" s="750"/>
      <c r="G1662" s="750"/>
      <c r="H1662" s="750"/>
      <c r="I1662" s="750"/>
      <c r="J1662" s="871"/>
      <c r="K1662" s="801"/>
      <c r="L1662" s="899"/>
      <c r="M1662" s="650"/>
      <c r="N1662" s="917"/>
      <c r="O1662" s="646"/>
      <c r="P1662" s="933"/>
      <c r="Q1662" s="646"/>
      <c r="R1662" s="942"/>
      <c r="S1662" s="650"/>
      <c r="T1662" s="934"/>
      <c r="U1662" s="650"/>
      <c r="V1662" s="930"/>
    </row>
    <row r="1663" spans="1:22" s="624" customFormat="1" ht="16.5" customHeight="1">
      <c r="A1663" s="750"/>
      <c r="B1663" s="750"/>
      <c r="C1663" s="750"/>
      <c r="D1663" s="750"/>
      <c r="E1663" s="750"/>
      <c r="F1663" s="750"/>
      <c r="G1663" s="750"/>
      <c r="H1663" s="750"/>
      <c r="I1663" s="750"/>
      <c r="J1663" s="871"/>
      <c r="K1663" s="801"/>
      <c r="L1663" s="899"/>
      <c r="M1663" s="650"/>
      <c r="N1663" s="917"/>
      <c r="O1663" s="646"/>
      <c r="P1663" s="933"/>
      <c r="Q1663" s="646"/>
      <c r="R1663" s="942"/>
      <c r="S1663" s="650"/>
      <c r="T1663" s="934"/>
      <c r="U1663" s="650"/>
      <c r="V1663" s="930"/>
    </row>
    <row r="1664" spans="1:22" s="624" customFormat="1" ht="16.5" customHeight="1">
      <c r="A1664" s="750"/>
      <c r="B1664" s="750"/>
      <c r="C1664" s="750"/>
      <c r="D1664" s="750"/>
      <c r="E1664" s="750"/>
      <c r="F1664" s="750"/>
      <c r="G1664" s="750"/>
      <c r="H1664" s="750"/>
      <c r="I1664" s="750"/>
      <c r="J1664" s="871"/>
      <c r="K1664" s="801"/>
      <c r="L1664" s="899"/>
      <c r="M1664" s="650"/>
      <c r="N1664" s="917"/>
      <c r="O1664" s="646"/>
      <c r="P1664" s="933"/>
      <c r="Q1664" s="646"/>
      <c r="R1664" s="942"/>
      <c r="S1664" s="650"/>
      <c r="T1664" s="934"/>
      <c r="U1664" s="650"/>
      <c r="V1664" s="930"/>
    </row>
    <row r="1665" spans="1:22" s="624" customFormat="1" ht="16.5" customHeight="1">
      <c r="A1665" s="750"/>
      <c r="B1665" s="750"/>
      <c r="C1665" s="750"/>
      <c r="D1665" s="750"/>
      <c r="E1665" s="750"/>
      <c r="F1665" s="750"/>
      <c r="G1665" s="750"/>
      <c r="H1665" s="750"/>
      <c r="I1665" s="750"/>
      <c r="J1665" s="871"/>
      <c r="K1665" s="801"/>
      <c r="L1665" s="899"/>
      <c r="M1665" s="650"/>
      <c r="N1665" s="917"/>
      <c r="O1665" s="646"/>
      <c r="P1665" s="933"/>
      <c r="Q1665" s="646"/>
      <c r="R1665" s="942"/>
      <c r="S1665" s="650"/>
      <c r="T1665" s="934"/>
      <c r="U1665" s="650"/>
      <c r="V1665" s="930"/>
    </row>
    <row r="1666" spans="1:22" s="624" customFormat="1" ht="16.5" customHeight="1">
      <c r="A1666" s="750"/>
      <c r="B1666" s="750"/>
      <c r="C1666" s="750"/>
      <c r="D1666" s="750"/>
      <c r="E1666" s="750"/>
      <c r="F1666" s="750"/>
      <c r="G1666" s="750"/>
      <c r="H1666" s="750"/>
      <c r="I1666" s="750"/>
      <c r="J1666" s="871"/>
      <c r="K1666" s="801"/>
      <c r="L1666" s="899"/>
      <c r="M1666" s="650"/>
      <c r="N1666" s="917"/>
      <c r="O1666" s="646"/>
      <c r="P1666" s="933"/>
      <c r="Q1666" s="646"/>
      <c r="R1666" s="942"/>
      <c r="S1666" s="650"/>
      <c r="T1666" s="934"/>
      <c r="U1666" s="650"/>
      <c r="V1666" s="930"/>
    </row>
    <row r="1667" spans="1:22" s="624" customFormat="1" ht="16.5" customHeight="1">
      <c r="A1667" s="750"/>
      <c r="B1667" s="750"/>
      <c r="C1667" s="750"/>
      <c r="D1667" s="750"/>
      <c r="E1667" s="750"/>
      <c r="F1667" s="750"/>
      <c r="G1667" s="750"/>
      <c r="H1667" s="750"/>
      <c r="I1667" s="750"/>
      <c r="J1667" s="871"/>
      <c r="K1667" s="801"/>
      <c r="L1667" s="899"/>
      <c r="M1667" s="650"/>
      <c r="N1667" s="917"/>
      <c r="O1667" s="646"/>
      <c r="P1667" s="933"/>
      <c r="Q1667" s="646"/>
      <c r="R1667" s="942"/>
      <c r="S1667" s="650"/>
      <c r="T1667" s="934"/>
      <c r="U1667" s="650"/>
      <c r="V1667" s="930"/>
    </row>
    <row r="1668" spans="1:22" s="624" customFormat="1" ht="16.5" customHeight="1">
      <c r="A1668" s="750"/>
      <c r="B1668" s="750"/>
      <c r="C1668" s="750"/>
      <c r="D1668" s="750"/>
      <c r="E1668" s="750"/>
      <c r="F1668" s="750"/>
      <c r="G1668" s="750"/>
      <c r="H1668" s="750"/>
      <c r="I1668" s="750"/>
      <c r="J1668" s="871"/>
      <c r="K1668" s="801"/>
      <c r="L1668" s="899"/>
      <c r="M1668" s="650"/>
      <c r="N1668" s="917"/>
      <c r="O1668" s="646"/>
      <c r="P1668" s="933"/>
      <c r="Q1668" s="646"/>
      <c r="R1668" s="942"/>
      <c r="S1668" s="650"/>
      <c r="T1668" s="934"/>
      <c r="U1668" s="650"/>
      <c r="V1668" s="930"/>
    </row>
    <row r="1669" spans="1:22" s="624" customFormat="1" ht="16.5" customHeight="1">
      <c r="A1669" s="750"/>
      <c r="B1669" s="750"/>
      <c r="C1669" s="750"/>
      <c r="D1669" s="750"/>
      <c r="E1669" s="750"/>
      <c r="F1669" s="750"/>
      <c r="G1669" s="750"/>
      <c r="H1669" s="750"/>
      <c r="I1669" s="750"/>
      <c r="J1669" s="871"/>
      <c r="K1669" s="801"/>
      <c r="L1669" s="899"/>
      <c r="M1669" s="650"/>
      <c r="N1669" s="917"/>
      <c r="O1669" s="646"/>
      <c r="P1669" s="933"/>
      <c r="Q1669" s="646"/>
      <c r="R1669" s="942"/>
      <c r="S1669" s="650"/>
      <c r="T1669" s="934"/>
      <c r="U1669" s="650"/>
      <c r="V1669" s="930"/>
    </row>
    <row r="1670" spans="1:22" s="624" customFormat="1" ht="16.5" customHeight="1">
      <c r="A1670" s="750"/>
      <c r="B1670" s="750"/>
      <c r="C1670" s="750"/>
      <c r="D1670" s="750"/>
      <c r="E1670" s="750"/>
      <c r="F1670" s="750"/>
      <c r="G1670" s="750"/>
      <c r="H1670" s="750"/>
      <c r="I1670" s="750"/>
      <c r="J1670" s="871"/>
      <c r="K1670" s="801"/>
      <c r="L1670" s="899"/>
      <c r="M1670" s="650"/>
      <c r="N1670" s="917"/>
      <c r="O1670" s="646"/>
      <c r="P1670" s="933"/>
      <c r="Q1670" s="646"/>
      <c r="R1670" s="942"/>
      <c r="S1670" s="650"/>
      <c r="T1670" s="934"/>
      <c r="U1670" s="650"/>
      <c r="V1670" s="930"/>
    </row>
    <row r="1671" spans="1:22" s="624" customFormat="1" ht="16.5" customHeight="1">
      <c r="A1671" s="750"/>
      <c r="B1671" s="750"/>
      <c r="C1671" s="750"/>
      <c r="D1671" s="750"/>
      <c r="E1671" s="750"/>
      <c r="F1671" s="750"/>
      <c r="G1671" s="750"/>
      <c r="H1671" s="750"/>
      <c r="I1671" s="750"/>
      <c r="J1671" s="871"/>
      <c r="K1671" s="801"/>
      <c r="L1671" s="899"/>
      <c r="M1671" s="650"/>
      <c r="N1671" s="917"/>
      <c r="O1671" s="646"/>
      <c r="P1671" s="933"/>
      <c r="Q1671" s="646"/>
      <c r="R1671" s="942"/>
      <c r="S1671" s="650"/>
      <c r="T1671" s="934"/>
      <c r="U1671" s="650"/>
      <c r="V1671" s="930"/>
    </row>
    <row r="1672" spans="1:22" s="624" customFormat="1" ht="16.5" customHeight="1">
      <c r="A1672" s="750"/>
      <c r="B1672" s="750"/>
      <c r="C1672" s="750"/>
      <c r="D1672" s="750"/>
      <c r="E1672" s="750"/>
      <c r="F1672" s="750"/>
      <c r="G1672" s="750"/>
      <c r="H1672" s="750"/>
      <c r="I1672" s="750"/>
      <c r="J1672" s="871"/>
      <c r="K1672" s="801"/>
      <c r="L1672" s="899"/>
      <c r="M1672" s="650"/>
      <c r="N1672" s="917"/>
      <c r="O1672" s="646"/>
      <c r="P1672" s="933"/>
      <c r="Q1672" s="646"/>
      <c r="R1672" s="942"/>
      <c r="S1672" s="650"/>
      <c r="T1672" s="934"/>
      <c r="U1672" s="650"/>
      <c r="V1672" s="930"/>
    </row>
    <row r="1673" spans="1:22" s="624" customFormat="1" ht="16.5" customHeight="1">
      <c r="A1673" s="750"/>
      <c r="B1673" s="750"/>
      <c r="C1673" s="750"/>
      <c r="D1673" s="750"/>
      <c r="E1673" s="750"/>
      <c r="F1673" s="750"/>
      <c r="G1673" s="750"/>
      <c r="H1673" s="750"/>
      <c r="I1673" s="750"/>
      <c r="J1673" s="871"/>
      <c r="K1673" s="801"/>
      <c r="L1673" s="899"/>
      <c r="M1673" s="650"/>
      <c r="N1673" s="917"/>
      <c r="O1673" s="646"/>
      <c r="P1673" s="933"/>
      <c r="Q1673" s="646"/>
      <c r="R1673" s="942"/>
      <c r="S1673" s="650"/>
      <c r="T1673" s="934"/>
      <c r="U1673" s="650"/>
      <c r="V1673" s="930"/>
    </row>
    <row r="1674" spans="1:22" s="624" customFormat="1" ht="16.5" customHeight="1">
      <c r="A1674" s="750"/>
      <c r="B1674" s="750"/>
      <c r="C1674" s="750"/>
      <c r="D1674" s="750"/>
      <c r="E1674" s="750"/>
      <c r="F1674" s="750"/>
      <c r="G1674" s="750"/>
      <c r="H1674" s="750"/>
      <c r="I1674" s="750"/>
      <c r="J1674" s="871"/>
      <c r="K1674" s="801"/>
      <c r="L1674" s="899"/>
      <c r="M1674" s="650"/>
      <c r="N1674" s="917"/>
      <c r="O1674" s="646"/>
      <c r="P1674" s="933"/>
      <c r="Q1674" s="646"/>
      <c r="R1674" s="942"/>
      <c r="S1674" s="650"/>
      <c r="T1674" s="934"/>
      <c r="U1674" s="650"/>
      <c r="V1674" s="930"/>
    </row>
    <row r="1675" spans="1:22" s="624" customFormat="1" ht="16.5" customHeight="1">
      <c r="A1675" s="750"/>
      <c r="B1675" s="750"/>
      <c r="C1675" s="750"/>
      <c r="D1675" s="750"/>
      <c r="E1675" s="750"/>
      <c r="F1675" s="750"/>
      <c r="G1675" s="750"/>
      <c r="H1675" s="750"/>
      <c r="I1675" s="750"/>
      <c r="J1675" s="871"/>
      <c r="K1675" s="801"/>
      <c r="L1675" s="899"/>
      <c r="M1675" s="650"/>
      <c r="N1675" s="917"/>
      <c r="O1675" s="646"/>
      <c r="P1675" s="933"/>
      <c r="Q1675" s="646"/>
      <c r="R1675" s="942"/>
      <c r="S1675" s="650"/>
      <c r="T1675" s="934"/>
      <c r="U1675" s="650"/>
      <c r="V1675" s="930"/>
    </row>
    <row r="1676" spans="1:22" s="624" customFormat="1" ht="16.5" customHeight="1">
      <c r="A1676" s="750"/>
      <c r="B1676" s="750"/>
      <c r="C1676" s="750"/>
      <c r="D1676" s="750"/>
      <c r="E1676" s="750"/>
      <c r="F1676" s="750"/>
      <c r="G1676" s="750"/>
      <c r="H1676" s="750"/>
      <c r="I1676" s="750"/>
      <c r="J1676" s="871"/>
      <c r="K1676" s="801"/>
      <c r="L1676" s="899"/>
      <c r="M1676" s="650"/>
      <c r="N1676" s="917"/>
      <c r="O1676" s="646"/>
      <c r="P1676" s="933"/>
      <c r="Q1676" s="646"/>
      <c r="R1676" s="942"/>
      <c r="S1676" s="650"/>
      <c r="T1676" s="934"/>
      <c r="U1676" s="650"/>
      <c r="V1676" s="930"/>
    </row>
    <row r="1677" spans="1:22" s="624" customFormat="1" ht="16.5" customHeight="1">
      <c r="A1677" s="750"/>
      <c r="B1677" s="750"/>
      <c r="C1677" s="750"/>
      <c r="D1677" s="750"/>
      <c r="E1677" s="750"/>
      <c r="F1677" s="750"/>
      <c r="G1677" s="750"/>
      <c r="H1677" s="750"/>
      <c r="I1677" s="750"/>
      <c r="J1677" s="871"/>
      <c r="K1677" s="801"/>
      <c r="L1677" s="899"/>
      <c r="M1677" s="650"/>
      <c r="N1677" s="917"/>
      <c r="O1677" s="646"/>
      <c r="P1677" s="933"/>
      <c r="Q1677" s="646"/>
      <c r="R1677" s="942"/>
      <c r="S1677" s="650"/>
      <c r="T1677" s="934"/>
      <c r="U1677" s="650"/>
      <c r="V1677" s="930"/>
    </row>
    <row r="1678" spans="1:22" s="624" customFormat="1" ht="16.5" customHeight="1">
      <c r="A1678" s="750"/>
      <c r="B1678" s="750"/>
      <c r="C1678" s="750"/>
      <c r="D1678" s="750"/>
      <c r="E1678" s="750"/>
      <c r="F1678" s="750"/>
      <c r="G1678" s="750"/>
      <c r="H1678" s="750"/>
      <c r="I1678" s="750"/>
      <c r="J1678" s="871"/>
      <c r="K1678" s="801"/>
      <c r="L1678" s="899"/>
      <c r="M1678" s="650"/>
      <c r="N1678" s="917"/>
      <c r="O1678" s="646"/>
      <c r="P1678" s="933"/>
      <c r="Q1678" s="646"/>
      <c r="R1678" s="942"/>
      <c r="S1678" s="650"/>
      <c r="T1678" s="934"/>
      <c r="U1678" s="650"/>
      <c r="V1678" s="930"/>
    </row>
    <row r="1679" spans="1:22" s="624" customFormat="1" ht="16.5" customHeight="1">
      <c r="A1679" s="750"/>
      <c r="B1679" s="750"/>
      <c r="C1679" s="750"/>
      <c r="D1679" s="750"/>
      <c r="E1679" s="750"/>
      <c r="F1679" s="750"/>
      <c r="G1679" s="750"/>
      <c r="H1679" s="750"/>
      <c r="I1679" s="750"/>
      <c r="J1679" s="871"/>
      <c r="K1679" s="801"/>
      <c r="L1679" s="899"/>
      <c r="M1679" s="650"/>
      <c r="N1679" s="917"/>
      <c r="O1679" s="646"/>
      <c r="P1679" s="933"/>
      <c r="Q1679" s="646"/>
      <c r="R1679" s="942"/>
      <c r="S1679" s="650"/>
      <c r="T1679" s="934"/>
      <c r="U1679" s="650"/>
      <c r="V1679" s="930"/>
    </row>
    <row r="1680" spans="1:22" s="624" customFormat="1" ht="16.5" customHeight="1">
      <c r="A1680" s="750"/>
      <c r="B1680" s="750"/>
      <c r="C1680" s="750"/>
      <c r="D1680" s="750"/>
      <c r="E1680" s="750"/>
      <c r="F1680" s="750"/>
      <c r="G1680" s="750"/>
      <c r="H1680" s="750"/>
      <c r="I1680" s="750"/>
      <c r="J1680" s="871"/>
      <c r="K1680" s="801"/>
      <c r="L1680" s="899"/>
      <c r="M1680" s="650"/>
      <c r="N1680" s="917"/>
      <c r="O1680" s="646"/>
      <c r="P1680" s="933"/>
      <c r="Q1680" s="646"/>
      <c r="R1680" s="942"/>
      <c r="S1680" s="650"/>
      <c r="T1680" s="934"/>
      <c r="U1680" s="650"/>
      <c r="V1680" s="930"/>
    </row>
    <row r="1681" spans="1:22" s="624" customFormat="1" ht="16.5" customHeight="1">
      <c r="A1681" s="750"/>
      <c r="B1681" s="750"/>
      <c r="C1681" s="750"/>
      <c r="D1681" s="750"/>
      <c r="E1681" s="750"/>
      <c r="F1681" s="750"/>
      <c r="G1681" s="750"/>
      <c r="H1681" s="750"/>
      <c r="I1681" s="750"/>
      <c r="J1681" s="871"/>
      <c r="K1681" s="801"/>
      <c r="L1681" s="899"/>
      <c r="M1681" s="650"/>
      <c r="N1681" s="917"/>
      <c r="O1681" s="646"/>
      <c r="P1681" s="933"/>
      <c r="Q1681" s="646"/>
      <c r="R1681" s="942"/>
      <c r="S1681" s="650"/>
      <c r="T1681" s="934"/>
      <c r="U1681" s="650"/>
      <c r="V1681" s="930"/>
    </row>
    <row r="1682" spans="1:22" s="624" customFormat="1" ht="16.5" customHeight="1">
      <c r="A1682" s="750"/>
      <c r="B1682" s="750"/>
      <c r="C1682" s="750"/>
      <c r="D1682" s="750"/>
      <c r="E1682" s="750"/>
      <c r="F1682" s="750"/>
      <c r="G1682" s="750"/>
      <c r="H1682" s="750"/>
      <c r="I1682" s="750"/>
      <c r="J1682" s="871"/>
      <c r="K1682" s="801"/>
      <c r="L1682" s="899"/>
      <c r="M1682" s="650"/>
      <c r="N1682" s="917"/>
      <c r="O1682" s="646"/>
      <c r="P1682" s="933"/>
      <c r="Q1682" s="646"/>
      <c r="R1682" s="942"/>
      <c r="S1682" s="650"/>
      <c r="T1682" s="934"/>
      <c r="U1682" s="650"/>
      <c r="V1682" s="930"/>
    </row>
    <row r="1683" spans="1:22" s="624" customFormat="1" ht="16.5" customHeight="1">
      <c r="A1683" s="750"/>
      <c r="B1683" s="750"/>
      <c r="C1683" s="750"/>
      <c r="D1683" s="750"/>
      <c r="E1683" s="750"/>
      <c r="F1683" s="750"/>
      <c r="G1683" s="750"/>
      <c r="H1683" s="750"/>
      <c r="I1683" s="750"/>
      <c r="J1683" s="871"/>
      <c r="K1683" s="801"/>
      <c r="L1683" s="899"/>
      <c r="M1683" s="650"/>
      <c r="N1683" s="917"/>
      <c r="O1683" s="646"/>
      <c r="P1683" s="933"/>
      <c r="Q1683" s="646"/>
      <c r="R1683" s="942"/>
      <c r="S1683" s="650"/>
      <c r="T1683" s="934"/>
      <c r="U1683" s="650"/>
      <c r="V1683" s="930"/>
    </row>
    <row r="1684" spans="1:22" s="624" customFormat="1" ht="16.5" customHeight="1">
      <c r="A1684" s="750"/>
      <c r="B1684" s="750"/>
      <c r="C1684" s="750"/>
      <c r="D1684" s="750"/>
      <c r="E1684" s="750"/>
      <c r="F1684" s="750"/>
      <c r="G1684" s="750"/>
      <c r="H1684" s="750"/>
      <c r="I1684" s="750"/>
      <c r="J1684" s="871"/>
      <c r="K1684" s="801"/>
      <c r="L1684" s="899"/>
      <c r="M1684" s="650"/>
      <c r="N1684" s="917"/>
      <c r="O1684" s="646"/>
      <c r="P1684" s="933"/>
      <c r="Q1684" s="646"/>
      <c r="R1684" s="942"/>
      <c r="S1684" s="650"/>
      <c r="T1684" s="934"/>
      <c r="U1684" s="650"/>
      <c r="V1684" s="930"/>
    </row>
    <row r="1685" spans="1:22" s="624" customFormat="1" ht="16.5" customHeight="1">
      <c r="A1685" s="750"/>
      <c r="B1685" s="750"/>
      <c r="C1685" s="750"/>
      <c r="D1685" s="750"/>
      <c r="E1685" s="750"/>
      <c r="F1685" s="750"/>
      <c r="G1685" s="750"/>
      <c r="H1685" s="750"/>
      <c r="I1685" s="750"/>
      <c r="J1685" s="871"/>
      <c r="K1685" s="801"/>
      <c r="L1685" s="899"/>
      <c r="M1685" s="650"/>
      <c r="N1685" s="917"/>
      <c r="O1685" s="646"/>
      <c r="P1685" s="933"/>
      <c r="Q1685" s="646"/>
      <c r="R1685" s="942"/>
      <c r="S1685" s="650"/>
      <c r="T1685" s="934"/>
      <c r="U1685" s="650"/>
      <c r="V1685" s="930"/>
    </row>
    <row r="1686" spans="1:22" s="624" customFormat="1" ht="16.5" customHeight="1">
      <c r="A1686" s="750"/>
      <c r="B1686" s="750"/>
      <c r="C1686" s="750"/>
      <c r="D1686" s="750"/>
      <c r="E1686" s="750"/>
      <c r="F1686" s="750"/>
      <c r="G1686" s="750"/>
      <c r="H1686" s="750"/>
      <c r="I1686" s="750"/>
      <c r="J1686" s="871"/>
      <c r="K1686" s="801"/>
      <c r="L1686" s="899"/>
      <c r="M1686" s="650"/>
      <c r="N1686" s="917"/>
      <c r="O1686" s="646"/>
      <c r="P1686" s="933"/>
      <c r="Q1686" s="646"/>
      <c r="R1686" s="942"/>
      <c r="S1686" s="650"/>
      <c r="T1686" s="934"/>
      <c r="U1686" s="650"/>
      <c r="V1686" s="930"/>
    </row>
    <row r="1687" spans="1:22" s="624" customFormat="1" ht="16.5" customHeight="1">
      <c r="A1687" s="750"/>
      <c r="B1687" s="750"/>
      <c r="C1687" s="750"/>
      <c r="D1687" s="750"/>
      <c r="E1687" s="750"/>
      <c r="F1687" s="750"/>
      <c r="G1687" s="750"/>
      <c r="H1687" s="750"/>
      <c r="I1687" s="750"/>
      <c r="J1687" s="871"/>
      <c r="K1687" s="801"/>
      <c r="L1687" s="899"/>
      <c r="M1687" s="650"/>
      <c r="N1687" s="917"/>
      <c r="O1687" s="646"/>
      <c r="P1687" s="933"/>
      <c r="Q1687" s="646"/>
      <c r="R1687" s="942"/>
      <c r="S1687" s="650"/>
      <c r="T1687" s="934"/>
      <c r="U1687" s="650"/>
      <c r="V1687" s="930"/>
    </row>
    <row r="1688" spans="1:22" s="624" customFormat="1" ht="16.5" customHeight="1">
      <c r="A1688" s="750"/>
      <c r="B1688" s="750"/>
      <c r="C1688" s="750"/>
      <c r="D1688" s="750"/>
      <c r="E1688" s="750"/>
      <c r="F1688" s="750"/>
      <c r="G1688" s="750"/>
      <c r="H1688" s="750"/>
      <c r="I1688" s="750"/>
      <c r="J1688" s="871"/>
      <c r="K1688" s="801"/>
      <c r="L1688" s="899"/>
      <c r="M1688" s="650"/>
      <c r="N1688" s="917"/>
      <c r="O1688" s="646"/>
      <c r="P1688" s="933"/>
      <c r="Q1688" s="646"/>
      <c r="R1688" s="942"/>
      <c r="S1688" s="650"/>
      <c r="T1688" s="934"/>
      <c r="U1688" s="650"/>
      <c r="V1688" s="930"/>
    </row>
    <row r="1689" spans="1:22" s="624" customFormat="1" ht="16.5" customHeight="1">
      <c r="A1689" s="750"/>
      <c r="B1689" s="750"/>
      <c r="C1689" s="750"/>
      <c r="D1689" s="750"/>
      <c r="E1689" s="750"/>
      <c r="F1689" s="750"/>
      <c r="G1689" s="750"/>
      <c r="H1689" s="750"/>
      <c r="I1689" s="750"/>
      <c r="J1689" s="871"/>
      <c r="K1689" s="801"/>
      <c r="L1689" s="899"/>
      <c r="M1689" s="650"/>
      <c r="N1689" s="917"/>
      <c r="O1689" s="646"/>
      <c r="P1689" s="933"/>
      <c r="Q1689" s="646"/>
      <c r="R1689" s="942"/>
      <c r="S1689" s="650"/>
      <c r="T1689" s="934"/>
      <c r="U1689" s="650"/>
      <c r="V1689" s="930"/>
    </row>
    <row r="1690" spans="1:22" s="624" customFormat="1" ht="16.5" customHeight="1">
      <c r="A1690" s="750"/>
      <c r="B1690" s="750"/>
      <c r="C1690" s="750"/>
      <c r="D1690" s="750"/>
      <c r="E1690" s="750"/>
      <c r="F1690" s="750"/>
      <c r="G1690" s="750"/>
      <c r="H1690" s="750"/>
      <c r="I1690" s="750"/>
      <c r="J1690" s="871"/>
      <c r="K1690" s="801"/>
      <c r="L1690" s="899"/>
      <c r="M1690" s="650"/>
      <c r="N1690" s="917"/>
      <c r="O1690" s="646"/>
      <c r="P1690" s="933"/>
      <c r="Q1690" s="646"/>
      <c r="R1690" s="942"/>
      <c r="S1690" s="650"/>
      <c r="T1690" s="934"/>
      <c r="U1690" s="650"/>
      <c r="V1690" s="930"/>
    </row>
    <row r="1691" spans="1:22" s="624" customFormat="1" ht="16.5" customHeight="1">
      <c r="A1691" s="750"/>
      <c r="B1691" s="750"/>
      <c r="C1691" s="750"/>
      <c r="D1691" s="750"/>
      <c r="E1691" s="750"/>
      <c r="F1691" s="750"/>
      <c r="G1691" s="750"/>
      <c r="H1691" s="750"/>
      <c r="I1691" s="750"/>
      <c r="J1691" s="871"/>
      <c r="K1691" s="801"/>
      <c r="L1691" s="899"/>
      <c r="M1691" s="650"/>
      <c r="N1691" s="917"/>
      <c r="O1691" s="646"/>
      <c r="P1691" s="933"/>
      <c r="Q1691" s="646"/>
      <c r="R1691" s="942"/>
      <c r="S1691" s="650"/>
      <c r="T1691" s="934"/>
      <c r="U1691" s="650"/>
      <c r="V1691" s="930"/>
    </row>
    <row r="1692" spans="1:22" s="624" customFormat="1" ht="16.5" customHeight="1">
      <c r="A1692" s="750"/>
      <c r="B1692" s="750"/>
      <c r="C1692" s="750"/>
      <c r="D1692" s="750"/>
      <c r="E1692" s="750"/>
      <c r="F1692" s="750"/>
      <c r="G1692" s="750"/>
      <c r="H1692" s="750"/>
      <c r="I1692" s="750"/>
      <c r="J1692" s="871"/>
      <c r="K1692" s="801"/>
      <c r="L1692" s="899"/>
      <c r="M1692" s="650"/>
      <c r="N1692" s="917"/>
      <c r="O1692" s="646"/>
      <c r="P1692" s="933"/>
      <c r="Q1692" s="646"/>
      <c r="R1692" s="942"/>
      <c r="S1692" s="650"/>
      <c r="T1692" s="934"/>
      <c r="U1692" s="650"/>
      <c r="V1692" s="930"/>
    </row>
    <row r="1693" spans="1:22" s="624" customFormat="1" ht="16.5" customHeight="1">
      <c r="A1693" s="750"/>
      <c r="B1693" s="750"/>
      <c r="C1693" s="750"/>
      <c r="D1693" s="750"/>
      <c r="E1693" s="750"/>
      <c r="F1693" s="750"/>
      <c r="G1693" s="750"/>
      <c r="H1693" s="750"/>
      <c r="I1693" s="750"/>
      <c r="J1693" s="871"/>
      <c r="K1693" s="801"/>
      <c r="L1693" s="899"/>
      <c r="M1693" s="650"/>
      <c r="N1693" s="917"/>
      <c r="O1693" s="646"/>
      <c r="P1693" s="933"/>
      <c r="Q1693" s="646"/>
      <c r="R1693" s="942"/>
      <c r="S1693" s="650"/>
      <c r="T1693" s="934"/>
      <c r="U1693" s="650"/>
      <c r="V1693" s="930"/>
    </row>
    <row r="1694" spans="1:22" s="624" customFormat="1" ht="16.5" customHeight="1">
      <c r="A1694" s="750"/>
      <c r="B1694" s="750"/>
      <c r="C1694" s="750"/>
      <c r="D1694" s="750"/>
      <c r="E1694" s="750"/>
      <c r="F1694" s="750"/>
      <c r="G1694" s="750"/>
      <c r="H1694" s="750"/>
      <c r="I1694" s="750"/>
      <c r="J1694" s="871"/>
      <c r="K1694" s="801"/>
      <c r="L1694" s="899"/>
      <c r="M1694" s="650"/>
      <c r="N1694" s="917"/>
      <c r="O1694" s="646"/>
      <c r="P1694" s="933"/>
      <c r="Q1694" s="646"/>
      <c r="R1694" s="942"/>
      <c r="S1694" s="650"/>
      <c r="T1694" s="934"/>
      <c r="U1694" s="650"/>
      <c r="V1694" s="930"/>
    </row>
    <row r="1695" spans="1:22" s="624" customFormat="1" ht="16.5" customHeight="1">
      <c r="A1695" s="750"/>
      <c r="B1695" s="750"/>
      <c r="C1695" s="750"/>
      <c r="D1695" s="750"/>
      <c r="E1695" s="750"/>
      <c r="F1695" s="750"/>
      <c r="G1695" s="750"/>
      <c r="H1695" s="750"/>
      <c r="I1695" s="750"/>
      <c r="J1695" s="871"/>
      <c r="K1695" s="801"/>
      <c r="L1695" s="899"/>
      <c r="M1695" s="650"/>
      <c r="N1695" s="917"/>
      <c r="O1695" s="646"/>
      <c r="P1695" s="933"/>
      <c r="Q1695" s="646"/>
      <c r="R1695" s="942"/>
      <c r="S1695" s="650"/>
      <c r="T1695" s="934"/>
      <c r="U1695" s="650"/>
      <c r="V1695" s="930"/>
    </row>
    <row r="1696" spans="1:22" s="624" customFormat="1" ht="16.5" customHeight="1">
      <c r="A1696" s="750"/>
      <c r="B1696" s="750"/>
      <c r="C1696" s="750"/>
      <c r="D1696" s="750"/>
      <c r="E1696" s="750"/>
      <c r="F1696" s="750"/>
      <c r="G1696" s="750"/>
      <c r="H1696" s="750"/>
      <c r="I1696" s="750"/>
      <c r="J1696" s="871"/>
      <c r="K1696" s="801"/>
      <c r="L1696" s="899"/>
      <c r="M1696" s="650"/>
      <c r="N1696" s="917"/>
      <c r="O1696" s="646"/>
      <c r="P1696" s="933"/>
      <c r="Q1696" s="646"/>
      <c r="R1696" s="942"/>
      <c r="S1696" s="650"/>
      <c r="T1696" s="934"/>
      <c r="U1696" s="650"/>
      <c r="V1696" s="930"/>
    </row>
    <row r="1697" spans="1:22" s="624" customFormat="1" ht="16.5" customHeight="1">
      <c r="A1697" s="750"/>
      <c r="B1697" s="750"/>
      <c r="C1697" s="750"/>
      <c r="D1697" s="750"/>
      <c r="E1697" s="750"/>
      <c r="F1697" s="750"/>
      <c r="G1697" s="750"/>
      <c r="H1697" s="750"/>
      <c r="I1697" s="750"/>
      <c r="J1697" s="871"/>
      <c r="K1697" s="801"/>
      <c r="L1697" s="899"/>
      <c r="M1697" s="650"/>
      <c r="N1697" s="917"/>
      <c r="O1697" s="646"/>
      <c r="P1697" s="933"/>
      <c r="Q1697" s="646"/>
      <c r="R1697" s="942"/>
      <c r="S1697" s="650"/>
      <c r="T1697" s="934"/>
      <c r="U1697" s="650"/>
      <c r="V1697" s="930"/>
    </row>
    <row r="1698" spans="1:22" s="624" customFormat="1" ht="16.5" customHeight="1">
      <c r="A1698" s="750"/>
      <c r="B1698" s="750"/>
      <c r="C1698" s="750"/>
      <c r="D1698" s="750"/>
      <c r="E1698" s="750"/>
      <c r="F1698" s="750"/>
      <c r="G1698" s="750"/>
      <c r="H1698" s="750"/>
      <c r="I1698" s="750"/>
      <c r="J1698" s="871"/>
      <c r="K1698" s="801"/>
      <c r="L1698" s="899"/>
      <c r="M1698" s="650"/>
      <c r="N1698" s="917"/>
      <c r="O1698" s="646"/>
      <c r="P1698" s="933"/>
      <c r="Q1698" s="646"/>
      <c r="R1698" s="942"/>
      <c r="S1698" s="650"/>
      <c r="T1698" s="934"/>
      <c r="U1698" s="650"/>
      <c r="V1698" s="930"/>
    </row>
    <row r="1699" spans="1:22" s="624" customFormat="1" ht="16.5" customHeight="1">
      <c r="A1699" s="750"/>
      <c r="B1699" s="750"/>
      <c r="C1699" s="750"/>
      <c r="D1699" s="750"/>
      <c r="E1699" s="750"/>
      <c r="F1699" s="750"/>
      <c r="G1699" s="750"/>
      <c r="H1699" s="750"/>
      <c r="I1699" s="750"/>
      <c r="J1699" s="871"/>
      <c r="K1699" s="801"/>
      <c r="L1699" s="899"/>
      <c r="M1699" s="650"/>
      <c r="N1699" s="917"/>
      <c r="O1699" s="646"/>
      <c r="P1699" s="933"/>
      <c r="Q1699" s="646"/>
      <c r="R1699" s="942"/>
      <c r="S1699" s="650"/>
      <c r="T1699" s="934"/>
      <c r="U1699" s="650"/>
      <c r="V1699" s="930"/>
    </row>
    <row r="1700" spans="1:22" s="624" customFormat="1" ht="16.5" customHeight="1">
      <c r="A1700" s="750"/>
      <c r="B1700" s="750"/>
      <c r="C1700" s="750"/>
      <c r="D1700" s="750"/>
      <c r="E1700" s="750"/>
      <c r="F1700" s="750"/>
      <c r="G1700" s="750"/>
      <c r="H1700" s="750"/>
      <c r="I1700" s="750"/>
      <c r="J1700" s="871"/>
      <c r="K1700" s="801"/>
      <c r="L1700" s="899"/>
      <c r="M1700" s="650"/>
      <c r="N1700" s="917"/>
      <c r="O1700" s="646"/>
      <c r="P1700" s="933"/>
      <c r="Q1700" s="646"/>
      <c r="R1700" s="942"/>
      <c r="S1700" s="650"/>
      <c r="T1700" s="934"/>
      <c r="U1700" s="650"/>
      <c r="V1700" s="930"/>
    </row>
    <row r="1701" spans="1:22" s="624" customFormat="1" ht="16.5" customHeight="1">
      <c r="A1701" s="750"/>
      <c r="B1701" s="750"/>
      <c r="C1701" s="750"/>
      <c r="D1701" s="750"/>
      <c r="E1701" s="750"/>
      <c r="F1701" s="750"/>
      <c r="G1701" s="750"/>
      <c r="H1701" s="750"/>
      <c r="I1701" s="750"/>
      <c r="J1701" s="871"/>
      <c r="K1701" s="801"/>
      <c r="L1701" s="899"/>
      <c r="M1701" s="650"/>
      <c r="N1701" s="917"/>
      <c r="O1701" s="646"/>
      <c r="P1701" s="933"/>
      <c r="Q1701" s="646"/>
      <c r="R1701" s="942"/>
      <c r="S1701" s="650"/>
      <c r="T1701" s="934"/>
      <c r="U1701" s="650"/>
      <c r="V1701" s="930"/>
    </row>
    <row r="1702" spans="1:22" s="624" customFormat="1" ht="16.5" customHeight="1">
      <c r="A1702" s="750"/>
      <c r="B1702" s="750"/>
      <c r="C1702" s="750"/>
      <c r="D1702" s="750"/>
      <c r="E1702" s="750"/>
      <c r="F1702" s="750"/>
      <c r="G1702" s="750"/>
      <c r="H1702" s="750"/>
      <c r="I1702" s="750"/>
      <c r="J1702" s="871"/>
      <c r="K1702" s="801"/>
      <c r="L1702" s="899"/>
      <c r="M1702" s="650"/>
      <c r="N1702" s="917"/>
      <c r="O1702" s="646"/>
      <c r="P1702" s="933"/>
      <c r="Q1702" s="646"/>
      <c r="R1702" s="942"/>
      <c r="S1702" s="650"/>
      <c r="T1702" s="934"/>
      <c r="U1702" s="650"/>
      <c r="V1702" s="930"/>
    </row>
    <row r="1703" spans="1:22" s="624" customFormat="1" ht="16.5" customHeight="1">
      <c r="A1703" s="750"/>
      <c r="B1703" s="750"/>
      <c r="C1703" s="750"/>
      <c r="D1703" s="750"/>
      <c r="E1703" s="750"/>
      <c r="F1703" s="750"/>
      <c r="G1703" s="750"/>
      <c r="H1703" s="750"/>
      <c r="I1703" s="750"/>
      <c r="J1703" s="871"/>
      <c r="K1703" s="801"/>
      <c r="L1703" s="899"/>
      <c r="M1703" s="650"/>
      <c r="N1703" s="917"/>
      <c r="O1703" s="646"/>
      <c r="P1703" s="933"/>
      <c r="Q1703" s="646"/>
      <c r="R1703" s="942"/>
      <c r="S1703" s="650"/>
      <c r="T1703" s="934"/>
      <c r="U1703" s="650"/>
      <c r="V1703" s="930"/>
    </row>
    <row r="1704" spans="1:22" s="624" customFormat="1" ht="16.5" customHeight="1">
      <c r="A1704" s="750"/>
      <c r="B1704" s="750"/>
      <c r="C1704" s="750"/>
      <c r="D1704" s="750"/>
      <c r="E1704" s="750"/>
      <c r="F1704" s="750"/>
      <c r="G1704" s="750"/>
      <c r="H1704" s="750"/>
      <c r="I1704" s="750"/>
      <c r="J1704" s="871"/>
      <c r="K1704" s="801"/>
      <c r="L1704" s="899"/>
      <c r="M1704" s="650"/>
      <c r="N1704" s="917"/>
      <c r="O1704" s="646"/>
      <c r="P1704" s="933"/>
      <c r="Q1704" s="646"/>
      <c r="R1704" s="942"/>
      <c r="S1704" s="650"/>
      <c r="T1704" s="934"/>
      <c r="U1704" s="650"/>
      <c r="V1704" s="930"/>
    </row>
    <row r="1705" spans="1:22" s="624" customFormat="1" ht="16.5" customHeight="1">
      <c r="A1705" s="750"/>
      <c r="B1705" s="750"/>
      <c r="C1705" s="750"/>
      <c r="D1705" s="750"/>
      <c r="E1705" s="750"/>
      <c r="F1705" s="750"/>
      <c r="G1705" s="750"/>
      <c r="H1705" s="750"/>
      <c r="I1705" s="750"/>
      <c r="J1705" s="871"/>
      <c r="K1705" s="801"/>
      <c r="L1705" s="899"/>
      <c r="M1705" s="650"/>
      <c r="N1705" s="917"/>
      <c r="O1705" s="646"/>
      <c r="P1705" s="933"/>
      <c r="Q1705" s="646"/>
      <c r="R1705" s="942"/>
      <c r="S1705" s="650"/>
      <c r="T1705" s="934"/>
      <c r="U1705" s="650"/>
      <c r="V1705" s="930"/>
    </row>
    <row r="1706" spans="1:22" s="624" customFormat="1" ht="16.5" customHeight="1">
      <c r="A1706" s="750"/>
      <c r="B1706" s="750"/>
      <c r="C1706" s="750"/>
      <c r="D1706" s="750"/>
      <c r="E1706" s="750"/>
      <c r="F1706" s="750"/>
      <c r="G1706" s="750"/>
      <c r="H1706" s="750"/>
      <c r="I1706" s="750"/>
      <c r="J1706" s="871"/>
      <c r="K1706" s="801"/>
      <c r="L1706" s="899"/>
      <c r="M1706" s="650"/>
      <c r="N1706" s="917"/>
      <c r="O1706" s="646"/>
      <c r="P1706" s="933"/>
      <c r="Q1706" s="646"/>
      <c r="R1706" s="942"/>
      <c r="S1706" s="650"/>
      <c r="T1706" s="934"/>
      <c r="U1706" s="650"/>
      <c r="V1706" s="930"/>
    </row>
    <row r="1707" spans="1:22" s="624" customFormat="1" ht="16.5" customHeight="1">
      <c r="A1707" s="750"/>
      <c r="B1707" s="750"/>
      <c r="C1707" s="750"/>
      <c r="D1707" s="750"/>
      <c r="E1707" s="750"/>
      <c r="F1707" s="750"/>
      <c r="G1707" s="750"/>
      <c r="H1707" s="750"/>
      <c r="I1707" s="750"/>
      <c r="J1707" s="871"/>
      <c r="K1707" s="801"/>
      <c r="L1707" s="899"/>
      <c r="M1707" s="650"/>
      <c r="N1707" s="917"/>
      <c r="O1707" s="646"/>
      <c r="P1707" s="933"/>
      <c r="Q1707" s="646"/>
      <c r="R1707" s="942"/>
      <c r="S1707" s="650"/>
      <c r="T1707" s="934"/>
      <c r="U1707" s="650"/>
      <c r="V1707" s="930"/>
    </row>
    <row r="1708" spans="1:22" s="624" customFormat="1" ht="16.5" customHeight="1">
      <c r="A1708" s="750"/>
      <c r="B1708" s="750"/>
      <c r="C1708" s="750"/>
      <c r="D1708" s="750"/>
      <c r="E1708" s="750"/>
      <c r="F1708" s="750"/>
      <c r="G1708" s="750"/>
      <c r="H1708" s="750"/>
      <c r="I1708" s="750"/>
      <c r="J1708" s="871"/>
      <c r="K1708" s="801"/>
      <c r="L1708" s="899"/>
      <c r="M1708" s="650"/>
      <c r="N1708" s="917"/>
      <c r="O1708" s="646"/>
      <c r="P1708" s="933"/>
      <c r="Q1708" s="646"/>
      <c r="R1708" s="942"/>
      <c r="S1708" s="650"/>
      <c r="T1708" s="934"/>
      <c r="U1708" s="650"/>
      <c r="V1708" s="930"/>
    </row>
    <row r="1709" spans="1:22" s="624" customFormat="1" ht="16.5" customHeight="1">
      <c r="A1709" s="750"/>
      <c r="B1709" s="750"/>
      <c r="C1709" s="750"/>
      <c r="D1709" s="750"/>
      <c r="E1709" s="750"/>
      <c r="F1709" s="750"/>
      <c r="G1709" s="750"/>
      <c r="H1709" s="750"/>
      <c r="I1709" s="750"/>
      <c r="J1709" s="871"/>
      <c r="K1709" s="801"/>
      <c r="L1709" s="899"/>
      <c r="M1709" s="650"/>
      <c r="N1709" s="917"/>
      <c r="O1709" s="646"/>
      <c r="P1709" s="933"/>
      <c r="Q1709" s="646"/>
      <c r="R1709" s="942"/>
      <c r="S1709" s="650"/>
      <c r="T1709" s="934"/>
      <c r="U1709" s="650"/>
      <c r="V1709" s="930"/>
    </row>
    <row r="1710" spans="1:22" s="624" customFormat="1" ht="16.5" customHeight="1">
      <c r="A1710" s="750"/>
      <c r="B1710" s="750"/>
      <c r="C1710" s="750"/>
      <c r="D1710" s="750"/>
      <c r="E1710" s="750"/>
      <c r="F1710" s="750"/>
      <c r="G1710" s="750"/>
      <c r="H1710" s="750"/>
      <c r="I1710" s="750"/>
      <c r="J1710" s="871"/>
      <c r="K1710" s="801"/>
      <c r="L1710" s="899"/>
      <c r="M1710" s="650"/>
      <c r="N1710" s="917"/>
      <c r="O1710" s="646"/>
      <c r="P1710" s="933"/>
      <c r="Q1710" s="646"/>
      <c r="R1710" s="942"/>
      <c r="S1710" s="650"/>
      <c r="T1710" s="934"/>
      <c r="U1710" s="650"/>
      <c r="V1710" s="930"/>
    </row>
    <row r="1711" spans="1:22" s="624" customFormat="1" ht="16.5" customHeight="1">
      <c r="A1711" s="750"/>
      <c r="B1711" s="750"/>
      <c r="C1711" s="750"/>
      <c r="D1711" s="750"/>
      <c r="E1711" s="750"/>
      <c r="F1711" s="750"/>
      <c r="G1711" s="750"/>
      <c r="H1711" s="750"/>
      <c r="I1711" s="750"/>
      <c r="J1711" s="871"/>
      <c r="K1711" s="801"/>
      <c r="L1711" s="899"/>
      <c r="M1711" s="650"/>
      <c r="N1711" s="917"/>
      <c r="O1711" s="646"/>
      <c r="P1711" s="933"/>
      <c r="Q1711" s="646"/>
      <c r="R1711" s="942"/>
      <c r="S1711" s="650"/>
      <c r="T1711" s="934"/>
      <c r="U1711" s="650"/>
      <c r="V1711" s="930"/>
    </row>
    <row r="1712" spans="1:22" s="624" customFormat="1" ht="16.5" customHeight="1">
      <c r="A1712" s="750"/>
      <c r="B1712" s="750"/>
      <c r="C1712" s="750"/>
      <c r="D1712" s="750"/>
      <c r="E1712" s="750"/>
      <c r="F1712" s="750"/>
      <c r="G1712" s="750"/>
      <c r="H1712" s="750"/>
      <c r="I1712" s="750"/>
      <c r="J1712" s="871"/>
      <c r="K1712" s="801"/>
      <c r="L1712" s="899"/>
      <c r="M1712" s="650"/>
      <c r="N1712" s="917"/>
      <c r="O1712" s="646"/>
      <c r="P1712" s="933"/>
      <c r="Q1712" s="646"/>
      <c r="R1712" s="942"/>
      <c r="S1712" s="650"/>
      <c r="T1712" s="934"/>
      <c r="U1712" s="650"/>
      <c r="V1712" s="930"/>
    </row>
    <row r="1713" spans="1:22" s="624" customFormat="1" ht="16.5" customHeight="1">
      <c r="A1713" s="750"/>
      <c r="B1713" s="750"/>
      <c r="C1713" s="750"/>
      <c r="D1713" s="750"/>
      <c r="E1713" s="750"/>
      <c r="F1713" s="750"/>
      <c r="G1713" s="750"/>
      <c r="H1713" s="750"/>
      <c r="I1713" s="750"/>
      <c r="J1713" s="871"/>
      <c r="K1713" s="801"/>
      <c r="L1713" s="899"/>
      <c r="M1713" s="650"/>
      <c r="N1713" s="917"/>
      <c r="O1713" s="646"/>
      <c r="P1713" s="933"/>
      <c r="Q1713" s="646"/>
      <c r="R1713" s="942"/>
      <c r="S1713" s="650"/>
      <c r="T1713" s="934"/>
      <c r="U1713" s="650"/>
      <c r="V1713" s="930"/>
    </row>
    <row r="1714" spans="1:22" s="624" customFormat="1" ht="16.5" customHeight="1">
      <c r="A1714" s="750"/>
      <c r="B1714" s="750"/>
      <c r="C1714" s="750"/>
      <c r="D1714" s="750"/>
      <c r="E1714" s="750"/>
      <c r="F1714" s="750"/>
      <c r="G1714" s="750"/>
      <c r="H1714" s="750"/>
      <c r="I1714" s="750"/>
      <c r="J1714" s="871"/>
      <c r="K1714" s="801"/>
      <c r="L1714" s="899"/>
      <c r="M1714" s="650"/>
      <c r="N1714" s="917"/>
      <c r="O1714" s="646"/>
      <c r="P1714" s="933"/>
      <c r="Q1714" s="646"/>
      <c r="R1714" s="942"/>
      <c r="S1714" s="650"/>
      <c r="T1714" s="934"/>
      <c r="U1714" s="650"/>
      <c r="V1714" s="930"/>
    </row>
    <row r="1715" spans="1:22" s="624" customFormat="1" ht="16.5" customHeight="1">
      <c r="A1715" s="750"/>
      <c r="B1715" s="750"/>
      <c r="C1715" s="750"/>
      <c r="D1715" s="750"/>
      <c r="E1715" s="750"/>
      <c r="F1715" s="750"/>
      <c r="G1715" s="750"/>
      <c r="H1715" s="750"/>
      <c r="I1715" s="750"/>
      <c r="J1715" s="871"/>
      <c r="K1715" s="801"/>
      <c r="L1715" s="899"/>
      <c r="M1715" s="650"/>
      <c r="N1715" s="917"/>
      <c r="O1715" s="646"/>
      <c r="P1715" s="933"/>
      <c r="Q1715" s="646"/>
      <c r="R1715" s="942"/>
      <c r="S1715" s="650"/>
      <c r="T1715" s="934"/>
      <c r="U1715" s="650"/>
      <c r="V1715" s="930"/>
    </row>
    <row r="1716" spans="1:22" s="624" customFormat="1" ht="16.5" customHeight="1">
      <c r="A1716" s="750"/>
      <c r="B1716" s="750"/>
      <c r="C1716" s="750"/>
      <c r="D1716" s="750"/>
      <c r="E1716" s="750"/>
      <c r="F1716" s="750"/>
      <c r="G1716" s="750"/>
      <c r="H1716" s="750"/>
      <c r="I1716" s="750"/>
      <c r="J1716" s="871"/>
      <c r="K1716" s="801"/>
      <c r="L1716" s="899"/>
      <c r="M1716" s="650"/>
      <c r="N1716" s="917"/>
      <c r="O1716" s="646"/>
      <c r="P1716" s="933"/>
      <c r="Q1716" s="646"/>
      <c r="R1716" s="942"/>
      <c r="S1716" s="650"/>
      <c r="T1716" s="934"/>
      <c r="U1716" s="650"/>
      <c r="V1716" s="930"/>
    </row>
    <row r="1717" spans="1:22" s="624" customFormat="1" ht="16.5" customHeight="1">
      <c r="A1717" s="750"/>
      <c r="B1717" s="750"/>
      <c r="C1717" s="750"/>
      <c r="D1717" s="750"/>
      <c r="E1717" s="750"/>
      <c r="F1717" s="750"/>
      <c r="G1717" s="750"/>
      <c r="H1717" s="750"/>
      <c r="I1717" s="750"/>
      <c r="J1717" s="871"/>
      <c r="K1717" s="801"/>
      <c r="L1717" s="899"/>
      <c r="M1717" s="650"/>
      <c r="N1717" s="917"/>
      <c r="O1717" s="646"/>
      <c r="P1717" s="933"/>
      <c r="Q1717" s="646"/>
      <c r="R1717" s="942"/>
      <c r="S1717" s="650"/>
      <c r="T1717" s="934"/>
      <c r="U1717" s="650"/>
      <c r="V1717" s="930"/>
    </row>
    <row r="1718" spans="1:22" s="624" customFormat="1" ht="16.5" customHeight="1">
      <c r="A1718" s="750"/>
      <c r="B1718" s="750"/>
      <c r="C1718" s="750"/>
      <c r="D1718" s="750"/>
      <c r="E1718" s="750"/>
      <c r="F1718" s="750"/>
      <c r="G1718" s="750"/>
      <c r="H1718" s="750"/>
      <c r="I1718" s="750"/>
      <c r="J1718" s="871"/>
      <c r="K1718" s="801"/>
      <c r="L1718" s="899"/>
      <c r="M1718" s="650"/>
      <c r="N1718" s="917"/>
      <c r="O1718" s="646"/>
      <c r="P1718" s="933"/>
      <c r="Q1718" s="646"/>
      <c r="R1718" s="942"/>
      <c r="S1718" s="650"/>
      <c r="T1718" s="934"/>
      <c r="U1718" s="650"/>
      <c r="V1718" s="930"/>
    </row>
    <row r="1719" spans="1:22" s="624" customFormat="1" ht="16.5" customHeight="1">
      <c r="A1719" s="750"/>
      <c r="B1719" s="750"/>
      <c r="C1719" s="750"/>
      <c r="D1719" s="750"/>
      <c r="E1719" s="750"/>
      <c r="F1719" s="750"/>
      <c r="G1719" s="750"/>
      <c r="H1719" s="750"/>
      <c r="I1719" s="750"/>
      <c r="J1719" s="871"/>
      <c r="K1719" s="801"/>
      <c r="L1719" s="899"/>
      <c r="M1719" s="650"/>
      <c r="N1719" s="917"/>
      <c r="O1719" s="646"/>
      <c r="P1719" s="933"/>
      <c r="Q1719" s="646"/>
      <c r="R1719" s="942"/>
      <c r="S1719" s="650"/>
      <c r="T1719" s="934"/>
      <c r="U1719" s="650"/>
      <c r="V1719" s="930"/>
    </row>
    <row r="1720" spans="1:22" s="624" customFormat="1" ht="16.5" customHeight="1">
      <c r="A1720" s="750"/>
      <c r="B1720" s="750"/>
      <c r="C1720" s="750"/>
      <c r="D1720" s="750"/>
      <c r="E1720" s="750"/>
      <c r="F1720" s="750"/>
      <c r="G1720" s="750"/>
      <c r="H1720" s="750"/>
      <c r="I1720" s="750"/>
      <c r="J1720" s="871"/>
      <c r="K1720" s="801"/>
      <c r="L1720" s="899"/>
      <c r="M1720" s="650"/>
      <c r="N1720" s="917"/>
      <c r="O1720" s="646"/>
      <c r="P1720" s="933"/>
      <c r="Q1720" s="646"/>
      <c r="R1720" s="942"/>
      <c r="S1720" s="650"/>
      <c r="T1720" s="934"/>
      <c r="U1720" s="650"/>
      <c r="V1720" s="930"/>
    </row>
    <row r="1721" spans="1:22" s="624" customFormat="1" ht="16.5" customHeight="1">
      <c r="A1721" s="750"/>
      <c r="B1721" s="750"/>
      <c r="C1721" s="750"/>
      <c r="D1721" s="750"/>
      <c r="E1721" s="750"/>
      <c r="F1721" s="750"/>
      <c r="G1721" s="750"/>
      <c r="H1721" s="750"/>
      <c r="I1721" s="750"/>
      <c r="J1721" s="871"/>
      <c r="K1721" s="801"/>
      <c r="L1721" s="899"/>
      <c r="M1721" s="650"/>
      <c r="N1721" s="917"/>
      <c r="O1721" s="646"/>
      <c r="P1721" s="933"/>
      <c r="Q1721" s="646"/>
      <c r="R1721" s="942"/>
      <c r="S1721" s="650"/>
      <c r="T1721" s="934"/>
      <c r="U1721" s="650"/>
      <c r="V1721" s="930"/>
    </row>
    <row r="1722" spans="1:22" s="624" customFormat="1" ht="16.5" customHeight="1">
      <c r="A1722" s="750"/>
      <c r="B1722" s="750"/>
      <c r="C1722" s="750"/>
      <c r="D1722" s="750"/>
      <c r="E1722" s="750"/>
      <c r="F1722" s="750"/>
      <c r="G1722" s="750"/>
      <c r="H1722" s="750"/>
      <c r="I1722" s="750"/>
      <c r="J1722" s="871"/>
      <c r="K1722" s="801"/>
      <c r="L1722" s="899"/>
      <c r="M1722" s="650"/>
      <c r="N1722" s="917"/>
      <c r="O1722" s="646"/>
      <c r="P1722" s="933"/>
      <c r="Q1722" s="646"/>
      <c r="R1722" s="942"/>
      <c r="S1722" s="650"/>
      <c r="T1722" s="934"/>
      <c r="U1722" s="650"/>
      <c r="V1722" s="930"/>
    </row>
    <row r="1723" spans="1:22" s="624" customFormat="1" ht="16.5" customHeight="1">
      <c r="A1723" s="750"/>
      <c r="B1723" s="750"/>
      <c r="C1723" s="750"/>
      <c r="D1723" s="750"/>
      <c r="E1723" s="750"/>
      <c r="F1723" s="750"/>
      <c r="G1723" s="750"/>
      <c r="H1723" s="750"/>
      <c r="I1723" s="750"/>
      <c r="J1723" s="871"/>
      <c r="K1723" s="801"/>
      <c r="L1723" s="899"/>
      <c r="M1723" s="650"/>
      <c r="N1723" s="917"/>
      <c r="O1723" s="646"/>
      <c r="P1723" s="933"/>
      <c r="Q1723" s="646"/>
      <c r="R1723" s="942"/>
      <c r="S1723" s="650"/>
      <c r="T1723" s="934"/>
      <c r="U1723" s="650"/>
      <c r="V1723" s="930"/>
    </row>
    <row r="1724" spans="1:22" s="624" customFormat="1" ht="16.5" customHeight="1">
      <c r="A1724" s="750"/>
      <c r="B1724" s="750"/>
      <c r="C1724" s="750"/>
      <c r="D1724" s="750"/>
      <c r="E1724" s="750"/>
      <c r="F1724" s="750"/>
      <c r="G1724" s="750"/>
      <c r="H1724" s="750"/>
      <c r="I1724" s="750"/>
      <c r="J1724" s="871"/>
      <c r="K1724" s="801"/>
      <c r="L1724" s="899"/>
      <c r="M1724" s="650"/>
      <c r="N1724" s="917"/>
      <c r="O1724" s="646"/>
      <c r="P1724" s="933"/>
      <c r="Q1724" s="646"/>
      <c r="R1724" s="942"/>
      <c r="S1724" s="650"/>
      <c r="T1724" s="934"/>
      <c r="U1724" s="650"/>
      <c r="V1724" s="930"/>
    </row>
    <row r="1725" spans="1:22" s="624" customFormat="1" ht="16.5" customHeight="1">
      <c r="A1725" s="750"/>
      <c r="B1725" s="750"/>
      <c r="C1725" s="750"/>
      <c r="D1725" s="750"/>
      <c r="E1725" s="750"/>
      <c r="F1725" s="750"/>
      <c r="G1725" s="750"/>
      <c r="H1725" s="750"/>
      <c r="I1725" s="750"/>
      <c r="J1725" s="871"/>
      <c r="K1725" s="801"/>
      <c r="L1725" s="899"/>
      <c r="M1725" s="650"/>
      <c r="N1725" s="917"/>
      <c r="O1725" s="646"/>
      <c r="P1725" s="933"/>
      <c r="Q1725" s="646"/>
      <c r="R1725" s="942"/>
      <c r="S1725" s="650"/>
      <c r="T1725" s="934"/>
      <c r="U1725" s="650"/>
      <c r="V1725" s="930"/>
    </row>
    <row r="1726" spans="1:22" s="624" customFormat="1" ht="16.5" customHeight="1">
      <c r="A1726" s="750"/>
      <c r="B1726" s="750"/>
      <c r="C1726" s="750"/>
      <c r="D1726" s="750"/>
      <c r="E1726" s="750"/>
      <c r="F1726" s="750"/>
      <c r="G1726" s="750"/>
      <c r="H1726" s="750"/>
      <c r="I1726" s="750"/>
      <c r="J1726" s="871"/>
      <c r="K1726" s="801"/>
      <c r="L1726" s="899"/>
      <c r="M1726" s="650"/>
      <c r="N1726" s="917"/>
      <c r="O1726" s="646"/>
      <c r="P1726" s="933"/>
      <c r="Q1726" s="646"/>
      <c r="R1726" s="942"/>
      <c r="S1726" s="650"/>
      <c r="T1726" s="934"/>
      <c r="U1726" s="650"/>
      <c r="V1726" s="930"/>
    </row>
    <row r="1727" spans="1:22" s="624" customFormat="1" ht="16.5" customHeight="1">
      <c r="A1727" s="750"/>
      <c r="B1727" s="750"/>
      <c r="C1727" s="750"/>
      <c r="D1727" s="750"/>
      <c r="E1727" s="750"/>
      <c r="F1727" s="750"/>
      <c r="G1727" s="750"/>
      <c r="H1727" s="750"/>
      <c r="I1727" s="750"/>
      <c r="J1727" s="871"/>
      <c r="K1727" s="801"/>
      <c r="L1727" s="899"/>
      <c r="M1727" s="650"/>
      <c r="N1727" s="917"/>
      <c r="O1727" s="646"/>
      <c r="P1727" s="933"/>
      <c r="Q1727" s="646"/>
      <c r="R1727" s="942"/>
      <c r="S1727" s="650"/>
      <c r="T1727" s="934"/>
      <c r="U1727" s="650"/>
      <c r="V1727" s="930"/>
    </row>
    <row r="1728" spans="1:22" s="624" customFormat="1" ht="16.5" customHeight="1">
      <c r="A1728" s="750"/>
      <c r="B1728" s="750"/>
      <c r="C1728" s="750"/>
      <c r="D1728" s="750"/>
      <c r="E1728" s="750"/>
      <c r="F1728" s="750"/>
      <c r="G1728" s="750"/>
      <c r="H1728" s="750"/>
      <c r="I1728" s="750"/>
      <c r="J1728" s="871"/>
      <c r="K1728" s="801"/>
      <c r="L1728" s="899"/>
      <c r="M1728" s="650"/>
      <c r="N1728" s="917"/>
      <c r="O1728" s="646"/>
      <c r="P1728" s="933"/>
      <c r="Q1728" s="646"/>
      <c r="R1728" s="942"/>
      <c r="S1728" s="650"/>
      <c r="T1728" s="934"/>
      <c r="U1728" s="650"/>
      <c r="V1728" s="930"/>
    </row>
    <row r="1729" spans="1:22" s="624" customFormat="1" ht="16.5" customHeight="1">
      <c r="A1729" s="750"/>
      <c r="B1729" s="750"/>
      <c r="C1729" s="750"/>
      <c r="D1729" s="750"/>
      <c r="E1729" s="750"/>
      <c r="F1729" s="750"/>
      <c r="G1729" s="750"/>
      <c r="H1729" s="750"/>
      <c r="I1729" s="750"/>
      <c r="J1729" s="871"/>
      <c r="K1729" s="801"/>
      <c r="L1729" s="899"/>
      <c r="M1729" s="650"/>
      <c r="N1729" s="917"/>
      <c r="O1729" s="646"/>
      <c r="P1729" s="933"/>
      <c r="Q1729" s="646"/>
      <c r="R1729" s="942"/>
      <c r="S1729" s="650"/>
      <c r="T1729" s="934"/>
      <c r="U1729" s="650"/>
      <c r="V1729" s="930"/>
    </row>
    <row r="1730" spans="1:22" s="624" customFormat="1" ht="16.5" customHeight="1">
      <c r="A1730" s="750"/>
      <c r="B1730" s="750"/>
      <c r="C1730" s="750"/>
      <c r="D1730" s="750"/>
      <c r="E1730" s="750"/>
      <c r="F1730" s="750"/>
      <c r="G1730" s="750"/>
      <c r="H1730" s="750"/>
      <c r="I1730" s="750"/>
      <c r="J1730" s="871"/>
      <c r="K1730" s="801"/>
      <c r="L1730" s="899"/>
      <c r="M1730" s="650"/>
      <c r="N1730" s="917"/>
      <c r="O1730" s="646"/>
      <c r="P1730" s="933"/>
      <c r="Q1730" s="646"/>
      <c r="R1730" s="942"/>
      <c r="S1730" s="650"/>
      <c r="T1730" s="934"/>
      <c r="U1730" s="650"/>
      <c r="V1730" s="930"/>
    </row>
    <row r="1731" spans="1:22" s="624" customFormat="1" ht="16.5" customHeight="1">
      <c r="A1731" s="750"/>
      <c r="B1731" s="750"/>
      <c r="C1731" s="750"/>
      <c r="D1731" s="750"/>
      <c r="E1731" s="750"/>
      <c r="F1731" s="750"/>
      <c r="G1731" s="750"/>
      <c r="H1731" s="750"/>
      <c r="I1731" s="750"/>
      <c r="J1731" s="871"/>
      <c r="K1731" s="801"/>
      <c r="L1731" s="899"/>
      <c r="M1731" s="650"/>
      <c r="N1731" s="917"/>
      <c r="O1731" s="646"/>
      <c r="P1731" s="933"/>
      <c r="Q1731" s="646"/>
      <c r="R1731" s="942"/>
      <c r="S1731" s="650"/>
      <c r="T1731" s="934"/>
      <c r="U1731" s="650"/>
      <c r="V1731" s="930"/>
    </row>
    <row r="1732" spans="1:22" s="624" customFormat="1" ht="16.5" customHeight="1">
      <c r="A1732" s="750"/>
      <c r="B1732" s="750"/>
      <c r="C1732" s="750"/>
      <c r="D1732" s="750"/>
      <c r="E1732" s="750"/>
      <c r="F1732" s="750"/>
      <c r="G1732" s="750"/>
      <c r="H1732" s="750"/>
      <c r="I1732" s="750"/>
      <c r="J1732" s="871"/>
      <c r="K1732" s="801"/>
      <c r="L1732" s="899"/>
      <c r="M1732" s="650"/>
      <c r="N1732" s="917"/>
      <c r="O1732" s="646"/>
      <c r="P1732" s="933"/>
      <c r="Q1732" s="646"/>
      <c r="R1732" s="942"/>
      <c r="S1732" s="650"/>
      <c r="T1732" s="934"/>
      <c r="U1732" s="650"/>
      <c r="V1732" s="930"/>
    </row>
    <row r="1733" spans="1:22" s="624" customFormat="1" ht="16.5" customHeight="1">
      <c r="A1733" s="750"/>
      <c r="B1733" s="750"/>
      <c r="C1733" s="750"/>
      <c r="D1733" s="750"/>
      <c r="E1733" s="750"/>
      <c r="F1733" s="750"/>
      <c r="G1733" s="750"/>
      <c r="H1733" s="750"/>
      <c r="I1733" s="750"/>
      <c r="J1733" s="871"/>
      <c r="K1733" s="801"/>
      <c r="L1733" s="899"/>
      <c r="M1733" s="650"/>
      <c r="N1733" s="917"/>
      <c r="O1733" s="646"/>
      <c r="P1733" s="933"/>
      <c r="Q1733" s="646"/>
      <c r="R1733" s="942"/>
      <c r="S1733" s="650"/>
      <c r="T1733" s="934"/>
      <c r="U1733" s="650"/>
      <c r="V1733" s="930"/>
    </row>
    <row r="1734" spans="1:22" s="624" customFormat="1" ht="16.5" customHeight="1">
      <c r="A1734" s="750"/>
      <c r="B1734" s="750"/>
      <c r="C1734" s="750"/>
      <c r="D1734" s="750"/>
      <c r="E1734" s="750"/>
      <c r="F1734" s="750"/>
      <c r="G1734" s="750"/>
      <c r="H1734" s="750"/>
      <c r="I1734" s="750"/>
      <c r="J1734" s="871"/>
      <c r="K1734" s="801"/>
      <c r="L1734" s="899"/>
      <c r="M1734" s="650"/>
      <c r="N1734" s="917"/>
      <c r="O1734" s="646"/>
      <c r="P1734" s="933"/>
      <c r="Q1734" s="646"/>
      <c r="R1734" s="942"/>
      <c r="S1734" s="650"/>
      <c r="T1734" s="934"/>
      <c r="U1734" s="650"/>
      <c r="V1734" s="930"/>
    </row>
    <row r="1735" spans="1:22" s="624" customFormat="1" ht="16.5" customHeight="1">
      <c r="A1735" s="750"/>
      <c r="B1735" s="750"/>
      <c r="C1735" s="750"/>
      <c r="D1735" s="750"/>
      <c r="E1735" s="750"/>
      <c r="F1735" s="750"/>
      <c r="G1735" s="750"/>
      <c r="H1735" s="750"/>
      <c r="I1735" s="750"/>
      <c r="J1735" s="871"/>
      <c r="K1735" s="801"/>
      <c r="L1735" s="899"/>
      <c r="M1735" s="650"/>
      <c r="N1735" s="917"/>
      <c r="O1735" s="646"/>
      <c r="P1735" s="933"/>
      <c r="Q1735" s="646"/>
      <c r="R1735" s="942"/>
      <c r="S1735" s="650"/>
      <c r="T1735" s="934"/>
      <c r="U1735" s="650"/>
      <c r="V1735" s="930"/>
    </row>
    <row r="1736" spans="1:22" s="624" customFormat="1" ht="16.5" customHeight="1">
      <c r="A1736" s="750"/>
      <c r="B1736" s="750"/>
      <c r="C1736" s="750"/>
      <c r="D1736" s="750"/>
      <c r="E1736" s="750"/>
      <c r="F1736" s="750"/>
      <c r="G1736" s="750"/>
      <c r="H1736" s="750"/>
      <c r="I1736" s="750"/>
      <c r="J1736" s="871"/>
      <c r="K1736" s="801"/>
      <c r="L1736" s="899"/>
      <c r="M1736" s="650"/>
      <c r="N1736" s="917"/>
      <c r="O1736" s="646"/>
      <c r="P1736" s="933"/>
      <c r="Q1736" s="646"/>
      <c r="R1736" s="942"/>
      <c r="S1736" s="650"/>
      <c r="T1736" s="934"/>
      <c r="U1736" s="650"/>
      <c r="V1736" s="930"/>
    </row>
    <row r="1737" spans="1:22" s="624" customFormat="1" ht="16.5" customHeight="1">
      <c r="A1737" s="750"/>
      <c r="B1737" s="750"/>
      <c r="C1737" s="750"/>
      <c r="D1737" s="750"/>
      <c r="E1737" s="750"/>
      <c r="F1737" s="750"/>
      <c r="G1737" s="750"/>
      <c r="H1737" s="750"/>
      <c r="I1737" s="750"/>
      <c r="J1737" s="871"/>
      <c r="K1737" s="801"/>
      <c r="L1737" s="899"/>
      <c r="M1737" s="650"/>
      <c r="N1737" s="917"/>
      <c r="O1737" s="646"/>
      <c r="P1737" s="933"/>
      <c r="Q1737" s="646"/>
      <c r="R1737" s="942"/>
      <c r="S1737" s="650"/>
      <c r="T1737" s="934"/>
      <c r="U1737" s="650"/>
      <c r="V1737" s="930"/>
    </row>
    <row r="1738" spans="1:22" s="624" customFormat="1" ht="16.5" customHeight="1">
      <c r="A1738" s="750"/>
      <c r="B1738" s="750"/>
      <c r="C1738" s="750"/>
      <c r="D1738" s="750"/>
      <c r="E1738" s="750"/>
      <c r="F1738" s="750"/>
      <c r="G1738" s="750"/>
      <c r="H1738" s="750"/>
      <c r="I1738" s="750"/>
      <c r="J1738" s="871"/>
      <c r="K1738" s="801"/>
      <c r="L1738" s="899"/>
      <c r="M1738" s="650"/>
      <c r="N1738" s="917"/>
      <c r="O1738" s="646"/>
      <c r="P1738" s="933"/>
      <c r="Q1738" s="646"/>
      <c r="R1738" s="942"/>
      <c r="S1738" s="650"/>
      <c r="T1738" s="934"/>
      <c r="U1738" s="650"/>
      <c r="V1738" s="930"/>
    </row>
    <row r="1739" spans="1:22" s="624" customFormat="1" ht="16.5" customHeight="1">
      <c r="A1739" s="750"/>
      <c r="B1739" s="750"/>
      <c r="C1739" s="750"/>
      <c r="D1739" s="750"/>
      <c r="E1739" s="750"/>
      <c r="F1739" s="750"/>
      <c r="G1739" s="750"/>
      <c r="H1739" s="750"/>
      <c r="I1739" s="750"/>
      <c r="J1739" s="871"/>
      <c r="K1739" s="801"/>
      <c r="L1739" s="899"/>
      <c r="M1739" s="650"/>
      <c r="N1739" s="917"/>
      <c r="O1739" s="646"/>
      <c r="P1739" s="933"/>
      <c r="Q1739" s="646"/>
      <c r="R1739" s="942"/>
      <c r="S1739" s="650"/>
      <c r="T1739" s="934"/>
      <c r="U1739" s="650"/>
      <c r="V1739" s="930"/>
    </row>
    <row r="1740" spans="1:22" s="624" customFormat="1" ht="16.5" customHeight="1">
      <c r="A1740" s="750"/>
      <c r="B1740" s="750"/>
      <c r="C1740" s="750"/>
      <c r="D1740" s="750"/>
      <c r="E1740" s="750"/>
      <c r="F1740" s="750"/>
      <c r="G1740" s="750"/>
      <c r="H1740" s="750"/>
      <c r="I1740" s="750"/>
      <c r="J1740" s="871"/>
      <c r="K1740" s="801"/>
      <c r="L1740" s="899"/>
      <c r="M1740" s="650"/>
      <c r="N1740" s="917"/>
      <c r="O1740" s="646"/>
      <c r="P1740" s="933"/>
      <c r="Q1740" s="646"/>
      <c r="R1740" s="942"/>
      <c r="S1740" s="650"/>
      <c r="T1740" s="934"/>
      <c r="U1740" s="650"/>
      <c r="V1740" s="930"/>
    </row>
    <row r="1741" spans="1:22" s="624" customFormat="1" ht="16.5" customHeight="1">
      <c r="A1741" s="750"/>
      <c r="B1741" s="750"/>
      <c r="C1741" s="750"/>
      <c r="D1741" s="750"/>
      <c r="E1741" s="750"/>
      <c r="F1741" s="750"/>
      <c r="G1741" s="750"/>
      <c r="H1741" s="750"/>
      <c r="I1741" s="750"/>
      <c r="J1741" s="871"/>
      <c r="K1741" s="801"/>
      <c r="L1741" s="899"/>
      <c r="M1741" s="650"/>
      <c r="N1741" s="917"/>
      <c r="O1741" s="646"/>
      <c r="P1741" s="933"/>
      <c r="Q1741" s="646"/>
      <c r="R1741" s="942"/>
      <c r="S1741" s="650"/>
      <c r="T1741" s="934"/>
      <c r="U1741" s="650"/>
      <c r="V1741" s="930"/>
    </row>
    <row r="1742" spans="1:22" s="624" customFormat="1" ht="16.5" customHeight="1">
      <c r="A1742" s="750"/>
      <c r="B1742" s="750"/>
      <c r="C1742" s="750"/>
      <c r="D1742" s="750"/>
      <c r="E1742" s="750"/>
      <c r="F1742" s="750"/>
      <c r="G1742" s="750"/>
      <c r="H1742" s="750"/>
      <c r="I1742" s="750"/>
      <c r="J1742" s="871"/>
      <c r="K1742" s="801"/>
      <c r="L1742" s="899"/>
      <c r="M1742" s="650"/>
      <c r="N1742" s="917"/>
      <c r="O1742" s="646"/>
      <c r="P1742" s="933"/>
      <c r="Q1742" s="646"/>
      <c r="R1742" s="942"/>
      <c r="S1742" s="650"/>
      <c r="T1742" s="934"/>
      <c r="U1742" s="650"/>
      <c r="V1742" s="930"/>
    </row>
    <row r="1743" spans="1:22" s="624" customFormat="1" ht="16.5" customHeight="1">
      <c r="A1743" s="750"/>
      <c r="B1743" s="750"/>
      <c r="C1743" s="750"/>
      <c r="D1743" s="750"/>
      <c r="E1743" s="750"/>
      <c r="F1743" s="750"/>
      <c r="G1743" s="750"/>
      <c r="H1743" s="750"/>
      <c r="I1743" s="750"/>
      <c r="J1743" s="871"/>
      <c r="K1743" s="801"/>
      <c r="L1743" s="899"/>
      <c r="M1743" s="650"/>
      <c r="N1743" s="917"/>
      <c r="O1743" s="646"/>
      <c r="P1743" s="933"/>
      <c r="Q1743" s="646"/>
      <c r="R1743" s="942"/>
      <c r="S1743" s="650"/>
      <c r="T1743" s="934"/>
      <c r="U1743" s="650"/>
      <c r="V1743" s="930"/>
    </row>
    <row r="1744" spans="1:22" s="624" customFormat="1" ht="16.5" customHeight="1">
      <c r="A1744" s="750"/>
      <c r="B1744" s="750"/>
      <c r="C1744" s="750"/>
      <c r="D1744" s="750"/>
      <c r="E1744" s="750"/>
      <c r="F1744" s="750"/>
      <c r="G1744" s="750"/>
      <c r="H1744" s="750"/>
      <c r="I1744" s="750"/>
      <c r="J1744" s="871"/>
      <c r="K1744" s="801"/>
      <c r="L1744" s="899"/>
      <c r="M1744" s="650"/>
      <c r="N1744" s="917"/>
      <c r="O1744" s="646"/>
      <c r="P1744" s="933"/>
      <c r="Q1744" s="646"/>
      <c r="R1744" s="942"/>
      <c r="S1744" s="650"/>
      <c r="T1744" s="934"/>
      <c r="U1744" s="650"/>
      <c r="V1744" s="930"/>
    </row>
    <row r="1745" spans="1:22" s="624" customFormat="1" ht="16.5" customHeight="1">
      <c r="A1745" s="750"/>
      <c r="B1745" s="750"/>
      <c r="C1745" s="750"/>
      <c r="D1745" s="750"/>
      <c r="E1745" s="750"/>
      <c r="F1745" s="750"/>
      <c r="G1745" s="750"/>
      <c r="H1745" s="750"/>
      <c r="I1745" s="750"/>
      <c r="J1745" s="871"/>
      <c r="K1745" s="801"/>
      <c r="L1745" s="899"/>
      <c r="M1745" s="650"/>
      <c r="N1745" s="917"/>
      <c r="O1745" s="646"/>
      <c r="P1745" s="933"/>
      <c r="Q1745" s="646"/>
      <c r="R1745" s="942"/>
      <c r="S1745" s="650"/>
      <c r="T1745" s="934"/>
      <c r="U1745" s="650"/>
      <c r="V1745" s="930"/>
    </row>
    <row r="1746" spans="1:22" s="624" customFormat="1" ht="16.5" customHeight="1">
      <c r="A1746" s="750"/>
      <c r="B1746" s="750"/>
      <c r="C1746" s="750"/>
      <c r="D1746" s="750"/>
      <c r="E1746" s="750"/>
      <c r="F1746" s="750"/>
      <c r="G1746" s="750"/>
      <c r="H1746" s="750"/>
      <c r="I1746" s="750"/>
      <c r="J1746" s="871"/>
      <c r="K1746" s="801"/>
      <c r="L1746" s="899"/>
      <c r="M1746" s="650"/>
      <c r="N1746" s="917"/>
      <c r="O1746" s="646"/>
      <c r="P1746" s="933"/>
      <c r="Q1746" s="646"/>
      <c r="R1746" s="942"/>
      <c r="S1746" s="650"/>
      <c r="T1746" s="934"/>
      <c r="U1746" s="650"/>
      <c r="V1746" s="930"/>
    </row>
    <row r="1747" spans="1:22" s="624" customFormat="1" ht="16.5" customHeight="1">
      <c r="A1747" s="750"/>
      <c r="B1747" s="750"/>
      <c r="C1747" s="750"/>
      <c r="D1747" s="750"/>
      <c r="E1747" s="750"/>
      <c r="F1747" s="750"/>
      <c r="G1747" s="750"/>
      <c r="H1747" s="750"/>
      <c r="I1747" s="750"/>
      <c r="J1747" s="871"/>
      <c r="K1747" s="801"/>
      <c r="L1747" s="899"/>
      <c r="M1747" s="650"/>
      <c r="N1747" s="917"/>
      <c r="O1747" s="646"/>
      <c r="P1747" s="933"/>
      <c r="Q1747" s="646"/>
      <c r="R1747" s="942"/>
      <c r="S1747" s="650"/>
      <c r="T1747" s="934"/>
      <c r="U1747" s="650"/>
      <c r="V1747" s="930"/>
    </row>
    <row r="1748" spans="1:22" s="624" customFormat="1" ht="16.5" customHeight="1">
      <c r="A1748" s="750"/>
      <c r="B1748" s="750"/>
      <c r="C1748" s="750"/>
      <c r="D1748" s="750"/>
      <c r="E1748" s="750"/>
      <c r="F1748" s="750"/>
      <c r="G1748" s="750"/>
      <c r="H1748" s="750"/>
      <c r="I1748" s="750"/>
      <c r="J1748" s="871"/>
      <c r="K1748" s="801"/>
      <c r="L1748" s="899"/>
      <c r="M1748" s="650"/>
      <c r="N1748" s="917"/>
      <c r="O1748" s="646"/>
      <c r="P1748" s="933"/>
      <c r="Q1748" s="646"/>
      <c r="R1748" s="942"/>
      <c r="S1748" s="650"/>
      <c r="T1748" s="934"/>
      <c r="U1748" s="650"/>
      <c r="V1748" s="930"/>
    </row>
    <row r="1749" spans="1:22" s="624" customFormat="1" ht="16.5" customHeight="1">
      <c r="A1749" s="750"/>
      <c r="B1749" s="750"/>
      <c r="C1749" s="750"/>
      <c r="D1749" s="750"/>
      <c r="E1749" s="750"/>
      <c r="F1749" s="750"/>
      <c r="G1749" s="750"/>
      <c r="H1749" s="750"/>
      <c r="I1749" s="750"/>
      <c r="J1749" s="871"/>
      <c r="K1749" s="801"/>
      <c r="L1749" s="899"/>
      <c r="M1749" s="650"/>
      <c r="N1749" s="917"/>
      <c r="O1749" s="646"/>
      <c r="P1749" s="933"/>
      <c r="Q1749" s="646"/>
      <c r="R1749" s="942"/>
      <c r="S1749" s="650"/>
      <c r="T1749" s="934"/>
      <c r="U1749" s="650"/>
      <c r="V1749" s="930"/>
    </row>
    <row r="1750" spans="1:22" s="624" customFormat="1" ht="16.5" customHeight="1">
      <c r="A1750" s="750"/>
      <c r="B1750" s="750"/>
      <c r="C1750" s="750"/>
      <c r="D1750" s="750"/>
      <c r="E1750" s="750"/>
      <c r="F1750" s="750"/>
      <c r="G1750" s="750"/>
      <c r="H1750" s="750"/>
      <c r="I1750" s="750"/>
      <c r="J1750" s="871"/>
      <c r="K1750" s="801"/>
      <c r="L1750" s="899"/>
      <c r="M1750" s="650"/>
      <c r="N1750" s="917"/>
      <c r="O1750" s="646"/>
      <c r="P1750" s="933"/>
      <c r="Q1750" s="646"/>
      <c r="R1750" s="942"/>
      <c r="S1750" s="650"/>
      <c r="T1750" s="934"/>
      <c r="U1750" s="650"/>
      <c r="V1750" s="930"/>
    </row>
    <row r="1751" spans="1:22" s="624" customFormat="1" ht="16.5" customHeight="1">
      <c r="A1751" s="750"/>
      <c r="B1751" s="750"/>
      <c r="C1751" s="750"/>
      <c r="D1751" s="750"/>
      <c r="E1751" s="750"/>
      <c r="F1751" s="750"/>
      <c r="G1751" s="750"/>
      <c r="H1751" s="750"/>
      <c r="I1751" s="750"/>
      <c r="J1751" s="871"/>
      <c r="K1751" s="801"/>
      <c r="L1751" s="899"/>
      <c r="M1751" s="650"/>
      <c r="N1751" s="917"/>
      <c r="O1751" s="646"/>
      <c r="P1751" s="933"/>
      <c r="Q1751" s="646"/>
      <c r="R1751" s="942"/>
      <c r="S1751" s="650"/>
      <c r="T1751" s="934"/>
      <c r="U1751" s="650"/>
      <c r="V1751" s="930"/>
    </row>
    <row r="1752" spans="1:22" s="624" customFormat="1" ht="16.5" customHeight="1">
      <c r="A1752" s="750"/>
      <c r="B1752" s="750"/>
      <c r="C1752" s="750"/>
      <c r="D1752" s="750"/>
      <c r="E1752" s="750"/>
      <c r="F1752" s="750"/>
      <c r="G1752" s="750"/>
      <c r="H1752" s="750"/>
      <c r="I1752" s="750"/>
      <c r="J1752" s="871"/>
      <c r="K1752" s="801"/>
      <c r="L1752" s="899"/>
      <c r="M1752" s="650"/>
      <c r="N1752" s="917"/>
      <c r="O1752" s="646"/>
      <c r="P1752" s="933"/>
      <c r="Q1752" s="646"/>
      <c r="R1752" s="942"/>
      <c r="S1752" s="650"/>
      <c r="T1752" s="934"/>
      <c r="U1752" s="650"/>
      <c r="V1752" s="930"/>
    </row>
    <row r="1753" spans="1:22" s="624" customFormat="1" ht="16.5" customHeight="1">
      <c r="A1753" s="750"/>
      <c r="B1753" s="750"/>
      <c r="C1753" s="750"/>
      <c r="D1753" s="750"/>
      <c r="E1753" s="750"/>
      <c r="F1753" s="750"/>
      <c r="G1753" s="750"/>
      <c r="H1753" s="750"/>
      <c r="I1753" s="750"/>
      <c r="J1753" s="871"/>
      <c r="K1753" s="801"/>
      <c r="L1753" s="899"/>
      <c r="M1753" s="650"/>
      <c r="N1753" s="917"/>
      <c r="O1753" s="646"/>
      <c r="P1753" s="933"/>
      <c r="Q1753" s="646"/>
      <c r="R1753" s="942"/>
      <c r="S1753" s="650"/>
      <c r="T1753" s="934"/>
      <c r="U1753" s="650"/>
      <c r="V1753" s="930"/>
    </row>
    <row r="1754" spans="1:22" s="624" customFormat="1" ht="16.5" customHeight="1">
      <c r="A1754" s="750"/>
      <c r="B1754" s="750"/>
      <c r="C1754" s="750"/>
      <c r="D1754" s="750"/>
      <c r="E1754" s="750"/>
      <c r="F1754" s="750"/>
      <c r="G1754" s="750"/>
      <c r="H1754" s="750"/>
      <c r="I1754" s="750"/>
      <c r="J1754" s="871"/>
      <c r="K1754" s="801"/>
      <c r="L1754" s="899"/>
      <c r="M1754" s="650"/>
      <c r="N1754" s="917"/>
      <c r="O1754" s="646"/>
      <c r="P1754" s="933"/>
      <c r="Q1754" s="646"/>
      <c r="R1754" s="942"/>
      <c r="S1754" s="650"/>
      <c r="T1754" s="934"/>
      <c r="U1754" s="650"/>
      <c r="V1754" s="930"/>
    </row>
    <row r="1755" spans="1:22" s="624" customFormat="1" ht="16.5" customHeight="1">
      <c r="A1755" s="750"/>
      <c r="B1755" s="750"/>
      <c r="C1755" s="750"/>
      <c r="D1755" s="750"/>
      <c r="E1755" s="750"/>
      <c r="F1755" s="750"/>
      <c r="G1755" s="750"/>
      <c r="H1755" s="750"/>
      <c r="I1755" s="750"/>
      <c r="J1755" s="871"/>
      <c r="K1755" s="801"/>
      <c r="L1755" s="899"/>
      <c r="M1755" s="650"/>
      <c r="N1755" s="917"/>
      <c r="O1755" s="646"/>
      <c r="P1755" s="933"/>
      <c r="Q1755" s="646"/>
      <c r="R1755" s="942"/>
      <c r="S1755" s="650"/>
      <c r="T1755" s="934"/>
      <c r="U1755" s="650"/>
      <c r="V1755" s="930"/>
    </row>
    <row r="1756" spans="1:22" s="624" customFormat="1" ht="16.5" customHeight="1">
      <c r="A1756" s="750"/>
      <c r="B1756" s="750"/>
      <c r="C1756" s="750"/>
      <c r="D1756" s="750"/>
      <c r="E1756" s="750"/>
      <c r="F1756" s="750"/>
      <c r="G1756" s="750"/>
      <c r="H1756" s="750"/>
      <c r="I1756" s="750"/>
      <c r="J1756" s="871"/>
      <c r="K1756" s="801"/>
      <c r="L1756" s="899"/>
      <c r="M1756" s="650"/>
      <c r="N1756" s="917"/>
      <c r="O1756" s="646"/>
      <c r="P1756" s="933"/>
      <c r="Q1756" s="646"/>
      <c r="R1756" s="942"/>
      <c r="S1756" s="650"/>
      <c r="T1756" s="934"/>
      <c r="U1756" s="650"/>
      <c r="V1756" s="930"/>
    </row>
    <row r="1757" spans="1:22" s="624" customFormat="1" ht="16.5" customHeight="1">
      <c r="A1757" s="750"/>
      <c r="B1757" s="750"/>
      <c r="C1757" s="750"/>
      <c r="D1757" s="750"/>
      <c r="E1757" s="750"/>
      <c r="F1757" s="750"/>
      <c r="G1757" s="750"/>
      <c r="H1757" s="750"/>
      <c r="I1757" s="750"/>
      <c r="J1757" s="871"/>
      <c r="K1757" s="801"/>
      <c r="L1757" s="899"/>
      <c r="M1757" s="650"/>
      <c r="N1757" s="917"/>
      <c r="O1757" s="646"/>
      <c r="P1757" s="933"/>
      <c r="Q1757" s="646"/>
      <c r="R1757" s="942"/>
      <c r="S1757" s="650"/>
      <c r="T1757" s="934"/>
      <c r="U1757" s="650"/>
      <c r="V1757" s="930"/>
    </row>
    <row r="1758" spans="1:22" s="624" customFormat="1" ht="16.5" customHeight="1">
      <c r="A1758" s="750"/>
      <c r="B1758" s="750"/>
      <c r="C1758" s="750"/>
      <c r="D1758" s="750"/>
      <c r="E1758" s="750"/>
      <c r="F1758" s="750"/>
      <c r="G1758" s="750"/>
      <c r="H1758" s="750"/>
      <c r="I1758" s="750"/>
      <c r="J1758" s="871"/>
      <c r="K1758" s="801"/>
      <c r="L1758" s="899"/>
      <c r="M1758" s="650"/>
      <c r="N1758" s="917"/>
      <c r="O1758" s="646"/>
      <c r="P1758" s="933"/>
      <c r="Q1758" s="646"/>
      <c r="R1758" s="942"/>
      <c r="S1758" s="650"/>
      <c r="T1758" s="934"/>
      <c r="U1758" s="650"/>
      <c r="V1758" s="930"/>
    </row>
    <row r="1759" spans="1:22" s="624" customFormat="1" ht="16.5" customHeight="1">
      <c r="A1759" s="750"/>
      <c r="B1759" s="750"/>
      <c r="C1759" s="750"/>
      <c r="D1759" s="750"/>
      <c r="E1759" s="750"/>
      <c r="F1759" s="750"/>
      <c r="G1759" s="750"/>
      <c r="H1759" s="750"/>
      <c r="I1759" s="750"/>
      <c r="J1759" s="871"/>
      <c r="K1759" s="801"/>
      <c r="L1759" s="899"/>
      <c r="M1759" s="650"/>
      <c r="N1759" s="917"/>
      <c r="O1759" s="646"/>
      <c r="P1759" s="933"/>
      <c r="Q1759" s="646"/>
      <c r="R1759" s="942"/>
      <c r="S1759" s="650"/>
      <c r="T1759" s="934"/>
      <c r="U1759" s="650"/>
      <c r="V1759" s="930"/>
    </row>
    <row r="1760" spans="1:22" s="624" customFormat="1" ht="16.5" customHeight="1">
      <c r="A1760" s="750"/>
      <c r="B1760" s="750"/>
      <c r="C1760" s="750"/>
      <c r="D1760" s="750"/>
      <c r="E1760" s="750"/>
      <c r="F1760" s="750"/>
      <c r="G1760" s="750"/>
      <c r="H1760" s="750"/>
      <c r="I1760" s="750"/>
      <c r="J1760" s="871"/>
      <c r="K1760" s="801"/>
      <c r="L1760" s="899"/>
      <c r="M1760" s="650"/>
      <c r="N1760" s="917"/>
      <c r="O1760" s="646"/>
      <c r="P1760" s="933"/>
      <c r="Q1760" s="646"/>
      <c r="R1760" s="942"/>
      <c r="S1760" s="650"/>
      <c r="T1760" s="934"/>
      <c r="U1760" s="650"/>
      <c r="V1760" s="930"/>
    </row>
    <row r="1761" spans="1:22" s="624" customFormat="1" ht="16.5" customHeight="1">
      <c r="A1761" s="750"/>
      <c r="B1761" s="750"/>
      <c r="C1761" s="750"/>
      <c r="D1761" s="750"/>
      <c r="E1761" s="750"/>
      <c r="F1761" s="750"/>
      <c r="G1761" s="750"/>
      <c r="H1761" s="750"/>
      <c r="I1761" s="750"/>
      <c r="J1761" s="871"/>
      <c r="K1761" s="801"/>
      <c r="L1761" s="899"/>
      <c r="M1761" s="650"/>
      <c r="N1761" s="917"/>
      <c r="O1761" s="646"/>
      <c r="P1761" s="933"/>
      <c r="Q1761" s="646"/>
      <c r="R1761" s="942"/>
      <c r="S1761" s="650"/>
      <c r="T1761" s="934"/>
      <c r="U1761" s="650"/>
      <c r="V1761" s="930"/>
    </row>
    <row r="1762" spans="1:22" s="624" customFormat="1" ht="16.5" customHeight="1">
      <c r="A1762" s="750"/>
      <c r="B1762" s="750"/>
      <c r="C1762" s="750"/>
      <c r="D1762" s="750"/>
      <c r="E1762" s="750"/>
      <c r="F1762" s="750"/>
      <c r="G1762" s="750"/>
      <c r="H1762" s="750"/>
      <c r="I1762" s="750"/>
      <c r="J1762" s="871"/>
      <c r="K1762" s="801"/>
      <c r="L1762" s="899"/>
      <c r="M1762" s="650"/>
      <c r="N1762" s="917"/>
      <c r="O1762" s="646"/>
      <c r="P1762" s="933"/>
      <c r="Q1762" s="646"/>
      <c r="R1762" s="942"/>
      <c r="S1762" s="650"/>
      <c r="T1762" s="934"/>
      <c r="U1762" s="650"/>
      <c r="V1762" s="930"/>
    </row>
    <row r="1763" spans="1:22" s="624" customFormat="1" ht="16.5" customHeight="1">
      <c r="A1763" s="750"/>
      <c r="B1763" s="750"/>
      <c r="C1763" s="750"/>
      <c r="D1763" s="750"/>
      <c r="E1763" s="750"/>
      <c r="F1763" s="750"/>
      <c r="G1763" s="750"/>
      <c r="H1763" s="750"/>
      <c r="I1763" s="750"/>
      <c r="J1763" s="871"/>
      <c r="K1763" s="801"/>
      <c r="L1763" s="899"/>
      <c r="M1763" s="650"/>
      <c r="N1763" s="917"/>
      <c r="O1763" s="646"/>
      <c r="P1763" s="933"/>
      <c r="Q1763" s="646"/>
      <c r="R1763" s="942"/>
      <c r="S1763" s="650"/>
      <c r="T1763" s="934"/>
      <c r="U1763" s="650"/>
      <c r="V1763" s="930"/>
    </row>
    <row r="1764" spans="1:22" s="624" customFormat="1" ht="16.5" customHeight="1">
      <c r="A1764" s="750"/>
      <c r="B1764" s="750"/>
      <c r="C1764" s="750"/>
      <c r="D1764" s="750"/>
      <c r="E1764" s="750"/>
      <c r="F1764" s="750"/>
      <c r="G1764" s="750"/>
      <c r="H1764" s="750"/>
      <c r="I1764" s="750"/>
      <c r="J1764" s="871"/>
      <c r="K1764" s="801"/>
      <c r="L1764" s="899"/>
      <c r="M1764" s="650"/>
      <c r="N1764" s="917"/>
      <c r="O1764" s="646"/>
      <c r="P1764" s="933"/>
      <c r="Q1764" s="646"/>
      <c r="R1764" s="942"/>
      <c r="S1764" s="650"/>
      <c r="T1764" s="934"/>
      <c r="U1764" s="650"/>
      <c r="V1764" s="930"/>
    </row>
    <row r="1765" spans="1:22" s="624" customFormat="1" ht="16.5" customHeight="1">
      <c r="A1765" s="750"/>
      <c r="B1765" s="750"/>
      <c r="C1765" s="750"/>
      <c r="D1765" s="750"/>
      <c r="E1765" s="750"/>
      <c r="F1765" s="750"/>
      <c r="G1765" s="750"/>
      <c r="H1765" s="750"/>
      <c r="I1765" s="750"/>
      <c r="J1765" s="871"/>
      <c r="K1765" s="801"/>
      <c r="L1765" s="899"/>
      <c r="M1765" s="650"/>
      <c r="N1765" s="917"/>
      <c r="O1765" s="646"/>
      <c r="P1765" s="933"/>
      <c r="Q1765" s="646"/>
      <c r="R1765" s="942"/>
      <c r="S1765" s="650"/>
      <c r="T1765" s="934"/>
      <c r="U1765" s="650"/>
      <c r="V1765" s="930"/>
    </row>
    <row r="1766" spans="1:22" s="624" customFormat="1" ht="16.5" customHeight="1">
      <c r="A1766" s="750"/>
      <c r="B1766" s="750"/>
      <c r="C1766" s="750"/>
      <c r="D1766" s="750"/>
      <c r="E1766" s="750"/>
      <c r="F1766" s="750"/>
      <c r="G1766" s="750"/>
      <c r="H1766" s="750"/>
      <c r="I1766" s="750"/>
      <c r="J1766" s="871"/>
      <c r="K1766" s="801"/>
      <c r="L1766" s="899"/>
      <c r="M1766" s="650"/>
      <c r="N1766" s="917"/>
      <c r="O1766" s="646"/>
      <c r="P1766" s="933"/>
      <c r="Q1766" s="646"/>
      <c r="R1766" s="942"/>
      <c r="S1766" s="650"/>
      <c r="T1766" s="934"/>
      <c r="U1766" s="650"/>
      <c r="V1766" s="930"/>
    </row>
    <row r="1767" spans="1:22" s="624" customFormat="1" ht="16.5" customHeight="1">
      <c r="A1767" s="750"/>
      <c r="B1767" s="750"/>
      <c r="C1767" s="750"/>
      <c r="D1767" s="750"/>
      <c r="E1767" s="750"/>
      <c r="F1767" s="750"/>
      <c r="G1767" s="750"/>
      <c r="H1767" s="750"/>
      <c r="I1767" s="750"/>
      <c r="J1767" s="871"/>
      <c r="K1767" s="801"/>
      <c r="L1767" s="899"/>
      <c r="M1767" s="650"/>
      <c r="N1767" s="917"/>
      <c r="O1767" s="646"/>
      <c r="P1767" s="933"/>
      <c r="Q1767" s="646"/>
      <c r="R1767" s="942"/>
      <c r="S1767" s="650"/>
      <c r="T1767" s="934"/>
      <c r="U1767" s="650"/>
      <c r="V1767" s="930"/>
    </row>
    <row r="1768" spans="1:22" s="624" customFormat="1" ht="16.5" customHeight="1">
      <c r="A1768" s="750"/>
      <c r="B1768" s="750"/>
      <c r="C1768" s="750"/>
      <c r="D1768" s="750"/>
      <c r="E1768" s="750"/>
      <c r="F1768" s="750"/>
      <c r="G1768" s="750"/>
      <c r="H1768" s="750"/>
      <c r="I1768" s="750"/>
      <c r="J1768" s="871"/>
      <c r="K1768" s="801"/>
      <c r="L1768" s="899"/>
      <c r="M1768" s="650"/>
      <c r="N1768" s="917"/>
      <c r="O1768" s="646"/>
      <c r="P1768" s="933"/>
      <c r="Q1768" s="646"/>
      <c r="R1768" s="942"/>
      <c r="S1768" s="650"/>
      <c r="T1768" s="934"/>
      <c r="U1768" s="650"/>
      <c r="V1768" s="930"/>
    </row>
    <row r="1769" spans="1:22" s="624" customFormat="1" ht="16.5" customHeight="1">
      <c r="A1769" s="750"/>
      <c r="B1769" s="750"/>
      <c r="C1769" s="750"/>
      <c r="D1769" s="750"/>
      <c r="E1769" s="750"/>
      <c r="F1769" s="750"/>
      <c r="G1769" s="750"/>
      <c r="H1769" s="750"/>
      <c r="I1769" s="750"/>
      <c r="J1769" s="871"/>
      <c r="K1769" s="801"/>
      <c r="L1769" s="899"/>
      <c r="M1769" s="650"/>
      <c r="N1769" s="917"/>
      <c r="O1769" s="646"/>
      <c r="P1769" s="933"/>
      <c r="Q1769" s="646"/>
      <c r="R1769" s="942"/>
      <c r="S1769" s="650"/>
      <c r="T1769" s="934"/>
      <c r="U1769" s="650"/>
      <c r="V1769" s="930"/>
    </row>
    <row r="1770" spans="1:22" s="624" customFormat="1" ht="16.5" customHeight="1">
      <c r="A1770" s="750"/>
      <c r="B1770" s="750"/>
      <c r="C1770" s="750"/>
      <c r="D1770" s="750"/>
      <c r="E1770" s="750"/>
      <c r="F1770" s="750"/>
      <c r="G1770" s="750"/>
      <c r="H1770" s="750"/>
      <c r="I1770" s="750"/>
      <c r="J1770" s="871"/>
      <c r="K1770" s="801"/>
      <c r="L1770" s="899"/>
      <c r="M1770" s="650"/>
      <c r="N1770" s="917"/>
      <c r="O1770" s="646"/>
      <c r="P1770" s="933"/>
      <c r="Q1770" s="646"/>
      <c r="R1770" s="942"/>
      <c r="S1770" s="650"/>
      <c r="T1770" s="934"/>
      <c r="U1770" s="650"/>
      <c r="V1770" s="930"/>
    </row>
    <row r="1771" spans="1:22" s="624" customFormat="1" ht="16.5" customHeight="1">
      <c r="A1771" s="750"/>
      <c r="B1771" s="750"/>
      <c r="C1771" s="750"/>
      <c r="D1771" s="750"/>
      <c r="E1771" s="750"/>
      <c r="F1771" s="750"/>
      <c r="G1771" s="750"/>
      <c r="H1771" s="750"/>
      <c r="I1771" s="750"/>
      <c r="J1771" s="871"/>
      <c r="K1771" s="801"/>
      <c r="L1771" s="899"/>
      <c r="M1771" s="650"/>
      <c r="N1771" s="917"/>
      <c r="O1771" s="646"/>
      <c r="P1771" s="933"/>
      <c r="Q1771" s="646"/>
      <c r="R1771" s="942"/>
      <c r="S1771" s="650"/>
      <c r="T1771" s="934"/>
      <c r="U1771" s="650"/>
      <c r="V1771" s="930"/>
    </row>
    <row r="1772" spans="1:22" s="624" customFormat="1" ht="16.5" customHeight="1">
      <c r="A1772" s="750"/>
      <c r="B1772" s="750"/>
      <c r="C1772" s="750"/>
      <c r="D1772" s="750"/>
      <c r="E1772" s="750"/>
      <c r="F1772" s="750"/>
      <c r="G1772" s="750"/>
      <c r="H1772" s="750"/>
      <c r="I1772" s="750"/>
      <c r="J1772" s="871"/>
      <c r="K1772" s="801"/>
      <c r="L1772" s="899"/>
      <c r="M1772" s="650"/>
      <c r="N1772" s="917"/>
      <c r="O1772" s="646"/>
      <c r="P1772" s="933"/>
      <c r="Q1772" s="646"/>
      <c r="R1772" s="942"/>
      <c r="S1772" s="650"/>
      <c r="T1772" s="934"/>
      <c r="U1772" s="650"/>
      <c r="V1772" s="930"/>
    </row>
    <row r="1773" spans="1:22" s="624" customFormat="1" ht="16.5" customHeight="1">
      <c r="A1773" s="750"/>
      <c r="B1773" s="750"/>
      <c r="C1773" s="750"/>
      <c r="D1773" s="750"/>
      <c r="E1773" s="750"/>
      <c r="F1773" s="750"/>
      <c r="G1773" s="750"/>
      <c r="H1773" s="750"/>
      <c r="I1773" s="750"/>
      <c r="J1773" s="871"/>
      <c r="K1773" s="801"/>
      <c r="L1773" s="899"/>
      <c r="M1773" s="650"/>
      <c r="N1773" s="917"/>
      <c r="O1773" s="646"/>
      <c r="P1773" s="933"/>
      <c r="Q1773" s="646"/>
      <c r="R1773" s="942"/>
      <c r="S1773" s="650"/>
      <c r="T1773" s="934"/>
      <c r="U1773" s="650"/>
      <c r="V1773" s="930"/>
    </row>
    <row r="1774" spans="1:22" s="624" customFormat="1" ht="16.5" customHeight="1">
      <c r="A1774" s="750"/>
      <c r="B1774" s="750"/>
      <c r="C1774" s="750"/>
      <c r="D1774" s="750"/>
      <c r="E1774" s="750"/>
      <c r="F1774" s="750"/>
      <c r="G1774" s="750"/>
      <c r="H1774" s="750"/>
      <c r="I1774" s="750"/>
      <c r="J1774" s="871"/>
      <c r="K1774" s="801"/>
      <c r="L1774" s="899"/>
      <c r="M1774" s="650"/>
      <c r="N1774" s="917"/>
      <c r="O1774" s="646"/>
      <c r="P1774" s="933"/>
      <c r="Q1774" s="646"/>
      <c r="R1774" s="942"/>
      <c r="S1774" s="650"/>
      <c r="T1774" s="934"/>
      <c r="U1774" s="650"/>
      <c r="V1774" s="930"/>
    </row>
    <row r="1775" spans="1:22" s="624" customFormat="1" ht="16.5" customHeight="1">
      <c r="A1775" s="750"/>
      <c r="B1775" s="750"/>
      <c r="C1775" s="750"/>
      <c r="D1775" s="750"/>
      <c r="E1775" s="750"/>
      <c r="F1775" s="750"/>
      <c r="G1775" s="750"/>
      <c r="H1775" s="750"/>
      <c r="I1775" s="750"/>
      <c r="J1775" s="871"/>
      <c r="K1775" s="801"/>
      <c r="L1775" s="899"/>
      <c r="M1775" s="650"/>
      <c r="N1775" s="917"/>
      <c r="O1775" s="646"/>
      <c r="P1775" s="933"/>
      <c r="Q1775" s="646"/>
      <c r="R1775" s="942"/>
      <c r="S1775" s="650"/>
      <c r="T1775" s="934"/>
      <c r="U1775" s="650"/>
      <c r="V1775" s="930"/>
    </row>
    <row r="1776" spans="1:22" s="624" customFormat="1" ht="16.5" customHeight="1">
      <c r="A1776" s="750"/>
      <c r="B1776" s="750"/>
      <c r="C1776" s="750"/>
      <c r="D1776" s="750"/>
      <c r="E1776" s="750"/>
      <c r="F1776" s="750"/>
      <c r="G1776" s="750"/>
      <c r="H1776" s="750"/>
      <c r="I1776" s="750"/>
      <c r="J1776" s="871"/>
      <c r="K1776" s="801"/>
      <c r="L1776" s="899"/>
      <c r="M1776" s="650"/>
      <c r="N1776" s="917"/>
      <c r="O1776" s="646"/>
      <c r="P1776" s="933"/>
      <c r="Q1776" s="646"/>
      <c r="R1776" s="942"/>
      <c r="S1776" s="650"/>
      <c r="T1776" s="934"/>
      <c r="U1776" s="650"/>
      <c r="V1776" s="930"/>
    </row>
    <row r="1777" spans="1:22" s="624" customFormat="1" ht="16.5" customHeight="1">
      <c r="A1777" s="750"/>
      <c r="B1777" s="750"/>
      <c r="C1777" s="750"/>
      <c r="D1777" s="750"/>
      <c r="E1777" s="750"/>
      <c r="F1777" s="750"/>
      <c r="G1777" s="750"/>
      <c r="H1777" s="750"/>
      <c r="I1777" s="750"/>
      <c r="J1777" s="871"/>
      <c r="K1777" s="801"/>
      <c r="L1777" s="899"/>
      <c r="M1777" s="650"/>
      <c r="N1777" s="917"/>
      <c r="O1777" s="646"/>
      <c r="P1777" s="933"/>
      <c r="Q1777" s="646"/>
      <c r="R1777" s="942"/>
      <c r="S1777" s="650"/>
      <c r="T1777" s="934"/>
      <c r="U1777" s="650"/>
      <c r="V1777" s="930"/>
    </row>
    <row r="1778" spans="1:22" s="624" customFormat="1" ht="16.5" customHeight="1">
      <c r="A1778" s="750"/>
      <c r="B1778" s="750"/>
      <c r="C1778" s="750"/>
      <c r="D1778" s="750"/>
      <c r="E1778" s="750"/>
      <c r="F1778" s="750"/>
      <c r="G1778" s="750"/>
      <c r="H1778" s="750"/>
      <c r="I1778" s="750"/>
      <c r="J1778" s="871"/>
      <c r="K1778" s="801"/>
      <c r="L1778" s="899"/>
      <c r="M1778" s="650"/>
      <c r="N1778" s="917"/>
      <c r="O1778" s="646"/>
      <c r="P1778" s="933"/>
      <c r="Q1778" s="646"/>
      <c r="R1778" s="942"/>
      <c r="S1778" s="650"/>
      <c r="T1778" s="934"/>
      <c r="U1778" s="650"/>
      <c r="V1778" s="930"/>
    </row>
    <row r="1779" spans="1:22" s="624" customFormat="1" ht="16.5" customHeight="1">
      <c r="A1779" s="750"/>
      <c r="B1779" s="750"/>
      <c r="C1779" s="750"/>
      <c r="D1779" s="750"/>
      <c r="E1779" s="750"/>
      <c r="F1779" s="750"/>
      <c r="G1779" s="750"/>
      <c r="H1779" s="750"/>
      <c r="I1779" s="750"/>
      <c r="J1779" s="871"/>
      <c r="K1779" s="801"/>
      <c r="L1779" s="899"/>
      <c r="M1779" s="650"/>
      <c r="N1779" s="917"/>
      <c r="O1779" s="646"/>
      <c r="P1779" s="933"/>
      <c r="Q1779" s="646"/>
      <c r="R1779" s="942"/>
      <c r="S1779" s="650"/>
      <c r="T1779" s="934"/>
      <c r="U1779" s="650"/>
      <c r="V1779" s="930"/>
    </row>
    <row r="1780" spans="1:22" s="624" customFormat="1" ht="16.5" customHeight="1">
      <c r="A1780" s="750"/>
      <c r="B1780" s="750"/>
      <c r="C1780" s="750"/>
      <c r="D1780" s="750"/>
      <c r="E1780" s="750"/>
      <c r="F1780" s="750"/>
      <c r="G1780" s="750"/>
      <c r="H1780" s="750"/>
      <c r="I1780" s="750"/>
      <c r="J1780" s="871"/>
      <c r="K1780" s="801"/>
      <c r="L1780" s="899"/>
      <c r="M1780" s="650"/>
      <c r="N1780" s="917"/>
      <c r="O1780" s="646"/>
      <c r="P1780" s="933"/>
      <c r="Q1780" s="646"/>
      <c r="R1780" s="942"/>
      <c r="S1780" s="650"/>
      <c r="T1780" s="934"/>
      <c r="U1780" s="650"/>
      <c r="V1780" s="930"/>
    </row>
    <row r="1781" spans="1:22" s="624" customFormat="1" ht="16.5" customHeight="1">
      <c r="A1781" s="750"/>
      <c r="B1781" s="750"/>
      <c r="C1781" s="750"/>
      <c r="D1781" s="750"/>
      <c r="E1781" s="750"/>
      <c r="F1781" s="750"/>
      <c r="G1781" s="750"/>
      <c r="H1781" s="750"/>
      <c r="I1781" s="750"/>
      <c r="J1781" s="871"/>
      <c r="K1781" s="801"/>
      <c r="L1781" s="899"/>
      <c r="M1781" s="650"/>
      <c r="N1781" s="917"/>
      <c r="O1781" s="646"/>
      <c r="P1781" s="933"/>
      <c r="Q1781" s="646"/>
      <c r="R1781" s="942"/>
      <c r="S1781" s="650"/>
      <c r="T1781" s="934"/>
      <c r="U1781" s="650"/>
      <c r="V1781" s="930"/>
    </row>
    <row r="1782" spans="1:22" s="624" customFormat="1" ht="16.5" customHeight="1">
      <c r="A1782" s="750"/>
      <c r="B1782" s="750"/>
      <c r="C1782" s="750"/>
      <c r="D1782" s="750"/>
      <c r="E1782" s="750"/>
      <c r="F1782" s="750"/>
      <c r="G1782" s="750"/>
      <c r="H1782" s="750"/>
      <c r="I1782" s="750"/>
      <c r="J1782" s="871"/>
      <c r="K1782" s="801"/>
      <c r="L1782" s="899"/>
      <c r="M1782" s="650"/>
      <c r="N1782" s="917"/>
      <c r="O1782" s="646"/>
      <c r="P1782" s="933"/>
      <c r="Q1782" s="646"/>
      <c r="R1782" s="942"/>
      <c r="S1782" s="650"/>
      <c r="T1782" s="934"/>
      <c r="U1782" s="650"/>
      <c r="V1782" s="930"/>
    </row>
    <row r="1783" spans="1:22" s="624" customFormat="1" ht="16.5" customHeight="1">
      <c r="A1783" s="750"/>
      <c r="B1783" s="750"/>
      <c r="C1783" s="750"/>
      <c r="D1783" s="750"/>
      <c r="E1783" s="750"/>
      <c r="F1783" s="750"/>
      <c r="G1783" s="750"/>
      <c r="H1783" s="750"/>
      <c r="I1783" s="750"/>
      <c r="J1783" s="871"/>
      <c r="K1783" s="801"/>
      <c r="L1783" s="899"/>
      <c r="M1783" s="650"/>
      <c r="N1783" s="917"/>
      <c r="O1783" s="646"/>
      <c r="P1783" s="933"/>
      <c r="Q1783" s="646"/>
      <c r="R1783" s="942"/>
      <c r="S1783" s="650"/>
      <c r="T1783" s="934"/>
      <c r="U1783" s="650"/>
      <c r="V1783" s="930"/>
    </row>
    <row r="1784" spans="1:22" s="624" customFormat="1" ht="16.5" customHeight="1">
      <c r="A1784" s="750"/>
      <c r="B1784" s="750"/>
      <c r="C1784" s="750"/>
      <c r="D1784" s="750"/>
      <c r="E1784" s="750"/>
      <c r="F1784" s="750"/>
      <c r="G1784" s="750"/>
      <c r="H1784" s="750"/>
      <c r="I1784" s="750"/>
      <c r="J1784" s="871"/>
      <c r="K1784" s="801"/>
      <c r="L1784" s="899"/>
      <c r="M1784" s="650"/>
      <c r="N1784" s="917"/>
      <c r="O1784" s="646"/>
      <c r="P1784" s="933"/>
      <c r="Q1784" s="646"/>
      <c r="R1784" s="942"/>
      <c r="S1784" s="650"/>
      <c r="T1784" s="934"/>
      <c r="U1784" s="650"/>
      <c r="V1784" s="930"/>
    </row>
    <row r="1785" spans="1:22" s="624" customFormat="1" ht="16.5" customHeight="1">
      <c r="A1785" s="750"/>
      <c r="B1785" s="750"/>
      <c r="C1785" s="750"/>
      <c r="D1785" s="750"/>
      <c r="E1785" s="750"/>
      <c r="F1785" s="750"/>
      <c r="G1785" s="750"/>
      <c r="H1785" s="750"/>
      <c r="I1785" s="750"/>
      <c r="J1785" s="871"/>
      <c r="K1785" s="801"/>
      <c r="L1785" s="899"/>
      <c r="M1785" s="650"/>
      <c r="N1785" s="917"/>
      <c r="O1785" s="646"/>
      <c r="P1785" s="933"/>
      <c r="Q1785" s="646"/>
      <c r="R1785" s="942"/>
      <c r="S1785" s="650"/>
      <c r="T1785" s="934"/>
      <c r="U1785" s="650"/>
      <c r="V1785" s="930"/>
    </row>
    <row r="1786" spans="1:22" s="624" customFormat="1" ht="16.5" customHeight="1">
      <c r="A1786" s="750"/>
      <c r="B1786" s="750"/>
      <c r="C1786" s="750"/>
      <c r="D1786" s="750"/>
      <c r="E1786" s="750"/>
      <c r="F1786" s="750"/>
      <c r="G1786" s="750"/>
      <c r="H1786" s="750"/>
      <c r="I1786" s="750"/>
      <c r="J1786" s="871"/>
      <c r="K1786" s="801"/>
      <c r="L1786" s="899"/>
      <c r="M1786" s="650"/>
      <c r="N1786" s="917"/>
      <c r="O1786" s="646"/>
      <c r="P1786" s="933"/>
      <c r="Q1786" s="646"/>
      <c r="R1786" s="942"/>
      <c r="S1786" s="650"/>
      <c r="T1786" s="934"/>
      <c r="U1786" s="650"/>
      <c r="V1786" s="930"/>
    </row>
    <row r="1787" spans="1:22" s="624" customFormat="1" ht="16.5" customHeight="1">
      <c r="A1787" s="750"/>
      <c r="B1787" s="750"/>
      <c r="C1787" s="750"/>
      <c r="D1787" s="750"/>
      <c r="E1787" s="750"/>
      <c r="F1787" s="750"/>
      <c r="G1787" s="750"/>
      <c r="H1787" s="750"/>
      <c r="I1787" s="750"/>
      <c r="J1787" s="871"/>
      <c r="K1787" s="801"/>
      <c r="L1787" s="899"/>
      <c r="M1787" s="650"/>
      <c r="N1787" s="917"/>
      <c r="O1787" s="646"/>
      <c r="P1787" s="933"/>
      <c r="Q1787" s="646"/>
      <c r="R1787" s="942"/>
      <c r="S1787" s="650"/>
      <c r="T1787" s="934"/>
      <c r="U1787" s="650"/>
      <c r="V1787" s="930"/>
    </row>
    <row r="1788" spans="1:22" s="624" customFormat="1" ht="16.5" customHeight="1">
      <c r="A1788" s="750"/>
      <c r="B1788" s="750"/>
      <c r="C1788" s="750"/>
      <c r="D1788" s="750"/>
      <c r="E1788" s="750"/>
      <c r="F1788" s="750"/>
      <c r="G1788" s="750"/>
      <c r="H1788" s="750"/>
      <c r="I1788" s="750"/>
      <c r="J1788" s="871"/>
      <c r="K1788" s="801"/>
      <c r="L1788" s="899"/>
      <c r="M1788" s="650"/>
      <c r="N1788" s="917"/>
      <c r="O1788" s="646"/>
      <c r="P1788" s="933"/>
      <c r="Q1788" s="646"/>
      <c r="R1788" s="942"/>
      <c r="S1788" s="650"/>
      <c r="T1788" s="934"/>
      <c r="U1788" s="650"/>
      <c r="V1788" s="930"/>
    </row>
    <row r="1789" spans="1:22" s="624" customFormat="1" ht="16.5" customHeight="1">
      <c r="A1789" s="750"/>
      <c r="B1789" s="750"/>
      <c r="C1789" s="750"/>
      <c r="D1789" s="750"/>
      <c r="E1789" s="750"/>
      <c r="F1789" s="750"/>
      <c r="G1789" s="750"/>
      <c r="H1789" s="750"/>
      <c r="I1789" s="750"/>
      <c r="J1789" s="871"/>
      <c r="K1789" s="801"/>
      <c r="L1789" s="899"/>
      <c r="M1789" s="650"/>
      <c r="N1789" s="917"/>
      <c r="O1789" s="646"/>
      <c r="P1789" s="933"/>
      <c r="Q1789" s="646"/>
      <c r="R1789" s="942"/>
      <c r="S1789" s="650"/>
      <c r="T1789" s="934"/>
      <c r="U1789" s="650"/>
      <c r="V1789" s="930"/>
    </row>
    <row r="1790" spans="1:22" s="624" customFormat="1" ht="16.5" customHeight="1">
      <c r="A1790" s="750"/>
      <c r="B1790" s="750"/>
      <c r="C1790" s="750"/>
      <c r="D1790" s="750"/>
      <c r="E1790" s="750"/>
      <c r="F1790" s="750"/>
      <c r="G1790" s="750"/>
      <c r="H1790" s="750"/>
      <c r="I1790" s="750"/>
      <c r="J1790" s="871"/>
      <c r="K1790" s="801"/>
      <c r="L1790" s="899"/>
      <c r="M1790" s="650"/>
      <c r="N1790" s="917"/>
      <c r="O1790" s="646"/>
      <c r="P1790" s="933"/>
      <c r="Q1790" s="646"/>
      <c r="R1790" s="942"/>
      <c r="S1790" s="650"/>
      <c r="T1790" s="934"/>
      <c r="U1790" s="650"/>
      <c r="V1790" s="930"/>
    </row>
    <row r="1791" spans="1:22" s="624" customFormat="1" ht="16.5" customHeight="1">
      <c r="A1791" s="750"/>
      <c r="B1791" s="750"/>
      <c r="C1791" s="750"/>
      <c r="D1791" s="750"/>
      <c r="E1791" s="750"/>
      <c r="F1791" s="750"/>
      <c r="G1791" s="750"/>
      <c r="H1791" s="750"/>
      <c r="I1791" s="750"/>
      <c r="J1791" s="871"/>
      <c r="K1791" s="801"/>
      <c r="L1791" s="899"/>
      <c r="M1791" s="650"/>
      <c r="N1791" s="917"/>
      <c r="O1791" s="646"/>
      <c r="P1791" s="933"/>
      <c r="Q1791" s="646"/>
      <c r="R1791" s="942"/>
      <c r="S1791" s="650"/>
      <c r="T1791" s="934"/>
      <c r="U1791" s="650"/>
      <c r="V1791" s="930"/>
    </row>
    <row r="1792" spans="1:22" s="624" customFormat="1" ht="16.5" customHeight="1">
      <c r="A1792" s="750"/>
      <c r="B1792" s="750"/>
      <c r="C1792" s="750"/>
      <c r="D1792" s="750"/>
      <c r="E1792" s="750"/>
      <c r="F1792" s="750"/>
      <c r="G1792" s="750"/>
      <c r="H1792" s="750"/>
      <c r="I1792" s="750"/>
      <c r="J1792" s="871"/>
      <c r="K1792" s="801"/>
      <c r="L1792" s="899"/>
      <c r="M1792" s="650"/>
      <c r="N1792" s="917"/>
      <c r="O1792" s="646"/>
      <c r="P1792" s="933"/>
      <c r="Q1792" s="646"/>
      <c r="R1792" s="942"/>
      <c r="S1792" s="650"/>
      <c r="T1792" s="934"/>
      <c r="U1792" s="650"/>
      <c r="V1792" s="930"/>
    </row>
    <row r="1793" spans="1:22" s="624" customFormat="1" ht="16.5" customHeight="1">
      <c r="A1793" s="750"/>
      <c r="B1793" s="750"/>
      <c r="C1793" s="750"/>
      <c r="D1793" s="750"/>
      <c r="E1793" s="750"/>
      <c r="F1793" s="750"/>
      <c r="G1793" s="750"/>
      <c r="H1793" s="750"/>
      <c r="I1793" s="750"/>
      <c r="J1793" s="871"/>
      <c r="K1793" s="801"/>
      <c r="L1793" s="899"/>
      <c r="M1793" s="650"/>
      <c r="N1793" s="917"/>
      <c r="O1793" s="646"/>
      <c r="P1793" s="933"/>
      <c r="Q1793" s="646"/>
      <c r="R1793" s="942"/>
      <c r="S1793" s="650"/>
      <c r="T1793" s="934"/>
      <c r="U1793" s="650"/>
      <c r="V1793" s="930"/>
    </row>
    <row r="1794" spans="1:22" s="624" customFormat="1" ht="16.5" customHeight="1">
      <c r="A1794" s="750"/>
      <c r="B1794" s="750"/>
      <c r="C1794" s="750"/>
      <c r="D1794" s="750"/>
      <c r="E1794" s="750"/>
      <c r="F1794" s="750"/>
      <c r="G1794" s="750"/>
      <c r="H1794" s="750"/>
      <c r="I1794" s="750"/>
      <c r="J1794" s="871"/>
      <c r="K1794" s="801"/>
      <c r="L1794" s="899"/>
      <c r="M1794" s="650"/>
      <c r="N1794" s="917"/>
      <c r="O1794" s="646"/>
      <c r="P1794" s="933"/>
      <c r="Q1794" s="646"/>
      <c r="R1794" s="942"/>
      <c r="S1794" s="650"/>
      <c r="T1794" s="934"/>
      <c r="U1794" s="650"/>
      <c r="V1794" s="930"/>
    </row>
    <row r="1795" spans="1:22" s="624" customFormat="1" ht="16.5" customHeight="1">
      <c r="A1795" s="750"/>
      <c r="B1795" s="750"/>
      <c r="C1795" s="750"/>
      <c r="D1795" s="750"/>
      <c r="E1795" s="750"/>
      <c r="F1795" s="750"/>
      <c r="G1795" s="750"/>
      <c r="H1795" s="750"/>
      <c r="I1795" s="750"/>
      <c r="J1795" s="871"/>
      <c r="K1795" s="801"/>
      <c r="L1795" s="899"/>
      <c r="M1795" s="650"/>
      <c r="N1795" s="917"/>
      <c r="O1795" s="646"/>
      <c r="P1795" s="933"/>
      <c r="Q1795" s="646"/>
      <c r="R1795" s="942"/>
      <c r="S1795" s="650"/>
      <c r="T1795" s="934"/>
      <c r="U1795" s="650"/>
      <c r="V1795" s="930"/>
    </row>
    <row r="1796" spans="1:22" s="624" customFormat="1" ht="16.5" customHeight="1">
      <c r="A1796" s="750"/>
      <c r="B1796" s="750"/>
      <c r="C1796" s="750"/>
      <c r="D1796" s="750"/>
      <c r="E1796" s="750"/>
      <c r="F1796" s="750"/>
      <c r="G1796" s="750"/>
      <c r="H1796" s="750"/>
      <c r="I1796" s="750"/>
      <c r="J1796" s="871"/>
      <c r="K1796" s="801"/>
      <c r="L1796" s="899"/>
      <c r="M1796" s="650"/>
      <c r="N1796" s="917"/>
      <c r="O1796" s="646"/>
      <c r="P1796" s="933"/>
      <c r="Q1796" s="646"/>
      <c r="R1796" s="942"/>
      <c r="S1796" s="650"/>
      <c r="T1796" s="934"/>
      <c r="U1796" s="650"/>
      <c r="V1796" s="930"/>
    </row>
    <row r="1797" spans="1:22" s="624" customFormat="1" ht="16.5" customHeight="1">
      <c r="A1797" s="750"/>
      <c r="B1797" s="750"/>
      <c r="C1797" s="750"/>
      <c r="D1797" s="750"/>
      <c r="E1797" s="750"/>
      <c r="F1797" s="750"/>
      <c r="G1797" s="750"/>
      <c r="H1797" s="750"/>
      <c r="I1797" s="750"/>
      <c r="J1797" s="871"/>
      <c r="K1797" s="801"/>
      <c r="L1797" s="899"/>
      <c r="M1797" s="650"/>
      <c r="N1797" s="917"/>
      <c r="O1797" s="646"/>
      <c r="P1797" s="933"/>
      <c r="Q1797" s="646"/>
      <c r="R1797" s="942"/>
      <c r="S1797" s="650"/>
      <c r="T1797" s="934"/>
      <c r="U1797" s="650"/>
      <c r="V1797" s="930"/>
    </row>
    <row r="1798" spans="1:22" s="624" customFormat="1" ht="16.5" customHeight="1">
      <c r="A1798" s="750"/>
      <c r="B1798" s="750"/>
      <c r="C1798" s="750"/>
      <c r="D1798" s="750"/>
      <c r="E1798" s="750"/>
      <c r="F1798" s="750"/>
      <c r="G1798" s="750"/>
      <c r="H1798" s="750"/>
      <c r="I1798" s="750"/>
      <c r="J1798" s="871"/>
      <c r="K1798" s="801"/>
      <c r="L1798" s="899"/>
      <c r="M1798" s="650"/>
      <c r="N1798" s="917"/>
      <c r="O1798" s="646"/>
      <c r="P1798" s="933"/>
      <c r="Q1798" s="646"/>
      <c r="R1798" s="942"/>
      <c r="S1798" s="650"/>
      <c r="T1798" s="934"/>
      <c r="U1798" s="650"/>
      <c r="V1798" s="930"/>
    </row>
    <row r="1799" spans="1:22" s="624" customFormat="1" ht="16.5" customHeight="1">
      <c r="A1799" s="750"/>
      <c r="B1799" s="750"/>
      <c r="C1799" s="750"/>
      <c r="D1799" s="750"/>
      <c r="E1799" s="750"/>
      <c r="F1799" s="750"/>
      <c r="G1799" s="750"/>
      <c r="H1799" s="750"/>
      <c r="I1799" s="750"/>
      <c r="J1799" s="871"/>
      <c r="K1799" s="801"/>
      <c r="L1799" s="899"/>
      <c r="M1799" s="650"/>
      <c r="N1799" s="917"/>
      <c r="O1799" s="646"/>
      <c r="P1799" s="933"/>
      <c r="Q1799" s="646"/>
      <c r="R1799" s="942"/>
      <c r="S1799" s="650"/>
      <c r="T1799" s="934"/>
      <c r="U1799" s="650"/>
      <c r="V1799" s="930"/>
    </row>
    <row r="1800" spans="1:22" s="624" customFormat="1" ht="16.5" customHeight="1">
      <c r="A1800" s="750"/>
      <c r="B1800" s="750"/>
      <c r="C1800" s="750"/>
      <c r="D1800" s="750"/>
      <c r="E1800" s="750"/>
      <c r="F1800" s="750"/>
      <c r="G1800" s="750"/>
      <c r="H1800" s="750"/>
      <c r="I1800" s="750"/>
      <c r="J1800" s="871"/>
      <c r="K1800" s="801"/>
      <c r="L1800" s="899"/>
      <c r="M1800" s="650"/>
      <c r="N1800" s="917"/>
      <c r="O1800" s="646"/>
      <c r="P1800" s="933"/>
      <c r="Q1800" s="646"/>
      <c r="R1800" s="942"/>
      <c r="S1800" s="650"/>
      <c r="T1800" s="934"/>
      <c r="U1800" s="650"/>
      <c r="V1800" s="930"/>
    </row>
    <row r="1801" spans="1:22" s="624" customFormat="1" ht="16.5" customHeight="1">
      <c r="A1801" s="750"/>
      <c r="B1801" s="750"/>
      <c r="C1801" s="750"/>
      <c r="D1801" s="750"/>
      <c r="E1801" s="750"/>
      <c r="F1801" s="750"/>
      <c r="G1801" s="750"/>
      <c r="H1801" s="750"/>
      <c r="I1801" s="750"/>
      <c r="J1801" s="871"/>
      <c r="K1801" s="801"/>
      <c r="L1801" s="899"/>
      <c r="M1801" s="650"/>
      <c r="N1801" s="917"/>
      <c r="O1801" s="646"/>
      <c r="P1801" s="933"/>
      <c r="Q1801" s="646"/>
      <c r="R1801" s="942"/>
      <c r="S1801" s="650"/>
      <c r="T1801" s="934"/>
      <c r="U1801" s="650"/>
      <c r="V1801" s="930"/>
    </row>
    <row r="1802" spans="1:22" s="624" customFormat="1" ht="16.5" customHeight="1">
      <c r="A1802" s="750"/>
      <c r="B1802" s="750"/>
      <c r="C1802" s="750"/>
      <c r="D1802" s="750"/>
      <c r="E1802" s="750"/>
      <c r="F1802" s="750"/>
      <c r="G1802" s="750"/>
      <c r="H1802" s="750"/>
      <c r="I1802" s="750"/>
      <c r="J1802" s="871"/>
      <c r="K1802" s="801"/>
      <c r="L1802" s="899"/>
      <c r="M1802" s="650"/>
      <c r="N1802" s="917"/>
      <c r="O1802" s="646"/>
      <c r="P1802" s="933"/>
      <c r="Q1802" s="646"/>
      <c r="R1802" s="942"/>
      <c r="S1802" s="650"/>
      <c r="T1802" s="934"/>
      <c r="U1802" s="650"/>
      <c r="V1802" s="930"/>
    </row>
    <row r="1803" spans="1:22" s="624" customFormat="1" ht="16.5" customHeight="1">
      <c r="A1803" s="750"/>
      <c r="B1803" s="750"/>
      <c r="C1803" s="750"/>
      <c r="D1803" s="750"/>
      <c r="E1803" s="750"/>
      <c r="F1803" s="750"/>
      <c r="G1803" s="750"/>
      <c r="H1803" s="750"/>
      <c r="I1803" s="750"/>
      <c r="J1803" s="871"/>
      <c r="K1803" s="801"/>
      <c r="L1803" s="899"/>
      <c r="M1803" s="650"/>
      <c r="N1803" s="917"/>
      <c r="O1803" s="646"/>
      <c r="P1803" s="933"/>
      <c r="Q1803" s="646"/>
      <c r="R1803" s="942"/>
      <c r="S1803" s="650"/>
      <c r="T1803" s="934"/>
      <c r="U1803" s="650"/>
      <c r="V1803" s="930"/>
    </row>
    <row r="1804" spans="1:22" s="624" customFormat="1" ht="16.5" customHeight="1">
      <c r="A1804" s="750"/>
      <c r="B1804" s="750"/>
      <c r="C1804" s="750"/>
      <c r="D1804" s="750"/>
      <c r="E1804" s="750"/>
      <c r="F1804" s="750"/>
      <c r="G1804" s="750"/>
      <c r="H1804" s="750"/>
      <c r="I1804" s="750"/>
      <c r="J1804" s="871"/>
      <c r="K1804" s="801"/>
      <c r="L1804" s="899"/>
      <c r="M1804" s="650"/>
      <c r="N1804" s="917"/>
      <c r="O1804" s="646"/>
      <c r="P1804" s="933"/>
      <c r="Q1804" s="646"/>
      <c r="R1804" s="942"/>
      <c r="S1804" s="650"/>
      <c r="T1804" s="934"/>
      <c r="U1804" s="650"/>
      <c r="V1804" s="930"/>
    </row>
    <row r="1805" spans="1:22" s="624" customFormat="1" ht="16.5" customHeight="1">
      <c r="A1805" s="750"/>
      <c r="B1805" s="750"/>
      <c r="C1805" s="750"/>
      <c r="D1805" s="750"/>
      <c r="E1805" s="750"/>
      <c r="F1805" s="750"/>
      <c r="G1805" s="750"/>
      <c r="H1805" s="750"/>
      <c r="I1805" s="750"/>
      <c r="J1805" s="871"/>
      <c r="K1805" s="801"/>
      <c r="L1805" s="899"/>
      <c r="M1805" s="650"/>
      <c r="N1805" s="917"/>
      <c r="O1805" s="646"/>
      <c r="P1805" s="933"/>
      <c r="Q1805" s="646"/>
      <c r="R1805" s="942"/>
      <c r="S1805" s="650"/>
      <c r="T1805" s="934"/>
      <c r="U1805" s="650"/>
      <c r="V1805" s="930"/>
    </row>
    <row r="1806" spans="1:22" s="624" customFormat="1" ht="16.5" customHeight="1">
      <c r="A1806" s="750"/>
      <c r="B1806" s="750"/>
      <c r="C1806" s="750"/>
      <c r="D1806" s="750"/>
      <c r="E1806" s="750"/>
      <c r="F1806" s="750"/>
      <c r="G1806" s="750"/>
      <c r="H1806" s="750"/>
      <c r="I1806" s="750"/>
      <c r="J1806" s="871"/>
      <c r="K1806" s="801"/>
      <c r="L1806" s="899"/>
      <c r="M1806" s="650"/>
      <c r="N1806" s="917"/>
      <c r="O1806" s="646"/>
      <c r="P1806" s="933"/>
      <c r="Q1806" s="646"/>
      <c r="R1806" s="942"/>
      <c r="S1806" s="650"/>
      <c r="T1806" s="934"/>
      <c r="U1806" s="650"/>
      <c r="V1806" s="930"/>
    </row>
    <row r="1807" spans="1:22" s="624" customFormat="1" ht="16.5" customHeight="1">
      <c r="A1807" s="750"/>
      <c r="B1807" s="750"/>
      <c r="C1807" s="750"/>
      <c r="D1807" s="750"/>
      <c r="E1807" s="750"/>
      <c r="F1807" s="750"/>
      <c r="G1807" s="750"/>
      <c r="H1807" s="750"/>
      <c r="I1807" s="750"/>
      <c r="J1807" s="871"/>
      <c r="K1807" s="801"/>
      <c r="L1807" s="899"/>
      <c r="M1807" s="650"/>
      <c r="N1807" s="917"/>
      <c r="O1807" s="646"/>
      <c r="P1807" s="933"/>
      <c r="Q1807" s="646"/>
      <c r="R1807" s="942"/>
      <c r="S1807" s="650"/>
      <c r="T1807" s="934"/>
      <c r="U1807" s="650"/>
      <c r="V1807" s="930"/>
    </row>
    <row r="1808" spans="1:22" s="624" customFormat="1" ht="16.5" customHeight="1">
      <c r="A1808" s="750"/>
      <c r="B1808" s="750"/>
      <c r="C1808" s="750"/>
      <c r="D1808" s="750"/>
      <c r="E1808" s="750"/>
      <c r="F1808" s="750"/>
      <c r="G1808" s="750"/>
      <c r="H1808" s="750"/>
      <c r="I1808" s="750"/>
      <c r="J1808" s="871"/>
      <c r="K1808" s="801"/>
      <c r="L1808" s="899"/>
      <c r="M1808" s="650"/>
      <c r="N1808" s="917"/>
      <c r="O1808" s="646"/>
      <c r="P1808" s="933"/>
      <c r="Q1808" s="646"/>
      <c r="R1808" s="942"/>
      <c r="S1808" s="650"/>
      <c r="T1808" s="934"/>
      <c r="U1808" s="650"/>
      <c r="V1808" s="930"/>
    </row>
    <row r="1809" spans="1:22" s="624" customFormat="1" ht="16.5" customHeight="1">
      <c r="A1809" s="750"/>
      <c r="B1809" s="750"/>
      <c r="C1809" s="750"/>
      <c r="D1809" s="750"/>
      <c r="E1809" s="750"/>
      <c r="F1809" s="750"/>
      <c r="G1809" s="750"/>
      <c r="H1809" s="750"/>
      <c r="I1809" s="750"/>
      <c r="J1809" s="871"/>
      <c r="K1809" s="801"/>
      <c r="L1809" s="899"/>
      <c r="M1809" s="650"/>
      <c r="N1809" s="917"/>
      <c r="O1809" s="646"/>
      <c r="P1809" s="933"/>
      <c r="Q1809" s="646"/>
      <c r="R1809" s="942"/>
      <c r="S1809" s="650"/>
      <c r="T1809" s="934"/>
      <c r="U1809" s="650"/>
      <c r="V1809" s="930"/>
    </row>
    <row r="1810" spans="1:22" s="624" customFormat="1" ht="16.5" customHeight="1">
      <c r="A1810" s="750"/>
      <c r="B1810" s="750"/>
      <c r="C1810" s="750"/>
      <c r="D1810" s="750"/>
      <c r="E1810" s="750"/>
      <c r="F1810" s="750"/>
      <c r="G1810" s="750"/>
      <c r="H1810" s="750"/>
      <c r="I1810" s="750"/>
      <c r="J1810" s="871"/>
      <c r="K1810" s="801"/>
      <c r="L1810" s="899"/>
      <c r="M1810" s="650"/>
      <c r="N1810" s="917"/>
      <c r="O1810" s="646"/>
      <c r="P1810" s="933"/>
      <c r="Q1810" s="646"/>
      <c r="R1810" s="942"/>
      <c r="S1810" s="650"/>
      <c r="T1810" s="934"/>
      <c r="U1810" s="650"/>
      <c r="V1810" s="930"/>
    </row>
    <row r="1811" spans="1:22" s="624" customFormat="1" ht="16.5" customHeight="1">
      <c r="A1811" s="750"/>
      <c r="B1811" s="750"/>
      <c r="C1811" s="750"/>
      <c r="D1811" s="750"/>
      <c r="E1811" s="750"/>
      <c r="F1811" s="750"/>
      <c r="G1811" s="750"/>
      <c r="H1811" s="750"/>
      <c r="I1811" s="750"/>
      <c r="J1811" s="871"/>
      <c r="K1811" s="801"/>
      <c r="L1811" s="899"/>
      <c r="M1811" s="650"/>
      <c r="N1811" s="917"/>
      <c r="O1811" s="646"/>
      <c r="P1811" s="933"/>
      <c r="Q1811" s="646"/>
      <c r="R1811" s="942"/>
      <c r="S1811" s="650"/>
      <c r="T1811" s="934"/>
      <c r="U1811" s="650"/>
      <c r="V1811" s="930"/>
    </row>
    <row r="1812" spans="1:22" s="624" customFormat="1" ht="16.5" customHeight="1">
      <c r="A1812" s="750"/>
      <c r="B1812" s="750"/>
      <c r="C1812" s="750"/>
      <c r="D1812" s="750"/>
      <c r="E1812" s="750"/>
      <c r="F1812" s="750"/>
      <c r="G1812" s="750"/>
      <c r="H1812" s="750"/>
      <c r="I1812" s="750"/>
      <c r="J1812" s="871"/>
      <c r="K1812" s="801"/>
      <c r="L1812" s="899"/>
      <c r="M1812" s="650"/>
      <c r="N1812" s="917"/>
      <c r="O1812" s="646"/>
      <c r="P1812" s="933"/>
      <c r="Q1812" s="646"/>
      <c r="R1812" s="942"/>
      <c r="S1812" s="650"/>
      <c r="T1812" s="934"/>
      <c r="U1812" s="650"/>
      <c r="V1812" s="930"/>
    </row>
    <row r="1813" spans="1:22" s="624" customFormat="1" ht="16.5" customHeight="1">
      <c r="A1813" s="750"/>
      <c r="B1813" s="750"/>
      <c r="C1813" s="750"/>
      <c r="D1813" s="750"/>
      <c r="E1813" s="750"/>
      <c r="F1813" s="750"/>
      <c r="G1813" s="750"/>
      <c r="H1813" s="750"/>
      <c r="I1813" s="750"/>
      <c r="J1813" s="871"/>
      <c r="K1813" s="801"/>
      <c r="L1813" s="899"/>
      <c r="M1813" s="650"/>
      <c r="N1813" s="917"/>
      <c r="O1813" s="646"/>
      <c r="P1813" s="933"/>
      <c r="Q1813" s="646"/>
      <c r="R1813" s="942"/>
      <c r="S1813" s="650"/>
      <c r="T1813" s="934"/>
      <c r="U1813" s="650"/>
      <c r="V1813" s="930"/>
    </row>
    <row r="1814" spans="1:22" s="624" customFormat="1" ht="16.5" customHeight="1">
      <c r="A1814" s="750"/>
      <c r="B1814" s="750"/>
      <c r="C1814" s="750"/>
      <c r="D1814" s="750"/>
      <c r="E1814" s="750"/>
      <c r="F1814" s="750"/>
      <c r="G1814" s="750"/>
      <c r="H1814" s="750"/>
      <c r="I1814" s="750"/>
      <c r="J1814" s="871"/>
      <c r="K1814" s="801"/>
      <c r="L1814" s="899"/>
      <c r="M1814" s="650"/>
      <c r="N1814" s="917"/>
      <c r="O1814" s="646"/>
      <c r="P1814" s="933"/>
      <c r="Q1814" s="646"/>
      <c r="R1814" s="942"/>
      <c r="S1814" s="650"/>
      <c r="T1814" s="934"/>
      <c r="U1814" s="650"/>
      <c r="V1814" s="930"/>
    </row>
    <row r="1815" spans="1:22" s="624" customFormat="1" ht="16.5" customHeight="1">
      <c r="A1815" s="750"/>
      <c r="B1815" s="750"/>
      <c r="C1815" s="750"/>
      <c r="D1815" s="750"/>
      <c r="E1815" s="750"/>
      <c r="F1815" s="750"/>
      <c r="G1815" s="750"/>
      <c r="H1815" s="750"/>
      <c r="I1815" s="750"/>
      <c r="J1815" s="871"/>
      <c r="K1815" s="801"/>
      <c r="L1815" s="899"/>
      <c r="M1815" s="650"/>
      <c r="N1815" s="917"/>
      <c r="O1815" s="646"/>
      <c r="P1815" s="933"/>
      <c r="Q1815" s="646"/>
      <c r="R1815" s="942"/>
      <c r="S1815" s="650"/>
      <c r="T1815" s="934"/>
      <c r="U1815" s="650"/>
      <c r="V1815" s="930"/>
    </row>
    <row r="1816" spans="1:22" s="624" customFormat="1" ht="16.5" customHeight="1">
      <c r="A1816" s="750"/>
      <c r="B1816" s="750"/>
      <c r="C1816" s="750"/>
      <c r="D1816" s="750"/>
      <c r="E1816" s="750"/>
      <c r="F1816" s="750"/>
      <c r="G1816" s="750"/>
      <c r="H1816" s="750"/>
      <c r="I1816" s="750"/>
      <c r="J1816" s="871"/>
      <c r="K1816" s="801"/>
      <c r="L1816" s="899"/>
      <c r="M1816" s="650"/>
      <c r="N1816" s="917"/>
      <c r="O1816" s="646"/>
      <c r="P1816" s="933"/>
      <c r="Q1816" s="646"/>
      <c r="R1816" s="942"/>
      <c r="S1816" s="650"/>
      <c r="T1816" s="934"/>
      <c r="U1816" s="650"/>
      <c r="V1816" s="930"/>
    </row>
    <row r="1817" spans="1:22" s="624" customFormat="1" ht="16.5" customHeight="1">
      <c r="A1817" s="750"/>
      <c r="B1817" s="750"/>
      <c r="C1817" s="750"/>
      <c r="D1817" s="750"/>
      <c r="E1817" s="750"/>
      <c r="F1817" s="750"/>
      <c r="G1817" s="750"/>
      <c r="H1817" s="750"/>
      <c r="I1817" s="750"/>
      <c r="J1817" s="871"/>
      <c r="K1817" s="801"/>
      <c r="L1817" s="899"/>
      <c r="M1817" s="650"/>
      <c r="N1817" s="917"/>
      <c r="O1817" s="646"/>
      <c r="P1817" s="933"/>
      <c r="Q1817" s="646"/>
      <c r="R1817" s="942"/>
      <c r="S1817" s="650"/>
      <c r="T1817" s="934"/>
      <c r="U1817" s="650"/>
      <c r="V1817" s="930"/>
    </row>
    <row r="1818" spans="1:22" s="624" customFormat="1" ht="16.5" customHeight="1">
      <c r="A1818" s="750"/>
      <c r="B1818" s="750"/>
      <c r="C1818" s="750"/>
      <c r="D1818" s="750"/>
      <c r="E1818" s="750"/>
      <c r="F1818" s="750"/>
      <c r="G1818" s="750"/>
      <c r="H1818" s="750"/>
      <c r="I1818" s="750"/>
      <c r="J1818" s="871"/>
      <c r="K1818" s="801"/>
      <c r="L1818" s="899"/>
      <c r="M1818" s="650"/>
      <c r="N1818" s="917"/>
      <c r="O1818" s="646"/>
      <c r="P1818" s="933"/>
      <c r="Q1818" s="646"/>
      <c r="R1818" s="942"/>
      <c r="S1818" s="650"/>
      <c r="T1818" s="934"/>
      <c r="U1818" s="650"/>
      <c r="V1818" s="930"/>
    </row>
    <row r="1819" spans="1:22" s="624" customFormat="1" ht="16.5" customHeight="1">
      <c r="A1819" s="750"/>
      <c r="B1819" s="750"/>
      <c r="C1819" s="750"/>
      <c r="D1819" s="750"/>
      <c r="E1819" s="750"/>
      <c r="F1819" s="750"/>
      <c r="G1819" s="750"/>
      <c r="H1819" s="750"/>
      <c r="I1819" s="750"/>
      <c r="J1819" s="871"/>
      <c r="K1819" s="801"/>
      <c r="L1819" s="899"/>
      <c r="M1819" s="650"/>
      <c r="N1819" s="917"/>
      <c r="O1819" s="646"/>
      <c r="P1819" s="933"/>
      <c r="Q1819" s="646"/>
      <c r="R1819" s="942"/>
      <c r="S1819" s="650"/>
      <c r="T1819" s="934"/>
      <c r="U1819" s="650"/>
      <c r="V1819" s="930"/>
    </row>
    <row r="1820" spans="1:22" s="624" customFormat="1" ht="16.5" customHeight="1">
      <c r="A1820" s="750"/>
      <c r="B1820" s="750"/>
      <c r="C1820" s="750"/>
      <c r="D1820" s="750"/>
      <c r="E1820" s="750"/>
      <c r="F1820" s="750"/>
      <c r="G1820" s="750"/>
      <c r="H1820" s="750"/>
      <c r="I1820" s="750"/>
      <c r="J1820" s="871"/>
      <c r="K1820" s="801"/>
      <c r="L1820" s="899"/>
      <c r="M1820" s="650"/>
      <c r="N1820" s="917"/>
      <c r="O1820" s="646"/>
      <c r="P1820" s="933"/>
      <c r="Q1820" s="646"/>
      <c r="R1820" s="942"/>
      <c r="S1820" s="650"/>
      <c r="T1820" s="934"/>
      <c r="U1820" s="650"/>
      <c r="V1820" s="930"/>
    </row>
    <row r="1821" spans="1:22" s="624" customFormat="1" ht="16.5" customHeight="1">
      <c r="A1821" s="750"/>
      <c r="B1821" s="750"/>
      <c r="C1821" s="750"/>
      <c r="D1821" s="750"/>
      <c r="E1821" s="750"/>
      <c r="F1821" s="750"/>
      <c r="G1821" s="750"/>
      <c r="H1821" s="750"/>
      <c r="I1821" s="750"/>
      <c r="J1821" s="871"/>
      <c r="K1821" s="801"/>
      <c r="L1821" s="899"/>
      <c r="M1821" s="650"/>
      <c r="N1821" s="917"/>
      <c r="O1821" s="646"/>
      <c r="P1821" s="933"/>
      <c r="Q1821" s="646"/>
      <c r="R1821" s="942"/>
      <c r="S1821" s="650"/>
      <c r="T1821" s="934"/>
      <c r="U1821" s="650"/>
      <c r="V1821" s="930"/>
    </row>
    <row r="1822" spans="1:22" s="624" customFormat="1" ht="16.5" customHeight="1">
      <c r="A1822" s="750"/>
      <c r="B1822" s="750"/>
      <c r="C1822" s="750"/>
      <c r="D1822" s="750"/>
      <c r="E1822" s="750"/>
      <c r="F1822" s="750"/>
      <c r="G1822" s="750"/>
      <c r="H1822" s="750"/>
      <c r="I1822" s="750"/>
      <c r="J1822" s="871"/>
      <c r="K1822" s="801"/>
      <c r="L1822" s="899"/>
      <c r="M1822" s="650"/>
      <c r="N1822" s="917"/>
      <c r="O1822" s="646"/>
      <c r="P1822" s="933"/>
      <c r="Q1822" s="646"/>
      <c r="R1822" s="942"/>
      <c r="S1822" s="650"/>
      <c r="T1822" s="934"/>
      <c r="U1822" s="650"/>
      <c r="V1822" s="930"/>
    </row>
    <row r="1823" spans="1:22" s="624" customFormat="1" ht="16.5" customHeight="1">
      <c r="A1823" s="750"/>
      <c r="B1823" s="750"/>
      <c r="C1823" s="750"/>
      <c r="D1823" s="750"/>
      <c r="E1823" s="750"/>
      <c r="F1823" s="750"/>
      <c r="G1823" s="750"/>
      <c r="H1823" s="750"/>
      <c r="I1823" s="750"/>
      <c r="J1823" s="871"/>
      <c r="K1823" s="801"/>
      <c r="L1823" s="899"/>
      <c r="M1823" s="650"/>
      <c r="N1823" s="917"/>
      <c r="O1823" s="646"/>
      <c r="P1823" s="933"/>
      <c r="Q1823" s="646"/>
      <c r="R1823" s="942"/>
      <c r="S1823" s="650"/>
      <c r="T1823" s="934"/>
      <c r="U1823" s="650"/>
      <c r="V1823" s="930"/>
    </row>
    <row r="1824" spans="1:22" s="624" customFormat="1" ht="16.5" customHeight="1">
      <c r="A1824" s="750"/>
      <c r="B1824" s="750"/>
      <c r="C1824" s="750"/>
      <c r="D1824" s="750"/>
      <c r="E1824" s="750"/>
      <c r="F1824" s="750"/>
      <c r="G1824" s="750"/>
      <c r="H1824" s="750"/>
      <c r="I1824" s="750"/>
      <c r="J1824" s="871"/>
      <c r="K1824" s="801"/>
      <c r="L1824" s="899"/>
      <c r="M1824" s="650"/>
      <c r="N1824" s="917"/>
      <c r="O1824" s="646"/>
      <c r="P1824" s="933"/>
      <c r="Q1824" s="646"/>
      <c r="R1824" s="942"/>
      <c r="S1824" s="650"/>
      <c r="T1824" s="934"/>
      <c r="U1824" s="650"/>
      <c r="V1824" s="930"/>
    </row>
    <row r="1825" spans="1:22" s="624" customFormat="1" ht="16.5" customHeight="1">
      <c r="A1825" s="750"/>
      <c r="B1825" s="750"/>
      <c r="C1825" s="750"/>
      <c r="D1825" s="750"/>
      <c r="E1825" s="750"/>
      <c r="F1825" s="750"/>
      <c r="G1825" s="750"/>
      <c r="H1825" s="750"/>
      <c r="I1825" s="750"/>
      <c r="J1825" s="871"/>
      <c r="K1825" s="801"/>
      <c r="L1825" s="899"/>
      <c r="M1825" s="650"/>
      <c r="N1825" s="917"/>
      <c r="O1825" s="646"/>
      <c r="P1825" s="933"/>
      <c r="Q1825" s="646"/>
      <c r="R1825" s="942"/>
      <c r="S1825" s="650"/>
      <c r="T1825" s="934"/>
      <c r="U1825" s="650"/>
      <c r="V1825" s="930"/>
    </row>
    <row r="1826" spans="1:22" s="624" customFormat="1" ht="16.5" customHeight="1">
      <c r="A1826" s="750"/>
      <c r="B1826" s="750"/>
      <c r="C1826" s="750"/>
      <c r="D1826" s="750"/>
      <c r="E1826" s="750"/>
      <c r="F1826" s="750"/>
      <c r="G1826" s="750"/>
      <c r="H1826" s="750"/>
      <c r="I1826" s="750"/>
      <c r="J1826" s="871"/>
      <c r="K1826" s="801"/>
      <c r="L1826" s="899"/>
      <c r="M1826" s="650"/>
      <c r="N1826" s="917"/>
      <c r="O1826" s="646"/>
      <c r="P1826" s="933"/>
      <c r="Q1826" s="646"/>
      <c r="R1826" s="942"/>
      <c r="S1826" s="650"/>
      <c r="T1826" s="934"/>
      <c r="U1826" s="650"/>
      <c r="V1826" s="930"/>
    </row>
    <row r="1827" spans="1:22" s="624" customFormat="1" ht="16.5" customHeight="1">
      <c r="A1827" s="750"/>
      <c r="B1827" s="750"/>
      <c r="C1827" s="750"/>
      <c r="D1827" s="750"/>
      <c r="E1827" s="750"/>
      <c r="F1827" s="750"/>
      <c r="G1827" s="750"/>
      <c r="H1827" s="750"/>
      <c r="I1827" s="750"/>
      <c r="J1827" s="871"/>
      <c r="K1827" s="801"/>
      <c r="L1827" s="899"/>
      <c r="M1827" s="650"/>
      <c r="N1827" s="917"/>
      <c r="O1827" s="646"/>
      <c r="P1827" s="933"/>
      <c r="Q1827" s="646"/>
      <c r="R1827" s="942"/>
      <c r="S1827" s="650"/>
      <c r="T1827" s="934"/>
      <c r="U1827" s="650"/>
      <c r="V1827" s="930"/>
    </row>
    <row r="1828" spans="1:22" s="624" customFormat="1" ht="16.5" customHeight="1">
      <c r="A1828" s="750"/>
      <c r="B1828" s="750"/>
      <c r="C1828" s="750"/>
      <c r="D1828" s="750"/>
      <c r="E1828" s="750"/>
      <c r="F1828" s="750"/>
      <c r="G1828" s="750"/>
      <c r="H1828" s="750"/>
      <c r="I1828" s="750"/>
      <c r="J1828" s="871"/>
      <c r="K1828" s="801"/>
      <c r="L1828" s="899"/>
      <c r="M1828" s="650"/>
      <c r="N1828" s="917"/>
      <c r="O1828" s="646"/>
      <c r="P1828" s="933"/>
      <c r="Q1828" s="646"/>
      <c r="R1828" s="942"/>
      <c r="S1828" s="650"/>
      <c r="T1828" s="934"/>
      <c r="U1828" s="650"/>
      <c r="V1828" s="930"/>
    </row>
    <row r="1829" spans="1:22" s="624" customFormat="1" ht="16.5" customHeight="1">
      <c r="A1829" s="750"/>
      <c r="B1829" s="750"/>
      <c r="C1829" s="750"/>
      <c r="D1829" s="750"/>
      <c r="E1829" s="750"/>
      <c r="F1829" s="750"/>
      <c r="G1829" s="750"/>
      <c r="H1829" s="750"/>
      <c r="I1829" s="750"/>
      <c r="J1829" s="871"/>
      <c r="K1829" s="801"/>
      <c r="L1829" s="899"/>
      <c r="M1829" s="650"/>
      <c r="N1829" s="917"/>
      <c r="O1829" s="646"/>
      <c r="P1829" s="933"/>
      <c r="Q1829" s="646"/>
      <c r="R1829" s="942"/>
      <c r="S1829" s="650"/>
      <c r="T1829" s="934"/>
      <c r="U1829" s="650"/>
      <c r="V1829" s="930"/>
    </row>
    <row r="1830" spans="1:22" s="624" customFormat="1" ht="16.5" customHeight="1">
      <c r="A1830" s="750"/>
      <c r="B1830" s="750"/>
      <c r="C1830" s="750"/>
      <c r="D1830" s="750"/>
      <c r="E1830" s="750"/>
      <c r="F1830" s="750"/>
      <c r="G1830" s="750"/>
      <c r="H1830" s="750"/>
      <c r="I1830" s="750"/>
      <c r="J1830" s="871"/>
      <c r="K1830" s="801"/>
      <c r="L1830" s="899"/>
      <c r="M1830" s="650"/>
      <c r="N1830" s="917"/>
      <c r="O1830" s="646"/>
      <c r="P1830" s="933"/>
      <c r="Q1830" s="646"/>
      <c r="R1830" s="942"/>
      <c r="S1830" s="650"/>
      <c r="T1830" s="934"/>
      <c r="U1830" s="650"/>
      <c r="V1830" s="930"/>
    </row>
    <row r="1831" spans="1:22" s="624" customFormat="1" ht="16.5" customHeight="1">
      <c r="A1831" s="750"/>
      <c r="B1831" s="750"/>
      <c r="C1831" s="750"/>
      <c r="D1831" s="750"/>
      <c r="E1831" s="750"/>
      <c r="F1831" s="750"/>
      <c r="G1831" s="750"/>
      <c r="H1831" s="750"/>
      <c r="I1831" s="750"/>
      <c r="J1831" s="871"/>
      <c r="K1831" s="801"/>
      <c r="L1831" s="899"/>
      <c r="M1831" s="650"/>
      <c r="N1831" s="917"/>
      <c r="O1831" s="646"/>
      <c r="P1831" s="933"/>
      <c r="Q1831" s="646"/>
      <c r="R1831" s="942"/>
      <c r="S1831" s="650"/>
      <c r="T1831" s="934"/>
      <c r="U1831" s="650"/>
      <c r="V1831" s="930"/>
    </row>
    <row r="1832" spans="1:22" s="624" customFormat="1" ht="16.5" customHeight="1">
      <c r="A1832" s="750"/>
      <c r="B1832" s="750"/>
      <c r="C1832" s="750"/>
      <c r="D1832" s="750"/>
      <c r="E1832" s="750"/>
      <c r="F1832" s="750"/>
      <c r="G1832" s="750"/>
      <c r="H1832" s="750"/>
      <c r="I1832" s="750"/>
      <c r="J1832" s="871"/>
      <c r="K1832" s="801"/>
      <c r="L1832" s="899"/>
      <c r="M1832" s="650"/>
      <c r="N1832" s="917"/>
      <c r="O1832" s="646"/>
      <c r="P1832" s="933"/>
      <c r="Q1832" s="646"/>
      <c r="R1832" s="942"/>
      <c r="S1832" s="650"/>
      <c r="T1832" s="934"/>
      <c r="U1832" s="650"/>
      <c r="V1832" s="930"/>
    </row>
    <row r="1833" spans="1:22" s="624" customFormat="1" ht="16.5" customHeight="1">
      <c r="A1833" s="750"/>
      <c r="B1833" s="750"/>
      <c r="C1833" s="750"/>
      <c r="D1833" s="750"/>
      <c r="E1833" s="750"/>
      <c r="F1833" s="750"/>
      <c r="G1833" s="750"/>
      <c r="H1833" s="750"/>
      <c r="I1833" s="750"/>
      <c r="J1833" s="871"/>
      <c r="K1833" s="801"/>
      <c r="L1833" s="899"/>
      <c r="M1833" s="650"/>
      <c r="N1833" s="917"/>
      <c r="O1833" s="646"/>
      <c r="P1833" s="933"/>
      <c r="Q1833" s="646"/>
      <c r="R1833" s="942"/>
      <c r="S1833" s="650"/>
      <c r="T1833" s="934"/>
      <c r="U1833" s="650"/>
      <c r="V1833" s="930"/>
    </row>
    <row r="1834" spans="1:22" s="624" customFormat="1" ht="16.5" customHeight="1">
      <c r="A1834" s="750"/>
      <c r="B1834" s="750"/>
      <c r="C1834" s="750"/>
      <c r="D1834" s="750"/>
      <c r="E1834" s="750"/>
      <c r="F1834" s="750"/>
      <c r="G1834" s="750"/>
      <c r="H1834" s="750"/>
      <c r="I1834" s="750"/>
      <c r="J1834" s="871"/>
      <c r="K1834" s="801"/>
      <c r="L1834" s="899"/>
      <c r="M1834" s="650"/>
      <c r="N1834" s="917"/>
      <c r="O1834" s="646"/>
      <c r="P1834" s="933"/>
      <c r="Q1834" s="646"/>
      <c r="R1834" s="942"/>
      <c r="S1834" s="650"/>
      <c r="T1834" s="934"/>
      <c r="U1834" s="650"/>
      <c r="V1834" s="930"/>
    </row>
    <row r="1835" spans="1:22" s="624" customFormat="1" ht="16.5" customHeight="1">
      <c r="A1835" s="750"/>
      <c r="B1835" s="750"/>
      <c r="C1835" s="750"/>
      <c r="D1835" s="750"/>
      <c r="E1835" s="750"/>
      <c r="F1835" s="750"/>
      <c r="G1835" s="750"/>
      <c r="H1835" s="750"/>
      <c r="I1835" s="750"/>
      <c r="J1835" s="871"/>
      <c r="K1835" s="801"/>
      <c r="L1835" s="899"/>
      <c r="M1835" s="650"/>
      <c r="N1835" s="917"/>
      <c r="O1835" s="646"/>
      <c r="P1835" s="933"/>
      <c r="Q1835" s="646"/>
      <c r="R1835" s="942"/>
      <c r="S1835" s="650"/>
      <c r="T1835" s="934"/>
      <c r="U1835" s="650"/>
      <c r="V1835" s="930"/>
    </row>
    <row r="1836" spans="1:22" s="624" customFormat="1" ht="16.5" customHeight="1">
      <c r="A1836" s="750"/>
      <c r="B1836" s="750"/>
      <c r="C1836" s="750"/>
      <c r="D1836" s="750"/>
      <c r="E1836" s="750"/>
      <c r="F1836" s="750"/>
      <c r="G1836" s="750"/>
      <c r="H1836" s="750"/>
      <c r="I1836" s="750"/>
      <c r="J1836" s="871"/>
      <c r="K1836" s="801"/>
      <c r="L1836" s="899"/>
      <c r="M1836" s="650"/>
      <c r="N1836" s="917"/>
      <c r="O1836" s="646"/>
      <c r="P1836" s="933"/>
      <c r="Q1836" s="646"/>
      <c r="R1836" s="942"/>
      <c r="S1836" s="650"/>
      <c r="T1836" s="934"/>
      <c r="U1836" s="650"/>
      <c r="V1836" s="930"/>
    </row>
    <row r="1837" spans="1:22" s="624" customFormat="1" ht="16.5" customHeight="1">
      <c r="A1837" s="750"/>
      <c r="B1837" s="750"/>
      <c r="C1837" s="750"/>
      <c r="D1837" s="750"/>
      <c r="E1837" s="750"/>
      <c r="F1837" s="750"/>
      <c r="G1837" s="750"/>
      <c r="H1837" s="750"/>
      <c r="I1837" s="750"/>
      <c r="J1837" s="871"/>
      <c r="K1837" s="801"/>
      <c r="L1837" s="899"/>
      <c r="M1837" s="650"/>
      <c r="N1837" s="917"/>
      <c r="O1837" s="646"/>
      <c r="P1837" s="933"/>
      <c r="Q1837" s="646"/>
      <c r="R1837" s="942"/>
      <c r="S1837" s="650"/>
      <c r="T1837" s="934"/>
      <c r="U1837" s="650"/>
      <c r="V1837" s="930"/>
    </row>
    <row r="1838" spans="1:22" s="624" customFormat="1" ht="16.5" customHeight="1">
      <c r="A1838" s="750"/>
      <c r="B1838" s="750"/>
      <c r="C1838" s="750"/>
      <c r="D1838" s="750"/>
      <c r="E1838" s="750"/>
      <c r="F1838" s="750"/>
      <c r="G1838" s="750"/>
      <c r="H1838" s="750"/>
      <c r="I1838" s="750"/>
      <c r="J1838" s="871"/>
      <c r="K1838" s="801"/>
      <c r="L1838" s="899"/>
      <c r="M1838" s="650"/>
      <c r="N1838" s="917"/>
      <c r="O1838" s="646"/>
      <c r="P1838" s="933"/>
      <c r="Q1838" s="646"/>
      <c r="R1838" s="942"/>
      <c r="S1838" s="650"/>
      <c r="T1838" s="934"/>
      <c r="U1838" s="650"/>
      <c r="V1838" s="930"/>
    </row>
    <row r="1839" spans="1:22" s="624" customFormat="1" ht="16.5" customHeight="1">
      <c r="A1839" s="750"/>
      <c r="B1839" s="750"/>
      <c r="C1839" s="750"/>
      <c r="D1839" s="750"/>
      <c r="E1839" s="750"/>
      <c r="F1839" s="750"/>
      <c r="G1839" s="750"/>
      <c r="H1839" s="750"/>
      <c r="I1839" s="750"/>
      <c r="J1839" s="871"/>
      <c r="K1839" s="801"/>
      <c r="L1839" s="899"/>
      <c r="M1839" s="650"/>
      <c r="N1839" s="917"/>
      <c r="O1839" s="646"/>
      <c r="P1839" s="933"/>
      <c r="Q1839" s="646"/>
      <c r="R1839" s="942"/>
      <c r="S1839" s="650"/>
      <c r="T1839" s="934"/>
      <c r="U1839" s="650"/>
      <c r="V1839" s="930"/>
    </row>
    <row r="1840" spans="1:22" s="624" customFormat="1" ht="16.5" customHeight="1">
      <c r="A1840" s="750"/>
      <c r="B1840" s="750"/>
      <c r="C1840" s="750"/>
      <c r="D1840" s="750"/>
      <c r="E1840" s="750"/>
      <c r="F1840" s="750"/>
      <c r="G1840" s="750"/>
      <c r="H1840" s="750"/>
      <c r="I1840" s="750"/>
      <c r="J1840" s="871"/>
      <c r="K1840" s="801"/>
      <c r="L1840" s="899"/>
      <c r="M1840" s="650"/>
      <c r="N1840" s="917"/>
      <c r="O1840" s="646"/>
      <c r="P1840" s="933"/>
      <c r="Q1840" s="646"/>
      <c r="R1840" s="942"/>
      <c r="S1840" s="650"/>
      <c r="T1840" s="934"/>
      <c r="U1840" s="650"/>
      <c r="V1840" s="930"/>
    </row>
    <row r="1841" spans="1:22" s="624" customFormat="1" ht="16.5" customHeight="1">
      <c r="A1841" s="750"/>
      <c r="B1841" s="750"/>
      <c r="C1841" s="750"/>
      <c r="D1841" s="750"/>
      <c r="E1841" s="750"/>
      <c r="F1841" s="750"/>
      <c r="G1841" s="750"/>
      <c r="H1841" s="750"/>
      <c r="I1841" s="750"/>
      <c r="J1841" s="871"/>
      <c r="K1841" s="801"/>
      <c r="L1841" s="899"/>
      <c r="M1841" s="650"/>
      <c r="N1841" s="917"/>
      <c r="O1841" s="646"/>
      <c r="P1841" s="933"/>
      <c r="Q1841" s="646"/>
      <c r="R1841" s="942"/>
      <c r="S1841" s="650"/>
      <c r="T1841" s="934"/>
      <c r="U1841" s="650"/>
      <c r="V1841" s="930"/>
    </row>
    <row r="1842" spans="1:22" s="624" customFormat="1" ht="16.5" customHeight="1">
      <c r="A1842" s="750"/>
      <c r="B1842" s="750"/>
      <c r="C1842" s="750"/>
      <c r="D1842" s="750"/>
      <c r="E1842" s="750"/>
      <c r="F1842" s="750"/>
      <c r="G1842" s="750"/>
      <c r="H1842" s="750"/>
      <c r="I1842" s="750"/>
      <c r="J1842" s="871"/>
      <c r="K1842" s="801"/>
      <c r="L1842" s="899"/>
      <c r="M1842" s="650"/>
      <c r="N1842" s="917"/>
      <c r="O1842" s="646"/>
      <c r="P1842" s="933"/>
      <c r="Q1842" s="646"/>
      <c r="R1842" s="942"/>
      <c r="S1842" s="650"/>
      <c r="T1842" s="934"/>
      <c r="U1842" s="650"/>
      <c r="V1842" s="930"/>
    </row>
    <row r="1843" spans="1:22" s="624" customFormat="1" ht="16.5" customHeight="1">
      <c r="A1843" s="750"/>
      <c r="B1843" s="750"/>
      <c r="C1843" s="750"/>
      <c r="D1843" s="750"/>
      <c r="E1843" s="750"/>
      <c r="F1843" s="750"/>
      <c r="G1843" s="750"/>
      <c r="H1843" s="750"/>
      <c r="I1843" s="750"/>
      <c r="J1843" s="871"/>
      <c r="K1843" s="801"/>
      <c r="L1843" s="899"/>
      <c r="M1843" s="650"/>
      <c r="N1843" s="917"/>
      <c r="O1843" s="646"/>
      <c r="P1843" s="933"/>
      <c r="Q1843" s="646"/>
      <c r="R1843" s="942"/>
      <c r="S1843" s="650"/>
      <c r="T1843" s="934"/>
      <c r="U1843" s="650"/>
      <c r="V1843" s="930"/>
    </row>
    <row r="1844" spans="1:22" s="624" customFormat="1" ht="16.5" customHeight="1">
      <c r="A1844" s="750"/>
      <c r="B1844" s="750"/>
      <c r="C1844" s="750"/>
      <c r="D1844" s="750"/>
      <c r="E1844" s="750"/>
      <c r="F1844" s="750"/>
      <c r="G1844" s="750"/>
      <c r="H1844" s="750"/>
      <c r="I1844" s="750"/>
      <c r="J1844" s="871"/>
      <c r="K1844" s="801"/>
      <c r="L1844" s="899"/>
      <c r="M1844" s="650"/>
      <c r="N1844" s="917"/>
      <c r="O1844" s="646"/>
      <c r="P1844" s="933"/>
      <c r="Q1844" s="646"/>
      <c r="R1844" s="942"/>
      <c r="S1844" s="650"/>
      <c r="T1844" s="934"/>
      <c r="U1844" s="650"/>
      <c r="V1844" s="930"/>
    </row>
    <row r="1845" spans="1:22" s="624" customFormat="1" ht="16.5" customHeight="1">
      <c r="A1845" s="750"/>
      <c r="B1845" s="750"/>
      <c r="C1845" s="750"/>
      <c r="D1845" s="750"/>
      <c r="E1845" s="750"/>
      <c r="F1845" s="750"/>
      <c r="G1845" s="750"/>
      <c r="H1845" s="750"/>
      <c r="I1845" s="750"/>
      <c r="J1845" s="871"/>
      <c r="K1845" s="801"/>
      <c r="L1845" s="899"/>
      <c r="M1845" s="650"/>
      <c r="N1845" s="917"/>
      <c r="O1845" s="646"/>
      <c r="P1845" s="933"/>
      <c r="Q1845" s="646"/>
      <c r="R1845" s="942"/>
      <c r="S1845" s="650"/>
      <c r="T1845" s="934"/>
      <c r="U1845" s="650"/>
      <c r="V1845" s="930"/>
    </row>
    <row r="1846" spans="1:22" s="624" customFormat="1" ht="16.5" customHeight="1">
      <c r="A1846" s="750"/>
      <c r="B1846" s="750"/>
      <c r="C1846" s="750"/>
      <c r="D1846" s="750"/>
      <c r="E1846" s="750"/>
      <c r="F1846" s="750"/>
      <c r="G1846" s="750"/>
      <c r="H1846" s="750"/>
      <c r="I1846" s="750"/>
      <c r="J1846" s="871"/>
      <c r="K1846" s="801"/>
      <c r="L1846" s="899"/>
      <c r="M1846" s="650"/>
      <c r="N1846" s="917"/>
      <c r="O1846" s="646"/>
      <c r="P1846" s="933"/>
      <c r="Q1846" s="646"/>
      <c r="R1846" s="942"/>
      <c r="S1846" s="650"/>
      <c r="T1846" s="934"/>
      <c r="U1846" s="650"/>
      <c r="V1846" s="930"/>
    </row>
    <row r="1847" spans="1:22" s="624" customFormat="1" ht="16.5" customHeight="1">
      <c r="A1847" s="750"/>
      <c r="B1847" s="750"/>
      <c r="C1847" s="750"/>
      <c r="D1847" s="750"/>
      <c r="E1847" s="750"/>
      <c r="F1847" s="750"/>
      <c r="G1847" s="750"/>
      <c r="H1847" s="750"/>
      <c r="I1847" s="750"/>
      <c r="J1847" s="871"/>
      <c r="K1847" s="801"/>
      <c r="L1847" s="899"/>
      <c r="M1847" s="650"/>
      <c r="N1847" s="917"/>
      <c r="O1847" s="646"/>
      <c r="P1847" s="933"/>
      <c r="Q1847" s="646"/>
      <c r="R1847" s="942"/>
      <c r="S1847" s="650"/>
      <c r="T1847" s="934"/>
      <c r="U1847" s="650"/>
      <c r="V1847" s="930"/>
    </row>
    <row r="1848" spans="1:22" s="624" customFormat="1" ht="16.5" customHeight="1">
      <c r="A1848" s="750"/>
      <c r="B1848" s="750"/>
      <c r="C1848" s="750"/>
      <c r="D1848" s="750"/>
      <c r="E1848" s="750"/>
      <c r="F1848" s="750"/>
      <c r="G1848" s="750"/>
      <c r="H1848" s="750"/>
      <c r="I1848" s="750"/>
      <c r="J1848" s="871"/>
      <c r="K1848" s="801"/>
      <c r="L1848" s="899"/>
      <c r="M1848" s="650"/>
      <c r="N1848" s="917"/>
      <c r="O1848" s="646"/>
      <c r="P1848" s="933"/>
      <c r="Q1848" s="646"/>
      <c r="R1848" s="942"/>
      <c r="S1848" s="650"/>
      <c r="T1848" s="934"/>
      <c r="U1848" s="650"/>
      <c r="V1848" s="930"/>
    </row>
    <row r="1849" spans="1:22" s="624" customFormat="1" ht="16.5" customHeight="1">
      <c r="A1849" s="750"/>
      <c r="B1849" s="750"/>
      <c r="C1849" s="750"/>
      <c r="D1849" s="750"/>
      <c r="E1849" s="750"/>
      <c r="F1849" s="750"/>
      <c r="G1849" s="750"/>
      <c r="H1849" s="750"/>
      <c r="I1849" s="750"/>
      <c r="J1849" s="871"/>
      <c r="K1849" s="801"/>
      <c r="L1849" s="899"/>
      <c r="M1849" s="650"/>
      <c r="N1849" s="917"/>
      <c r="O1849" s="646"/>
      <c r="P1849" s="933"/>
      <c r="Q1849" s="646"/>
      <c r="R1849" s="942"/>
      <c r="S1849" s="650"/>
      <c r="T1849" s="934"/>
      <c r="U1849" s="650"/>
      <c r="V1849" s="930"/>
    </row>
    <row r="1850" spans="1:22" s="624" customFormat="1" ht="16.5" customHeight="1">
      <c r="A1850" s="750"/>
      <c r="B1850" s="750"/>
      <c r="C1850" s="750"/>
      <c r="D1850" s="750"/>
      <c r="E1850" s="750"/>
      <c r="F1850" s="750"/>
      <c r="G1850" s="750"/>
      <c r="H1850" s="750"/>
      <c r="I1850" s="750"/>
      <c r="J1850" s="871"/>
      <c r="K1850" s="801"/>
      <c r="L1850" s="899"/>
      <c r="M1850" s="650"/>
      <c r="N1850" s="917"/>
      <c r="O1850" s="646"/>
      <c r="P1850" s="933"/>
      <c r="Q1850" s="646"/>
      <c r="R1850" s="942"/>
      <c r="S1850" s="650"/>
      <c r="T1850" s="934"/>
      <c r="U1850" s="650"/>
      <c r="V1850" s="930"/>
    </row>
    <row r="1851" spans="1:22" s="624" customFormat="1" ht="16.5" customHeight="1">
      <c r="A1851" s="750"/>
      <c r="B1851" s="750"/>
      <c r="C1851" s="750"/>
      <c r="D1851" s="750"/>
      <c r="E1851" s="750"/>
      <c r="F1851" s="750"/>
      <c r="G1851" s="750"/>
      <c r="H1851" s="750"/>
      <c r="I1851" s="750"/>
      <c r="J1851" s="871"/>
      <c r="K1851" s="801"/>
      <c r="L1851" s="899"/>
      <c r="M1851" s="650"/>
      <c r="N1851" s="917"/>
      <c r="O1851" s="646"/>
      <c r="P1851" s="933"/>
      <c r="Q1851" s="646"/>
      <c r="R1851" s="942"/>
      <c r="S1851" s="650"/>
      <c r="T1851" s="934"/>
      <c r="U1851" s="650"/>
      <c r="V1851" s="930"/>
    </row>
    <row r="1852" spans="1:22" s="624" customFormat="1" ht="16.5" customHeight="1">
      <c r="A1852" s="750"/>
      <c r="B1852" s="750"/>
      <c r="C1852" s="750"/>
      <c r="D1852" s="750"/>
      <c r="E1852" s="750"/>
      <c r="F1852" s="750"/>
      <c r="G1852" s="750"/>
      <c r="H1852" s="750"/>
      <c r="I1852" s="750"/>
      <c r="J1852" s="871"/>
      <c r="K1852" s="801"/>
      <c r="L1852" s="899"/>
      <c r="M1852" s="650"/>
      <c r="N1852" s="917"/>
      <c r="O1852" s="646"/>
      <c r="P1852" s="933"/>
      <c r="Q1852" s="646"/>
      <c r="R1852" s="942"/>
      <c r="S1852" s="650"/>
      <c r="T1852" s="934"/>
      <c r="U1852" s="650"/>
      <c r="V1852" s="930"/>
    </row>
    <row r="1853" spans="1:22" s="624" customFormat="1" ht="16.5" customHeight="1">
      <c r="A1853" s="750"/>
      <c r="B1853" s="750"/>
      <c r="C1853" s="750"/>
      <c r="D1853" s="750"/>
      <c r="E1853" s="750"/>
      <c r="F1853" s="750"/>
      <c r="G1853" s="750"/>
      <c r="H1853" s="750"/>
      <c r="I1853" s="750"/>
      <c r="J1853" s="871"/>
      <c r="K1853" s="801"/>
      <c r="L1853" s="899"/>
      <c r="M1853" s="650"/>
      <c r="N1853" s="917"/>
      <c r="O1853" s="646"/>
      <c r="P1853" s="933"/>
      <c r="Q1853" s="646"/>
      <c r="R1853" s="942"/>
      <c r="S1853" s="650"/>
      <c r="T1853" s="934"/>
      <c r="U1853" s="650"/>
      <c r="V1853" s="930"/>
    </row>
    <row r="1854" spans="1:22" s="624" customFormat="1" ht="16.5" customHeight="1">
      <c r="A1854" s="750"/>
      <c r="B1854" s="750"/>
      <c r="C1854" s="750"/>
      <c r="D1854" s="750"/>
      <c r="E1854" s="750"/>
      <c r="F1854" s="750"/>
      <c r="G1854" s="750"/>
      <c r="H1854" s="750"/>
      <c r="I1854" s="750"/>
      <c r="J1854" s="871"/>
      <c r="K1854" s="801"/>
      <c r="L1854" s="899"/>
      <c r="M1854" s="650"/>
      <c r="N1854" s="917"/>
      <c r="O1854" s="646"/>
      <c r="P1854" s="933"/>
      <c r="Q1854" s="646"/>
      <c r="R1854" s="942"/>
      <c r="S1854" s="650"/>
      <c r="T1854" s="934"/>
      <c r="U1854" s="650"/>
      <c r="V1854" s="930"/>
    </row>
    <row r="1855" spans="1:22" s="624" customFormat="1" ht="16.5" customHeight="1">
      <c r="A1855" s="750"/>
      <c r="B1855" s="750"/>
      <c r="C1855" s="750"/>
      <c r="D1855" s="750"/>
      <c r="E1855" s="750"/>
      <c r="F1855" s="750"/>
      <c r="G1855" s="750"/>
      <c r="H1855" s="750"/>
      <c r="I1855" s="750"/>
      <c r="J1855" s="871"/>
      <c r="K1855" s="801"/>
      <c r="L1855" s="899"/>
      <c r="M1855" s="650"/>
      <c r="N1855" s="917"/>
      <c r="O1855" s="646"/>
      <c r="P1855" s="933"/>
      <c r="Q1855" s="646"/>
      <c r="R1855" s="942"/>
      <c r="S1855" s="650"/>
      <c r="T1855" s="934"/>
      <c r="U1855" s="650"/>
      <c r="V1855" s="930"/>
    </row>
    <row r="1856" spans="1:22" s="624" customFormat="1" ht="16.5" customHeight="1">
      <c r="A1856" s="750"/>
      <c r="B1856" s="750"/>
      <c r="C1856" s="750"/>
      <c r="D1856" s="750"/>
      <c r="E1856" s="750"/>
      <c r="F1856" s="750"/>
      <c r="G1856" s="750"/>
      <c r="H1856" s="750"/>
      <c r="I1856" s="750"/>
      <c r="J1856" s="871"/>
      <c r="K1856" s="801"/>
      <c r="L1856" s="899"/>
      <c r="M1856" s="650"/>
      <c r="N1856" s="917"/>
      <c r="O1856" s="646"/>
      <c r="P1856" s="933"/>
      <c r="Q1856" s="646"/>
      <c r="R1856" s="942"/>
      <c r="S1856" s="650"/>
      <c r="T1856" s="934"/>
      <c r="U1856" s="650"/>
      <c r="V1856" s="930"/>
    </row>
    <row r="1857" spans="1:22" s="624" customFormat="1" ht="16.5" customHeight="1">
      <c r="A1857" s="750"/>
      <c r="B1857" s="750"/>
      <c r="C1857" s="750"/>
      <c r="D1857" s="750"/>
      <c r="E1857" s="750"/>
      <c r="F1857" s="750"/>
      <c r="G1857" s="750"/>
      <c r="H1857" s="750"/>
      <c r="I1857" s="750"/>
      <c r="J1857" s="871"/>
      <c r="K1857" s="801"/>
      <c r="L1857" s="899"/>
      <c r="M1857" s="650"/>
      <c r="N1857" s="917"/>
      <c r="O1857" s="646"/>
      <c r="P1857" s="933"/>
      <c r="Q1857" s="646"/>
      <c r="R1857" s="942"/>
      <c r="S1857" s="650"/>
      <c r="T1857" s="934"/>
      <c r="U1857" s="650"/>
      <c r="V1857" s="930"/>
    </row>
    <row r="1858" spans="1:22" s="624" customFormat="1" ht="16.5" customHeight="1">
      <c r="A1858" s="750"/>
      <c r="B1858" s="750"/>
      <c r="C1858" s="750"/>
      <c r="D1858" s="750"/>
      <c r="E1858" s="750"/>
      <c r="F1858" s="750"/>
      <c r="G1858" s="750"/>
      <c r="H1858" s="750"/>
      <c r="I1858" s="750"/>
      <c r="J1858" s="871"/>
      <c r="K1858" s="801"/>
      <c r="L1858" s="899"/>
      <c r="M1858" s="650"/>
      <c r="N1858" s="917"/>
      <c r="O1858" s="646"/>
      <c r="P1858" s="933"/>
      <c r="Q1858" s="646"/>
      <c r="R1858" s="942"/>
      <c r="S1858" s="650"/>
      <c r="T1858" s="934"/>
      <c r="U1858" s="650"/>
      <c r="V1858" s="930"/>
    </row>
    <row r="1859" spans="1:22" s="624" customFormat="1" ht="16.5" customHeight="1">
      <c r="A1859" s="750"/>
      <c r="B1859" s="750"/>
      <c r="C1859" s="750"/>
      <c r="D1859" s="750"/>
      <c r="E1859" s="750"/>
      <c r="F1859" s="750"/>
      <c r="G1859" s="750"/>
      <c r="H1859" s="750"/>
      <c r="I1859" s="750"/>
      <c r="J1859" s="871"/>
      <c r="K1859" s="801"/>
      <c r="L1859" s="899"/>
      <c r="M1859" s="650"/>
      <c r="N1859" s="917"/>
      <c r="O1859" s="646"/>
      <c r="P1859" s="933"/>
      <c r="Q1859" s="646"/>
      <c r="R1859" s="942"/>
      <c r="S1859" s="650"/>
      <c r="T1859" s="934"/>
      <c r="U1859" s="650"/>
      <c r="V1859" s="930"/>
    </row>
    <row r="1860" spans="1:22" s="624" customFormat="1" ht="16.5" customHeight="1">
      <c r="A1860" s="750"/>
      <c r="B1860" s="750"/>
      <c r="C1860" s="750"/>
      <c r="D1860" s="750"/>
      <c r="E1860" s="750"/>
      <c r="F1860" s="750"/>
      <c r="G1860" s="750"/>
      <c r="H1860" s="750"/>
      <c r="I1860" s="750"/>
      <c r="J1860" s="871"/>
      <c r="K1860" s="801"/>
      <c r="L1860" s="899"/>
      <c r="M1860" s="650"/>
      <c r="N1860" s="917"/>
      <c r="O1860" s="646"/>
      <c r="P1860" s="933"/>
      <c r="Q1860" s="646"/>
      <c r="R1860" s="942"/>
      <c r="S1860" s="650"/>
      <c r="T1860" s="934"/>
      <c r="U1860" s="650"/>
      <c r="V1860" s="930"/>
    </row>
    <row r="1861" spans="1:22" s="624" customFormat="1" ht="16.5" customHeight="1">
      <c r="A1861" s="750"/>
      <c r="B1861" s="750"/>
      <c r="C1861" s="750"/>
      <c r="D1861" s="750"/>
      <c r="E1861" s="750"/>
      <c r="F1861" s="750"/>
      <c r="G1861" s="750"/>
      <c r="H1861" s="750"/>
      <c r="I1861" s="750"/>
      <c r="J1861" s="871"/>
      <c r="K1861" s="801"/>
      <c r="L1861" s="899"/>
      <c r="M1861" s="650"/>
      <c r="N1861" s="917"/>
      <c r="O1861" s="646"/>
      <c r="P1861" s="933"/>
      <c r="Q1861" s="646"/>
      <c r="R1861" s="942"/>
      <c r="S1861" s="650"/>
      <c r="T1861" s="934"/>
      <c r="U1861" s="650"/>
      <c r="V1861" s="930"/>
    </row>
    <row r="1862" spans="1:22" s="624" customFormat="1" ht="16.5" customHeight="1">
      <c r="A1862" s="750"/>
      <c r="B1862" s="750"/>
      <c r="C1862" s="750"/>
      <c r="D1862" s="750"/>
      <c r="E1862" s="750"/>
      <c r="F1862" s="750"/>
      <c r="G1862" s="750"/>
      <c r="H1862" s="750"/>
      <c r="I1862" s="750"/>
      <c r="J1862" s="871"/>
      <c r="K1862" s="801"/>
      <c r="L1862" s="899"/>
      <c r="M1862" s="650"/>
      <c r="N1862" s="917"/>
      <c r="O1862" s="646"/>
      <c r="P1862" s="933"/>
      <c r="Q1862" s="646"/>
      <c r="R1862" s="942"/>
      <c r="S1862" s="650"/>
      <c r="T1862" s="934"/>
      <c r="U1862" s="650"/>
      <c r="V1862" s="930"/>
    </row>
    <row r="1863" spans="1:22" s="624" customFormat="1" ht="16.5" customHeight="1">
      <c r="A1863" s="750"/>
      <c r="B1863" s="750"/>
      <c r="C1863" s="750"/>
      <c r="D1863" s="750"/>
      <c r="E1863" s="750"/>
      <c r="F1863" s="750"/>
      <c r="G1863" s="750"/>
      <c r="H1863" s="750"/>
      <c r="I1863" s="750"/>
      <c r="J1863" s="871"/>
      <c r="K1863" s="801"/>
      <c r="L1863" s="899"/>
      <c r="M1863" s="650"/>
      <c r="N1863" s="917"/>
      <c r="O1863" s="646"/>
      <c r="P1863" s="933"/>
      <c r="Q1863" s="646"/>
      <c r="R1863" s="942"/>
      <c r="S1863" s="650"/>
      <c r="T1863" s="934"/>
      <c r="U1863" s="650"/>
      <c r="V1863" s="930"/>
    </row>
    <row r="1864" spans="1:22" s="624" customFormat="1" ht="16.5" customHeight="1">
      <c r="A1864" s="750"/>
      <c r="B1864" s="750"/>
      <c r="C1864" s="750"/>
      <c r="D1864" s="750"/>
      <c r="E1864" s="750"/>
      <c r="F1864" s="750"/>
      <c r="G1864" s="750"/>
      <c r="H1864" s="750"/>
      <c r="I1864" s="750"/>
      <c r="J1864" s="871"/>
      <c r="K1864" s="801"/>
      <c r="L1864" s="899"/>
      <c r="M1864" s="650"/>
      <c r="N1864" s="917"/>
      <c r="O1864" s="646"/>
      <c r="P1864" s="933"/>
      <c r="Q1864" s="646"/>
      <c r="R1864" s="942"/>
      <c r="S1864" s="650"/>
      <c r="T1864" s="934"/>
      <c r="U1864" s="650"/>
      <c r="V1864" s="930"/>
    </row>
    <row r="1865" spans="1:22" s="624" customFormat="1" ht="16.5" customHeight="1">
      <c r="A1865" s="750"/>
      <c r="B1865" s="750"/>
      <c r="C1865" s="750"/>
      <c r="D1865" s="750"/>
      <c r="E1865" s="750"/>
      <c r="F1865" s="750"/>
      <c r="G1865" s="750"/>
      <c r="H1865" s="750"/>
      <c r="I1865" s="750"/>
      <c r="J1865" s="871"/>
      <c r="K1865" s="801"/>
      <c r="L1865" s="899"/>
      <c r="M1865" s="650"/>
      <c r="N1865" s="917"/>
      <c r="O1865" s="646"/>
      <c r="P1865" s="933"/>
      <c r="Q1865" s="646"/>
      <c r="R1865" s="942"/>
      <c r="S1865" s="650"/>
      <c r="T1865" s="934"/>
      <c r="U1865" s="650"/>
      <c r="V1865" s="930"/>
    </row>
    <row r="1866" spans="1:22" s="624" customFormat="1" ht="16.5" customHeight="1">
      <c r="A1866" s="750"/>
      <c r="B1866" s="750"/>
      <c r="C1866" s="750"/>
      <c r="D1866" s="750"/>
      <c r="E1866" s="750"/>
      <c r="F1866" s="750"/>
      <c r="G1866" s="750"/>
      <c r="H1866" s="750"/>
      <c r="I1866" s="750"/>
      <c r="J1866" s="871"/>
      <c r="K1866" s="801"/>
      <c r="L1866" s="899"/>
      <c r="M1866" s="650"/>
      <c r="N1866" s="917"/>
      <c r="O1866" s="646"/>
      <c r="P1866" s="933"/>
      <c r="Q1866" s="646"/>
      <c r="R1866" s="942"/>
      <c r="S1866" s="650"/>
      <c r="T1866" s="934"/>
      <c r="U1866" s="650"/>
      <c r="V1866" s="930"/>
    </row>
    <row r="1867" spans="1:22" s="624" customFormat="1" ht="16.5" customHeight="1">
      <c r="A1867" s="750"/>
      <c r="B1867" s="750"/>
      <c r="C1867" s="750"/>
      <c r="D1867" s="750"/>
      <c r="E1867" s="750"/>
      <c r="F1867" s="750"/>
      <c r="G1867" s="750"/>
      <c r="H1867" s="750"/>
      <c r="I1867" s="750"/>
      <c r="J1867" s="871"/>
      <c r="K1867" s="801"/>
      <c r="L1867" s="899"/>
      <c r="M1867" s="650"/>
      <c r="N1867" s="917"/>
      <c r="O1867" s="646"/>
      <c r="P1867" s="933"/>
      <c r="Q1867" s="646"/>
      <c r="R1867" s="942"/>
      <c r="S1867" s="650"/>
      <c r="T1867" s="934"/>
      <c r="U1867" s="650"/>
      <c r="V1867" s="930"/>
    </row>
    <row r="1868" spans="1:22" s="624" customFormat="1" ht="16.5" customHeight="1">
      <c r="A1868" s="750"/>
      <c r="B1868" s="750"/>
      <c r="C1868" s="750"/>
      <c r="D1868" s="750"/>
      <c r="E1868" s="750"/>
      <c r="F1868" s="750"/>
      <c r="G1868" s="750"/>
      <c r="H1868" s="750"/>
      <c r="I1868" s="750"/>
      <c r="J1868" s="871"/>
      <c r="K1868" s="801"/>
      <c r="L1868" s="899"/>
      <c r="M1868" s="650"/>
      <c r="N1868" s="917"/>
      <c r="O1868" s="646"/>
      <c r="P1868" s="933"/>
      <c r="Q1868" s="646"/>
      <c r="R1868" s="942"/>
      <c r="S1868" s="650"/>
      <c r="T1868" s="934"/>
      <c r="U1868" s="650"/>
      <c r="V1868" s="930"/>
    </row>
    <row r="1869" spans="1:22" s="624" customFormat="1" ht="16.5" customHeight="1">
      <c r="A1869" s="750"/>
      <c r="B1869" s="750"/>
      <c r="C1869" s="750"/>
      <c r="D1869" s="750"/>
      <c r="E1869" s="750"/>
      <c r="F1869" s="750"/>
      <c r="G1869" s="750"/>
      <c r="H1869" s="750"/>
      <c r="I1869" s="750"/>
      <c r="J1869" s="871"/>
      <c r="K1869" s="801"/>
      <c r="L1869" s="899"/>
      <c r="M1869" s="650"/>
      <c r="N1869" s="917"/>
      <c r="O1869" s="646"/>
      <c r="P1869" s="933"/>
      <c r="Q1869" s="646"/>
      <c r="R1869" s="942"/>
      <c r="S1869" s="650"/>
      <c r="T1869" s="934"/>
      <c r="U1869" s="650"/>
      <c r="V1869" s="930"/>
    </row>
    <row r="1870" spans="1:22" s="624" customFormat="1" ht="16.5" customHeight="1">
      <c r="A1870" s="750"/>
      <c r="B1870" s="750"/>
      <c r="C1870" s="750"/>
      <c r="D1870" s="750"/>
      <c r="E1870" s="750"/>
      <c r="F1870" s="750"/>
      <c r="G1870" s="750"/>
      <c r="H1870" s="750"/>
      <c r="I1870" s="750"/>
      <c r="J1870" s="871"/>
      <c r="K1870" s="801"/>
      <c r="L1870" s="899"/>
      <c r="M1870" s="650"/>
      <c r="N1870" s="917"/>
      <c r="O1870" s="646"/>
      <c r="P1870" s="933"/>
      <c r="Q1870" s="646"/>
      <c r="R1870" s="942"/>
      <c r="S1870" s="650"/>
      <c r="T1870" s="934"/>
      <c r="U1870" s="650"/>
      <c r="V1870" s="930"/>
    </row>
    <row r="1871" spans="1:22" s="624" customFormat="1" ht="16.5" customHeight="1">
      <c r="A1871" s="750"/>
      <c r="B1871" s="750"/>
      <c r="C1871" s="750"/>
      <c r="D1871" s="750"/>
      <c r="E1871" s="750"/>
      <c r="F1871" s="750"/>
      <c r="G1871" s="750"/>
      <c r="H1871" s="750"/>
      <c r="I1871" s="750"/>
      <c r="J1871" s="871"/>
      <c r="K1871" s="801"/>
      <c r="L1871" s="899"/>
      <c r="M1871" s="650"/>
      <c r="N1871" s="917"/>
      <c r="O1871" s="646"/>
      <c r="P1871" s="933"/>
      <c r="Q1871" s="646"/>
      <c r="R1871" s="942"/>
      <c r="S1871" s="650"/>
      <c r="T1871" s="934"/>
      <c r="U1871" s="650"/>
      <c r="V1871" s="930"/>
    </row>
    <row r="1872" spans="1:22" s="624" customFormat="1" ht="16.5" customHeight="1">
      <c r="A1872" s="750"/>
      <c r="B1872" s="750"/>
      <c r="C1872" s="750"/>
      <c r="D1872" s="750"/>
      <c r="E1872" s="750"/>
      <c r="F1872" s="750"/>
      <c r="G1872" s="750"/>
      <c r="H1872" s="750"/>
      <c r="I1872" s="750"/>
      <c r="J1872" s="871"/>
      <c r="K1872" s="801"/>
      <c r="L1872" s="899"/>
      <c r="M1872" s="650"/>
      <c r="N1872" s="917"/>
      <c r="O1872" s="646"/>
      <c r="P1872" s="933"/>
      <c r="Q1872" s="646"/>
      <c r="R1872" s="942"/>
      <c r="S1872" s="650"/>
      <c r="T1872" s="934"/>
      <c r="U1872" s="650"/>
      <c r="V1872" s="930"/>
    </row>
    <row r="1873" spans="1:22" s="624" customFormat="1" ht="16.5" customHeight="1">
      <c r="A1873" s="750"/>
      <c r="B1873" s="750"/>
      <c r="C1873" s="750"/>
      <c r="D1873" s="750"/>
      <c r="E1873" s="750"/>
      <c r="F1873" s="750"/>
      <c r="G1873" s="750"/>
      <c r="H1873" s="750"/>
      <c r="I1873" s="750"/>
      <c r="J1873" s="871"/>
      <c r="K1873" s="801"/>
      <c r="L1873" s="899"/>
      <c r="M1873" s="650"/>
      <c r="N1873" s="917"/>
      <c r="O1873" s="646"/>
      <c r="P1873" s="933"/>
      <c r="Q1873" s="646"/>
      <c r="R1873" s="942"/>
      <c r="S1873" s="650"/>
      <c r="T1873" s="934"/>
      <c r="U1873" s="650"/>
      <c r="V1873" s="930"/>
    </row>
    <row r="1874" spans="1:22" s="624" customFormat="1" ht="16.5" customHeight="1">
      <c r="A1874" s="750"/>
      <c r="B1874" s="750"/>
      <c r="C1874" s="750"/>
      <c r="D1874" s="750"/>
      <c r="E1874" s="750"/>
      <c r="F1874" s="750"/>
      <c r="G1874" s="750"/>
      <c r="H1874" s="750"/>
      <c r="I1874" s="750"/>
      <c r="J1874" s="871"/>
      <c r="K1874" s="801"/>
      <c r="L1874" s="899"/>
      <c r="M1874" s="650"/>
      <c r="N1874" s="917"/>
      <c r="O1874" s="646"/>
      <c r="P1874" s="933"/>
      <c r="Q1874" s="646"/>
      <c r="R1874" s="942"/>
      <c r="S1874" s="650"/>
      <c r="T1874" s="934"/>
      <c r="U1874" s="650"/>
      <c r="V1874" s="930"/>
    </row>
    <row r="1875" spans="1:22" s="624" customFormat="1" ht="16.5" customHeight="1">
      <c r="A1875" s="750"/>
      <c r="B1875" s="750"/>
      <c r="C1875" s="750"/>
      <c r="D1875" s="750"/>
      <c r="E1875" s="750"/>
      <c r="F1875" s="750"/>
      <c r="G1875" s="750"/>
      <c r="H1875" s="750"/>
      <c r="I1875" s="750"/>
      <c r="J1875" s="871"/>
      <c r="K1875" s="801"/>
      <c r="L1875" s="899"/>
      <c r="M1875" s="650"/>
      <c r="N1875" s="917"/>
      <c r="O1875" s="646"/>
      <c r="P1875" s="933"/>
      <c r="Q1875" s="646"/>
      <c r="R1875" s="942"/>
      <c r="S1875" s="650"/>
      <c r="T1875" s="934"/>
      <c r="U1875" s="650"/>
      <c r="V1875" s="930"/>
    </row>
    <row r="1876" spans="1:22" s="624" customFormat="1" ht="16.5" customHeight="1">
      <c r="A1876" s="750"/>
      <c r="B1876" s="750"/>
      <c r="C1876" s="750"/>
      <c r="D1876" s="750"/>
      <c r="E1876" s="750"/>
      <c r="F1876" s="750"/>
      <c r="G1876" s="750"/>
      <c r="H1876" s="750"/>
      <c r="I1876" s="750"/>
      <c r="J1876" s="871"/>
      <c r="K1876" s="801"/>
      <c r="L1876" s="899"/>
      <c r="M1876" s="650"/>
      <c r="N1876" s="917"/>
      <c r="O1876" s="646"/>
      <c r="P1876" s="933"/>
      <c r="Q1876" s="646"/>
      <c r="R1876" s="942"/>
      <c r="S1876" s="650"/>
      <c r="T1876" s="934"/>
      <c r="U1876" s="650"/>
      <c r="V1876" s="930"/>
    </row>
    <row r="1877" spans="1:22" s="624" customFormat="1" ht="16.5" customHeight="1">
      <c r="A1877" s="750"/>
      <c r="B1877" s="750"/>
      <c r="C1877" s="750"/>
      <c r="D1877" s="750"/>
      <c r="E1877" s="750"/>
      <c r="F1877" s="750"/>
      <c r="G1877" s="750"/>
      <c r="H1877" s="750"/>
      <c r="I1877" s="750"/>
      <c r="J1877" s="871"/>
      <c r="K1877" s="801"/>
      <c r="L1877" s="899"/>
      <c r="M1877" s="650"/>
      <c r="N1877" s="917"/>
      <c r="O1877" s="646"/>
      <c r="P1877" s="933"/>
      <c r="Q1877" s="646"/>
      <c r="R1877" s="942"/>
      <c r="S1877" s="650"/>
      <c r="T1877" s="934"/>
      <c r="U1877" s="650"/>
      <c r="V1877" s="930"/>
    </row>
    <row r="1878" spans="1:22" s="624" customFormat="1" ht="16.5" customHeight="1">
      <c r="A1878" s="750"/>
      <c r="B1878" s="750"/>
      <c r="C1878" s="750"/>
      <c r="D1878" s="750"/>
      <c r="E1878" s="750"/>
      <c r="F1878" s="750"/>
      <c r="G1878" s="750"/>
      <c r="H1878" s="750"/>
      <c r="I1878" s="750"/>
      <c r="J1878" s="871"/>
      <c r="K1878" s="801"/>
      <c r="L1878" s="899"/>
      <c r="M1878" s="650"/>
      <c r="N1878" s="917"/>
      <c r="O1878" s="646"/>
      <c r="P1878" s="933"/>
      <c r="Q1878" s="646"/>
      <c r="R1878" s="942"/>
      <c r="S1878" s="650"/>
      <c r="T1878" s="934"/>
      <c r="U1878" s="650"/>
      <c r="V1878" s="930"/>
    </row>
    <row r="1879" spans="1:22" s="624" customFormat="1" ht="16.5" customHeight="1">
      <c r="A1879" s="750"/>
      <c r="B1879" s="750"/>
      <c r="C1879" s="750"/>
      <c r="D1879" s="750"/>
      <c r="E1879" s="750"/>
      <c r="F1879" s="750"/>
      <c r="G1879" s="750"/>
      <c r="H1879" s="750"/>
      <c r="I1879" s="750"/>
      <c r="J1879" s="871"/>
      <c r="K1879" s="801"/>
      <c r="L1879" s="899"/>
      <c r="M1879" s="650"/>
      <c r="N1879" s="917"/>
      <c r="O1879" s="646"/>
      <c r="P1879" s="933"/>
      <c r="Q1879" s="646"/>
      <c r="R1879" s="942"/>
      <c r="S1879" s="650"/>
      <c r="T1879" s="934"/>
      <c r="U1879" s="650"/>
      <c r="V1879" s="930"/>
    </row>
    <row r="1880" spans="1:22" s="624" customFormat="1" ht="16.5" customHeight="1">
      <c r="A1880" s="750"/>
      <c r="B1880" s="750"/>
      <c r="C1880" s="750"/>
      <c r="D1880" s="750"/>
      <c r="E1880" s="750"/>
      <c r="F1880" s="750"/>
      <c r="G1880" s="750"/>
      <c r="H1880" s="750"/>
      <c r="I1880" s="750"/>
      <c r="J1880" s="871"/>
      <c r="K1880" s="801"/>
      <c r="L1880" s="899"/>
      <c r="M1880" s="650"/>
      <c r="N1880" s="917"/>
      <c r="O1880" s="646"/>
      <c r="P1880" s="933"/>
      <c r="Q1880" s="646"/>
      <c r="R1880" s="942"/>
      <c r="S1880" s="650"/>
      <c r="T1880" s="934"/>
      <c r="U1880" s="650"/>
      <c r="V1880" s="930"/>
    </row>
    <row r="1881" spans="1:22" s="624" customFormat="1" ht="16.5" customHeight="1">
      <c r="A1881" s="750"/>
      <c r="B1881" s="750"/>
      <c r="C1881" s="750"/>
      <c r="D1881" s="750"/>
      <c r="E1881" s="750"/>
      <c r="F1881" s="750"/>
      <c r="G1881" s="750"/>
      <c r="H1881" s="750"/>
      <c r="I1881" s="750"/>
      <c r="J1881" s="871"/>
      <c r="K1881" s="801"/>
      <c r="L1881" s="899"/>
      <c r="M1881" s="650"/>
      <c r="N1881" s="917"/>
      <c r="O1881" s="646"/>
      <c r="P1881" s="933"/>
      <c r="Q1881" s="646"/>
      <c r="R1881" s="942"/>
      <c r="S1881" s="650"/>
      <c r="T1881" s="934"/>
      <c r="U1881" s="650"/>
      <c r="V1881" s="930"/>
    </row>
    <row r="1882" spans="1:22" s="624" customFormat="1" ht="16.5" customHeight="1">
      <c r="A1882" s="750"/>
      <c r="B1882" s="750"/>
      <c r="C1882" s="750"/>
      <c r="D1882" s="750"/>
      <c r="E1882" s="750"/>
      <c r="F1882" s="750"/>
      <c r="G1882" s="750"/>
      <c r="H1882" s="750"/>
      <c r="I1882" s="750"/>
      <c r="J1882" s="871"/>
      <c r="K1882" s="801"/>
      <c r="L1882" s="899"/>
      <c r="M1882" s="650"/>
      <c r="N1882" s="917"/>
      <c r="O1882" s="646"/>
      <c r="P1882" s="933"/>
      <c r="Q1882" s="646"/>
      <c r="R1882" s="942"/>
      <c r="S1882" s="650"/>
      <c r="T1882" s="934"/>
      <c r="U1882" s="650"/>
      <c r="V1882" s="930"/>
    </row>
    <row r="1883" spans="1:22" s="624" customFormat="1" ht="16.5" customHeight="1">
      <c r="A1883" s="750"/>
      <c r="B1883" s="750"/>
      <c r="C1883" s="750"/>
      <c r="D1883" s="750"/>
      <c r="E1883" s="750"/>
      <c r="F1883" s="750"/>
      <c r="G1883" s="750"/>
      <c r="H1883" s="750"/>
      <c r="I1883" s="750"/>
      <c r="J1883" s="871"/>
      <c r="K1883" s="801"/>
      <c r="L1883" s="899"/>
      <c r="M1883" s="650"/>
      <c r="N1883" s="917"/>
      <c r="O1883" s="646"/>
      <c r="P1883" s="933"/>
      <c r="Q1883" s="646"/>
      <c r="R1883" s="942"/>
      <c r="S1883" s="650"/>
      <c r="T1883" s="934"/>
      <c r="U1883" s="650"/>
      <c r="V1883" s="930"/>
    </row>
    <row r="1884" spans="1:22" s="624" customFormat="1" ht="16.5" customHeight="1">
      <c r="A1884" s="750"/>
      <c r="B1884" s="750"/>
      <c r="C1884" s="750"/>
      <c r="D1884" s="750"/>
      <c r="E1884" s="750"/>
      <c r="F1884" s="750"/>
      <c r="G1884" s="750"/>
      <c r="H1884" s="750"/>
      <c r="I1884" s="750"/>
      <c r="J1884" s="871"/>
      <c r="K1884" s="801"/>
      <c r="L1884" s="899"/>
      <c r="M1884" s="650"/>
      <c r="N1884" s="917"/>
      <c r="O1884" s="646"/>
      <c r="P1884" s="933"/>
      <c r="Q1884" s="646"/>
      <c r="R1884" s="942"/>
      <c r="S1884" s="650"/>
      <c r="T1884" s="934"/>
      <c r="U1884" s="650"/>
      <c r="V1884" s="930"/>
    </row>
    <row r="1885" spans="1:22" s="624" customFormat="1" ht="16.5" customHeight="1">
      <c r="A1885" s="750"/>
      <c r="B1885" s="750"/>
      <c r="C1885" s="750"/>
      <c r="D1885" s="750"/>
      <c r="E1885" s="750"/>
      <c r="F1885" s="750"/>
      <c r="G1885" s="750"/>
      <c r="H1885" s="750"/>
      <c r="I1885" s="750"/>
      <c r="J1885" s="871"/>
      <c r="K1885" s="801"/>
      <c r="L1885" s="899"/>
      <c r="M1885" s="650"/>
      <c r="N1885" s="917"/>
      <c r="O1885" s="646"/>
      <c r="P1885" s="933"/>
      <c r="Q1885" s="646"/>
      <c r="R1885" s="942"/>
      <c r="S1885" s="650"/>
      <c r="T1885" s="934"/>
      <c r="U1885" s="650"/>
      <c r="V1885" s="930"/>
    </row>
    <row r="1886" spans="1:22" s="624" customFormat="1" ht="16.5" customHeight="1">
      <c r="A1886" s="750"/>
      <c r="B1886" s="750"/>
      <c r="C1886" s="750"/>
      <c r="D1886" s="750"/>
      <c r="E1886" s="750"/>
      <c r="F1886" s="750"/>
      <c r="G1886" s="750"/>
      <c r="H1886" s="750"/>
      <c r="I1886" s="750"/>
      <c r="J1886" s="871"/>
      <c r="K1886" s="801"/>
      <c r="L1886" s="899"/>
      <c r="M1886" s="650"/>
      <c r="N1886" s="917"/>
      <c r="O1886" s="646"/>
      <c r="P1886" s="933"/>
      <c r="Q1886" s="646"/>
      <c r="R1886" s="942"/>
      <c r="S1886" s="650"/>
      <c r="T1886" s="934"/>
      <c r="U1886" s="650"/>
      <c r="V1886" s="930"/>
    </row>
    <row r="1887" spans="1:22" s="624" customFormat="1" ht="16.5" customHeight="1">
      <c r="A1887" s="750"/>
      <c r="B1887" s="750"/>
      <c r="C1887" s="750"/>
      <c r="D1887" s="750"/>
      <c r="E1887" s="750"/>
      <c r="F1887" s="750"/>
      <c r="G1887" s="750"/>
      <c r="H1887" s="750"/>
      <c r="I1887" s="750"/>
      <c r="J1887" s="871"/>
      <c r="K1887" s="801"/>
      <c r="L1887" s="899"/>
      <c r="M1887" s="650"/>
      <c r="N1887" s="917"/>
      <c r="O1887" s="646"/>
      <c r="P1887" s="933"/>
      <c r="Q1887" s="646"/>
      <c r="R1887" s="942"/>
      <c r="S1887" s="650"/>
      <c r="T1887" s="934"/>
      <c r="U1887" s="650"/>
      <c r="V1887" s="930"/>
    </row>
    <row r="1888" spans="1:22" s="624" customFormat="1" ht="16.5" customHeight="1">
      <c r="A1888" s="750"/>
      <c r="B1888" s="750"/>
      <c r="C1888" s="750"/>
      <c r="D1888" s="750"/>
      <c r="E1888" s="750"/>
      <c r="F1888" s="750"/>
      <c r="G1888" s="750"/>
      <c r="H1888" s="750"/>
      <c r="I1888" s="750"/>
      <c r="J1888" s="871"/>
      <c r="K1888" s="801"/>
      <c r="L1888" s="899"/>
      <c r="M1888" s="650"/>
      <c r="N1888" s="917"/>
      <c r="O1888" s="646"/>
      <c r="P1888" s="933"/>
      <c r="Q1888" s="646"/>
      <c r="R1888" s="942"/>
      <c r="S1888" s="650"/>
      <c r="T1888" s="934"/>
      <c r="U1888" s="650"/>
      <c r="V1888" s="930"/>
    </row>
    <row r="1889" spans="1:22" s="624" customFormat="1" ht="16.5" customHeight="1">
      <c r="A1889" s="750"/>
      <c r="B1889" s="750"/>
      <c r="C1889" s="750"/>
      <c r="D1889" s="750"/>
      <c r="E1889" s="750"/>
      <c r="F1889" s="750"/>
      <c r="G1889" s="750"/>
      <c r="H1889" s="750"/>
      <c r="I1889" s="750"/>
      <c r="J1889" s="871"/>
      <c r="K1889" s="801"/>
      <c r="L1889" s="899"/>
      <c r="M1889" s="650"/>
      <c r="N1889" s="917"/>
      <c r="O1889" s="646"/>
      <c r="P1889" s="933"/>
      <c r="Q1889" s="646"/>
      <c r="R1889" s="942"/>
      <c r="S1889" s="650"/>
      <c r="T1889" s="934"/>
      <c r="U1889" s="650"/>
      <c r="V1889" s="930"/>
    </row>
    <row r="1890" spans="1:22" s="624" customFormat="1" ht="16.5" customHeight="1">
      <c r="A1890" s="750"/>
      <c r="B1890" s="750"/>
      <c r="C1890" s="750"/>
      <c r="D1890" s="750"/>
      <c r="E1890" s="750"/>
      <c r="F1890" s="750"/>
      <c r="G1890" s="750"/>
      <c r="H1890" s="750"/>
      <c r="I1890" s="750"/>
      <c r="J1890" s="871"/>
      <c r="K1890" s="801"/>
      <c r="L1890" s="899"/>
      <c r="M1890" s="650"/>
      <c r="N1890" s="917"/>
      <c r="O1890" s="646"/>
      <c r="P1890" s="933"/>
      <c r="Q1890" s="646"/>
      <c r="R1890" s="942"/>
      <c r="S1890" s="650"/>
      <c r="T1890" s="934"/>
      <c r="U1890" s="650"/>
      <c r="V1890" s="930"/>
    </row>
    <row r="1891" spans="1:22" s="624" customFormat="1" ht="16.5" customHeight="1">
      <c r="A1891" s="750"/>
      <c r="B1891" s="750"/>
      <c r="C1891" s="750"/>
      <c r="D1891" s="750"/>
      <c r="E1891" s="750"/>
      <c r="F1891" s="750"/>
      <c r="G1891" s="750"/>
      <c r="H1891" s="750"/>
      <c r="I1891" s="750"/>
      <c r="J1891" s="871"/>
      <c r="K1891" s="801"/>
      <c r="L1891" s="899"/>
      <c r="M1891" s="650"/>
      <c r="N1891" s="917"/>
      <c r="O1891" s="646"/>
      <c r="P1891" s="933"/>
      <c r="Q1891" s="646"/>
      <c r="R1891" s="942"/>
      <c r="S1891" s="650"/>
      <c r="T1891" s="934"/>
      <c r="U1891" s="650"/>
      <c r="V1891" s="930"/>
    </row>
    <row r="1892" spans="1:22" s="624" customFormat="1" ht="16.5" customHeight="1">
      <c r="A1892" s="750"/>
      <c r="B1892" s="750"/>
      <c r="C1892" s="750"/>
      <c r="D1892" s="750"/>
      <c r="E1892" s="750"/>
      <c r="F1892" s="750"/>
      <c r="G1892" s="750"/>
      <c r="H1892" s="750"/>
      <c r="I1892" s="750"/>
      <c r="J1892" s="871"/>
      <c r="K1892" s="801"/>
      <c r="L1892" s="899"/>
      <c r="M1892" s="650"/>
      <c r="N1892" s="917"/>
      <c r="O1892" s="646"/>
      <c r="P1892" s="933"/>
      <c r="Q1892" s="646"/>
      <c r="R1892" s="942"/>
      <c r="S1892" s="650"/>
      <c r="T1892" s="934"/>
      <c r="U1892" s="650"/>
      <c r="V1892" s="930"/>
    </row>
    <row r="1893" spans="1:22" s="624" customFormat="1" ht="16.5" customHeight="1">
      <c r="A1893" s="750"/>
      <c r="B1893" s="750"/>
      <c r="C1893" s="750"/>
      <c r="D1893" s="750"/>
      <c r="E1893" s="750"/>
      <c r="F1893" s="750"/>
      <c r="G1893" s="750"/>
      <c r="H1893" s="750"/>
      <c r="I1893" s="750"/>
      <c r="J1893" s="871"/>
      <c r="K1893" s="801"/>
      <c r="L1893" s="899"/>
      <c r="M1893" s="650"/>
      <c r="N1893" s="917"/>
      <c r="O1893" s="646"/>
      <c r="P1893" s="933"/>
      <c r="Q1893" s="646"/>
      <c r="R1893" s="942"/>
      <c r="S1893" s="650"/>
      <c r="T1893" s="934"/>
      <c r="U1893" s="650"/>
      <c r="V1893" s="930"/>
    </row>
    <row r="1894" spans="1:22" s="624" customFormat="1" ht="16.5" customHeight="1">
      <c r="A1894" s="750"/>
      <c r="B1894" s="750"/>
      <c r="C1894" s="750"/>
      <c r="D1894" s="750"/>
      <c r="E1894" s="750"/>
      <c r="F1894" s="750"/>
      <c r="G1894" s="750"/>
      <c r="H1894" s="750"/>
      <c r="I1894" s="750"/>
      <c r="J1894" s="871"/>
      <c r="K1894" s="801"/>
      <c r="L1894" s="899"/>
      <c r="M1894" s="650"/>
      <c r="N1894" s="917"/>
      <c r="O1894" s="646"/>
      <c r="P1894" s="933"/>
      <c r="Q1894" s="646"/>
      <c r="R1894" s="942"/>
      <c r="S1894" s="650"/>
      <c r="T1894" s="934"/>
      <c r="U1894" s="650"/>
      <c r="V1894" s="930"/>
    </row>
    <row r="1895" spans="1:22" s="624" customFormat="1" ht="16.5" customHeight="1">
      <c r="A1895" s="750"/>
      <c r="B1895" s="750"/>
      <c r="C1895" s="750"/>
      <c r="D1895" s="750"/>
      <c r="E1895" s="750"/>
      <c r="F1895" s="750"/>
      <c r="G1895" s="750"/>
      <c r="H1895" s="750"/>
      <c r="I1895" s="750"/>
      <c r="J1895" s="871"/>
      <c r="K1895" s="801"/>
      <c r="L1895" s="899"/>
      <c r="M1895" s="650"/>
      <c r="N1895" s="917"/>
      <c r="O1895" s="646"/>
      <c r="P1895" s="933"/>
      <c r="Q1895" s="646"/>
      <c r="R1895" s="942"/>
      <c r="S1895" s="650"/>
      <c r="T1895" s="934"/>
      <c r="U1895" s="650"/>
      <c r="V1895" s="930"/>
    </row>
    <row r="1896" spans="1:22" s="624" customFormat="1" ht="16.5" customHeight="1">
      <c r="A1896" s="750"/>
      <c r="B1896" s="750"/>
      <c r="C1896" s="750"/>
      <c r="D1896" s="750"/>
      <c r="E1896" s="750"/>
      <c r="F1896" s="750"/>
      <c r="G1896" s="750"/>
      <c r="H1896" s="750"/>
      <c r="I1896" s="750"/>
      <c r="J1896" s="871"/>
      <c r="K1896" s="801"/>
      <c r="L1896" s="899"/>
      <c r="M1896" s="650"/>
      <c r="N1896" s="917"/>
      <c r="O1896" s="646"/>
      <c r="P1896" s="933"/>
      <c r="Q1896" s="646"/>
      <c r="R1896" s="942"/>
      <c r="S1896" s="650"/>
      <c r="T1896" s="934"/>
      <c r="U1896" s="650"/>
      <c r="V1896" s="930"/>
    </row>
    <row r="1897" spans="1:22" s="624" customFormat="1" ht="16.5" customHeight="1">
      <c r="A1897" s="750"/>
      <c r="B1897" s="750"/>
      <c r="C1897" s="750"/>
      <c r="D1897" s="750"/>
      <c r="E1897" s="750"/>
      <c r="F1897" s="750"/>
      <c r="G1897" s="750"/>
      <c r="H1897" s="750"/>
      <c r="I1897" s="750"/>
      <c r="J1897" s="871"/>
      <c r="K1897" s="801"/>
      <c r="L1897" s="899"/>
      <c r="M1897" s="650"/>
      <c r="N1897" s="917"/>
      <c r="O1897" s="646"/>
      <c r="P1897" s="933"/>
      <c r="Q1897" s="646"/>
      <c r="R1897" s="942"/>
      <c r="S1897" s="650"/>
      <c r="T1897" s="934"/>
      <c r="U1897" s="650"/>
      <c r="V1897" s="930"/>
    </row>
    <row r="1898" spans="1:22" s="624" customFormat="1" ht="16.5" customHeight="1">
      <c r="A1898" s="750"/>
      <c r="B1898" s="750"/>
      <c r="C1898" s="750"/>
      <c r="D1898" s="750"/>
      <c r="E1898" s="750"/>
      <c r="F1898" s="750"/>
      <c r="G1898" s="750"/>
      <c r="H1898" s="750"/>
      <c r="I1898" s="750"/>
      <c r="J1898" s="871"/>
      <c r="K1898" s="801"/>
      <c r="L1898" s="899"/>
      <c r="M1898" s="650"/>
      <c r="N1898" s="917"/>
      <c r="O1898" s="646"/>
      <c r="P1898" s="933"/>
      <c r="Q1898" s="646"/>
      <c r="R1898" s="942"/>
      <c r="S1898" s="650"/>
      <c r="T1898" s="934"/>
      <c r="U1898" s="650"/>
      <c r="V1898" s="930"/>
    </row>
    <row r="1899" spans="1:22" s="624" customFormat="1" ht="16.5" customHeight="1">
      <c r="A1899" s="750"/>
      <c r="B1899" s="750"/>
      <c r="C1899" s="750"/>
      <c r="D1899" s="750"/>
      <c r="E1899" s="750"/>
      <c r="F1899" s="750"/>
      <c r="G1899" s="750"/>
      <c r="H1899" s="750"/>
      <c r="I1899" s="750"/>
      <c r="J1899" s="871"/>
      <c r="K1899" s="801"/>
      <c r="L1899" s="899"/>
      <c r="M1899" s="650"/>
      <c r="N1899" s="917"/>
      <c r="O1899" s="646"/>
      <c r="P1899" s="933"/>
      <c r="Q1899" s="646"/>
      <c r="R1899" s="942"/>
      <c r="S1899" s="650"/>
      <c r="T1899" s="934"/>
      <c r="U1899" s="650"/>
      <c r="V1899" s="930"/>
    </row>
    <row r="1900" spans="1:22" s="624" customFormat="1" ht="16.5" customHeight="1">
      <c r="A1900" s="750"/>
      <c r="B1900" s="750"/>
      <c r="C1900" s="750"/>
      <c r="D1900" s="750"/>
      <c r="E1900" s="750"/>
      <c r="F1900" s="750"/>
      <c r="G1900" s="750"/>
      <c r="H1900" s="750"/>
      <c r="I1900" s="750"/>
      <c r="J1900" s="871"/>
      <c r="K1900" s="801"/>
      <c r="L1900" s="899"/>
      <c r="M1900" s="650"/>
      <c r="N1900" s="917"/>
      <c r="O1900" s="646"/>
      <c r="P1900" s="933"/>
      <c r="Q1900" s="646"/>
      <c r="R1900" s="942"/>
      <c r="S1900" s="650"/>
      <c r="T1900" s="934"/>
      <c r="U1900" s="650"/>
      <c r="V1900" s="930"/>
    </row>
    <row r="1901" spans="1:22" s="624" customFormat="1" ht="16.5" customHeight="1">
      <c r="A1901" s="750"/>
      <c r="B1901" s="750"/>
      <c r="C1901" s="750"/>
      <c r="D1901" s="750"/>
      <c r="E1901" s="750"/>
      <c r="F1901" s="750"/>
      <c r="G1901" s="750"/>
      <c r="H1901" s="750"/>
      <c r="I1901" s="750"/>
      <c r="J1901" s="871"/>
      <c r="K1901" s="801"/>
      <c r="L1901" s="899"/>
      <c r="M1901" s="650"/>
      <c r="N1901" s="917"/>
      <c r="O1901" s="646"/>
      <c r="P1901" s="933"/>
      <c r="Q1901" s="646"/>
      <c r="R1901" s="942"/>
      <c r="S1901" s="650"/>
      <c r="T1901" s="934"/>
      <c r="U1901" s="650"/>
      <c r="V1901" s="930"/>
    </row>
    <row r="1902" spans="1:22" s="624" customFormat="1" ht="16.5" customHeight="1">
      <c r="A1902" s="750"/>
      <c r="B1902" s="750"/>
      <c r="C1902" s="750"/>
      <c r="D1902" s="750"/>
      <c r="E1902" s="750"/>
      <c r="F1902" s="750"/>
      <c r="G1902" s="750"/>
      <c r="H1902" s="750"/>
      <c r="I1902" s="750"/>
      <c r="J1902" s="871"/>
      <c r="K1902" s="801"/>
      <c r="L1902" s="899"/>
      <c r="M1902" s="650"/>
      <c r="N1902" s="917"/>
      <c r="O1902" s="646"/>
      <c r="P1902" s="933"/>
      <c r="Q1902" s="646"/>
      <c r="R1902" s="942"/>
      <c r="S1902" s="650"/>
      <c r="T1902" s="934"/>
      <c r="U1902" s="650"/>
      <c r="V1902" s="930"/>
    </row>
    <row r="1903" spans="1:22" s="624" customFormat="1" ht="16.5" customHeight="1">
      <c r="A1903" s="750"/>
      <c r="B1903" s="750"/>
      <c r="C1903" s="750"/>
      <c r="D1903" s="750"/>
      <c r="E1903" s="750"/>
      <c r="F1903" s="750"/>
      <c r="G1903" s="750"/>
      <c r="H1903" s="750"/>
      <c r="I1903" s="750"/>
      <c r="J1903" s="871"/>
      <c r="K1903" s="801"/>
      <c r="L1903" s="899"/>
      <c r="M1903" s="650"/>
      <c r="N1903" s="917"/>
      <c r="O1903" s="646"/>
      <c r="P1903" s="933"/>
      <c r="Q1903" s="646"/>
      <c r="R1903" s="942"/>
      <c r="S1903" s="650"/>
      <c r="T1903" s="934"/>
      <c r="U1903" s="650"/>
      <c r="V1903" s="930"/>
    </row>
    <row r="1904" spans="1:22" s="624" customFormat="1" ht="16.5" customHeight="1">
      <c r="A1904" s="750"/>
      <c r="B1904" s="750"/>
      <c r="C1904" s="750"/>
      <c r="D1904" s="750"/>
      <c r="E1904" s="750"/>
      <c r="F1904" s="750"/>
      <c r="G1904" s="750"/>
      <c r="H1904" s="750"/>
      <c r="I1904" s="750"/>
      <c r="J1904" s="871"/>
      <c r="K1904" s="801"/>
      <c r="L1904" s="899"/>
      <c r="M1904" s="650"/>
      <c r="N1904" s="917"/>
      <c r="O1904" s="646"/>
      <c r="P1904" s="933"/>
      <c r="Q1904" s="646"/>
      <c r="R1904" s="942"/>
      <c r="S1904" s="650"/>
      <c r="T1904" s="934"/>
      <c r="U1904" s="650"/>
      <c r="V1904" s="930"/>
    </row>
    <row r="1905" spans="1:22" s="624" customFormat="1" ht="16.5" customHeight="1">
      <c r="A1905" s="750"/>
      <c r="B1905" s="750"/>
      <c r="C1905" s="750"/>
      <c r="D1905" s="750"/>
      <c r="E1905" s="750"/>
      <c r="F1905" s="750"/>
      <c r="G1905" s="750"/>
      <c r="H1905" s="750"/>
      <c r="I1905" s="750"/>
      <c r="J1905" s="871"/>
      <c r="K1905" s="801"/>
      <c r="L1905" s="899"/>
      <c r="M1905" s="650"/>
      <c r="N1905" s="917"/>
      <c r="O1905" s="646"/>
      <c r="P1905" s="933"/>
      <c r="Q1905" s="646"/>
      <c r="R1905" s="942"/>
      <c r="S1905" s="650"/>
      <c r="T1905" s="934"/>
      <c r="U1905" s="650"/>
      <c r="V1905" s="930"/>
    </row>
    <row r="1906" spans="1:22" s="624" customFormat="1" ht="16.5" customHeight="1">
      <c r="A1906" s="750"/>
      <c r="B1906" s="750"/>
      <c r="C1906" s="750"/>
      <c r="D1906" s="750"/>
      <c r="E1906" s="750"/>
      <c r="F1906" s="750"/>
      <c r="G1906" s="750"/>
      <c r="H1906" s="750"/>
      <c r="I1906" s="750"/>
      <c r="J1906" s="871"/>
      <c r="K1906" s="801"/>
      <c r="L1906" s="899"/>
      <c r="M1906" s="650"/>
      <c r="N1906" s="917"/>
      <c r="O1906" s="646"/>
      <c r="P1906" s="933"/>
      <c r="Q1906" s="646"/>
      <c r="R1906" s="942"/>
      <c r="S1906" s="650"/>
      <c r="T1906" s="934"/>
      <c r="U1906" s="650"/>
      <c r="V1906" s="930"/>
    </row>
    <row r="1907" spans="1:22" s="624" customFormat="1" ht="16.5" customHeight="1">
      <c r="A1907" s="750"/>
      <c r="B1907" s="750"/>
      <c r="C1907" s="750"/>
      <c r="D1907" s="750"/>
      <c r="E1907" s="750"/>
      <c r="F1907" s="750"/>
      <c r="G1907" s="750"/>
      <c r="H1907" s="750"/>
      <c r="I1907" s="750"/>
      <c r="J1907" s="871"/>
      <c r="K1907" s="801"/>
      <c r="L1907" s="899"/>
      <c r="M1907" s="650"/>
      <c r="N1907" s="917"/>
      <c r="O1907" s="646"/>
      <c r="P1907" s="933"/>
      <c r="Q1907" s="646"/>
      <c r="R1907" s="942"/>
      <c r="S1907" s="650"/>
      <c r="T1907" s="934"/>
      <c r="U1907" s="650"/>
      <c r="V1907" s="930"/>
    </row>
    <row r="1908" spans="1:22" s="624" customFormat="1" ht="16.5" customHeight="1">
      <c r="A1908" s="750"/>
      <c r="B1908" s="750"/>
      <c r="C1908" s="750"/>
      <c r="D1908" s="750"/>
      <c r="E1908" s="750"/>
      <c r="F1908" s="750"/>
      <c r="G1908" s="750"/>
      <c r="H1908" s="750"/>
      <c r="I1908" s="750"/>
      <c r="J1908" s="871"/>
      <c r="K1908" s="801"/>
      <c r="L1908" s="899"/>
      <c r="M1908" s="650"/>
      <c r="N1908" s="917"/>
      <c r="O1908" s="646"/>
      <c r="P1908" s="933"/>
      <c r="Q1908" s="646"/>
      <c r="R1908" s="942"/>
      <c r="S1908" s="650"/>
      <c r="T1908" s="934"/>
      <c r="U1908" s="650"/>
      <c r="V1908" s="930"/>
    </row>
    <row r="1909" spans="1:22" s="624" customFormat="1" ht="16.5" customHeight="1">
      <c r="A1909" s="750"/>
      <c r="B1909" s="750"/>
      <c r="C1909" s="750"/>
      <c r="D1909" s="750"/>
      <c r="E1909" s="750"/>
      <c r="F1909" s="750"/>
      <c r="G1909" s="750"/>
      <c r="H1909" s="750"/>
      <c r="I1909" s="750"/>
      <c r="J1909" s="871"/>
      <c r="K1909" s="801"/>
      <c r="L1909" s="899"/>
      <c r="M1909" s="650"/>
      <c r="N1909" s="917"/>
      <c r="O1909" s="646"/>
      <c r="P1909" s="933"/>
      <c r="Q1909" s="646"/>
      <c r="R1909" s="942"/>
      <c r="S1909" s="650"/>
      <c r="T1909" s="934"/>
      <c r="U1909" s="650"/>
      <c r="V1909" s="930"/>
    </row>
    <row r="1910" spans="1:22" s="624" customFormat="1" ht="16.5" customHeight="1">
      <c r="A1910" s="750"/>
      <c r="B1910" s="750"/>
      <c r="C1910" s="750"/>
      <c r="D1910" s="750"/>
      <c r="E1910" s="750"/>
      <c r="F1910" s="750"/>
      <c r="G1910" s="750"/>
      <c r="H1910" s="750"/>
      <c r="I1910" s="750"/>
      <c r="J1910" s="871"/>
      <c r="K1910" s="801"/>
      <c r="L1910" s="899"/>
      <c r="M1910" s="650"/>
      <c r="N1910" s="917"/>
      <c r="O1910" s="646"/>
      <c r="P1910" s="933"/>
      <c r="Q1910" s="646"/>
      <c r="R1910" s="942"/>
      <c r="S1910" s="650"/>
      <c r="T1910" s="934"/>
      <c r="U1910" s="650"/>
      <c r="V1910" s="930"/>
    </row>
    <row r="1911" spans="1:22" s="624" customFormat="1" ht="16.5" customHeight="1">
      <c r="A1911" s="750"/>
      <c r="B1911" s="750"/>
      <c r="C1911" s="750"/>
      <c r="D1911" s="750"/>
      <c r="E1911" s="750"/>
      <c r="F1911" s="750"/>
      <c r="G1911" s="750"/>
      <c r="H1911" s="750"/>
      <c r="I1911" s="750"/>
      <c r="J1911" s="871"/>
      <c r="K1911" s="801"/>
      <c r="L1911" s="899"/>
      <c r="M1911" s="650"/>
      <c r="N1911" s="917"/>
      <c r="O1911" s="646"/>
      <c r="P1911" s="933"/>
      <c r="Q1911" s="646"/>
      <c r="R1911" s="942"/>
      <c r="S1911" s="650"/>
      <c r="T1911" s="934"/>
      <c r="U1911" s="650"/>
      <c r="V1911" s="930"/>
    </row>
    <row r="1912" spans="1:22" s="624" customFormat="1" ht="16.5" customHeight="1">
      <c r="A1912" s="750"/>
      <c r="B1912" s="750"/>
      <c r="C1912" s="750"/>
      <c r="D1912" s="750"/>
      <c r="E1912" s="750"/>
      <c r="F1912" s="750"/>
      <c r="G1912" s="750"/>
      <c r="H1912" s="750"/>
      <c r="I1912" s="750"/>
      <c r="J1912" s="871"/>
      <c r="K1912" s="801"/>
      <c r="L1912" s="899"/>
      <c r="M1912" s="650"/>
      <c r="N1912" s="917"/>
      <c r="O1912" s="646"/>
      <c r="P1912" s="933"/>
      <c r="Q1912" s="646"/>
      <c r="R1912" s="942"/>
      <c r="S1912" s="650"/>
      <c r="T1912" s="934"/>
      <c r="U1912" s="650"/>
      <c r="V1912" s="930"/>
    </row>
    <row r="1913" spans="1:22" s="624" customFormat="1" ht="16.5" customHeight="1">
      <c r="A1913" s="750"/>
      <c r="B1913" s="750"/>
      <c r="C1913" s="750"/>
      <c r="D1913" s="750"/>
      <c r="E1913" s="750"/>
      <c r="F1913" s="750"/>
      <c r="G1913" s="750"/>
      <c r="H1913" s="750"/>
      <c r="I1913" s="750"/>
      <c r="J1913" s="871"/>
      <c r="K1913" s="801"/>
      <c r="L1913" s="899"/>
      <c r="M1913" s="650"/>
      <c r="N1913" s="917"/>
      <c r="O1913" s="646"/>
      <c r="P1913" s="933"/>
      <c r="Q1913" s="646"/>
      <c r="R1913" s="942"/>
      <c r="S1913" s="650"/>
      <c r="T1913" s="934"/>
      <c r="U1913" s="650"/>
      <c r="V1913" s="930"/>
    </row>
    <row r="1914" spans="1:22" s="624" customFormat="1" ht="16.5" customHeight="1">
      <c r="A1914" s="750"/>
      <c r="B1914" s="750"/>
      <c r="C1914" s="750"/>
      <c r="D1914" s="750"/>
      <c r="E1914" s="750"/>
      <c r="F1914" s="750"/>
      <c r="G1914" s="750"/>
      <c r="H1914" s="750"/>
      <c r="I1914" s="750"/>
      <c r="J1914" s="871"/>
      <c r="K1914" s="801"/>
      <c r="L1914" s="899"/>
      <c r="M1914" s="650"/>
      <c r="N1914" s="917"/>
      <c r="O1914" s="646"/>
      <c r="P1914" s="933"/>
      <c r="Q1914" s="646"/>
      <c r="R1914" s="942"/>
      <c r="S1914" s="650"/>
      <c r="T1914" s="934"/>
      <c r="U1914" s="650"/>
      <c r="V1914" s="930"/>
    </row>
    <row r="1915" spans="1:22" s="624" customFormat="1" ht="16.5" customHeight="1">
      <c r="A1915" s="750"/>
      <c r="B1915" s="750"/>
      <c r="C1915" s="750"/>
      <c r="D1915" s="750"/>
      <c r="E1915" s="750"/>
      <c r="F1915" s="750"/>
      <c r="G1915" s="750"/>
      <c r="H1915" s="750"/>
      <c r="I1915" s="750"/>
      <c r="J1915" s="871"/>
      <c r="K1915" s="801"/>
      <c r="L1915" s="899"/>
      <c r="M1915" s="650"/>
      <c r="N1915" s="917"/>
      <c r="O1915" s="646"/>
      <c r="P1915" s="933"/>
      <c r="Q1915" s="646"/>
      <c r="R1915" s="942"/>
      <c r="S1915" s="650"/>
      <c r="T1915" s="934"/>
      <c r="U1915" s="650"/>
      <c r="V1915" s="930"/>
    </row>
    <row r="1916" spans="1:22" s="624" customFormat="1" ht="16.5" customHeight="1">
      <c r="A1916" s="750"/>
      <c r="B1916" s="750"/>
      <c r="C1916" s="750"/>
      <c r="D1916" s="750"/>
      <c r="E1916" s="750"/>
      <c r="F1916" s="750"/>
      <c r="G1916" s="750"/>
      <c r="H1916" s="750"/>
      <c r="I1916" s="750"/>
      <c r="J1916" s="871"/>
      <c r="K1916" s="801"/>
      <c r="L1916" s="899"/>
      <c r="M1916" s="650"/>
      <c r="N1916" s="917"/>
      <c r="O1916" s="646"/>
      <c r="P1916" s="933"/>
      <c r="Q1916" s="646"/>
      <c r="R1916" s="942"/>
      <c r="S1916" s="650"/>
      <c r="T1916" s="934"/>
      <c r="U1916" s="650"/>
      <c r="V1916" s="930"/>
    </row>
    <row r="1917" spans="1:22" s="624" customFormat="1" ht="16.5" customHeight="1">
      <c r="A1917" s="750"/>
      <c r="B1917" s="750"/>
      <c r="C1917" s="750"/>
      <c r="D1917" s="750"/>
      <c r="E1917" s="750"/>
      <c r="F1917" s="750"/>
      <c r="G1917" s="750"/>
      <c r="H1917" s="750"/>
      <c r="I1917" s="750"/>
      <c r="J1917" s="871"/>
      <c r="K1917" s="801"/>
      <c r="L1917" s="899"/>
      <c r="M1917" s="650"/>
      <c r="N1917" s="917"/>
      <c r="O1917" s="646"/>
      <c r="P1917" s="933"/>
      <c r="Q1917" s="646"/>
      <c r="R1917" s="942"/>
      <c r="S1917" s="650"/>
      <c r="T1917" s="934"/>
      <c r="U1917" s="650"/>
      <c r="V1917" s="930"/>
    </row>
    <row r="1918" spans="1:22" s="624" customFormat="1" ht="16.5" customHeight="1">
      <c r="A1918" s="750"/>
      <c r="B1918" s="750"/>
      <c r="C1918" s="750"/>
      <c r="D1918" s="750"/>
      <c r="E1918" s="750"/>
      <c r="F1918" s="750"/>
      <c r="G1918" s="750"/>
      <c r="H1918" s="750"/>
      <c r="I1918" s="750"/>
      <c r="J1918" s="871"/>
      <c r="K1918" s="801"/>
      <c r="L1918" s="899"/>
      <c r="M1918" s="650"/>
      <c r="N1918" s="917"/>
      <c r="O1918" s="646"/>
      <c r="P1918" s="933"/>
      <c r="Q1918" s="646"/>
      <c r="R1918" s="942"/>
      <c r="S1918" s="650"/>
      <c r="T1918" s="934"/>
      <c r="U1918" s="650"/>
      <c r="V1918" s="930"/>
    </row>
    <row r="1919" spans="1:22" s="624" customFormat="1" ht="16.5" customHeight="1">
      <c r="A1919" s="750"/>
      <c r="B1919" s="750"/>
      <c r="C1919" s="750"/>
      <c r="D1919" s="750"/>
      <c r="E1919" s="750"/>
      <c r="F1919" s="750"/>
      <c r="G1919" s="750"/>
      <c r="H1919" s="750"/>
      <c r="I1919" s="750"/>
      <c r="J1919" s="871"/>
      <c r="K1919" s="801"/>
      <c r="L1919" s="899"/>
      <c r="M1919" s="650"/>
      <c r="N1919" s="917"/>
      <c r="O1919" s="646"/>
      <c r="P1919" s="933"/>
      <c r="Q1919" s="646"/>
      <c r="R1919" s="942"/>
      <c r="S1919" s="650"/>
      <c r="T1919" s="934"/>
      <c r="U1919" s="650"/>
      <c r="V1919" s="930"/>
    </row>
    <row r="1920" spans="1:22" s="624" customFormat="1" ht="16.5" customHeight="1">
      <c r="A1920" s="750"/>
      <c r="B1920" s="750"/>
      <c r="C1920" s="750"/>
      <c r="D1920" s="750"/>
      <c r="E1920" s="750"/>
      <c r="F1920" s="750"/>
      <c r="G1920" s="750"/>
      <c r="H1920" s="750"/>
      <c r="I1920" s="750"/>
      <c r="J1920" s="871"/>
      <c r="K1920" s="801"/>
      <c r="L1920" s="899"/>
      <c r="M1920" s="650"/>
      <c r="N1920" s="917"/>
      <c r="O1920" s="646"/>
      <c r="P1920" s="933"/>
      <c r="Q1920" s="646"/>
      <c r="R1920" s="942"/>
      <c r="S1920" s="650"/>
      <c r="T1920" s="934"/>
      <c r="U1920" s="650"/>
      <c r="V1920" s="930"/>
    </row>
    <row r="1921" spans="1:22" s="624" customFormat="1" ht="16.5" customHeight="1">
      <c r="A1921" s="750"/>
      <c r="B1921" s="750"/>
      <c r="C1921" s="750"/>
      <c r="D1921" s="750"/>
      <c r="E1921" s="750"/>
      <c r="F1921" s="750"/>
      <c r="G1921" s="750"/>
      <c r="H1921" s="750"/>
      <c r="I1921" s="750"/>
      <c r="J1921" s="871"/>
      <c r="K1921" s="801"/>
      <c r="L1921" s="899"/>
      <c r="M1921" s="650"/>
      <c r="N1921" s="917"/>
      <c r="O1921" s="646"/>
      <c r="P1921" s="933"/>
      <c r="Q1921" s="646"/>
      <c r="R1921" s="942"/>
      <c r="S1921" s="650"/>
      <c r="T1921" s="934"/>
      <c r="U1921" s="650"/>
      <c r="V1921" s="930"/>
    </row>
    <row r="1922" spans="1:22" s="624" customFormat="1" ht="16.5" customHeight="1">
      <c r="A1922" s="750"/>
      <c r="B1922" s="750"/>
      <c r="C1922" s="750"/>
      <c r="D1922" s="750"/>
      <c r="E1922" s="750"/>
      <c r="F1922" s="750"/>
      <c r="G1922" s="750"/>
      <c r="H1922" s="750"/>
      <c r="I1922" s="750"/>
      <c r="J1922" s="871"/>
      <c r="K1922" s="801"/>
      <c r="L1922" s="899"/>
      <c r="M1922" s="650"/>
      <c r="N1922" s="917"/>
      <c r="O1922" s="646"/>
      <c r="P1922" s="933"/>
      <c r="Q1922" s="646"/>
      <c r="R1922" s="942"/>
      <c r="S1922" s="650"/>
      <c r="T1922" s="934"/>
      <c r="U1922" s="650"/>
      <c r="V1922" s="930"/>
    </row>
    <row r="1923" spans="1:22" s="624" customFormat="1" ht="16.5" customHeight="1">
      <c r="A1923" s="750"/>
      <c r="B1923" s="750"/>
      <c r="C1923" s="750"/>
      <c r="D1923" s="750"/>
      <c r="E1923" s="750"/>
      <c r="F1923" s="750"/>
      <c r="G1923" s="750"/>
      <c r="H1923" s="750"/>
      <c r="I1923" s="750"/>
      <c r="J1923" s="871"/>
      <c r="K1923" s="801"/>
      <c r="L1923" s="899"/>
      <c r="M1923" s="650"/>
      <c r="N1923" s="917"/>
      <c r="O1923" s="646"/>
      <c r="P1923" s="933"/>
      <c r="Q1923" s="646"/>
      <c r="R1923" s="942"/>
      <c r="S1923" s="650"/>
      <c r="T1923" s="934"/>
      <c r="U1923" s="650"/>
      <c r="V1923" s="930"/>
    </row>
    <row r="1924" spans="1:22" s="624" customFormat="1" ht="16.5" customHeight="1">
      <c r="A1924" s="750"/>
      <c r="B1924" s="750"/>
      <c r="C1924" s="750"/>
      <c r="D1924" s="750"/>
      <c r="E1924" s="750"/>
      <c r="F1924" s="750"/>
      <c r="G1924" s="750"/>
      <c r="H1924" s="750"/>
      <c r="I1924" s="750"/>
      <c r="J1924" s="871"/>
      <c r="K1924" s="801"/>
      <c r="L1924" s="899"/>
      <c r="M1924" s="650"/>
      <c r="N1924" s="917"/>
      <c r="O1924" s="646"/>
      <c r="P1924" s="933"/>
      <c r="Q1924" s="646"/>
      <c r="R1924" s="942"/>
      <c r="S1924" s="650"/>
      <c r="T1924" s="934"/>
      <c r="U1924" s="650"/>
      <c r="V1924" s="930"/>
    </row>
    <row r="1925" spans="1:22" s="624" customFormat="1" ht="16.5" customHeight="1">
      <c r="A1925" s="750"/>
      <c r="B1925" s="750"/>
      <c r="C1925" s="750"/>
      <c r="D1925" s="750"/>
      <c r="E1925" s="750"/>
      <c r="F1925" s="750"/>
      <c r="G1925" s="750"/>
      <c r="H1925" s="750"/>
      <c r="I1925" s="750"/>
      <c r="J1925" s="871"/>
      <c r="K1925" s="801"/>
      <c r="L1925" s="899"/>
      <c r="M1925" s="650"/>
      <c r="N1925" s="917"/>
      <c r="O1925" s="646"/>
      <c r="P1925" s="933"/>
      <c r="Q1925" s="646"/>
      <c r="R1925" s="942"/>
      <c r="S1925" s="650"/>
      <c r="T1925" s="934"/>
      <c r="U1925" s="650"/>
      <c r="V1925" s="930"/>
    </row>
    <row r="1926" spans="1:22" s="624" customFormat="1" ht="16.5" customHeight="1">
      <c r="A1926" s="750"/>
      <c r="B1926" s="750"/>
      <c r="C1926" s="750"/>
      <c r="D1926" s="750"/>
      <c r="E1926" s="750"/>
      <c r="F1926" s="750"/>
      <c r="G1926" s="750"/>
      <c r="H1926" s="750"/>
      <c r="I1926" s="750"/>
      <c r="J1926" s="871"/>
      <c r="K1926" s="801"/>
      <c r="L1926" s="899"/>
      <c r="M1926" s="650"/>
      <c r="N1926" s="917"/>
      <c r="O1926" s="646"/>
      <c r="P1926" s="933"/>
      <c r="Q1926" s="646"/>
      <c r="R1926" s="942"/>
      <c r="S1926" s="650"/>
      <c r="T1926" s="934"/>
      <c r="U1926" s="650"/>
      <c r="V1926" s="930"/>
    </row>
    <row r="1927" spans="1:22" s="624" customFormat="1" ht="16.5" customHeight="1">
      <c r="A1927" s="750"/>
      <c r="B1927" s="750"/>
      <c r="C1927" s="750"/>
      <c r="D1927" s="750"/>
      <c r="E1927" s="750"/>
      <c r="F1927" s="750"/>
      <c r="G1927" s="750"/>
      <c r="H1927" s="750"/>
      <c r="I1927" s="750"/>
      <c r="J1927" s="871"/>
      <c r="K1927" s="801"/>
      <c r="L1927" s="899"/>
      <c r="M1927" s="650"/>
      <c r="N1927" s="917"/>
      <c r="O1927" s="646"/>
      <c r="P1927" s="933"/>
      <c r="Q1927" s="646"/>
      <c r="R1927" s="942"/>
      <c r="S1927" s="650"/>
      <c r="T1927" s="934"/>
      <c r="U1927" s="650"/>
      <c r="V1927" s="930"/>
    </row>
    <row r="1928" spans="1:22" s="624" customFormat="1" ht="16.5" customHeight="1">
      <c r="A1928" s="750"/>
      <c r="B1928" s="750"/>
      <c r="C1928" s="750"/>
      <c r="D1928" s="750"/>
      <c r="E1928" s="750"/>
      <c r="F1928" s="750"/>
      <c r="G1928" s="750"/>
      <c r="H1928" s="750"/>
      <c r="I1928" s="750"/>
      <c r="J1928" s="871"/>
      <c r="K1928" s="801"/>
      <c r="L1928" s="899"/>
      <c r="M1928" s="650"/>
      <c r="N1928" s="917"/>
      <c r="O1928" s="646"/>
      <c r="P1928" s="933"/>
      <c r="Q1928" s="646"/>
      <c r="R1928" s="942"/>
      <c r="S1928" s="650"/>
      <c r="T1928" s="934"/>
      <c r="U1928" s="650"/>
      <c r="V1928" s="930"/>
    </row>
    <row r="1929" spans="1:22" s="624" customFormat="1" ht="16.5" customHeight="1">
      <c r="A1929" s="750"/>
      <c r="B1929" s="750"/>
      <c r="C1929" s="750"/>
      <c r="D1929" s="750"/>
      <c r="E1929" s="750"/>
      <c r="F1929" s="750"/>
      <c r="G1929" s="750"/>
      <c r="H1929" s="750"/>
      <c r="I1929" s="750"/>
      <c r="J1929" s="871"/>
      <c r="K1929" s="801"/>
      <c r="L1929" s="899"/>
      <c r="M1929" s="650"/>
      <c r="N1929" s="917"/>
      <c r="O1929" s="646"/>
      <c r="P1929" s="933"/>
      <c r="Q1929" s="646"/>
      <c r="R1929" s="942"/>
      <c r="S1929" s="650"/>
      <c r="T1929" s="934"/>
      <c r="U1929" s="650"/>
      <c r="V1929" s="930"/>
    </row>
    <row r="1930" spans="1:22" s="624" customFormat="1" ht="16.5" customHeight="1">
      <c r="A1930" s="750"/>
      <c r="B1930" s="750"/>
      <c r="C1930" s="750"/>
      <c r="D1930" s="750"/>
      <c r="E1930" s="750"/>
      <c r="F1930" s="750"/>
      <c r="G1930" s="750"/>
      <c r="H1930" s="750"/>
      <c r="I1930" s="750"/>
      <c r="J1930" s="871"/>
      <c r="K1930" s="801"/>
      <c r="L1930" s="899"/>
      <c r="M1930" s="650"/>
      <c r="N1930" s="917"/>
      <c r="O1930" s="646"/>
      <c r="P1930" s="933"/>
      <c r="Q1930" s="646"/>
      <c r="R1930" s="942"/>
      <c r="S1930" s="650"/>
      <c r="T1930" s="934"/>
      <c r="U1930" s="650"/>
      <c r="V1930" s="930"/>
    </row>
    <row r="1931" spans="1:22" s="624" customFormat="1" ht="16.5" customHeight="1">
      <c r="A1931" s="750"/>
      <c r="B1931" s="750"/>
      <c r="C1931" s="750"/>
      <c r="D1931" s="750"/>
      <c r="E1931" s="750"/>
      <c r="F1931" s="750"/>
      <c r="G1931" s="750"/>
      <c r="H1931" s="750"/>
      <c r="I1931" s="750"/>
      <c r="J1931" s="871"/>
      <c r="K1931" s="801"/>
      <c r="L1931" s="899"/>
      <c r="M1931" s="650"/>
      <c r="N1931" s="917"/>
      <c r="O1931" s="646"/>
      <c r="P1931" s="933"/>
      <c r="Q1931" s="646"/>
      <c r="R1931" s="942"/>
      <c r="S1931" s="650"/>
      <c r="T1931" s="934"/>
      <c r="U1931" s="650"/>
      <c r="V1931" s="930"/>
    </row>
    <row r="1932" spans="1:22" s="624" customFormat="1" ht="16.5" customHeight="1">
      <c r="A1932" s="750"/>
      <c r="B1932" s="750"/>
      <c r="C1932" s="750"/>
      <c r="D1932" s="750"/>
      <c r="E1932" s="750"/>
      <c r="F1932" s="750"/>
      <c r="G1932" s="750"/>
      <c r="H1932" s="750"/>
      <c r="I1932" s="750"/>
      <c r="J1932" s="871"/>
      <c r="K1932" s="801"/>
      <c r="L1932" s="899"/>
      <c r="M1932" s="650"/>
      <c r="N1932" s="917"/>
      <c r="O1932" s="646"/>
      <c r="P1932" s="933"/>
      <c r="Q1932" s="646"/>
      <c r="R1932" s="942"/>
      <c r="S1932" s="650"/>
      <c r="T1932" s="934"/>
      <c r="U1932" s="650"/>
      <c r="V1932" s="930"/>
    </row>
    <row r="1933" spans="1:22" s="624" customFormat="1" ht="16.5" customHeight="1">
      <c r="A1933" s="750"/>
      <c r="B1933" s="750"/>
      <c r="C1933" s="750"/>
      <c r="D1933" s="750"/>
      <c r="E1933" s="750"/>
      <c r="F1933" s="750"/>
      <c r="G1933" s="750"/>
      <c r="H1933" s="750"/>
      <c r="I1933" s="750"/>
      <c r="J1933" s="871"/>
      <c r="K1933" s="801"/>
      <c r="L1933" s="899"/>
      <c r="M1933" s="650"/>
      <c r="N1933" s="917"/>
      <c r="O1933" s="646"/>
      <c r="P1933" s="933"/>
      <c r="Q1933" s="646"/>
      <c r="R1933" s="942"/>
      <c r="S1933" s="650"/>
      <c r="T1933" s="934"/>
      <c r="U1933" s="650"/>
      <c r="V1933" s="930"/>
    </row>
    <row r="1934" spans="1:22" s="624" customFormat="1" ht="16.5" customHeight="1">
      <c r="A1934" s="750"/>
      <c r="B1934" s="750"/>
      <c r="C1934" s="750"/>
      <c r="D1934" s="750"/>
      <c r="E1934" s="750"/>
      <c r="F1934" s="750"/>
      <c r="G1934" s="750"/>
      <c r="H1934" s="750"/>
      <c r="I1934" s="750"/>
      <c r="J1934" s="871"/>
      <c r="K1934" s="801"/>
      <c r="L1934" s="899"/>
      <c r="M1934" s="650"/>
      <c r="N1934" s="917"/>
      <c r="O1934" s="646"/>
      <c r="P1934" s="933"/>
      <c r="Q1934" s="646"/>
      <c r="R1934" s="942"/>
      <c r="S1934" s="650"/>
      <c r="T1934" s="934"/>
      <c r="U1934" s="650"/>
      <c r="V1934" s="930"/>
    </row>
    <row r="1935" spans="1:22" s="624" customFormat="1" ht="16.5" customHeight="1">
      <c r="A1935" s="750"/>
      <c r="B1935" s="750"/>
      <c r="C1935" s="750"/>
      <c r="D1935" s="750"/>
      <c r="E1935" s="750"/>
      <c r="F1935" s="750"/>
      <c r="G1935" s="750"/>
      <c r="H1935" s="750"/>
      <c r="I1935" s="750"/>
      <c r="J1935" s="871"/>
      <c r="K1935" s="801"/>
      <c r="L1935" s="899"/>
      <c r="M1935" s="650"/>
      <c r="N1935" s="917"/>
      <c r="O1935" s="646"/>
      <c r="P1935" s="933"/>
      <c r="Q1935" s="646"/>
      <c r="R1935" s="942"/>
      <c r="S1935" s="650"/>
      <c r="T1935" s="934"/>
      <c r="U1935" s="650"/>
      <c r="V1935" s="930"/>
    </row>
    <row r="1936" spans="1:22" s="624" customFormat="1" ht="16.5" customHeight="1">
      <c r="A1936" s="750"/>
      <c r="B1936" s="750"/>
      <c r="C1936" s="750"/>
      <c r="D1936" s="750"/>
      <c r="E1936" s="750"/>
      <c r="F1936" s="750"/>
      <c r="G1936" s="750"/>
      <c r="H1936" s="750"/>
      <c r="I1936" s="750"/>
      <c r="J1936" s="871"/>
      <c r="K1936" s="801"/>
      <c r="L1936" s="899"/>
      <c r="M1936" s="650"/>
      <c r="N1936" s="917"/>
      <c r="O1936" s="646"/>
      <c r="P1936" s="933"/>
      <c r="Q1936" s="646"/>
      <c r="R1936" s="942"/>
      <c r="S1936" s="650"/>
      <c r="T1936" s="934"/>
      <c r="U1936" s="650"/>
      <c r="V1936" s="930"/>
    </row>
    <row r="1937" spans="1:22" s="624" customFormat="1" ht="16.5" customHeight="1">
      <c r="A1937" s="750"/>
      <c r="B1937" s="750"/>
      <c r="C1937" s="750"/>
      <c r="D1937" s="750"/>
      <c r="E1937" s="750"/>
      <c r="F1937" s="750"/>
      <c r="G1937" s="750"/>
      <c r="H1937" s="750"/>
      <c r="I1937" s="750"/>
      <c r="J1937" s="871"/>
      <c r="K1937" s="801"/>
      <c r="L1937" s="899"/>
      <c r="M1937" s="650"/>
      <c r="N1937" s="917"/>
      <c r="O1937" s="646"/>
      <c r="P1937" s="933"/>
      <c r="Q1937" s="646"/>
      <c r="R1937" s="942"/>
      <c r="S1937" s="650"/>
      <c r="T1937" s="934"/>
      <c r="U1937" s="650"/>
      <c r="V1937" s="930"/>
    </row>
    <row r="1938" spans="1:22" s="624" customFormat="1" ht="16.5" customHeight="1">
      <c r="A1938" s="750"/>
      <c r="B1938" s="750"/>
      <c r="C1938" s="750"/>
      <c r="D1938" s="750"/>
      <c r="E1938" s="750"/>
      <c r="F1938" s="750"/>
      <c r="G1938" s="750"/>
      <c r="H1938" s="750"/>
      <c r="I1938" s="750"/>
      <c r="J1938" s="871"/>
      <c r="K1938" s="801"/>
      <c r="L1938" s="899"/>
      <c r="M1938" s="650"/>
      <c r="N1938" s="917"/>
      <c r="O1938" s="646"/>
      <c r="P1938" s="933"/>
      <c r="Q1938" s="646"/>
      <c r="R1938" s="942"/>
      <c r="S1938" s="650"/>
      <c r="T1938" s="934"/>
      <c r="U1938" s="650"/>
      <c r="V1938" s="930"/>
    </row>
    <row r="1939" spans="1:22" s="624" customFormat="1" ht="16.5" customHeight="1">
      <c r="A1939" s="750"/>
      <c r="B1939" s="750"/>
      <c r="C1939" s="750"/>
      <c r="D1939" s="750"/>
      <c r="E1939" s="750"/>
      <c r="F1939" s="750"/>
      <c r="G1939" s="750"/>
      <c r="H1939" s="750"/>
      <c r="I1939" s="750"/>
      <c r="J1939" s="871"/>
      <c r="K1939" s="801"/>
      <c r="L1939" s="899"/>
      <c r="M1939" s="650"/>
      <c r="N1939" s="917"/>
      <c r="O1939" s="646"/>
      <c r="P1939" s="933"/>
      <c r="Q1939" s="646"/>
      <c r="R1939" s="942"/>
      <c r="S1939" s="650"/>
      <c r="T1939" s="934"/>
      <c r="U1939" s="650"/>
      <c r="V1939" s="930"/>
    </row>
    <row r="1940" spans="1:22" s="624" customFormat="1" ht="16.5" customHeight="1">
      <c r="A1940" s="750"/>
      <c r="B1940" s="750"/>
      <c r="C1940" s="750"/>
      <c r="D1940" s="750"/>
      <c r="E1940" s="750"/>
      <c r="F1940" s="750"/>
      <c r="G1940" s="750"/>
      <c r="H1940" s="750"/>
      <c r="I1940" s="750"/>
      <c r="J1940" s="871"/>
      <c r="K1940" s="801"/>
      <c r="L1940" s="899"/>
      <c r="M1940" s="650"/>
      <c r="N1940" s="917"/>
      <c r="O1940" s="646"/>
      <c r="P1940" s="933"/>
      <c r="Q1940" s="646"/>
      <c r="R1940" s="942"/>
      <c r="S1940" s="650"/>
      <c r="T1940" s="934"/>
      <c r="U1940" s="650"/>
      <c r="V1940" s="930"/>
    </row>
    <row r="1941" spans="1:22" s="624" customFormat="1" ht="16.5" customHeight="1">
      <c r="A1941" s="750"/>
      <c r="B1941" s="750"/>
      <c r="C1941" s="750"/>
      <c r="D1941" s="750"/>
      <c r="E1941" s="750"/>
      <c r="F1941" s="750"/>
      <c r="G1941" s="750"/>
      <c r="H1941" s="750"/>
      <c r="I1941" s="750"/>
      <c r="J1941" s="871"/>
      <c r="K1941" s="801"/>
      <c r="L1941" s="899"/>
      <c r="M1941" s="650"/>
      <c r="N1941" s="917"/>
      <c r="O1941" s="646"/>
      <c r="P1941" s="933"/>
      <c r="Q1941" s="646"/>
      <c r="R1941" s="942"/>
      <c r="S1941" s="650"/>
      <c r="T1941" s="934"/>
      <c r="U1941" s="650"/>
      <c r="V1941" s="930"/>
    </row>
    <row r="1942" spans="1:22" s="624" customFormat="1" ht="16.5" customHeight="1">
      <c r="A1942" s="750"/>
      <c r="B1942" s="750"/>
      <c r="C1942" s="750"/>
      <c r="D1942" s="750"/>
      <c r="E1942" s="750"/>
      <c r="F1942" s="750"/>
      <c r="G1942" s="750"/>
      <c r="H1942" s="750"/>
      <c r="I1942" s="750"/>
      <c r="J1942" s="871"/>
      <c r="K1942" s="801"/>
      <c r="L1942" s="899"/>
      <c r="M1942" s="650"/>
      <c r="N1942" s="917"/>
      <c r="O1942" s="646"/>
      <c r="P1942" s="933"/>
      <c r="Q1942" s="646"/>
      <c r="R1942" s="942"/>
      <c r="S1942" s="650"/>
      <c r="T1942" s="934"/>
      <c r="U1942" s="650"/>
      <c r="V1942" s="930"/>
    </row>
    <row r="1943" spans="1:22" s="624" customFormat="1" ht="16.5" customHeight="1">
      <c r="A1943" s="750"/>
      <c r="B1943" s="750"/>
      <c r="C1943" s="750"/>
      <c r="D1943" s="750"/>
      <c r="E1943" s="750"/>
      <c r="F1943" s="750"/>
      <c r="G1943" s="750"/>
      <c r="H1943" s="750"/>
      <c r="I1943" s="750"/>
      <c r="J1943" s="871"/>
      <c r="K1943" s="801"/>
      <c r="L1943" s="899"/>
      <c r="M1943" s="650"/>
      <c r="N1943" s="917"/>
      <c r="O1943" s="646"/>
      <c r="P1943" s="933"/>
      <c r="Q1943" s="646"/>
      <c r="R1943" s="942"/>
      <c r="S1943" s="650"/>
      <c r="T1943" s="934"/>
      <c r="U1943" s="650"/>
      <c r="V1943" s="930"/>
    </row>
    <row r="1944" spans="1:22" s="624" customFormat="1" ht="16.5" customHeight="1">
      <c r="A1944" s="750"/>
      <c r="B1944" s="750"/>
      <c r="C1944" s="750"/>
      <c r="D1944" s="750"/>
      <c r="E1944" s="750"/>
      <c r="F1944" s="750"/>
      <c r="G1944" s="750"/>
      <c r="H1944" s="750"/>
      <c r="I1944" s="750"/>
      <c r="J1944" s="871"/>
      <c r="K1944" s="801"/>
      <c r="L1944" s="899"/>
      <c r="M1944" s="650"/>
      <c r="N1944" s="917"/>
      <c r="O1944" s="646"/>
      <c r="P1944" s="933"/>
      <c r="Q1944" s="646"/>
      <c r="R1944" s="942"/>
      <c r="S1944" s="650"/>
      <c r="T1944" s="934"/>
      <c r="U1944" s="650"/>
      <c r="V1944" s="930"/>
    </row>
    <row r="1945" spans="1:22" s="624" customFormat="1" ht="16.5" customHeight="1">
      <c r="A1945" s="750"/>
      <c r="B1945" s="750"/>
      <c r="C1945" s="750"/>
      <c r="D1945" s="750"/>
      <c r="E1945" s="750"/>
      <c r="F1945" s="750"/>
      <c r="G1945" s="750"/>
      <c r="H1945" s="750"/>
      <c r="I1945" s="750"/>
      <c r="J1945" s="871"/>
      <c r="K1945" s="801"/>
      <c r="L1945" s="899"/>
      <c r="M1945" s="650"/>
      <c r="N1945" s="917"/>
      <c r="O1945" s="646"/>
      <c r="P1945" s="933"/>
      <c r="Q1945" s="646"/>
      <c r="R1945" s="942"/>
      <c r="S1945" s="650"/>
      <c r="T1945" s="934"/>
      <c r="U1945" s="650"/>
      <c r="V1945" s="930"/>
    </row>
    <row r="1946" spans="1:22" s="624" customFormat="1" ht="16.5" customHeight="1">
      <c r="A1946" s="750"/>
      <c r="B1946" s="750"/>
      <c r="C1946" s="750"/>
      <c r="D1946" s="750"/>
      <c r="E1946" s="750"/>
      <c r="F1946" s="750"/>
      <c r="G1946" s="750"/>
      <c r="H1946" s="750"/>
      <c r="I1946" s="750"/>
      <c r="J1946" s="871"/>
      <c r="K1946" s="801"/>
      <c r="L1946" s="899"/>
      <c r="M1946" s="650"/>
      <c r="N1946" s="917"/>
      <c r="O1946" s="646"/>
      <c r="P1946" s="933"/>
      <c r="Q1946" s="646"/>
      <c r="R1946" s="942"/>
      <c r="S1946" s="650"/>
      <c r="T1946" s="934"/>
      <c r="U1946" s="650"/>
      <c r="V1946" s="930"/>
    </row>
    <row r="1947" spans="1:22" s="624" customFormat="1" ht="16.5" customHeight="1">
      <c r="A1947" s="750"/>
      <c r="B1947" s="750"/>
      <c r="C1947" s="750"/>
      <c r="D1947" s="750"/>
      <c r="E1947" s="750"/>
      <c r="F1947" s="750"/>
      <c r="G1947" s="750"/>
      <c r="H1947" s="750"/>
      <c r="I1947" s="750"/>
      <c r="J1947" s="871"/>
      <c r="K1947" s="801"/>
      <c r="L1947" s="899"/>
      <c r="M1947" s="650"/>
      <c r="N1947" s="917"/>
      <c r="O1947" s="646"/>
      <c r="P1947" s="933"/>
      <c r="Q1947" s="646"/>
      <c r="R1947" s="942"/>
      <c r="S1947" s="650"/>
      <c r="T1947" s="934"/>
      <c r="U1947" s="650"/>
      <c r="V1947" s="930"/>
    </row>
    <row r="1948" spans="1:22" s="624" customFormat="1" ht="16.5" customHeight="1">
      <c r="A1948" s="750"/>
      <c r="B1948" s="750"/>
      <c r="C1948" s="750"/>
      <c r="D1948" s="750"/>
      <c r="E1948" s="750"/>
      <c r="F1948" s="750"/>
      <c r="G1948" s="750"/>
      <c r="H1948" s="750"/>
      <c r="I1948" s="750"/>
      <c r="J1948" s="871"/>
      <c r="K1948" s="801"/>
      <c r="L1948" s="899"/>
      <c r="M1948" s="650"/>
      <c r="N1948" s="917"/>
      <c r="O1948" s="646"/>
      <c r="P1948" s="933"/>
      <c r="Q1948" s="646"/>
      <c r="R1948" s="942"/>
      <c r="S1948" s="650"/>
      <c r="T1948" s="934"/>
      <c r="U1948" s="650"/>
      <c r="V1948" s="930"/>
    </row>
    <row r="1949" spans="1:22" s="624" customFormat="1" ht="16.5" customHeight="1">
      <c r="A1949" s="750"/>
      <c r="B1949" s="750"/>
      <c r="C1949" s="750"/>
      <c r="D1949" s="750"/>
      <c r="E1949" s="750"/>
      <c r="F1949" s="750"/>
      <c r="G1949" s="750"/>
      <c r="H1949" s="750"/>
      <c r="I1949" s="750"/>
      <c r="J1949" s="871"/>
      <c r="K1949" s="801"/>
      <c r="L1949" s="899"/>
      <c r="M1949" s="650"/>
      <c r="N1949" s="917"/>
      <c r="O1949" s="646"/>
      <c r="P1949" s="933"/>
      <c r="Q1949" s="646"/>
      <c r="R1949" s="942"/>
      <c r="S1949" s="650"/>
      <c r="T1949" s="934"/>
      <c r="U1949" s="650"/>
      <c r="V1949" s="930"/>
    </row>
    <row r="1950" spans="1:22" s="624" customFormat="1" ht="16.5" customHeight="1">
      <c r="A1950" s="750"/>
      <c r="B1950" s="750"/>
      <c r="C1950" s="750"/>
      <c r="D1950" s="750"/>
      <c r="E1950" s="750"/>
      <c r="F1950" s="750"/>
      <c r="G1950" s="750"/>
      <c r="H1950" s="750"/>
      <c r="I1950" s="750"/>
      <c r="J1950" s="871"/>
      <c r="K1950" s="801"/>
      <c r="L1950" s="899"/>
      <c r="M1950" s="650"/>
      <c r="N1950" s="917"/>
      <c r="O1950" s="646"/>
      <c r="P1950" s="933"/>
      <c r="Q1950" s="646"/>
      <c r="R1950" s="942"/>
      <c r="S1950" s="650"/>
      <c r="T1950" s="934"/>
      <c r="U1950" s="650"/>
      <c r="V1950" s="930"/>
    </row>
    <row r="1951" spans="1:22" s="624" customFormat="1" ht="16.5" customHeight="1">
      <c r="A1951" s="750"/>
      <c r="B1951" s="750"/>
      <c r="C1951" s="750"/>
      <c r="D1951" s="750"/>
      <c r="E1951" s="750"/>
      <c r="F1951" s="750"/>
      <c r="G1951" s="750"/>
      <c r="H1951" s="750"/>
      <c r="I1951" s="750"/>
      <c r="J1951" s="871"/>
      <c r="K1951" s="801"/>
      <c r="L1951" s="899"/>
      <c r="M1951" s="650"/>
      <c r="N1951" s="917"/>
      <c r="O1951" s="646"/>
      <c r="P1951" s="933"/>
      <c r="Q1951" s="646"/>
      <c r="R1951" s="942"/>
      <c r="S1951" s="650"/>
      <c r="T1951" s="934"/>
      <c r="U1951" s="650"/>
      <c r="V1951" s="930"/>
    </row>
    <row r="1952" spans="1:22" s="624" customFormat="1" ht="16.5" customHeight="1">
      <c r="A1952" s="750"/>
      <c r="B1952" s="750"/>
      <c r="C1952" s="750"/>
      <c r="D1952" s="750"/>
      <c r="E1952" s="750"/>
      <c r="F1952" s="750"/>
      <c r="G1952" s="750"/>
      <c r="H1952" s="750"/>
      <c r="I1952" s="750"/>
      <c r="J1952" s="871"/>
      <c r="K1952" s="801"/>
      <c r="L1952" s="899"/>
      <c r="M1952" s="650"/>
      <c r="N1952" s="917"/>
      <c r="O1952" s="646"/>
      <c r="P1952" s="933"/>
      <c r="Q1952" s="646"/>
      <c r="R1952" s="942"/>
      <c r="S1952" s="650"/>
      <c r="T1952" s="934"/>
      <c r="U1952" s="650"/>
      <c r="V1952" s="930"/>
    </row>
    <row r="1953" spans="1:22" s="624" customFormat="1" ht="16.5" customHeight="1">
      <c r="A1953" s="750"/>
      <c r="B1953" s="750"/>
      <c r="C1953" s="750"/>
      <c r="D1953" s="750"/>
      <c r="E1953" s="750"/>
      <c r="F1953" s="750"/>
      <c r="G1953" s="750"/>
      <c r="H1953" s="750"/>
      <c r="I1953" s="750"/>
      <c r="J1953" s="871"/>
      <c r="K1953" s="801"/>
      <c r="L1953" s="899"/>
      <c r="M1953" s="650"/>
      <c r="N1953" s="917"/>
      <c r="O1953" s="646"/>
      <c r="P1953" s="933"/>
      <c r="Q1953" s="646"/>
      <c r="R1953" s="942"/>
      <c r="S1953" s="650"/>
      <c r="T1953" s="934"/>
      <c r="U1953" s="650"/>
      <c r="V1953" s="930"/>
    </row>
    <row r="1954" spans="1:22" s="624" customFormat="1" ht="16.5" customHeight="1">
      <c r="A1954" s="750"/>
      <c r="B1954" s="750"/>
      <c r="C1954" s="750"/>
      <c r="D1954" s="750"/>
      <c r="E1954" s="750"/>
      <c r="F1954" s="750"/>
      <c r="G1954" s="750"/>
      <c r="H1954" s="750"/>
      <c r="I1954" s="750"/>
      <c r="J1954" s="871"/>
      <c r="K1954" s="801"/>
      <c r="L1954" s="899"/>
      <c r="M1954" s="650"/>
      <c r="N1954" s="917"/>
      <c r="O1954" s="646"/>
      <c r="P1954" s="933"/>
      <c r="Q1954" s="646"/>
      <c r="R1954" s="942"/>
      <c r="S1954" s="650"/>
      <c r="T1954" s="934"/>
      <c r="U1954" s="650"/>
      <c r="V1954" s="930"/>
    </row>
    <row r="1955" spans="1:22" s="624" customFormat="1" ht="16.5" customHeight="1">
      <c r="A1955" s="750"/>
      <c r="B1955" s="750"/>
      <c r="C1955" s="750"/>
      <c r="D1955" s="750"/>
      <c r="E1955" s="750"/>
      <c r="F1955" s="750"/>
      <c r="G1955" s="750"/>
      <c r="H1955" s="750"/>
      <c r="I1955" s="750"/>
      <c r="J1955" s="871"/>
      <c r="K1955" s="801"/>
      <c r="L1955" s="899"/>
      <c r="M1955" s="650"/>
      <c r="N1955" s="917"/>
      <c r="O1955" s="646"/>
      <c r="P1955" s="933"/>
      <c r="Q1955" s="646"/>
      <c r="R1955" s="942"/>
      <c r="S1955" s="650"/>
      <c r="T1955" s="934"/>
      <c r="U1955" s="650"/>
      <c r="V1955" s="930"/>
    </row>
    <row r="1956" spans="1:22" s="624" customFormat="1" ht="16.5" customHeight="1">
      <c r="A1956" s="750"/>
      <c r="B1956" s="750"/>
      <c r="C1956" s="750"/>
      <c r="D1956" s="750"/>
      <c r="E1956" s="750"/>
      <c r="F1956" s="750"/>
      <c r="G1956" s="750"/>
      <c r="H1956" s="750"/>
      <c r="I1956" s="750"/>
      <c r="J1956" s="871"/>
      <c r="K1956" s="801"/>
      <c r="L1956" s="899"/>
      <c r="M1956" s="650"/>
      <c r="N1956" s="917"/>
      <c r="O1956" s="646"/>
      <c r="P1956" s="933"/>
      <c r="Q1956" s="646"/>
      <c r="R1956" s="942"/>
      <c r="S1956" s="650"/>
      <c r="T1956" s="934"/>
      <c r="U1956" s="650"/>
      <c r="V1956" s="930"/>
    </row>
  </sheetData>
  <mergeCells count="133">
    <mergeCell ref="A693:I697"/>
    <mergeCell ref="A632:I632"/>
    <mergeCell ref="B604:D604"/>
    <mergeCell ref="E604:I604"/>
    <mergeCell ref="E277:F279"/>
    <mergeCell ref="G284:I284"/>
    <mergeCell ref="G287:I287"/>
    <mergeCell ref="C128:D128"/>
    <mergeCell ref="E468:I469"/>
    <mergeCell ref="E509:I510"/>
    <mergeCell ref="E513:I514"/>
    <mergeCell ref="C129:D129"/>
    <mergeCell ref="E313:I313"/>
    <mergeCell ref="E330:I330"/>
    <mergeCell ref="E348:I348"/>
    <mergeCell ref="E455:I456"/>
    <mergeCell ref="E405:I406"/>
    <mergeCell ref="E451:I452"/>
    <mergeCell ref="G373:I373"/>
    <mergeCell ref="G613:H613"/>
    <mergeCell ref="A630:I631"/>
    <mergeCell ref="A524:I525"/>
    <mergeCell ref="G596:I596"/>
    <mergeCell ref="E365:I365"/>
    <mergeCell ref="G426:I426"/>
    <mergeCell ref="J441:J442"/>
    <mergeCell ref="A3:F3"/>
    <mergeCell ref="C130:D130"/>
    <mergeCell ref="A112:I114"/>
    <mergeCell ref="E497:I498"/>
    <mergeCell ref="E462:I463"/>
    <mergeCell ref="E503:I504"/>
    <mergeCell ref="C132:D132"/>
    <mergeCell ref="C131:D131"/>
    <mergeCell ref="E118:F118"/>
    <mergeCell ref="E119:F119"/>
    <mergeCell ref="E120:F120"/>
    <mergeCell ref="E121:F121"/>
    <mergeCell ref="E122:F122"/>
    <mergeCell ref="E123:F123"/>
    <mergeCell ref="E124:F124"/>
    <mergeCell ref="E125:F125"/>
    <mergeCell ref="E126:F126"/>
    <mergeCell ref="E127:F127"/>
    <mergeCell ref="E128:F128"/>
    <mergeCell ref="E129:F129"/>
    <mergeCell ref="E130:F130"/>
    <mergeCell ref="E131:F131"/>
    <mergeCell ref="C126:D126"/>
    <mergeCell ref="R1:S1"/>
    <mergeCell ref="T1:U1"/>
    <mergeCell ref="C122:D122"/>
    <mergeCell ref="C123:D123"/>
    <mergeCell ref="B94:C94"/>
    <mergeCell ref="G89:H89"/>
    <mergeCell ref="G90:H90"/>
    <mergeCell ref="D90:E90"/>
    <mergeCell ref="D91:E91"/>
    <mergeCell ref="G94:H94"/>
    <mergeCell ref="A33:B44"/>
    <mergeCell ref="D33:G44"/>
    <mergeCell ref="D70:E70"/>
    <mergeCell ref="D71:E71"/>
    <mergeCell ref="D72:E72"/>
    <mergeCell ref="G92:H92"/>
    <mergeCell ref="G93:H93"/>
    <mergeCell ref="I87:I88"/>
    <mergeCell ref="C117:D117"/>
    <mergeCell ref="E117:F117"/>
    <mergeCell ref="C121:D121"/>
    <mergeCell ref="C118:D118"/>
    <mergeCell ref="P1:Q1"/>
    <mergeCell ref="D74:E74"/>
    <mergeCell ref="A1:G1"/>
    <mergeCell ref="H1:I1"/>
    <mergeCell ref="A2:G2"/>
    <mergeCell ref="H2:I2"/>
    <mergeCell ref="H3:I3"/>
    <mergeCell ref="D73:E73"/>
    <mergeCell ref="A4:I5"/>
    <mergeCell ref="G91:H91"/>
    <mergeCell ref="N1:O1"/>
    <mergeCell ref="B6:H6"/>
    <mergeCell ref="L1:M1"/>
    <mergeCell ref="B90:C90"/>
    <mergeCell ref="B8:H8"/>
    <mergeCell ref="B9:H9"/>
    <mergeCell ref="B10:H10"/>
    <mergeCell ref="A80:I85"/>
    <mergeCell ref="E50:I50"/>
    <mergeCell ref="B72:C72"/>
    <mergeCell ref="A59:I60"/>
    <mergeCell ref="B70:C70"/>
    <mergeCell ref="B71:C71"/>
    <mergeCell ref="B89:C89"/>
    <mergeCell ref="B73:C73"/>
    <mergeCell ref="A532:I536"/>
    <mergeCell ref="B7:H7"/>
    <mergeCell ref="E460:I461"/>
    <mergeCell ref="G527:I527"/>
    <mergeCell ref="E466:I467"/>
    <mergeCell ref="E470:I471"/>
    <mergeCell ref="E507:I508"/>
    <mergeCell ref="E511:I512"/>
    <mergeCell ref="E481:I482"/>
    <mergeCell ref="E491:I492"/>
    <mergeCell ref="E495:I496"/>
    <mergeCell ref="E501:I502"/>
    <mergeCell ref="B50:D50"/>
    <mergeCell ref="A689:I690"/>
    <mergeCell ref="C116:F116"/>
    <mergeCell ref="B74:C74"/>
    <mergeCell ref="G198:I198"/>
    <mergeCell ref="G267:I267"/>
    <mergeCell ref="B92:C92"/>
    <mergeCell ref="B93:C93"/>
    <mergeCell ref="C124:D124"/>
    <mergeCell ref="C125:D125"/>
    <mergeCell ref="C119:D119"/>
    <mergeCell ref="C120:D120"/>
    <mergeCell ref="D96:E96"/>
    <mergeCell ref="A98:I109"/>
    <mergeCell ref="C127:D127"/>
    <mergeCell ref="D94:E94"/>
    <mergeCell ref="E231:I232"/>
    <mergeCell ref="B87:C88"/>
    <mergeCell ref="D87:E88"/>
    <mergeCell ref="D89:E89"/>
    <mergeCell ref="F87:F88"/>
    <mergeCell ref="G87:H88"/>
    <mergeCell ref="D92:E92"/>
    <mergeCell ref="D93:E93"/>
    <mergeCell ref="B91:C91"/>
  </mergeCells>
  <phoneticPr fontId="19" type="noConversion"/>
  <conditionalFormatting sqref="A667:I691 A698:I698 A693 B692:I692">
    <cfRule type="expression" dxfId="103" priority="496">
      <formula>$C$666=0</formula>
    </cfRule>
  </conditionalFormatting>
  <conditionalFormatting sqref="C684:G684 A687:C687">
    <cfRule type="expression" dxfId="102" priority="500">
      <formula>$E$684="&lt;"</formula>
    </cfRule>
  </conditionalFormatting>
  <conditionalFormatting sqref="C685:G685 A687:C687">
    <cfRule type="expression" dxfId="101" priority="502">
      <formula>$E$685="&lt;"</formula>
    </cfRule>
  </conditionalFormatting>
  <conditionalFormatting sqref="C643:D647 A640:C640">
    <cfRule type="expression" dxfId="100" priority="483">
      <formula>$C$639=$L$639</formula>
    </cfRule>
  </conditionalFormatting>
  <conditionalFormatting sqref="C653:D657 A650:C650">
    <cfRule type="expression" dxfId="99" priority="487">
      <formula>$C$649=$L$649</formula>
    </cfRule>
  </conditionalFormatting>
  <conditionalFormatting sqref="C660:C661">
    <cfRule type="expression" dxfId="98" priority="489">
      <formula>$C$659=$L$659</formula>
    </cfRule>
  </conditionalFormatting>
  <conditionalFormatting sqref="G624 G628 G615:G620">
    <cfRule type="expression" dxfId="97" priority="7">
      <formula>G615&gt;1</formula>
    </cfRule>
  </conditionalFormatting>
  <pageMargins left="0.59055118110236227" right="0.59055118110236227" top="0.74803149606299213" bottom="0.74803149606299213" header="0.31496062992125984" footer="0.31496062992125984"/>
  <pageSetup paperSize="9" fitToHeight="4" orientation="portrait" useFirstPageNumber="1" horizontalDpi="1200" verticalDpi="1200" r:id="rId1"/>
  <headerFooter>
    <oddFooter>&amp;CKNAPP® GmbH| A-3324 Euratsfeld | Wassergasse 31 | AUSTRIA/Europe
Tel. +43(0) 7474/79910 | Fax +43(0)747479910-99
eMail: statik@knapp-verbinder.com | www.knapp-verbinder.com&amp;R&amp;P</oddFooter>
  </headerFooter>
  <rowBreaks count="18" manualBreakCount="18">
    <brk id="44" max="8" man="1"/>
    <brk id="75" max="8" man="1"/>
    <brk id="109" max="8" man="1"/>
    <brk id="154" max="8" man="1"/>
    <brk id="199" max="8" man="1"/>
    <brk id="241" max="8" man="1"/>
    <brk id="269" max="8" man="1"/>
    <brk id="291" max="8" man="1"/>
    <brk id="333" max="8" man="1"/>
    <brk id="375" max="8" man="1"/>
    <brk id="421" max="8" man="1"/>
    <brk id="467" max="8" man="1"/>
    <brk id="514" max="8" man="1"/>
    <brk id="529" max="8" man="1"/>
    <brk id="568" max="8" man="1"/>
    <brk id="598" max="8" man="1"/>
    <brk id="637" max="8" man="1"/>
    <brk id="664" max="8" man="1"/>
  </rowBreak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8" id="{00000000-000E-0000-0500-000001000000}">
            <xm:f>AND(Eingabe!$O$17&lt;&gt;"ok",G635&gt;1)</xm:f>
            <x14:dxf>
              <font>
                <color rgb="FF9C0006"/>
              </font>
              <fill>
                <patternFill>
                  <bgColor rgb="FFFFC7CE"/>
                </patternFill>
              </fill>
            </x14:dxf>
          </x14:cfRule>
          <xm:sqref>G635</xm:sqref>
        </x14:conditionalFormatting>
        <x14:conditionalFormatting xmlns:xm="http://schemas.microsoft.com/office/excel/2006/main">
          <x14:cfRule type="expression" priority="1" id="{4E4E3E9E-C434-42BC-AED6-07963885432B}">
            <xm:f>Eingabe!CT5=0</xm:f>
            <x14:dxf>
              <font>
                <strike/>
                <color theme="0" tint="-0.24994659260841701"/>
              </font>
            </x14:dxf>
          </x14:cfRule>
          <xm:sqref>C118:D131</xm:sqref>
        </x14:conditionalFormatting>
        <x14:conditionalFormatting xmlns:xm="http://schemas.microsoft.com/office/excel/2006/main">
          <x14:cfRule type="expression" priority="2" id="{058A5DAA-B835-474C-9E2E-A2C324A0A339}">
            <xm:f>Eingabe!CT19=0</xm:f>
            <x14:dxf>
              <font>
                <strike/>
                <color theme="0" tint="-0.24994659260841701"/>
              </font>
            </x14:dxf>
          </x14:cfRule>
          <xm:sqref>E118:F131</xm:sqref>
        </x14:conditionalFormatting>
        <x14:conditionalFormatting xmlns:xm="http://schemas.microsoft.com/office/excel/2006/main">
          <x14:cfRule type="expression" priority="201" id="{66D1DDB0-6575-4833-91D9-1FD742F30058}">
            <xm:f>Eingabe!$C$190=Eingabe!$BP$22</xm:f>
            <x14:dxf>
              <font>
                <color theme="0"/>
              </font>
              <border>
                <left/>
                <right/>
                <top/>
                <bottom/>
                <vertical/>
                <horizontal/>
              </border>
            </x14:dxf>
          </x14:cfRule>
          <xm:sqref>A287:I291 A636:I636</xm:sqref>
        </x14:conditionalFormatting>
        <x14:conditionalFormatting xmlns:xm="http://schemas.microsoft.com/office/excel/2006/main">
          <x14:cfRule type="expression" priority="13" id="{00000000-000E-0000-0500-000008000000}">
            <xm:f>AND(G636&gt;1,Eingabe!$C$190=Eingabe!$BP$21)</xm:f>
            <x14:dxf>
              <font>
                <color rgb="FF9C0006"/>
              </font>
              <fill>
                <patternFill>
                  <bgColor rgb="FFFFC7CE"/>
                </patternFill>
              </fill>
            </x14:dxf>
          </x14:cfRule>
          <xm:sqref>G636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A6510-8480-4E48-81F8-3AC38DCAD784}">
  <sheetPr codeName="Tabelle8"/>
  <dimension ref="A1:F283"/>
  <sheetViews>
    <sheetView zoomScaleNormal="100" zoomScaleSheetLayoutView="100" workbookViewId="0">
      <selection activeCell="M283" sqref="M283"/>
    </sheetView>
  </sheetViews>
  <sheetFormatPr baseColWidth="10" defaultRowHeight="15"/>
  <cols>
    <col min="1" max="1" width="55.140625" style="958" customWidth="1"/>
    <col min="3" max="6" width="18.5703125" style="954" customWidth="1"/>
  </cols>
  <sheetData>
    <row r="1" spans="1:6" s="956" customFormat="1">
      <c r="A1" s="955" t="s">
        <v>747</v>
      </c>
      <c r="C1" s="957" t="s">
        <v>744</v>
      </c>
      <c r="D1" s="957" t="s">
        <v>745</v>
      </c>
      <c r="E1" s="957" t="s">
        <v>746</v>
      </c>
      <c r="F1" s="957" t="s">
        <v>1126</v>
      </c>
    </row>
    <row r="2" spans="1:6">
      <c r="A2" s="958" t="str">
        <f>IF(Eingabe!$E$3=$C$1,C2,IF(Eingabe!$E$3=$D$1,D2,IF(Eingabe!$E$3=$E$1,E2,IF(Eingabe!$E$3=$F$1,F2,NA()))))</f>
        <v>MEGANT® Bemessungstool für Haupt-Nebenträger-Anschlüsse</v>
      </c>
      <c r="C2" s="954" t="s">
        <v>400</v>
      </c>
      <c r="D2" s="959" t="s">
        <v>1146</v>
      </c>
      <c r="E2" s="959" t="s">
        <v>1147</v>
      </c>
      <c r="F2" s="959" t="s">
        <v>1148</v>
      </c>
    </row>
    <row r="3" spans="1:6">
      <c r="A3" s="958" t="str">
        <f>IF(Eingabe!$E$3=$C$1,C3,IF(Eingabe!$E$3=$D$1,D3,IF(Eingabe!$E$3=$E$1,E3,IF(Eingabe!$E$3=$F$1,F3,NA()))))</f>
        <v>Bemessung nach ETA 15/0667 Ausgabe vom 22.04.2025</v>
      </c>
      <c r="C3" s="954" t="s">
        <v>2596</v>
      </c>
      <c r="D3" s="954" t="s">
        <v>2603</v>
      </c>
      <c r="E3" s="954" t="s">
        <v>2602</v>
      </c>
      <c r="F3" s="954" t="s">
        <v>2601</v>
      </c>
    </row>
    <row r="4" spans="1:6">
      <c r="A4" s="958" t="str">
        <f>IF(Eingabe!$E$3=$C$1,C4,IF(Eingabe!$E$3=$D$1,D4,IF(Eingabe!$E$3=$E$1,E4,IF(Eingabe!$E$3=$F$1,F4,NA()))))</f>
        <v>Unverbindliche Musterbemessung</v>
      </c>
      <c r="C4" s="954" t="s">
        <v>406</v>
      </c>
      <c r="D4" s="954" t="s">
        <v>1149</v>
      </c>
      <c r="E4" s="954" t="s">
        <v>1150</v>
      </c>
      <c r="F4" s="954" t="s">
        <v>1151</v>
      </c>
    </row>
    <row r="5" spans="1:6" ht="105">
      <c r="A5" s="958" t="str">
        <f>IF(Eingabe!$E$3=$C$1,C5,IF(Eingabe!$E$3=$D$1,D5,IF(Eingabe!$E$3=$E$1,E5,IF(Eingabe!$E$3=$F$1,F5,NA()))))</f>
        <v>HINWEIS: Die Berechnungen werden gemäß der ETA-15/0667 vom 22.04.2025 durchgeführt.</v>
      </c>
      <c r="C5" s="1442" t="s">
        <v>2597</v>
      </c>
      <c r="D5" s="1442" t="s">
        <v>2599</v>
      </c>
      <c r="E5" s="1442" t="s">
        <v>2598</v>
      </c>
      <c r="F5" s="1442" t="s">
        <v>2600</v>
      </c>
    </row>
    <row r="6" spans="1:6">
      <c r="A6" s="958" t="str">
        <f>IF(Eingabe!$E$3=$C$1,C6,IF(Eingabe!$E$3=$D$1,D6,IF(Eingabe!$E$3=$E$1,E6,IF(Eingabe!$E$3=$F$1,F6,NA()))))</f>
        <v>Firma</v>
      </c>
      <c r="C6" s="954" t="s">
        <v>734</v>
      </c>
      <c r="D6" s="954" t="s">
        <v>1152</v>
      </c>
      <c r="E6" s="954" t="s">
        <v>1153</v>
      </c>
      <c r="F6" s="954" t="s">
        <v>1154</v>
      </c>
    </row>
    <row r="7" spans="1:6">
      <c r="A7" s="958" t="str">
        <f>IF(Eingabe!$E$3=$C$1,C7,IF(Eingabe!$E$3=$D$1,D7,IF(Eingabe!$E$3=$E$1,E7,IF(Eingabe!$E$3=$F$1,F7,NA()))))</f>
        <v>Bauvorhaben</v>
      </c>
      <c r="C7" s="954" t="s">
        <v>735</v>
      </c>
      <c r="D7" s="954" t="s">
        <v>1155</v>
      </c>
      <c r="E7" s="954" t="s">
        <v>1156</v>
      </c>
      <c r="F7" s="954" t="s">
        <v>1157</v>
      </c>
    </row>
    <row r="8" spans="1:6">
      <c r="A8" s="958" t="str">
        <f>IF(Eingabe!$E$3=$C$1,C8,IF(Eingabe!$E$3=$D$1,D8,IF(Eingabe!$E$3=$E$1,E8,IF(Eingabe!$E$3=$F$1,F8,NA()))))</f>
        <v>Datum</v>
      </c>
      <c r="C8" s="954" t="s">
        <v>736</v>
      </c>
      <c r="D8" s="954" t="s">
        <v>1158</v>
      </c>
      <c r="E8" s="954" t="s">
        <v>1158</v>
      </c>
      <c r="F8" s="954" t="s">
        <v>1159</v>
      </c>
    </row>
    <row r="9" spans="1:6">
      <c r="A9" s="958" t="str">
        <f>IF(Eingabe!$E$3=$C$1,C9,IF(Eingabe!$E$3=$D$1,D9,IF(Eingabe!$E$3=$E$1,E9,IF(Eingabe!$E$3=$F$1,F9,NA()))))</f>
        <v>Bearbeiter</v>
      </c>
      <c r="C9" s="954" t="s">
        <v>737</v>
      </c>
      <c r="D9" s="954" t="s">
        <v>1160</v>
      </c>
      <c r="E9" s="954" t="s">
        <v>1161</v>
      </c>
      <c r="F9" s="954" t="s">
        <v>1162</v>
      </c>
    </row>
    <row r="10" spans="1:6" s="956" customFormat="1">
      <c r="A10" s="960" t="str">
        <f>IF(Eingabe!$E$3=$C$1,C10,IF(Eingabe!$E$3=$D$1,D10,IF(Eingabe!$E$3=$E$1,E10,IF(Eingabe!$E$3=$F$1,F10,NA()))))</f>
        <v>Vertrieb</v>
      </c>
      <c r="C10" s="961" t="s">
        <v>738</v>
      </c>
      <c r="D10" s="961" t="s">
        <v>1163</v>
      </c>
      <c r="E10" s="961" t="s">
        <v>1164</v>
      </c>
      <c r="F10" s="961" t="s">
        <v>1165</v>
      </c>
    </row>
    <row r="11" spans="1:6">
      <c r="A11" s="958" t="str">
        <f>IF(Eingabe!$E$3=$C$1,C11,IF(Eingabe!$E$3=$D$1,D11,IF(Eingabe!$E$3=$E$1,E11,IF(Eingabe!$E$3=$F$1,F11,NA()))))</f>
        <v>Querschnitte</v>
      </c>
      <c r="C11" s="954" t="s">
        <v>725</v>
      </c>
      <c r="D11" s="954" t="s">
        <v>1166</v>
      </c>
      <c r="E11" s="954" t="s">
        <v>1167</v>
      </c>
      <c r="F11" s="954" t="s">
        <v>1168</v>
      </c>
    </row>
    <row r="12" spans="1:6">
      <c r="A12" s="958" t="str">
        <f>IF(Eingabe!$E$3=$C$1,C12,IF(Eingabe!$E$3=$D$1,D12,IF(Eingabe!$E$3=$E$1,E12,IF(Eingabe!$E$3=$F$1,F12,NA()))))</f>
        <v>Hauptträger (Index H - header)</v>
      </c>
      <c r="C12" s="954" t="s">
        <v>927</v>
      </c>
      <c r="D12" s="954" t="s">
        <v>1169</v>
      </c>
      <c r="E12" s="954" t="s">
        <v>1170</v>
      </c>
      <c r="F12" s="954" t="s">
        <v>1171</v>
      </c>
    </row>
    <row r="13" spans="1:6">
      <c r="A13" s="958" t="str">
        <f>IF(Eingabe!$E$3=$C$1,C13,IF(Eingabe!$E$3=$D$1,D13,IF(Eingabe!$E$3=$E$1,E13,IF(Eingabe!$E$3=$F$1,F13,NA()))))</f>
        <v>Stütze (Index H - header)</v>
      </c>
      <c r="C13" s="954" t="s">
        <v>1120</v>
      </c>
      <c r="D13" s="954" t="s">
        <v>1172</v>
      </c>
      <c r="E13" s="954" t="s">
        <v>1173</v>
      </c>
      <c r="F13" s="954" t="s">
        <v>748</v>
      </c>
    </row>
    <row r="14" spans="1:6">
      <c r="A14" s="958" t="str">
        <f>IF(Eingabe!$E$3=$C$1,C14,IF(Eingabe!$E$3=$D$1,D14,IF(Eingabe!$E$3=$E$1,E14,IF(Eingabe!$E$3=$F$1,F14,NA()))))</f>
        <v>Materialkategorie</v>
      </c>
      <c r="C14" s="954" t="s">
        <v>17</v>
      </c>
      <c r="D14" s="954" t="s">
        <v>1174</v>
      </c>
      <c r="E14" s="954" t="s">
        <v>1175</v>
      </c>
      <c r="F14" s="954" t="s">
        <v>1176</v>
      </c>
    </row>
    <row r="15" spans="1:6">
      <c r="A15" s="958" t="str">
        <f>IF(Eingabe!$E$3=$C$1,C15,IF(Eingabe!$E$3=$D$1,D15,IF(Eingabe!$E$3=$E$1,E15,IF(Eingabe!$E$3=$F$1,F15,NA()))))</f>
        <v>Festigkeitsklasse</v>
      </c>
      <c r="C15" s="954" t="s">
        <v>26</v>
      </c>
      <c r="D15" s="954" t="s">
        <v>1177</v>
      </c>
      <c r="E15" s="954" t="s">
        <v>1178</v>
      </c>
      <c r="F15" s="954" t="s">
        <v>1179</v>
      </c>
    </row>
    <row r="16" spans="1:6">
      <c r="A16" s="958" t="str">
        <f>IF(Eingabe!$E$3=$C$1,C16,IF(Eingabe!$E$3=$D$1,D16,IF(Eingabe!$E$3=$E$1,E16,IF(Eingabe!$E$3=$F$1,F16,NA()))))</f>
        <v>Breite</v>
      </c>
      <c r="C16" s="954" t="s">
        <v>456</v>
      </c>
      <c r="D16" s="954" t="s">
        <v>1180</v>
      </c>
      <c r="E16" s="954" t="s">
        <v>1181</v>
      </c>
      <c r="F16" s="954" t="s">
        <v>1182</v>
      </c>
    </row>
    <row r="17" spans="1:6">
      <c r="A17" s="958" t="str">
        <f>IF(Eingabe!$E$3=$C$1,C17,IF(Eingabe!$E$3=$D$1,D17,IF(Eingabe!$E$3=$E$1,E17,IF(Eingabe!$E$3=$F$1,F17,NA()))))</f>
        <v>Höhe</v>
      </c>
      <c r="C17" s="954" t="s">
        <v>458</v>
      </c>
      <c r="D17" s="954" t="s">
        <v>1183</v>
      </c>
      <c r="E17" s="954" t="s">
        <v>1184</v>
      </c>
      <c r="F17" s="954" t="s">
        <v>1185</v>
      </c>
    </row>
    <row r="18" spans="1:6">
      <c r="A18" s="958" t="str">
        <f>IF(Eingabe!$E$3=$C$1,C18,IF(Eingabe!$E$3=$D$1,D18,IF(Eingabe!$E$3=$E$1,E18,IF(Eingabe!$E$3=$F$1,F18,NA()))))</f>
        <v>Torsionssteifer Hauptträger / Stütze</v>
      </c>
      <c r="C18" s="954" t="s">
        <v>852</v>
      </c>
      <c r="D18" s="954" t="s">
        <v>1186</v>
      </c>
      <c r="E18" s="954" t="s">
        <v>1187</v>
      </c>
      <c r="F18" s="954" t="s">
        <v>1188</v>
      </c>
    </row>
    <row r="19" spans="1:6">
      <c r="A19" s="958" t="str">
        <f>IF(Eingabe!$E$3=$C$1,C19,IF(Eingabe!$E$3=$D$1,D19,IF(Eingabe!$E$3=$E$1,E19,IF(Eingabe!$E$3=$F$1,F19,NA()))))</f>
        <v>Ja</v>
      </c>
      <c r="C19" s="954" t="s">
        <v>721</v>
      </c>
      <c r="D19" s="954" t="s">
        <v>1189</v>
      </c>
      <c r="E19" s="954" t="s">
        <v>1190</v>
      </c>
      <c r="F19" s="954" t="s">
        <v>1191</v>
      </c>
    </row>
    <row r="20" spans="1:6">
      <c r="A20" s="958" t="str">
        <f>IF(Eingabe!$E$3=$C$1,C20,IF(Eingabe!$E$3=$D$1,D20,IF(Eingabe!$E$3=$E$1,E20,IF(Eingabe!$E$3=$F$1,F20,NA()))))</f>
        <v>Nein</v>
      </c>
      <c r="C20" s="954" t="s">
        <v>722</v>
      </c>
      <c r="D20" s="954" t="s">
        <v>1192</v>
      </c>
      <c r="E20" s="954" t="s">
        <v>1193</v>
      </c>
      <c r="F20" s="954" t="s">
        <v>1192</v>
      </c>
    </row>
    <row r="21" spans="1:6">
      <c r="A21" s="958" t="str">
        <f>IF(Eingabe!$E$3=$C$1,C21,IF(Eingabe!$E$3=$D$1,D21,IF(Eingabe!$E$3=$E$1,E21,IF(Eingabe!$E$3=$F$1,F21,NA()))))</f>
        <v>Mindestquerschnitt:</v>
      </c>
      <c r="C21" s="954" t="s">
        <v>1014</v>
      </c>
      <c r="D21" s="954" t="s">
        <v>1194</v>
      </c>
      <c r="E21" s="954" t="s">
        <v>1195</v>
      </c>
      <c r="F21" s="954" t="s">
        <v>1196</v>
      </c>
    </row>
    <row r="22" spans="1:6">
      <c r="A22" s="958" t="str">
        <f>IF(Eingabe!$E$3=$C$1,C22,IF(Eingabe!$E$3=$D$1,D22,IF(Eingabe!$E$3=$E$1,E22,IF(Eingabe!$E$3=$F$1,F22,NA()))))</f>
        <v>Hauptträger ist gegen Verdrehen zu sichern</v>
      </c>
      <c r="C22" s="954" t="s">
        <v>922</v>
      </c>
      <c r="D22" s="954" t="s">
        <v>1197</v>
      </c>
      <c r="E22" s="954" t="s">
        <v>1198</v>
      </c>
      <c r="F22" s="954" t="s">
        <v>1199</v>
      </c>
    </row>
    <row r="23" spans="1:6">
      <c r="A23" s="958" t="str">
        <f>IF(Eingabe!$E$3=$C$1,C23,IF(Eingabe!$E$3=$D$1,D23,IF(Eingabe!$E$3=$E$1,E23,IF(Eingabe!$E$3=$F$1,F23,NA()))))</f>
        <v>Nebenträger (Index J - Joist)</v>
      </c>
      <c r="C23" s="954" t="s">
        <v>926</v>
      </c>
      <c r="D23" s="954" t="s">
        <v>1200</v>
      </c>
      <c r="E23" s="954" t="s">
        <v>1201</v>
      </c>
      <c r="F23" s="954" t="s">
        <v>1202</v>
      </c>
    </row>
    <row r="24" spans="1:6">
      <c r="A24" s="958" t="str">
        <f>IF(Eingabe!$E$3=$C$1,C24,IF(Eingabe!$E$3=$D$1,D24,IF(Eingabe!$E$3=$E$1,E24,IF(Eingabe!$E$3=$F$1,F24,NA()))))</f>
        <v>Ausführung</v>
      </c>
      <c r="C24" s="954" t="s">
        <v>726</v>
      </c>
      <c r="D24" s="954" t="s">
        <v>1203</v>
      </c>
      <c r="E24" s="954" t="s">
        <v>1204</v>
      </c>
      <c r="F24" s="954" t="s">
        <v>1205</v>
      </c>
    </row>
    <row r="25" spans="1:6">
      <c r="A25" s="958" t="str">
        <f>IF(Eingabe!$E$3=$C$1,C25,IF(Eingabe!$E$3=$D$1,D25,IF(Eingabe!$E$3=$E$1,E25,IF(Eingabe!$E$3=$F$1,F25,NA()))))</f>
        <v>Nebenträger an Hauptträger</v>
      </c>
      <c r="C25" s="954" t="s">
        <v>677</v>
      </c>
      <c r="D25" s="954" t="s">
        <v>1206</v>
      </c>
      <c r="E25" s="954" t="s">
        <v>1207</v>
      </c>
      <c r="F25" s="954" t="s">
        <v>1208</v>
      </c>
    </row>
    <row r="26" spans="1:6">
      <c r="A26" s="958" t="str">
        <f>IF(Eingabe!$E$3=$C$1,C26,IF(Eingabe!$E$3=$D$1,D26,IF(Eingabe!$E$3=$E$1,E26,IF(Eingabe!$E$3=$F$1,F26,NA()))))</f>
        <v>Nebenträger an Stütze</v>
      </c>
      <c r="C26" s="954" t="s">
        <v>678</v>
      </c>
      <c r="D26" s="954" t="s">
        <v>1209</v>
      </c>
      <c r="E26" s="954" t="s">
        <v>1210</v>
      </c>
      <c r="F26" s="954" t="s">
        <v>1211</v>
      </c>
    </row>
    <row r="27" spans="1:6">
      <c r="A27" s="958" t="str">
        <f>IF(Eingabe!$E$3=$C$1,C27,IF(Eingabe!$E$3=$D$1,D27,IF(Eingabe!$E$3=$E$1,E27,IF(Eingabe!$E$3=$F$1,F27,NA()))))</f>
        <v>Nebenträger an Hauptträger-Seitenfläche</v>
      </c>
      <c r="C27" s="954" t="s">
        <v>739</v>
      </c>
      <c r="D27" s="954" t="s">
        <v>1212</v>
      </c>
      <c r="E27" s="954" t="s">
        <v>1213</v>
      </c>
      <c r="F27" s="954" t="s">
        <v>1214</v>
      </c>
    </row>
    <row r="28" spans="1:6">
      <c r="A28" s="958" t="str">
        <f>IF(Eingabe!$E$3=$C$1,C28,IF(Eingabe!$E$3=$D$1,D28,IF(Eingabe!$E$3=$E$1,E28,IF(Eingabe!$E$3=$F$1,F28,NA()))))</f>
        <v>Nebenträger an Stützen-Deckfläche</v>
      </c>
      <c r="C28" s="954" t="s">
        <v>741</v>
      </c>
      <c r="D28" s="954" t="s">
        <v>1215</v>
      </c>
      <c r="E28" s="954" t="s">
        <v>1216</v>
      </c>
      <c r="F28" s="954" t="s">
        <v>1217</v>
      </c>
    </row>
    <row r="29" spans="1:6">
      <c r="A29" s="958" t="str">
        <f>IF(Eingabe!$E$3=$C$1,C29,IF(Eingabe!$E$3=$D$1,D29,IF(Eingabe!$E$3=$E$1,E29,IF(Eingabe!$E$3=$F$1,F29,NA()))))</f>
        <v>Nebenträger an Stützen-Seitenfläche</v>
      </c>
      <c r="C29" s="954" t="s">
        <v>740</v>
      </c>
      <c r="D29" s="954" t="s">
        <v>1218</v>
      </c>
      <c r="E29" s="954" t="s">
        <v>1219</v>
      </c>
      <c r="F29" s="954" t="s">
        <v>1220</v>
      </c>
    </row>
    <row r="30" spans="1:6">
      <c r="A30" s="958" t="str">
        <f>IF(Eingabe!$E$3=$C$1,C30,IF(Eingabe!$E$3=$D$1,D30,IF(Eingabe!$E$3=$E$1,E30,IF(Eingabe!$E$3=$F$1,F30,NA()))))</f>
        <v>Deckfläche</v>
      </c>
      <c r="C30" s="954" t="s">
        <v>614</v>
      </c>
      <c r="D30" s="954" t="s">
        <v>1221</v>
      </c>
      <c r="E30" s="954" t="s">
        <v>1222</v>
      </c>
      <c r="F30" s="954" t="s">
        <v>1223</v>
      </c>
    </row>
    <row r="31" spans="1:6">
      <c r="A31" s="958" t="str">
        <f>IF(Eingabe!$E$3=$C$1,C31,IF(Eingabe!$E$3=$D$1,D31,IF(Eingabe!$E$3=$E$1,E31,IF(Eingabe!$E$3=$F$1,F31,NA()))))</f>
        <v>Seitenfläche</v>
      </c>
      <c r="C31" s="954" t="s">
        <v>613</v>
      </c>
      <c r="D31" s="954" t="s">
        <v>1224</v>
      </c>
      <c r="E31" s="954" t="s">
        <v>1225</v>
      </c>
      <c r="F31" s="954" t="s">
        <v>1226</v>
      </c>
    </row>
    <row r="32" spans="1:6">
      <c r="A32" s="958" t="str">
        <f>IF(Eingabe!$E$3=$C$1,C32,IF(Eingabe!$E$3=$D$1,D32,IF(Eingabe!$E$3=$E$1,E32,IF(Eingabe!$E$3=$F$1,F32,NA()))))</f>
        <v>Anschlusswinkel vertikal</v>
      </c>
      <c r="C32" s="954" t="s">
        <v>857</v>
      </c>
      <c r="D32" s="954" t="s">
        <v>1227</v>
      </c>
      <c r="E32" s="954" t="s">
        <v>1228</v>
      </c>
      <c r="F32" s="954" t="s">
        <v>1229</v>
      </c>
    </row>
    <row r="33" spans="1:6">
      <c r="A33" s="958" t="str">
        <f>IF(Eingabe!$E$3=$C$1,C33,IF(Eingabe!$E$3=$D$1,D33,IF(Eingabe!$E$3=$E$1,E33,IF(Eingabe!$E$3=$F$1,F33,NA()))))</f>
        <v>Anschlusswinkel horizontal</v>
      </c>
      <c r="C33" s="954" t="s">
        <v>858</v>
      </c>
      <c r="D33" s="954" t="s">
        <v>1230</v>
      </c>
      <c r="E33" s="954" t="s">
        <v>1231</v>
      </c>
      <c r="F33" s="954" t="s">
        <v>1232</v>
      </c>
    </row>
    <row r="34" spans="1:6">
      <c r="A34" s="958" t="str">
        <f>IF(Eingabe!$E$3=$C$1,C34,IF(Eingabe!$E$3=$D$1,D34,IF(Eingabe!$E$3=$E$1,E34,IF(Eingabe!$E$3=$F$1,F34,NA()))))</f>
        <v>Regelfall ohne Anschlusswinkel</v>
      </c>
      <c r="C34" s="954" t="s">
        <v>723</v>
      </c>
      <c r="D34" s="954" t="s">
        <v>1233</v>
      </c>
      <c r="E34" s="954" t="s">
        <v>1234</v>
      </c>
      <c r="F34" s="954" t="s">
        <v>1235</v>
      </c>
    </row>
    <row r="35" spans="1:6">
      <c r="A35" s="958" t="str">
        <f>IF(Eingabe!$E$3=$C$1,C35,IF(Eingabe!$E$3=$D$1,D35,IF(Eingabe!$E$3=$E$1,E35,IF(Eingabe!$E$3=$F$1,F35,NA()))))</f>
        <v>Abstand OK Nebenträger zu OK MEGANT-Verbinder</v>
      </c>
      <c r="C35" s="954" t="s">
        <v>1128</v>
      </c>
      <c r="D35" s="954" t="s">
        <v>1236</v>
      </c>
      <c r="E35" s="954" t="s">
        <v>1237</v>
      </c>
      <c r="F35" s="954" t="s">
        <v>1238</v>
      </c>
    </row>
    <row r="36" spans="1:6">
      <c r="A36" s="958" t="str">
        <f>IF(Eingabe!$E$3=$C$1,C36,IF(Eingabe!$E$3=$D$1,D36,IF(Eingabe!$E$3=$E$1,E36,IF(Eingabe!$E$3=$F$1,F36,NA()))))</f>
        <v>Schrauben oder Verbinder stehen über Nebenträgeraußenfläche über.</v>
      </c>
      <c r="C36" s="954" t="s">
        <v>1145</v>
      </c>
      <c r="D36" s="954" t="s">
        <v>1239</v>
      </c>
      <c r="E36" s="954" t="s">
        <v>1240</v>
      </c>
      <c r="F36" s="954" t="s">
        <v>1241</v>
      </c>
    </row>
    <row r="37" spans="1:6">
      <c r="A37" s="958" t="str">
        <f>IF(Eingabe!$E$3=$C$1,C37,IF(Eingabe!$E$3=$D$1,D37,IF(Eingabe!$E$3=$E$1,E37,IF(Eingabe!$E$3=$F$1,F37,NA()))))</f>
        <v>Teilsicherheitsbeiwerte</v>
      </c>
      <c r="C37" s="954" t="s">
        <v>1069</v>
      </c>
      <c r="D37" s="954" t="s">
        <v>1242</v>
      </c>
      <c r="E37" s="954" t="s">
        <v>1243</v>
      </c>
      <c r="F37" s="954" t="s">
        <v>1244</v>
      </c>
    </row>
    <row r="38" spans="1:6">
      <c r="A38" s="958" t="str">
        <f>IF(Eingabe!$E$3=$C$1,C38,IF(Eingabe!$E$3=$D$1,D38,IF(Eingabe!$E$3=$E$1,E38,IF(Eingabe!$E$3=$F$1,F38,NA()))))</f>
        <v>Holz</v>
      </c>
      <c r="C38" s="954" t="s">
        <v>1068</v>
      </c>
      <c r="D38" s="954" t="s">
        <v>1245</v>
      </c>
      <c r="E38" s="954" t="s">
        <v>1246</v>
      </c>
      <c r="F38" s="954" t="s">
        <v>1247</v>
      </c>
    </row>
    <row r="39" spans="1:6" s="956" customFormat="1">
      <c r="A39" s="960" t="str">
        <f>IF(Eingabe!$E$3=$C$1,C39,IF(Eingabe!$E$3=$D$1,D39,IF(Eingabe!$E$3=$E$1,E39,IF(Eingabe!$E$3=$F$1,F39,NA()))))</f>
        <v>Stahl</v>
      </c>
      <c r="C39" s="961" t="s">
        <v>1067</v>
      </c>
      <c r="D39" s="961" t="s">
        <v>1248</v>
      </c>
      <c r="E39" s="961" t="s">
        <v>1249</v>
      </c>
      <c r="F39" s="961" t="s">
        <v>1250</v>
      </c>
    </row>
    <row r="40" spans="1:6">
      <c r="A40" s="958" t="str">
        <f>IF(Eingabe!$E$3=$C$1,C40,IF(Eingabe!$E$3=$D$1,D40,IF(Eingabe!$E$3=$E$1,E40,IF(Eingabe!$E$3=$F$1,F40,NA()))))</f>
        <v>Auswahl MEGANT-Verbinder und Schrauben</v>
      </c>
      <c r="C40" s="954" t="s">
        <v>876</v>
      </c>
      <c r="D40" s="954" t="s">
        <v>1251</v>
      </c>
      <c r="E40" s="954" t="s">
        <v>1252</v>
      </c>
      <c r="F40" s="954" t="s">
        <v>1253</v>
      </c>
    </row>
    <row r="41" spans="1:6">
      <c r="A41" s="958" t="str">
        <f>IF(Eingabe!$E$3=$C$1,C41,IF(Eingabe!$E$3=$D$1,D41,IF(Eingabe!$E$3=$E$1,E41,IF(Eingabe!$E$3=$F$1,F41,NA()))))</f>
        <v>MEGANT-Verbinder</v>
      </c>
      <c r="C41" s="954" t="s">
        <v>476</v>
      </c>
      <c r="D41" s="954" t="s">
        <v>1254</v>
      </c>
      <c r="E41" s="954" t="s">
        <v>1255</v>
      </c>
      <c r="F41" s="954" t="s">
        <v>1256</v>
      </c>
    </row>
    <row r="42" spans="1:6">
      <c r="A42" s="958" t="str">
        <f>IF(Eingabe!$E$3=$C$1,C42,IF(Eingabe!$E$3=$D$1,D42,IF(Eingabe!$E$3=$E$1,E42,IF(Eingabe!$E$3=$F$1,F42,NA()))))</f>
        <v>Anschluss der unteren Spannbacke im</v>
      </c>
      <c r="C42" s="954" t="s">
        <v>859</v>
      </c>
      <c r="D42" s="954" t="s">
        <v>1257</v>
      </c>
      <c r="E42" s="954" t="s">
        <v>1258</v>
      </c>
      <c r="F42" s="954" t="s">
        <v>1259</v>
      </c>
    </row>
    <row r="43" spans="1:6">
      <c r="A43" s="958" t="str">
        <f>IF(Eingabe!$E$3=$C$1,C43,IF(Eingabe!$E$3=$D$1,D43,IF(Eingabe!$E$3=$E$1,E43,IF(Eingabe!$E$3=$F$1,F43,NA()))))</f>
        <v>Hauptträger/Stütze</v>
      </c>
      <c r="C43" s="954" t="s">
        <v>1118</v>
      </c>
      <c r="D43" s="954" t="s">
        <v>1260</v>
      </c>
      <c r="E43" s="954" t="s">
        <v>1261</v>
      </c>
      <c r="F43" s="954" t="s">
        <v>1262</v>
      </c>
    </row>
    <row r="44" spans="1:6">
      <c r="A44" s="958" t="str">
        <f>IF(Eingabe!$E$3=$C$1,C44,IF(Eingabe!$E$3=$D$1,D44,IF(Eingabe!$E$3=$E$1,E44,IF(Eingabe!$E$3=$F$1,F44,NA()))))</f>
        <v>Nebenträger</v>
      </c>
      <c r="C44" s="954" t="s">
        <v>95</v>
      </c>
      <c r="D44" s="954" t="s">
        <v>1263</v>
      </c>
      <c r="E44" s="954" t="s">
        <v>1264</v>
      </c>
      <c r="F44" s="954" t="s">
        <v>1265</v>
      </c>
    </row>
    <row r="45" spans="1:6">
      <c r="A45" s="958" t="str">
        <f>IF(Eingabe!$E$3=$C$1,C45,IF(Eingabe!$E$3=$D$1,D45,IF(Eingabe!$E$3=$E$1,E45,IF(Eingabe!$E$3=$F$1,F45,NA()))))</f>
        <v>untere Spannbacke im Hauptträger/Stütze</v>
      </c>
      <c r="C45" s="954" t="s">
        <v>1119</v>
      </c>
      <c r="D45" s="954" t="s">
        <v>1266</v>
      </c>
      <c r="E45" s="954" t="s">
        <v>1267</v>
      </c>
      <c r="F45" s="954" t="s">
        <v>1268</v>
      </c>
    </row>
    <row r="46" spans="1:6">
      <c r="A46" s="958" t="str">
        <f>IF(Eingabe!$E$3=$C$1,C46,IF(Eingabe!$E$3=$D$1,D46,IF(Eingabe!$E$3=$E$1,E46,IF(Eingabe!$E$3=$F$1,F46,NA()))))</f>
        <v>untere Spannbacke im Nebenträger</v>
      </c>
      <c r="C46" s="954" t="s">
        <v>952</v>
      </c>
      <c r="D46" s="954" t="s">
        <v>1269</v>
      </c>
      <c r="E46" s="954" t="s">
        <v>1270</v>
      </c>
      <c r="F46" s="954" t="s">
        <v>1271</v>
      </c>
    </row>
    <row r="47" spans="1:6">
      <c r="A47" s="958" t="str">
        <f>IF(Eingabe!$E$3=$C$1,C47,IF(Eingabe!$E$3=$D$1,D47,IF(Eingabe!$E$3=$E$1,E47,IF(Eingabe!$E$3=$F$1,F47,NA()))))</f>
        <v>Schraubenanordnung</v>
      </c>
      <c r="C47" s="954" t="s">
        <v>878</v>
      </c>
      <c r="D47" s="954" t="s">
        <v>1272</v>
      </c>
      <c r="E47" s="954" t="s">
        <v>1273</v>
      </c>
      <c r="F47" s="954" t="s">
        <v>1274</v>
      </c>
    </row>
    <row r="48" spans="1:6">
      <c r="A48" s="958" t="str">
        <f>IF(Eingabe!$E$3=$C$1,C48,IF(Eingabe!$E$3=$D$1,D48,IF(Eingabe!$E$3=$E$1,E48,IF(Eingabe!$E$3=$F$1,F48,NA()))))</f>
        <v>Anzahl</v>
      </c>
      <c r="C48" s="954" t="s">
        <v>875</v>
      </c>
      <c r="D48" s="954" t="s">
        <v>1275</v>
      </c>
      <c r="E48" s="954" t="s">
        <v>1276</v>
      </c>
      <c r="F48" s="954" t="s">
        <v>1277</v>
      </c>
    </row>
    <row r="49" spans="1:6">
      <c r="A49" s="958" t="str">
        <f>IF(Eingabe!$E$3=$C$1,C49,IF(Eingabe!$E$3=$D$1,D49,IF(Eingabe!$E$3=$E$1,E49,IF(Eingabe!$E$3=$F$1,F49,NA()))))</f>
        <v>Schraubentyp und -abmessungen</v>
      </c>
      <c r="C49" s="954" t="s">
        <v>877</v>
      </c>
      <c r="D49" s="954" t="s">
        <v>1278</v>
      </c>
      <c r="E49" s="954" t="s">
        <v>1279</v>
      </c>
      <c r="F49" s="954" t="s">
        <v>1280</v>
      </c>
    </row>
    <row r="50" spans="1:6">
      <c r="A50" s="958" t="str">
        <f>IF(Eingabe!$E$3=$C$1,C50,IF(Eingabe!$E$3=$D$1,D50,IF(Eingabe!$E$3=$E$1,E50,IF(Eingabe!$E$3=$F$1,F50,NA()))))</f>
        <v>45° Schrauben Hauptträger</v>
      </c>
      <c r="C50" s="954" t="s">
        <v>729</v>
      </c>
      <c r="D50" s="954" t="s">
        <v>1281</v>
      </c>
      <c r="E50" s="954" t="s">
        <v>1282</v>
      </c>
      <c r="F50" s="954" t="s">
        <v>1283</v>
      </c>
    </row>
    <row r="51" spans="1:6">
      <c r="A51" s="958" t="str">
        <f>IF(Eingabe!$E$3=$C$1,C51,IF(Eingabe!$E$3=$D$1,D51,IF(Eingabe!$E$3=$E$1,E51,IF(Eingabe!$E$3=$F$1,F51,NA()))))</f>
        <v>90° Schrauben Hauptträger</v>
      </c>
      <c r="C51" s="954" t="s">
        <v>730</v>
      </c>
      <c r="D51" s="954" t="s">
        <v>1284</v>
      </c>
      <c r="E51" s="954" t="s">
        <v>1285</v>
      </c>
      <c r="F51" s="954" t="s">
        <v>1286</v>
      </c>
    </row>
    <row r="52" spans="1:6">
      <c r="A52" s="958" t="str">
        <f>IF(Eingabe!$E$3=$C$1,C52,IF(Eingabe!$E$3=$D$1,D52,IF(Eingabe!$E$3=$E$1,E52,IF(Eingabe!$E$3=$F$1,F52,NA()))))</f>
        <v>45° Schrauben Stütze</v>
      </c>
      <c r="C52" s="954" t="s">
        <v>1121</v>
      </c>
      <c r="D52" s="954" t="s">
        <v>1287</v>
      </c>
      <c r="E52" s="954" t="s">
        <v>1288</v>
      </c>
      <c r="F52" s="954" t="s">
        <v>1289</v>
      </c>
    </row>
    <row r="53" spans="1:6">
      <c r="A53" s="958" t="str">
        <f>IF(Eingabe!$E$3=$C$1,C53,IF(Eingabe!$E$3=$D$1,D53,IF(Eingabe!$E$3=$E$1,E53,IF(Eingabe!$E$3=$F$1,F53,NA()))))</f>
        <v>90° Schrauben Stütze</v>
      </c>
      <c r="C53" s="954" t="s">
        <v>1122</v>
      </c>
      <c r="D53" s="954" t="s">
        <v>1290</v>
      </c>
      <c r="E53" s="954" t="s">
        <v>1291</v>
      </c>
      <c r="F53" s="954" t="s">
        <v>1292</v>
      </c>
    </row>
    <row r="54" spans="1:6">
      <c r="A54" s="958" t="str">
        <f>IF(Eingabe!$E$3=$C$1,C54,IF(Eingabe!$E$3=$D$1,D54,IF(Eingabe!$E$3=$E$1,E54,IF(Eingabe!$E$3=$F$1,F54,NA()))))</f>
        <v>45° Schrauben Nebenträger</v>
      </c>
      <c r="C54" s="954" t="s">
        <v>731</v>
      </c>
      <c r="D54" s="954" t="s">
        <v>1293</v>
      </c>
      <c r="E54" s="954" t="s">
        <v>1294</v>
      </c>
      <c r="F54" s="954" t="s">
        <v>1295</v>
      </c>
    </row>
    <row r="55" spans="1:6">
      <c r="A55" s="958" t="str">
        <f>IF(Eingabe!$E$3=$C$1,C55,IF(Eingabe!$E$3=$D$1,D55,IF(Eingabe!$E$3=$E$1,E55,IF(Eingabe!$E$3=$F$1,F55,NA()))))</f>
        <v>0° Schrauben Nebenträger</v>
      </c>
      <c r="C55" s="954" t="s">
        <v>732</v>
      </c>
      <c r="D55" s="954" t="s">
        <v>1296</v>
      </c>
      <c r="E55" s="954" t="s">
        <v>1297</v>
      </c>
      <c r="F55" s="954" t="s">
        <v>1298</v>
      </c>
    </row>
    <row r="56" spans="1:6" s="956" customFormat="1">
      <c r="A56" s="960" t="str">
        <f>IF(Eingabe!$E$3=$C$1,C56,IF(Eingabe!$E$3=$D$1,D56,IF(Eingabe!$E$3=$E$1,E56,IF(Eingabe!$E$3=$F$1,F56,NA()))))</f>
        <v>Gewindestangen</v>
      </c>
      <c r="C56" s="961" t="s">
        <v>383</v>
      </c>
      <c r="D56" s="961" t="s">
        <v>1299</v>
      </c>
      <c r="E56" s="961" t="s">
        <v>1300</v>
      </c>
      <c r="F56" s="961" t="s">
        <v>1301</v>
      </c>
    </row>
    <row r="57" spans="1:6">
      <c r="A57" s="958" t="str">
        <f>IF(Eingabe!$E$3=$C$1,C57,IF(Eingabe!$E$3=$D$1,D57,IF(Eingabe!$E$3=$E$1,E57,IF(Eingabe!$E$3=$F$1,F57,NA()))))</f>
        <v>Hinweise</v>
      </c>
      <c r="C57" s="954" t="s">
        <v>462</v>
      </c>
      <c r="D57" s="954" t="s">
        <v>1302</v>
      </c>
      <c r="E57" s="954" t="s">
        <v>1303</v>
      </c>
      <c r="F57" s="954" t="s">
        <v>1304</v>
      </c>
    </row>
    <row r="58" spans="1:6">
      <c r="A58" s="958" t="str">
        <f>IF(Eingabe!$E$3=$C$1,C58,IF(Eingabe!$E$3=$D$1,D58,IF(Eingabe!$E$3=$E$1,E58,IF(Eingabe!$E$3=$F$1,F58,NA()))))</f>
        <v>Die Berechnung erfolgt für Nebenträger mit gleichen MEGANT-Verbindern an beiden Endauflagern (siehe Abbildung statisches System).</v>
      </c>
      <c r="C58" s="954" t="s">
        <v>872</v>
      </c>
      <c r="D58" s="954" t="s">
        <v>1305</v>
      </c>
      <c r="E58" s="954" t="s">
        <v>1306</v>
      </c>
      <c r="F58" s="954" t="s">
        <v>1307</v>
      </c>
    </row>
    <row r="59" spans="1:6">
      <c r="A59" s="958" t="str">
        <f>IF(Eingabe!$E$3=$C$1,C59,IF(Eingabe!$E$3=$D$1,D59,IF(Eingabe!$E$3=$E$1,E59,IF(Eingabe!$E$3=$F$1,F59,NA()))))</f>
        <v>Die Nachweise werden für das maßgebende Auflager geführt.</v>
      </c>
      <c r="C59" s="954" t="s">
        <v>871</v>
      </c>
      <c r="D59" s="954" t="s">
        <v>1308</v>
      </c>
      <c r="E59" s="954" t="s">
        <v>1309</v>
      </c>
      <c r="F59" s="954" t="s">
        <v>1310</v>
      </c>
    </row>
    <row r="60" spans="1:6" s="956" customFormat="1">
      <c r="A60" s="960" t="str">
        <f>IF(Eingabe!$E$3=$C$1,C60,IF(Eingabe!$E$3=$D$1,D60,IF(Eingabe!$E$3=$E$1,E60,IF(Eingabe!$E$3=$F$1,F60,NA()))))</f>
        <v>In Laubholz und BauBuche sind Schrauben mit l_ef &gt; 48mm vorzubohren (ETA 14/0354).</v>
      </c>
      <c r="C60" s="961" t="s">
        <v>2399</v>
      </c>
      <c r="D60" s="961" t="s">
        <v>2400</v>
      </c>
      <c r="E60" s="961" t="s">
        <v>2401</v>
      </c>
      <c r="F60" s="961" t="s">
        <v>2402</v>
      </c>
    </row>
    <row r="61" spans="1:6">
      <c r="A61" s="958" t="str">
        <f>IF(Eingabe!$E$3=$C$1,C61,IF(Eingabe!$E$3=$D$1,D61,IF(Eingabe!$E$3=$E$1,E61,IF(Eingabe!$E$3=$F$1,F61,NA()))))</f>
        <v>Nutzungsklasse und Einwirkungskategorien</v>
      </c>
      <c r="C61" s="954" t="s">
        <v>873</v>
      </c>
      <c r="D61" s="954" t="s">
        <v>1311</v>
      </c>
      <c r="E61" s="954" t="s">
        <v>1312</v>
      </c>
      <c r="F61" s="954" t="s">
        <v>1313</v>
      </c>
    </row>
    <row r="62" spans="1:6">
      <c r="A62" s="958" t="str">
        <f>IF(Eingabe!$E$3=$C$1,C62,IF(Eingabe!$E$3=$D$1,D62,IF(Eingabe!$E$3=$E$1,E62,IF(Eingabe!$E$3=$F$1,F62,NA()))))</f>
        <v xml:space="preserve">Nach DIN EN 1995-1-1:2010-12 mit NA Deutschland </v>
      </c>
      <c r="C62" s="954" t="s">
        <v>1059</v>
      </c>
      <c r="D62" s="954" t="s">
        <v>1314</v>
      </c>
      <c r="E62" s="954" t="s">
        <v>1315</v>
      </c>
      <c r="F62" s="954" t="s">
        <v>1316</v>
      </c>
    </row>
    <row r="63" spans="1:6">
      <c r="A63" s="958" t="str">
        <f>IF(Eingabe!$E$3=$C$1,C63,IF(Eingabe!$E$3=$D$1,D63,IF(Eingabe!$E$3=$E$1,E63,IF(Eingabe!$E$3=$F$1,F63,NA()))))</f>
        <v>Nutzungsklasse</v>
      </c>
      <c r="C63" s="954" t="s">
        <v>432</v>
      </c>
      <c r="D63" s="954" t="s">
        <v>1317</v>
      </c>
      <c r="E63" s="954" t="s">
        <v>1318</v>
      </c>
      <c r="F63" s="954" t="s">
        <v>1319</v>
      </c>
    </row>
    <row r="64" spans="1:6">
      <c r="A64" s="958" t="str">
        <f>IF(Eingabe!$E$3=$C$1,C64,IF(Eingabe!$E$3=$D$1,D64,IF(Eingabe!$E$3=$E$1,E64,IF(Eingabe!$E$3=$F$1,F64,NA()))))</f>
        <v>Einwirkungskategorien</v>
      </c>
      <c r="C64" s="954" t="s">
        <v>463</v>
      </c>
      <c r="D64" s="954" t="s">
        <v>1320</v>
      </c>
      <c r="E64" s="954" t="s">
        <v>1321</v>
      </c>
      <c r="F64" s="954" t="s">
        <v>1322</v>
      </c>
    </row>
    <row r="65" spans="1:6">
      <c r="A65" s="958" t="str">
        <f>IF(Eingabe!$E$3=$C$1,C65,IF(Eingabe!$E$3=$D$1,D65,IF(Eingabe!$E$3=$E$1,E65,IF(Eingabe!$E$3=$F$1,F65,NA()))))</f>
        <v>KLED</v>
      </c>
      <c r="C65" s="954" t="s">
        <v>292</v>
      </c>
      <c r="D65" s="954" t="s">
        <v>1323</v>
      </c>
      <c r="E65" s="954" t="s">
        <v>1324</v>
      </c>
      <c r="F65" s="954" t="s">
        <v>1325</v>
      </c>
    </row>
    <row r="66" spans="1:6">
      <c r="A66" s="958" t="str">
        <f>IF(Eingabe!$E$3=$C$1,C66,IF(Eingabe!$E$3=$D$1,D66,IF(Eingabe!$E$3=$E$1,E66,IF(Eingabe!$E$3=$F$1,F66,NA()))))</f>
        <v>Eigenlasten</v>
      </c>
      <c r="C66" s="954" t="s">
        <v>467</v>
      </c>
      <c r="D66" s="954" t="s">
        <v>1326</v>
      </c>
      <c r="E66" s="954" t="s">
        <v>1327</v>
      </c>
      <c r="F66" s="954" t="s">
        <v>1328</v>
      </c>
    </row>
    <row r="67" spans="1:6">
      <c r="A67" s="958" t="str">
        <f>IF(Eingabe!$E$3=$C$1,C67,IF(Eingabe!$E$3=$D$1,D67,IF(Eingabe!$E$3=$E$1,E67,IF(Eingabe!$E$3=$F$1,F67,NA()))))</f>
        <v>Nutzlast Kat. A: Wohnraum</v>
      </c>
      <c r="C67" s="954" t="s">
        <v>305</v>
      </c>
      <c r="D67" s="954" t="s">
        <v>1329</v>
      </c>
      <c r="E67" s="954" t="s">
        <v>1330</v>
      </c>
      <c r="F67" s="954" t="s">
        <v>1331</v>
      </c>
    </row>
    <row r="68" spans="1:6">
      <c r="A68" s="958" t="str">
        <f>IF(Eingabe!$E$3=$C$1,C68,IF(Eingabe!$E$3=$D$1,D68,IF(Eingabe!$E$3=$E$1,E68,IF(Eingabe!$E$3=$F$1,F68,NA()))))</f>
        <v>Nutzlast Kat. B: Büro</v>
      </c>
      <c r="C68" s="954" t="s">
        <v>306</v>
      </c>
      <c r="D68" s="954" t="s">
        <v>1332</v>
      </c>
      <c r="E68" s="954" t="s">
        <v>1333</v>
      </c>
      <c r="F68" s="954" t="s">
        <v>1334</v>
      </c>
    </row>
    <row r="69" spans="1:6">
      <c r="A69" s="958" t="str">
        <f>IF(Eingabe!$E$3=$C$1,C69,IF(Eingabe!$E$3=$D$1,D69,IF(Eingabe!$E$3=$E$1,E69,IF(Eingabe!$E$3=$F$1,F69,NA()))))</f>
        <v>Nutzlast Kat. C: Versammlungsraum</v>
      </c>
      <c r="C69" s="954" t="s">
        <v>307</v>
      </c>
      <c r="D69" s="954" t="s">
        <v>1335</v>
      </c>
      <c r="E69" s="954" t="s">
        <v>1336</v>
      </c>
      <c r="F69" s="954" t="s">
        <v>1337</v>
      </c>
    </row>
    <row r="70" spans="1:6">
      <c r="A70" s="958" t="str">
        <f>IF(Eingabe!$E$3=$C$1,C70,IF(Eingabe!$E$3=$D$1,D70,IF(Eingabe!$E$3=$E$1,E70,IF(Eingabe!$E$3=$F$1,F70,NA()))))</f>
        <v>Nutzlast Kat. D: Verkaufsraum</v>
      </c>
      <c r="C70" s="954" t="s">
        <v>308</v>
      </c>
      <c r="D70" s="954" t="s">
        <v>1338</v>
      </c>
      <c r="E70" s="954" t="s">
        <v>1339</v>
      </c>
      <c r="F70" s="954" t="s">
        <v>1340</v>
      </c>
    </row>
    <row r="71" spans="1:6">
      <c r="A71" s="958" t="str">
        <f>IF(Eingabe!$E$3=$C$1,C71,IF(Eingabe!$E$3=$D$1,D71,IF(Eingabe!$E$3=$E$1,E71,IF(Eingabe!$E$3=$F$1,F71,NA()))))</f>
        <v>Nutzlast Kat. E: Lagerraum</v>
      </c>
      <c r="C71" s="954" t="s">
        <v>309</v>
      </c>
      <c r="D71" s="954" t="s">
        <v>1341</v>
      </c>
      <c r="E71" s="954" t="s">
        <v>1342</v>
      </c>
      <c r="F71" s="954" t="s">
        <v>1343</v>
      </c>
    </row>
    <row r="72" spans="1:6">
      <c r="A72" s="958" t="str">
        <f>IF(Eingabe!$E$3=$C$1,C72,IF(Eingabe!$E$3=$D$1,D72,IF(Eingabe!$E$3=$E$1,E72,IF(Eingabe!$E$3=$F$1,F72,NA()))))</f>
        <v>Nutzlast Kat. F: Verkehrsflächen leicht</v>
      </c>
      <c r="C72" s="954" t="s">
        <v>310</v>
      </c>
      <c r="D72" s="954" t="s">
        <v>1344</v>
      </c>
      <c r="E72" s="954" t="s">
        <v>1345</v>
      </c>
      <c r="F72" s="954" t="s">
        <v>1346</v>
      </c>
    </row>
    <row r="73" spans="1:6">
      <c r="A73" s="958" t="str">
        <f>IF(Eingabe!$E$3=$C$1,C73,IF(Eingabe!$E$3=$D$1,D73,IF(Eingabe!$E$3=$E$1,E73,IF(Eingabe!$E$3=$F$1,F73,NA()))))</f>
        <v>Nutzlast Kat. G: Verkehrsflächen schwer</v>
      </c>
      <c r="C73" s="954" t="s">
        <v>311</v>
      </c>
      <c r="D73" s="954" t="s">
        <v>1347</v>
      </c>
      <c r="E73" s="954" t="s">
        <v>1348</v>
      </c>
      <c r="F73" s="954" t="s">
        <v>1349</v>
      </c>
    </row>
    <row r="74" spans="1:6">
      <c r="A74" s="958" t="str">
        <f>IF(Eingabe!$E$3=$C$1,C74,IF(Eingabe!$E$3=$D$1,D74,IF(Eingabe!$E$3=$E$1,E74,IF(Eingabe!$E$3=$F$1,F74,NA()))))</f>
        <v>Nutzlast Kat. H: Dächer</v>
      </c>
      <c r="C74" s="954" t="s">
        <v>312</v>
      </c>
      <c r="D74" s="954" t="s">
        <v>1350</v>
      </c>
      <c r="E74" s="954" t="s">
        <v>1351</v>
      </c>
      <c r="F74" s="954" t="s">
        <v>1352</v>
      </c>
    </row>
    <row r="75" spans="1:6">
      <c r="A75" s="958" t="str">
        <f>IF(Eingabe!$E$3=$C$1,C75,IF(Eingabe!$E$3=$D$1,D75,IF(Eingabe!$E$3=$E$1,E75,IF(Eingabe!$E$3=$F$1,F75,NA()))))</f>
        <v>Schneelast bis 1.000 m</v>
      </c>
      <c r="C75" s="954" t="s">
        <v>313</v>
      </c>
      <c r="D75" s="954" t="s">
        <v>1353</v>
      </c>
      <c r="E75" s="954" t="s">
        <v>1354</v>
      </c>
      <c r="F75" s="954" t="s">
        <v>1355</v>
      </c>
    </row>
    <row r="76" spans="1:6">
      <c r="A76" s="958" t="str">
        <f>IF(Eingabe!$E$3=$C$1,C76,IF(Eingabe!$E$3=$D$1,D76,IF(Eingabe!$E$3=$E$1,E76,IF(Eingabe!$E$3=$F$1,F76,NA()))))</f>
        <v>Schneelast ab 1.000 m</v>
      </c>
      <c r="C76" s="954" t="s">
        <v>314</v>
      </c>
      <c r="D76" s="954" t="s">
        <v>1356</v>
      </c>
      <c r="E76" s="954" t="s">
        <v>1357</v>
      </c>
      <c r="F76" s="954" t="s">
        <v>1358</v>
      </c>
    </row>
    <row r="77" spans="1:6">
      <c r="A77" s="958" t="str">
        <f>IF(Eingabe!$E$3=$C$1,C77,IF(Eingabe!$E$3=$D$1,D77,IF(Eingabe!$E$3=$E$1,E77,IF(Eingabe!$E$3=$F$1,F77,NA()))))</f>
        <v>Windlast</v>
      </c>
      <c r="C77" s="954" t="s">
        <v>315</v>
      </c>
      <c r="D77" s="954" t="s">
        <v>1359</v>
      </c>
      <c r="E77" s="954" t="s">
        <v>1360</v>
      </c>
      <c r="F77" s="954" t="s">
        <v>1361</v>
      </c>
    </row>
    <row r="78" spans="1:6">
      <c r="A78" s="958" t="str">
        <f>IF(Eingabe!$E$3=$C$1,C78,IF(Eingabe!$E$3=$D$1,D78,IF(Eingabe!$E$3=$E$1,E78,IF(Eingabe!$E$3=$F$1,F78,NA()))))</f>
        <v>ständig</v>
      </c>
      <c r="C78" s="954" t="s">
        <v>294</v>
      </c>
      <c r="D78" s="954" t="s">
        <v>1362</v>
      </c>
      <c r="E78" s="954" t="s">
        <v>1362</v>
      </c>
      <c r="F78" s="954" t="s">
        <v>1363</v>
      </c>
    </row>
    <row r="79" spans="1:6">
      <c r="A79" s="958" t="str">
        <f>IF(Eingabe!$E$3=$C$1,C79,IF(Eingabe!$E$3=$D$1,D79,IF(Eingabe!$E$3=$E$1,E79,IF(Eingabe!$E$3=$F$1,F79,NA()))))</f>
        <v>lang</v>
      </c>
      <c r="C79" s="954" t="s">
        <v>295</v>
      </c>
      <c r="D79" s="954" t="s">
        <v>1364</v>
      </c>
      <c r="E79" s="954" t="s">
        <v>1365</v>
      </c>
      <c r="F79" s="954" t="s">
        <v>1366</v>
      </c>
    </row>
    <row r="80" spans="1:6">
      <c r="A80" s="958" t="str">
        <f>IF(Eingabe!$E$3=$C$1,C80,IF(Eingabe!$E$3=$D$1,D80,IF(Eingabe!$E$3=$E$1,E80,IF(Eingabe!$E$3=$F$1,F80,NA()))))</f>
        <v>mittel</v>
      </c>
      <c r="C80" s="954" t="s">
        <v>296</v>
      </c>
      <c r="D80" s="954" t="s">
        <v>1367</v>
      </c>
      <c r="E80" s="954" t="s">
        <v>1368</v>
      </c>
      <c r="F80" s="954" t="s">
        <v>1369</v>
      </c>
    </row>
    <row r="81" spans="1:6">
      <c r="A81" s="958" t="str">
        <f>IF(Eingabe!$E$3=$C$1,C81,IF(Eingabe!$E$3=$D$1,D81,IF(Eingabe!$E$3=$E$1,E81,IF(Eingabe!$E$3=$F$1,F81,NA()))))</f>
        <v>kurz</v>
      </c>
      <c r="C81" s="954" t="s">
        <v>297</v>
      </c>
      <c r="D81" s="954" t="s">
        <v>1370</v>
      </c>
      <c r="E81" s="954" t="s">
        <v>1371</v>
      </c>
      <c r="F81" s="954" t="s">
        <v>1372</v>
      </c>
    </row>
    <row r="82" spans="1:6">
      <c r="A82" s="958" t="str">
        <f>IF(Eingabe!$E$3=$C$1,C82,IF(Eingabe!$E$3=$D$1,D82,IF(Eingabe!$E$3=$E$1,E82,IF(Eingabe!$E$3=$F$1,F82,NA()))))</f>
        <v>kurz/sehr kurz</v>
      </c>
      <c r="C82" s="954" t="s">
        <v>298</v>
      </c>
      <c r="D82" s="954" t="s">
        <v>1373</v>
      </c>
      <c r="E82" s="954" t="s">
        <v>1374</v>
      </c>
      <c r="F82" s="954" t="s">
        <v>1375</v>
      </c>
    </row>
    <row r="83" spans="1:6" s="956" customFormat="1">
      <c r="A83" s="960" t="str">
        <f>IF(Eingabe!$E$3=$C$1,C83,IF(Eingabe!$E$3=$D$1,D83,IF(Eingabe!$E$3=$E$1,E83,IF(Eingabe!$E$3=$F$1,F83,NA()))))</f>
        <v>sehr kurz</v>
      </c>
      <c r="C83" s="961" t="s">
        <v>299</v>
      </c>
      <c r="D83" s="961" t="s">
        <v>1376</v>
      </c>
      <c r="E83" s="961" t="s">
        <v>1377</v>
      </c>
      <c r="F83" s="961" t="s">
        <v>1378</v>
      </c>
    </row>
    <row r="84" spans="1:6">
      <c r="A84" s="958" t="str">
        <f>IF(Eingabe!$E$3=$C$1,C84,IF(Eingabe!$E$3=$D$1,D84,IF(Eingabe!$E$3=$E$1,E84,IF(Eingabe!$E$3=$F$1,F84,NA()))))</f>
        <v>Statisches System und Einwirkung auf Nebenträger</v>
      </c>
      <c r="C84" s="954" t="s">
        <v>751</v>
      </c>
      <c r="D84" s="954" t="s">
        <v>1379</v>
      </c>
      <c r="E84" s="954" t="s">
        <v>1380</v>
      </c>
      <c r="F84" s="954" t="s">
        <v>1381</v>
      </c>
    </row>
    <row r="85" spans="1:6">
      <c r="A85" s="958" t="str">
        <f>IF(Eingabe!$E$3=$C$1,C85,IF(Eingabe!$E$3=$D$1,D85,IF(Eingabe!$E$3=$E$1,E85,IF(Eingabe!$E$3=$F$1,F85,NA()))))</f>
        <v>Anordnung MEGANT-Verbinder</v>
      </c>
      <c r="C85" s="954" t="s">
        <v>967</v>
      </c>
      <c r="D85" s="954" t="s">
        <v>1382</v>
      </c>
      <c r="E85" s="954" t="s">
        <v>1383</v>
      </c>
      <c r="F85" s="954" t="s">
        <v>1384</v>
      </c>
    </row>
    <row r="86" spans="1:6">
      <c r="A86" s="958" t="str">
        <f>IF(Eingabe!$E$3=$C$1,C86,IF(Eingabe!$E$3=$D$1,D86,IF(Eingabe!$E$3=$E$1,E86,IF(Eingabe!$E$3=$F$1,F86,NA()))))</f>
        <v>einseitig</v>
      </c>
      <c r="C86" s="954" t="s">
        <v>968</v>
      </c>
      <c r="D86" s="954" t="s">
        <v>1385</v>
      </c>
      <c r="E86" s="954" t="s">
        <v>1386</v>
      </c>
      <c r="F86" s="954" t="s">
        <v>1387</v>
      </c>
    </row>
    <row r="87" spans="1:6">
      <c r="A87" s="958" t="str">
        <f>IF(Eingabe!$E$3=$C$1,C87,IF(Eingabe!$E$3=$D$1,D87,IF(Eingabe!$E$3=$E$1,E87,IF(Eingabe!$E$3=$F$1,F87,NA()))))</f>
        <v>beidseitig</v>
      </c>
      <c r="C87" s="954" t="s">
        <v>969</v>
      </c>
      <c r="D87" s="954" t="s">
        <v>1388</v>
      </c>
      <c r="E87" s="954" t="s">
        <v>1389</v>
      </c>
      <c r="F87" s="954" t="s">
        <v>1390</v>
      </c>
    </row>
    <row r="88" spans="1:6">
      <c r="A88" s="958" t="str">
        <f>IF(Eingabe!$E$3=$C$1,C88,IF(Eingabe!$E$3=$D$1,D88,IF(Eingabe!$E$3=$E$1,E88,IF(Eingabe!$E$3=$F$1,F88,NA()))))</f>
        <v>Länge Nebenträger</v>
      </c>
      <c r="C88" s="954" t="s">
        <v>856</v>
      </c>
      <c r="D88" s="954" t="s">
        <v>1391</v>
      </c>
      <c r="E88" s="954" t="s">
        <v>1392</v>
      </c>
      <c r="F88" s="954" t="s">
        <v>1393</v>
      </c>
    </row>
    <row r="89" spans="1:6">
      <c r="A89" s="958" t="str">
        <f>IF(Eingabe!$E$3=$C$1,C89,IF(Eingabe!$E$3=$D$1,D89,IF(Eingabe!$E$3=$E$1,E89,IF(Eingabe!$E$3=$F$1,F89,NA()))))</f>
        <v>Lasten 
1-Richtung</v>
      </c>
      <c r="C89" s="954" t="s">
        <v>991</v>
      </c>
      <c r="D89" s="954" t="s">
        <v>1394</v>
      </c>
      <c r="E89" s="954" t="s">
        <v>1395</v>
      </c>
      <c r="F89" s="954" t="s">
        <v>1396</v>
      </c>
    </row>
    <row r="90" spans="1:6">
      <c r="A90" s="958" t="str">
        <f>IF(Eingabe!$E$3=$C$1,C90,IF(Eingabe!$E$3=$D$1,D90,IF(Eingabe!$E$3=$E$1,E90,IF(Eingabe!$E$3=$F$1,F90,NA()))))</f>
        <v>Streckenlasten
23-Richtung</v>
      </c>
      <c r="C90" s="954" t="s">
        <v>989</v>
      </c>
      <c r="D90" s="954" t="s">
        <v>1397</v>
      </c>
      <c r="E90" s="954" t="s">
        <v>1398</v>
      </c>
      <c r="F90" s="954" t="s">
        <v>1399</v>
      </c>
    </row>
    <row r="91" spans="1:6">
      <c r="A91" s="958" t="str">
        <f>IF(Eingabe!$E$3=$C$1,C91,IF(Eingabe!$E$3=$D$1,D91,IF(Eingabe!$E$3=$E$1,E91,IF(Eingabe!$E$3=$F$1,F91,NA()))))</f>
        <v>Einzellasten
23-Richtung</v>
      </c>
      <c r="C91" s="954" t="s">
        <v>990</v>
      </c>
      <c r="D91" s="954" t="s">
        <v>1400</v>
      </c>
      <c r="E91" s="954" t="s">
        <v>1401</v>
      </c>
      <c r="F91" s="954" t="s">
        <v>1402</v>
      </c>
    </row>
    <row r="92" spans="1:6">
      <c r="A92" s="958" t="str">
        <f>IF(Eingabe!$E$3=$C$1,C92,IF(Eingabe!$E$3=$D$1,D92,IF(Eingabe!$E$3=$E$1,E92,IF(Eingabe!$E$3=$F$1,F92,NA()))))</f>
        <v>Lasten 
45-Richtung</v>
      </c>
      <c r="C92" s="954" t="s">
        <v>992</v>
      </c>
      <c r="D92" s="954" t="s">
        <v>1403</v>
      </c>
      <c r="E92" s="954" t="s">
        <v>1404</v>
      </c>
      <c r="F92" s="954" t="s">
        <v>1405</v>
      </c>
    </row>
    <row r="93" spans="1:6">
      <c r="A93" s="958" t="str">
        <f>IF(Eingabe!$E$3=$C$1,C93,IF(Eingabe!$E$3=$D$1,D93,IF(Eingabe!$E$3=$E$1,E93,IF(Eingabe!$E$3=$F$1,F93,NA()))))</f>
        <v>Torsion</v>
      </c>
      <c r="C93" s="954" t="s">
        <v>994</v>
      </c>
      <c r="D93" s="954" t="s">
        <v>1406</v>
      </c>
      <c r="E93" s="954" t="s">
        <v>994</v>
      </c>
      <c r="F93" s="954" t="s">
        <v>1407</v>
      </c>
    </row>
    <row r="94" spans="1:6" s="956" customFormat="1">
      <c r="A94" s="960" t="str">
        <f>IF(Eingabe!$E$3=$C$1,C94,IF(Eingabe!$E$3=$D$1,D94,IF(Eingabe!$E$3=$E$1,E94,IF(Eingabe!$E$3=$F$1,F94,NA()))))</f>
        <v>Abstand Einzellasten 23-Richtung</v>
      </c>
      <c r="C94" s="961" t="s">
        <v>998</v>
      </c>
      <c r="D94" s="961" t="s">
        <v>1408</v>
      </c>
      <c r="E94" s="961" t="s">
        <v>1409</v>
      </c>
      <c r="F94" s="961" t="s">
        <v>1410</v>
      </c>
    </row>
    <row r="95" spans="1:6">
      <c r="A95" s="958" t="str">
        <f>IF(Eingabe!$E$3=$C$1,C95,IF(Eingabe!$E$3=$D$1,D95,IF(Eingabe!$E$3=$E$1,E95,IF(Eingabe!$E$3=$F$1,F95,NA()))))</f>
        <v>Für die aktuelle Konfiguration sind keine Bemessungswerte für M_tor in ETA-15/0667 (Anhang 5) vorhanden.</v>
      </c>
      <c r="C95" s="954" t="s">
        <v>1095</v>
      </c>
      <c r="D95" s="954" t="s">
        <v>1411</v>
      </c>
      <c r="E95" s="954" t="s">
        <v>1412</v>
      </c>
      <c r="F95" s="954" t="s">
        <v>1413</v>
      </c>
    </row>
    <row r="96" spans="1:6" s="638" customFormat="1" ht="15.75" thickBot="1">
      <c r="A96" s="962" t="str">
        <f>IF(Eingabe!$E$3=$C$1,C96,IF(Eingabe!$E$3=$D$1,D96,IF(Eingabe!$E$3=$E$1,E96,IF(Eingabe!$E$3=$F$1,F96,NA()))))</f>
        <v>Bemessungswerte für M_tor nach ETA-15/0667 Anhang 5.</v>
      </c>
      <c r="C96" s="963" t="s">
        <v>757</v>
      </c>
      <c r="D96" s="963" t="s">
        <v>1414</v>
      </c>
      <c r="E96" s="963" t="s">
        <v>1415</v>
      </c>
      <c r="F96" s="963" t="s">
        <v>1416</v>
      </c>
    </row>
    <row r="97" spans="1:6">
      <c r="A97" s="958" t="str">
        <f>IF(Eingabe!$E$3=$C$1,C97,IF(Eingabe!$E$3=$D$1,D97,IF(Eingabe!$E$3=$E$1,E97,IF(Eingabe!$E$3=$F$1,F97,NA()))))</f>
        <v>Lastfallkombinationen</v>
      </c>
      <c r="C97" s="954" t="s">
        <v>1015</v>
      </c>
      <c r="D97" s="954" t="s">
        <v>1417</v>
      </c>
      <c r="E97" s="954" t="s">
        <v>1418</v>
      </c>
      <c r="F97" s="954" t="s">
        <v>1419</v>
      </c>
    </row>
    <row r="98" spans="1:6">
      <c r="A98" s="958" t="str">
        <f>IF(Eingabe!$E$3=$C$1,C98,IF(Eingabe!$E$3=$D$1,D98,IF(Eingabe!$E$3=$E$1,E98,IF(Eingabe!$E$3=$F$1,F98,NA()))))</f>
        <v>Es werden nachfolgende Lastfallkombinationen ("LK") nach DIN EN 1990:2010-12 mit NA Deutschland jeweils für den Fall "Biegezug oben" sowie für den Fall "Biegezug unten" berücksichtigt. In den nachfolgenden Nachweisen wird lediglich die maßgebende Lastfallkombination ausgegeben sowie die Nummer der Lastfallkombination ausgegeben.</v>
      </c>
      <c r="C98" s="954" t="s">
        <v>1063</v>
      </c>
      <c r="D98" s="954" t="s">
        <v>1420</v>
      </c>
      <c r="E98" s="954" t="s">
        <v>1759</v>
      </c>
      <c r="F98" s="954" t="s">
        <v>1421</v>
      </c>
    </row>
    <row r="99" spans="1:6">
      <c r="A99" s="958" t="str">
        <f>IF(Eingabe!$E$3=$C$1,C99,IF(Eingabe!$E$3=$D$1,D99,IF(Eingabe!$E$3=$E$1,E99,IF(Eingabe!$E$3=$F$1,F99,NA()))))</f>
        <v>Nummerierung der Lastfallkombinationen</v>
      </c>
      <c r="C99" s="954" t="s">
        <v>1062</v>
      </c>
      <c r="D99" s="954" t="s">
        <v>1422</v>
      </c>
      <c r="E99" s="954" t="s">
        <v>1423</v>
      </c>
      <c r="F99" s="954" t="s">
        <v>1424</v>
      </c>
    </row>
    <row r="100" spans="1:6">
      <c r="A100" s="958" t="str">
        <f>IF(Eingabe!$E$3=$C$1,C100,IF(Eingabe!$E$3=$D$1,D100,IF(Eingabe!$E$3=$E$1,E100,IF(Eingabe!$E$3=$F$1,F100,NA()))))</f>
        <v>Lastfallkombinationen</v>
      </c>
      <c r="C100" s="954" t="s">
        <v>1015</v>
      </c>
      <c r="D100" s="954" t="s">
        <v>1417</v>
      </c>
      <c r="E100" s="954" t="s">
        <v>1418</v>
      </c>
      <c r="F100" s="954" t="s">
        <v>1425</v>
      </c>
    </row>
    <row r="101" spans="1:6">
      <c r="A101" s="958" t="str">
        <f>IF(Eingabe!$E$3=$C$1,C101,IF(Eingabe!$E$3=$D$1,D101,IF(Eingabe!$E$3=$E$1,E101,IF(Eingabe!$E$3=$F$1,F101,NA()))))</f>
        <v>Biegezug oben</v>
      </c>
      <c r="C101" s="954" t="s">
        <v>1060</v>
      </c>
      <c r="D101" s="954" t="s">
        <v>1426</v>
      </c>
      <c r="E101" s="954" t="s">
        <v>1427</v>
      </c>
      <c r="F101" s="954" t="s">
        <v>1428</v>
      </c>
    </row>
    <row r="102" spans="1:6">
      <c r="A102" s="958" t="str">
        <f>IF(Eingabe!$E$3=$C$1,C102,IF(Eingabe!$E$3=$D$1,D102,IF(Eingabe!$E$3=$E$1,E102,IF(Eingabe!$E$3=$F$1,F102,NA()))))</f>
        <v>Biegezug unten</v>
      </c>
      <c r="C102" s="954" t="s">
        <v>1061</v>
      </c>
      <c r="D102" s="954" t="s">
        <v>1429</v>
      </c>
      <c r="E102" s="954" t="s">
        <v>1430</v>
      </c>
      <c r="F102" s="954" t="s">
        <v>1431</v>
      </c>
    </row>
    <row r="103" spans="1:6">
      <c r="A103" s="958" t="str">
        <f>IF(Eingabe!$E$3=$C$1,C103,IF(Eingabe!$E$3=$D$1,D103,IF(Eingabe!$E$3=$E$1,E103,IF(Eingabe!$E$3=$F$1,F103,NA()))))</f>
        <v>Geometriedaten</v>
      </c>
      <c r="C103" s="954" t="s">
        <v>535</v>
      </c>
      <c r="D103" s="954" t="s">
        <v>1432</v>
      </c>
      <c r="E103" s="954" t="s">
        <v>1433</v>
      </c>
      <c r="F103" s="954" t="s">
        <v>1434</v>
      </c>
    </row>
    <row r="104" spans="1:6">
      <c r="A104" s="958" t="str">
        <f>IF(Eingabe!$E$3=$C$1,C104,IF(Eingabe!$E$3=$D$1,D104,IF(Eingabe!$E$3=$E$1,E104,IF(Eingabe!$E$3=$F$1,F104,NA()))))</f>
        <v>Schraubenlänge im Verbinder</v>
      </c>
      <c r="C104" s="954" t="s">
        <v>850</v>
      </c>
      <c r="D104" s="954" t="s">
        <v>1435</v>
      </c>
      <c r="E104" s="954" t="s">
        <v>1436</v>
      </c>
      <c r="F104" s="954" t="s">
        <v>1437</v>
      </c>
    </row>
    <row r="105" spans="1:6">
      <c r="A105" s="958" t="str">
        <f>IF(Eingabe!$E$3=$C$1,C105,IF(Eingabe!$E$3=$D$1,D105,IF(Eingabe!$E$3=$E$1,E105,IF(Eingabe!$E$3=$F$1,F105,NA()))))</f>
        <v>90°/0° in Klemmbacke</v>
      </c>
      <c r="C105" s="954" t="s">
        <v>541</v>
      </c>
      <c r="D105" s="954" t="s">
        <v>1438</v>
      </c>
      <c r="E105" s="954" t="s">
        <v>1439</v>
      </c>
      <c r="F105" s="954" t="s">
        <v>1440</v>
      </c>
    </row>
    <row r="106" spans="1:6">
      <c r="A106" s="958" t="str">
        <f>IF(Eingabe!$E$3=$C$1,C106,IF(Eingabe!$E$3=$D$1,D106,IF(Eingabe!$E$3=$E$1,E106,IF(Eingabe!$E$3=$F$1,F106,NA()))))</f>
        <v>90°/0° in Grundplatte</v>
      </c>
      <c r="C106" s="954" t="s">
        <v>542</v>
      </c>
      <c r="D106" s="954" t="s">
        <v>1441</v>
      </c>
      <c r="E106" s="954" t="s">
        <v>1442</v>
      </c>
      <c r="F106" s="954" t="s">
        <v>1443</v>
      </c>
    </row>
    <row r="107" spans="1:6">
      <c r="A107" s="958" t="str">
        <f>IF(Eingabe!$E$3=$C$1,C107,IF(Eingabe!$E$3=$D$1,D107,IF(Eingabe!$E$3=$E$1,E107,IF(Eingabe!$E$3=$F$1,F107,NA()))))</f>
        <v>90°/0° in Grundplatte</v>
      </c>
      <c r="C107" s="954" t="s">
        <v>542</v>
      </c>
      <c r="D107" s="954" t="s">
        <v>1441</v>
      </c>
      <c r="E107" s="954" t="s">
        <v>1442</v>
      </c>
      <c r="F107" s="954" t="s">
        <v>1444</v>
      </c>
    </row>
    <row r="108" spans="1:6">
      <c r="A108" s="958" t="str">
        <f>IF(Eingabe!$E$3=$C$1,C108,IF(Eingabe!$E$3=$D$1,D108,IF(Eingabe!$E$3=$E$1,E108,IF(Eingabe!$E$3=$F$1,F108,NA()))))</f>
        <v>45° in Grundplatte</v>
      </c>
      <c r="C108" s="954" t="s">
        <v>188</v>
      </c>
      <c r="D108" s="954" t="s">
        <v>1445</v>
      </c>
      <c r="E108" s="954" t="s">
        <v>1446</v>
      </c>
      <c r="F108" s="954" t="s">
        <v>1447</v>
      </c>
    </row>
    <row r="109" spans="1:6">
      <c r="A109" s="958" t="str">
        <f>IF(Eingabe!$E$3=$C$1,C109,IF(Eingabe!$E$3=$D$1,D109,IF(Eingabe!$E$3=$E$1,E109,IF(Eingabe!$E$3=$F$1,F109,NA()))))</f>
        <v>Anzahl HT + NT</v>
      </c>
      <c r="C109" s="954" t="s">
        <v>750</v>
      </c>
      <c r="D109" s="954" t="s">
        <v>1448</v>
      </c>
      <c r="E109" s="954" t="s">
        <v>1449</v>
      </c>
      <c r="F109" s="954" t="s">
        <v>1450</v>
      </c>
    </row>
    <row r="110" spans="1:6">
      <c r="A110" s="958" t="str">
        <f>IF(Eingabe!$E$3=$C$1,C110,IF(Eingabe!$E$3=$D$1,D110,IF(Eingabe!$E$3=$E$1,E110,IF(Eingabe!$E$3=$F$1,F110,NA()))))</f>
        <v>Gewindefreie Schaftlänge</v>
      </c>
      <c r="C110" s="954" t="s">
        <v>536</v>
      </c>
      <c r="D110" s="954" t="s">
        <v>1451</v>
      </c>
      <c r="E110" s="954" t="s">
        <v>1452</v>
      </c>
      <c r="F110" s="954" t="s">
        <v>1453</v>
      </c>
    </row>
    <row r="111" spans="1:6">
      <c r="A111" s="958" t="str">
        <f>IF(Eingabe!$E$3=$C$1,C111,IF(Eingabe!$E$3=$D$1,D111,IF(Eingabe!$E$3=$E$1,E111,IF(Eingabe!$E$3=$F$1,F111,NA()))))</f>
        <v>Effektive Schraubenlängen</v>
      </c>
      <c r="C111" s="954" t="s">
        <v>749</v>
      </c>
      <c r="D111" s="954" t="s">
        <v>1454</v>
      </c>
      <c r="E111" s="954" t="s">
        <v>1455</v>
      </c>
      <c r="F111" s="954" t="s">
        <v>1456</v>
      </c>
    </row>
    <row r="112" spans="1:6">
      <c r="A112" s="958" t="str">
        <f>IF(Eingabe!$E$3=$C$1,C112,IF(Eingabe!$E$3=$D$1,D112,IF(Eingabe!$E$3=$E$1,E112,IF(Eingabe!$E$3=$F$1,F112,NA()))))</f>
        <v>Hauptträger</v>
      </c>
      <c r="C112" s="954" t="s">
        <v>94</v>
      </c>
      <c r="D112" s="954" t="s">
        <v>1457</v>
      </c>
      <c r="E112" s="954" t="s">
        <v>1458</v>
      </c>
      <c r="F112" s="954" t="s">
        <v>1459</v>
      </c>
    </row>
    <row r="113" spans="1:6">
      <c r="A113" s="958" t="str">
        <f>IF(Eingabe!$E$3=$C$1,C113,IF(Eingabe!$E$3=$D$1,D113,IF(Eingabe!$E$3=$E$1,E113,IF(Eingabe!$E$3=$F$1,F113,NA()))))</f>
        <v>Stütze</v>
      </c>
      <c r="C113" s="954" t="s">
        <v>1123</v>
      </c>
      <c r="D113" s="954" t="s">
        <v>1460</v>
      </c>
      <c r="E113" s="954" t="s">
        <v>1461</v>
      </c>
      <c r="F113" s="954" t="s">
        <v>1462</v>
      </c>
    </row>
    <row r="114" spans="1:6" s="956" customFormat="1">
      <c r="A114" s="960" t="str">
        <f>IF(Eingabe!$E$3=$C$1,C114,IF(Eingabe!$E$3=$D$1,D114,IF(Eingabe!$E$3=$E$1,E114,IF(Eingabe!$E$3=$F$1,F114,NA()))))</f>
        <v>Nebenträger</v>
      </c>
      <c r="C114" s="961" t="s">
        <v>95</v>
      </c>
      <c r="D114" s="961" t="s">
        <v>1263</v>
      </c>
      <c r="E114" s="961" t="s">
        <v>1463</v>
      </c>
      <c r="F114" s="961" t="s">
        <v>1464</v>
      </c>
    </row>
    <row r="115" spans="1:6">
      <c r="A115" s="958" t="str">
        <f>IF(Eingabe!$E$3=$C$1,C115,IF(Eingabe!$E$3=$D$1,D115,IF(Eingabe!$E$3=$E$1,E115,IF(Eingabe!$E$3=$F$1,F115,NA()))))</f>
        <v>Kraft in Richtung des Nebenträgers</v>
      </c>
      <c r="C115" s="954" t="s">
        <v>882</v>
      </c>
      <c r="D115" s="954" t="s">
        <v>1465</v>
      </c>
      <c r="E115" s="954" t="s">
        <v>1466</v>
      </c>
      <c r="F115" s="954" t="s">
        <v>1467</v>
      </c>
    </row>
    <row r="116" spans="1:6">
      <c r="A116" s="958" t="str">
        <f>IF(Eingabe!$E$3=$C$1,C116,IF(Eingabe!$E$3=$D$1,D116,IF(Eingabe!$E$3=$E$1,E116,IF(Eingabe!$E$3=$F$1,F116,NA()))))</f>
        <v xml:space="preserve">Schrauben NT: α = 0° </v>
      </c>
      <c r="C116" s="954" t="s">
        <v>918</v>
      </c>
      <c r="D116" s="954" t="s">
        <v>1468</v>
      </c>
      <c r="E116" s="954" t="s">
        <v>1469</v>
      </c>
      <c r="F116" s="954" t="s">
        <v>1470</v>
      </c>
    </row>
    <row r="117" spans="1:6">
      <c r="A117" s="958" t="str">
        <f>IF(Eingabe!$E$3=$C$1,C117,IF(Eingabe!$E$3=$D$1,D117,IF(Eingabe!$E$3=$E$1,E117,IF(Eingabe!$E$3=$F$1,F117,NA()))))</f>
        <v xml:space="preserve">Schrauben HT: α = 90° </v>
      </c>
      <c r="C117" s="954" t="s">
        <v>917</v>
      </c>
      <c r="D117" s="954" t="s">
        <v>1471</v>
      </c>
      <c r="E117" s="954" t="s">
        <v>1472</v>
      </c>
      <c r="F117" s="954" t="s">
        <v>1473</v>
      </c>
    </row>
    <row r="118" spans="1:6">
      <c r="A118" s="958" t="str">
        <f>IF(Eingabe!$E$3=$C$1,C118,IF(Eingabe!$E$3=$D$1,D118,IF(Eingabe!$E$3=$E$1,E118,IF(Eingabe!$E$3=$F$1,F118,NA()))))</f>
        <v>(i) Tragfähigkeit der Zugschrauben</v>
      </c>
      <c r="C118" s="954" t="s">
        <v>914</v>
      </c>
      <c r="D118" s="954" t="s">
        <v>1474</v>
      </c>
      <c r="E118" s="954" t="s">
        <v>1475</v>
      </c>
      <c r="F118" s="954" t="s">
        <v>1476</v>
      </c>
    </row>
    <row r="119" spans="1:6">
      <c r="A119" s="958" t="str">
        <f>IF(Eingabe!$E$3=$C$1,C119,IF(Eingabe!$E$3=$D$1,D119,IF(Eingabe!$E$3=$E$1,E119,IF(Eingabe!$E$3=$F$1,F119,NA()))))</f>
        <v>(ii) Zugfestigkeit der horizontalen Schrauben</v>
      </c>
      <c r="C119" s="954" t="s">
        <v>915</v>
      </c>
      <c r="D119" s="954" t="s">
        <v>1477</v>
      </c>
      <c r="E119" s="954" t="s">
        <v>1478</v>
      </c>
      <c r="F119" s="954" t="s">
        <v>1479</v>
      </c>
    </row>
    <row r="120" spans="1:6">
      <c r="A120" s="958" t="str">
        <f>IF(Eingabe!$E$3=$C$1,C120,IF(Eingabe!$E$3=$D$1,D120,IF(Eingabe!$E$3=$E$1,E120,IF(Eingabe!$E$3=$F$1,F120,NA()))))</f>
        <v>(iii) Maximale Tragfähigkeit des MEGANT Verbinders</v>
      </c>
      <c r="C120" s="954" t="s">
        <v>916</v>
      </c>
      <c r="D120" s="954" t="s">
        <v>1480</v>
      </c>
      <c r="E120" s="954" t="s">
        <v>1481</v>
      </c>
      <c r="F120" s="954" t="s">
        <v>1482</v>
      </c>
    </row>
    <row r="121" spans="1:6">
      <c r="A121" s="958" t="str">
        <f>IF(Eingabe!$E$3=$C$1,C121,IF(Eingabe!$E$3=$D$1,D121,IF(Eingabe!$E$3=$E$1,E121,IF(Eingabe!$E$3=$F$1,F121,NA()))))</f>
        <v>Nachweis</v>
      </c>
      <c r="C121" s="954" t="s">
        <v>752</v>
      </c>
      <c r="D121" s="954" t="s">
        <v>1483</v>
      </c>
      <c r="E121" s="954" t="s">
        <v>1484</v>
      </c>
      <c r="F121" s="954" t="s">
        <v>1485</v>
      </c>
    </row>
    <row r="122" spans="1:6">
      <c r="A122" s="958" t="str">
        <f>IF(Eingabe!$E$3=$C$1,C122,IF(Eingabe!$E$3=$D$1,D122,IF(Eingabe!$E$3=$E$1,E122,IF(Eingabe!$E$3=$F$1,F122,NA()))))</f>
        <v>maßg. Bemessungswert</v>
      </c>
      <c r="C122" s="954" t="s">
        <v>636</v>
      </c>
      <c r="D122" s="954" t="s">
        <v>1486</v>
      </c>
      <c r="E122" s="954" t="s">
        <v>1487</v>
      </c>
      <c r="F122" s="954" t="s">
        <v>1488</v>
      </c>
    </row>
    <row r="123" spans="1:6" s="956" customFormat="1">
      <c r="A123" s="960" t="str">
        <f>IF(Eingabe!$E$3=$C$1,C123,IF(Eingabe!$E$3=$D$1,D123,IF(Eingabe!$E$3=$E$1,E123,IF(Eingabe!$E$3=$F$1,F123,NA()))))</f>
        <v>aus</v>
      </c>
      <c r="C123" s="961" t="s">
        <v>1073</v>
      </c>
      <c r="D123" s="961" t="s">
        <v>1489</v>
      </c>
      <c r="E123" s="961" t="s">
        <v>1490</v>
      </c>
      <c r="F123" s="961" t="s">
        <v>1490</v>
      </c>
    </row>
    <row r="124" spans="1:6">
      <c r="A124" s="958" t="str">
        <f>IF(Eingabe!$E$3=$C$1,C124,IF(Eingabe!$E$3=$D$1,D124,IF(Eingabe!$E$3=$E$1,E124,IF(Eingabe!$E$3=$F$1,F124,NA()))))</f>
        <v>Kraft in Einschubrichtung</v>
      </c>
      <c r="C124" s="954" t="s">
        <v>881</v>
      </c>
      <c r="D124" s="954" t="s">
        <v>1491</v>
      </c>
      <c r="E124" s="954" t="s">
        <v>1492</v>
      </c>
      <c r="F124" s="954" t="s">
        <v>1493</v>
      </c>
    </row>
    <row r="125" spans="1:6">
      <c r="A125" s="958" t="str">
        <f>IF(Eingabe!$E$3=$C$1,C125,IF(Eingabe!$E$3=$D$1,D125,IF(Eingabe!$E$3=$E$1,E125,IF(Eingabe!$E$3=$F$1,F125,NA()))))</f>
        <v>(i) Tragfähigkeit der 45° Schrauben</v>
      </c>
      <c r="C125" s="954" t="s">
        <v>884</v>
      </c>
      <c r="D125" s="954" t="s">
        <v>1494</v>
      </c>
      <c r="E125" s="954" t="s">
        <v>1495</v>
      </c>
      <c r="F125" s="954" t="s">
        <v>1496</v>
      </c>
    </row>
    <row r="126" spans="1:6">
      <c r="A126" s="958" t="str">
        <f>IF(Eingabe!$E$3=$C$1,C126,IF(Eingabe!$E$3=$D$1,D126,IF(Eingabe!$E$3=$E$1,E126,IF(Eingabe!$E$3=$F$1,F126,NA()))))</f>
        <v>(ii) Maximale Tragfähigkeit des MEGANT Verbinders</v>
      </c>
      <c r="C126" s="954" t="s">
        <v>885</v>
      </c>
      <c r="D126" s="954" t="s">
        <v>1497</v>
      </c>
      <c r="E126" s="954" t="s">
        <v>1498</v>
      </c>
      <c r="F126" s="954" t="s">
        <v>1499</v>
      </c>
    </row>
    <row r="127" spans="1:6">
      <c r="A127" s="958" t="str">
        <f>IF(Eingabe!$E$3=$C$1,C127,IF(Eingabe!$E$3=$D$1,D127,IF(Eingabe!$E$3=$E$1,E127,IF(Eingabe!$E$3=$F$1,F127,NA()))))</f>
        <v>(iii) Zugfestigkeit der Gewindestangen</v>
      </c>
      <c r="C127" s="954" t="s">
        <v>886</v>
      </c>
      <c r="D127" s="954" t="s">
        <v>1500</v>
      </c>
      <c r="E127" s="954" t="s">
        <v>1501</v>
      </c>
      <c r="F127" s="954" t="s">
        <v>1502</v>
      </c>
    </row>
    <row r="128" spans="1:6">
      <c r="A128" s="958" t="str">
        <f>IF(Eingabe!$E$3=$C$1,C128,IF(Eingabe!$E$3=$D$1,D128,IF(Eingabe!$E$3=$E$1,E128,IF(Eingabe!$E$3=$F$1,F128,NA()))))</f>
        <v>(iv) Lochleibungsfestigkeit des Gewindes im Aluminium</v>
      </c>
      <c r="C128" s="954" t="s">
        <v>887</v>
      </c>
      <c r="D128" s="954" t="s">
        <v>1760</v>
      </c>
      <c r="E128" s="954" t="s">
        <v>1503</v>
      </c>
      <c r="F128" s="954" t="s">
        <v>1761</v>
      </c>
    </row>
    <row r="129" spans="1:6">
      <c r="A129" s="958" t="str">
        <f>IF(Eingabe!$E$3=$C$1,C129,IF(Eingabe!$E$3=$D$1,D129,IF(Eingabe!$E$3=$E$1,E129,IF(Eingabe!$E$3=$F$1,F129,NA()))))</f>
        <v>geneigte Schrauben 45° HT</v>
      </c>
      <c r="C129" s="954" t="s">
        <v>703</v>
      </c>
      <c r="D129" s="954" t="s">
        <v>1504</v>
      </c>
      <c r="E129" s="954" t="s">
        <v>1505</v>
      </c>
      <c r="F129" s="954" t="s">
        <v>1506</v>
      </c>
    </row>
    <row r="130" spans="1:6">
      <c r="A130" s="958" t="str">
        <f>IF(Eingabe!$E$3=$C$1,C130,IF(Eingabe!$E$3=$D$1,D130,IF(Eingabe!$E$3=$E$1,E130,IF(Eingabe!$E$3=$F$1,F130,NA()))))</f>
        <v>geneigte Schrauben 45° NT</v>
      </c>
      <c r="C130" s="954" t="s">
        <v>704</v>
      </c>
      <c r="D130" s="954" t="s">
        <v>1507</v>
      </c>
      <c r="E130" s="954" t="s">
        <v>1508</v>
      </c>
      <c r="F130" s="954" t="s">
        <v>1509</v>
      </c>
    </row>
    <row r="131" spans="1:6">
      <c r="A131" s="958" t="str">
        <f>IF(Eingabe!$E$3=$C$1,C131,IF(Eingabe!$E$3=$D$1,D131,IF(Eingabe!$E$3=$E$1,E131,IF(Eingabe!$E$3=$F$1,F131,NA()))))</f>
        <v>torsionsstarr</v>
      </c>
      <c r="C131" s="954" t="s">
        <v>753</v>
      </c>
      <c r="D131" s="954" t="s">
        <v>1510</v>
      </c>
      <c r="E131" s="954" t="s">
        <v>1511</v>
      </c>
      <c r="F131" s="954" t="s">
        <v>1512</v>
      </c>
    </row>
    <row r="132" spans="1:6">
      <c r="A132" s="958" t="str">
        <f>IF(Eingabe!$E$3=$C$1,C132,IF(Eingabe!$E$3=$D$1,D132,IF(Eingabe!$E$3=$E$1,E132,IF(Eingabe!$E$3=$F$1,F132,NA()))))</f>
        <v>torsionsweich</v>
      </c>
      <c r="C132" s="954" t="s">
        <v>754</v>
      </c>
      <c r="D132" s="954" t="s">
        <v>1513</v>
      </c>
      <c r="E132" s="954" t="s">
        <v>1514</v>
      </c>
      <c r="F132" s="954" t="s">
        <v>1515</v>
      </c>
    </row>
    <row r="133" spans="1:6" s="956" customFormat="1">
      <c r="A133" s="960" t="str">
        <f>IF(Eingabe!$E$3=$C$1,C133,IF(Eingabe!$E$3=$D$1,D133,IF(Eingabe!$E$3=$E$1,E133,IF(Eingabe!$E$3=$F$1,F133,NA()))))</f>
        <v>Spannbackenhöhe - 20mm</v>
      </c>
      <c r="C133" s="961" t="s">
        <v>491</v>
      </c>
      <c r="D133" s="961" t="s">
        <v>1516</v>
      </c>
      <c r="E133" s="961" t="s">
        <v>1517</v>
      </c>
      <c r="F133" s="961" t="s">
        <v>1518</v>
      </c>
    </row>
    <row r="134" spans="1:6">
      <c r="A134" s="958" t="str">
        <f>IF(Eingabe!$E$3=$C$1,C134,IF(Eingabe!$E$3=$D$1,D134,IF(Eingabe!$E$3=$E$1,E134,IF(Eingabe!$E$3=$F$1,F134,NA()))))</f>
        <v>Kraft gegen Einschubrichtung</v>
      </c>
      <c r="C134" s="954" t="s">
        <v>889</v>
      </c>
      <c r="D134" s="954" t="s">
        <v>1519</v>
      </c>
      <c r="E134" s="954" t="s">
        <v>1520</v>
      </c>
      <c r="F134" s="954" t="s">
        <v>1521</v>
      </c>
    </row>
    <row r="135" spans="1:6">
      <c r="A135" s="958" t="str">
        <f>IF(Eingabe!$E$3=$C$1,C135,IF(Eingabe!$E$3=$D$1,D135,IF(Eingabe!$E$3=$E$1,E135,IF(Eingabe!$E$3=$F$1,F135,NA()))))</f>
        <v>Nebenträger 0°-Schrauben</v>
      </c>
      <c r="C135" s="954" t="s">
        <v>890</v>
      </c>
      <c r="D135" s="954" t="s">
        <v>1522</v>
      </c>
      <c r="E135" s="954" t="s">
        <v>1523</v>
      </c>
      <c r="F135" s="954" t="s">
        <v>1524</v>
      </c>
    </row>
    <row r="136" spans="1:6">
      <c r="A136" s="958" t="str">
        <f>IF(Eingabe!$E$3=$C$1,C136,IF(Eingabe!$E$3=$D$1,D136,IF(Eingabe!$E$3=$E$1,E136,IF(Eingabe!$E$3=$F$1,F136,NA()))))</f>
        <v>Nebenträger 45°-Schrauben</v>
      </c>
      <c r="C136" s="954" t="s">
        <v>891</v>
      </c>
      <c r="D136" s="954" t="s">
        <v>1525</v>
      </c>
      <c r="E136" s="954" t="s">
        <v>1526</v>
      </c>
      <c r="F136" s="954" t="s">
        <v>1527</v>
      </c>
    </row>
    <row r="137" spans="1:6">
      <c r="A137" s="958" t="str">
        <f>IF(Eingabe!$E$3=$C$1,C137,IF(Eingabe!$E$3=$D$1,D137,IF(Eingabe!$E$3=$E$1,E137,IF(Eingabe!$E$3=$F$1,F137,NA()))))</f>
        <v>Hauptträger 90°-Schrauben</v>
      </c>
      <c r="C137" s="954" t="s">
        <v>892</v>
      </c>
      <c r="D137" s="954" t="s">
        <v>1528</v>
      </c>
      <c r="E137" s="954" t="s">
        <v>1529</v>
      </c>
      <c r="F137" s="954" t="s">
        <v>1530</v>
      </c>
    </row>
    <row r="138" spans="1:6">
      <c r="A138" s="958" t="str">
        <f>IF(Eingabe!$E$3=$C$1,C138,IF(Eingabe!$E$3=$D$1,D138,IF(Eingabe!$E$3=$E$1,E138,IF(Eingabe!$E$3=$F$1,F138,NA()))))</f>
        <v>Hauptträger 45°-Schrauben</v>
      </c>
      <c r="C138" s="954" t="s">
        <v>893</v>
      </c>
      <c r="D138" s="954" t="s">
        <v>1531</v>
      </c>
      <c r="E138" s="954" t="s">
        <v>1532</v>
      </c>
      <c r="F138" s="954" t="s">
        <v>1533</v>
      </c>
    </row>
    <row r="139" spans="1:6">
      <c r="A139" s="958" t="str">
        <f>IF(Eingabe!$E$3=$C$1,C139,IF(Eingabe!$E$3=$D$1,D139,IF(Eingabe!$E$3=$E$1,E139,IF(Eingabe!$E$3=$F$1,F139,NA()))))</f>
        <v>Stütze 90°-Schrauben</v>
      </c>
      <c r="C139" s="954" t="s">
        <v>1124</v>
      </c>
      <c r="D139" s="954" t="s">
        <v>1287</v>
      </c>
      <c r="E139" s="954" t="s">
        <v>1534</v>
      </c>
      <c r="F139" s="954" t="s">
        <v>1535</v>
      </c>
    </row>
    <row r="140" spans="1:6">
      <c r="A140" s="958" t="str">
        <f>IF(Eingabe!$E$3=$C$1,C140,IF(Eingabe!$E$3=$D$1,D140,IF(Eingabe!$E$3=$E$1,E140,IF(Eingabe!$E$3=$F$1,F140,NA()))))</f>
        <v>Stütze 45°-Schrauben</v>
      </c>
      <c r="C140" s="954" t="s">
        <v>1125</v>
      </c>
      <c r="D140" s="954" t="s">
        <v>1290</v>
      </c>
      <c r="E140" s="954" t="s">
        <v>1536</v>
      </c>
      <c r="F140" s="954" t="s">
        <v>1537</v>
      </c>
    </row>
    <row r="141" spans="1:6" s="956" customFormat="1">
      <c r="A141" s="960" t="str">
        <f>IF(Eingabe!$E$3=$C$1,C141,IF(Eingabe!$E$3=$D$1,D141,IF(Eingabe!$E$3=$E$1,E141,IF(Eingabe!$E$3=$F$1,F141,NA()))))</f>
        <v>Kraft-Faser-Winkel</v>
      </c>
      <c r="C141" s="961" t="s">
        <v>437</v>
      </c>
      <c r="D141" s="961" t="s">
        <v>1538</v>
      </c>
      <c r="E141" s="961" t="s">
        <v>1539</v>
      </c>
      <c r="F141" s="961" t="s">
        <v>1540</v>
      </c>
    </row>
    <row r="142" spans="1:6" s="965" customFormat="1">
      <c r="A142" s="964" t="str">
        <f>IF(Eingabe!$E$3=$C$1,C142,IF(Eingabe!$E$3=$D$1,D142,IF(Eingabe!$E$3=$E$1,E142,IF(Eingabe!$E$3=$F$1,F142,NA()))))</f>
        <v>Kraft normal zur Einschubrichtung</v>
      </c>
      <c r="C142" s="966" t="s">
        <v>895</v>
      </c>
      <c r="D142" s="966" t="s">
        <v>1541</v>
      </c>
      <c r="E142" s="966" t="s">
        <v>1762</v>
      </c>
      <c r="F142" s="966" t="s">
        <v>1542</v>
      </c>
    </row>
    <row r="143" spans="1:6">
      <c r="A143" s="958" t="str">
        <f>IF(Eingabe!$E$3=$C$1,C143,IF(Eingabe!$E$3=$D$1,D143,IF(Eingabe!$E$3=$E$1,E143,IF(Eingabe!$E$3=$F$1,F143,NA()))))</f>
        <v>Momententragfähigkeit und Federsteifigkeit</v>
      </c>
      <c r="C143" s="954" t="s">
        <v>897</v>
      </c>
      <c r="D143" s="954" t="s">
        <v>1543</v>
      </c>
      <c r="E143" s="954" t="s">
        <v>1544</v>
      </c>
      <c r="F143" s="954" t="s">
        <v>1763</v>
      </c>
    </row>
    <row r="144" spans="1:6">
      <c r="A144" s="958" t="str">
        <f>IF(Eingabe!$E$3=$C$1,C144,IF(Eingabe!$E$3=$D$1,D144,IF(Eingabe!$E$3=$E$1,E144,IF(Eingabe!$E$3=$F$1,F144,NA()))))</f>
        <v>Ermittlung Drehpunkt x nach ETA-15/0667</v>
      </c>
      <c r="C144" s="954" t="s">
        <v>851</v>
      </c>
      <c r="D144" s="954" t="s">
        <v>1545</v>
      </c>
      <c r="E144" s="954" t="s">
        <v>1546</v>
      </c>
      <c r="F144" s="954" t="s">
        <v>1547</v>
      </c>
    </row>
    <row r="145" spans="1:6">
      <c r="A145" s="958" t="str">
        <f>IF(Eingabe!$E$3=$C$1,C145,IF(Eingabe!$E$3=$D$1,D145,IF(Eingabe!$E$3=$E$1,E145,IF(Eingabe!$E$3=$F$1,F145,NA()))))</f>
        <v>Druckverformung</v>
      </c>
      <c r="C145" s="954" t="s">
        <v>500</v>
      </c>
      <c r="D145" s="954" t="s">
        <v>1548</v>
      </c>
      <c r="E145" s="954" t="s">
        <v>1549</v>
      </c>
      <c r="F145" s="954" t="s">
        <v>1550</v>
      </c>
    </row>
    <row r="146" spans="1:6">
      <c r="A146" s="958" t="str">
        <f>IF(Eingabe!$E$3=$C$1,C146,IF(Eingabe!$E$3=$D$1,D146,IF(Eingabe!$E$3=$E$1,E146,IF(Eingabe!$E$3=$F$1,F146,NA()))))</f>
        <v>Anzahl der auf Zug beanspruchten Schrauben</v>
      </c>
      <c r="C146" s="954" t="s">
        <v>563</v>
      </c>
      <c r="D146" s="954" t="s">
        <v>1551</v>
      </c>
      <c r="E146" s="954" t="s">
        <v>1552</v>
      </c>
      <c r="F146" s="954" t="s">
        <v>1553</v>
      </c>
    </row>
    <row r="147" spans="1:6">
      <c r="A147" s="958" t="str">
        <f>IF(Eingabe!$E$3=$C$1,C147,IF(Eingabe!$E$3=$D$1,D147,IF(Eingabe!$E$3=$E$1,E147,IF(Eingabe!$E$3=$F$1,F147,NA()))))</f>
        <v>max. Abstand aller Zugschrauben zur Verbinderoberkante</v>
      </c>
      <c r="C147" s="954" t="s">
        <v>564</v>
      </c>
      <c r="D147" s="954" t="s">
        <v>1554</v>
      </c>
      <c r="E147" s="954" t="s">
        <v>1555</v>
      </c>
      <c r="F147" s="954" t="s">
        <v>1556</v>
      </c>
    </row>
    <row r="148" spans="1:6">
      <c r="A148" s="958" t="str">
        <f>IF(Eingabe!$E$3=$C$1,C148,IF(Eingabe!$E$3=$D$1,D148,IF(Eingabe!$E$3=$E$1,E148,IF(Eingabe!$E$3=$F$1,F148,NA()))))</f>
        <v>Verschiebung der äußersten Zugschraube</v>
      </c>
      <c r="C148" s="954" t="s">
        <v>660</v>
      </c>
      <c r="D148" s="954" t="s">
        <v>1557</v>
      </c>
      <c r="E148" s="954" t="s">
        <v>1558</v>
      </c>
      <c r="F148" s="954" t="s">
        <v>1559</v>
      </c>
    </row>
    <row r="149" spans="1:6">
      <c r="A149" s="958" t="str">
        <f>IF(Eingabe!$E$3=$C$1,C149,IF(Eingabe!$E$3=$D$1,D149,IF(Eingabe!$E$3=$E$1,E149,IF(Eingabe!$E$3=$F$1,F149,NA()))))</f>
        <v>max. Schraubenzugkraft aller Zugschrauben</v>
      </c>
      <c r="C149" s="954" t="s">
        <v>898</v>
      </c>
      <c r="D149" s="954" t="s">
        <v>1560</v>
      </c>
      <c r="E149" s="954" t="s">
        <v>1561</v>
      </c>
      <c r="F149" s="954" t="s">
        <v>1562</v>
      </c>
    </row>
    <row r="150" spans="1:6">
      <c r="A150" s="958" t="str">
        <f>IF(Eingabe!$E$3=$C$1,C150,IF(Eingabe!$E$3=$D$1,D150,IF(Eingabe!$E$3=$E$1,E150,IF(Eingabe!$E$3=$F$1,F150,NA()))))</f>
        <v>Summe der Abstände der einzelnen Zugschrauben zur Verbinderoberkante</v>
      </c>
      <c r="C150" s="954" t="s">
        <v>565</v>
      </c>
      <c r="D150" s="954" t="s">
        <v>1563</v>
      </c>
      <c r="E150" s="954" t="s">
        <v>1564</v>
      </c>
      <c r="F150" s="954" t="s">
        <v>1565</v>
      </c>
    </row>
    <row r="151" spans="1:6">
      <c r="A151" s="958" t="str">
        <f>IF(Eingabe!$E$3=$C$1,C151,IF(Eingabe!$E$3=$D$1,D151,IF(Eingabe!$E$3=$E$1,E151,IF(Eingabe!$E$3=$F$1,F151,NA()))))</f>
        <v>Abstand der am weitesten entfernten Schraube zum Rotationszentrum</v>
      </c>
      <c r="C151" s="954" t="s">
        <v>661</v>
      </c>
      <c r="D151" s="954" t="s">
        <v>1566</v>
      </c>
      <c r="E151" s="954" t="s">
        <v>1567</v>
      </c>
      <c r="F151" s="954" t="s">
        <v>1568</v>
      </c>
    </row>
    <row r="152" spans="1:6">
      <c r="A152" s="958" t="str">
        <f>IF(Eingabe!$E$3=$C$1,C152,IF(Eingabe!$E$3=$D$1,D152,IF(Eingabe!$E$3=$E$1,E152,IF(Eingabe!$E$3=$F$1,F152,NA()))))</f>
        <v>für Biegezug oben</v>
      </c>
      <c r="C152" s="954" t="s">
        <v>933</v>
      </c>
      <c r="D152" s="954" t="s">
        <v>1569</v>
      </c>
      <c r="E152" s="954" t="s">
        <v>1570</v>
      </c>
      <c r="F152" s="954" t="s">
        <v>1571</v>
      </c>
    </row>
    <row r="153" spans="1:6" s="956" customFormat="1">
      <c r="A153" s="960" t="str">
        <f>IF(Eingabe!$E$3=$C$1,C153,IF(Eingabe!$E$3=$D$1,D153,IF(Eingabe!$E$3=$E$1,E153,IF(Eingabe!$E$3=$F$1,F153,NA()))))</f>
        <v>für Biegezug unten</v>
      </c>
      <c r="C153" s="961" t="s">
        <v>934</v>
      </c>
      <c r="D153" s="961" t="s">
        <v>1572</v>
      </c>
      <c r="E153" s="961" t="s">
        <v>1573</v>
      </c>
      <c r="F153" s="961" t="s">
        <v>1574</v>
      </c>
    </row>
    <row r="154" spans="1:6">
      <c r="A154" s="958" t="str">
        <f>IF(Eingabe!$E$3=$C$1,C154,IF(Eingabe!$E$3=$D$1,D154,IF(Eingabe!$E$3=$E$1,E154,IF(Eingabe!$E$3=$F$1,F154,NA()))))</f>
        <v>Drehfedersteifigkeiten</v>
      </c>
      <c r="C154" s="954" t="s">
        <v>1091</v>
      </c>
      <c r="D154" s="954" t="s">
        <v>1575</v>
      </c>
      <c r="E154" s="954" t="s">
        <v>1576</v>
      </c>
      <c r="F154" s="954" t="s">
        <v>1577</v>
      </c>
    </row>
    <row r="155" spans="1:6">
      <c r="A155" s="958" t="str">
        <f>IF(Eingabe!$E$3=$C$1,C155,IF(Eingabe!$E$3=$D$1,D155,IF(Eingabe!$E$3=$E$1,E155,IF(Eingabe!$E$3=$F$1,F155,NA()))))</f>
        <v>für den Grenzzustand der Tragfähigkeit</v>
      </c>
      <c r="C155" s="954" t="s">
        <v>1086</v>
      </c>
      <c r="D155" s="954" t="s">
        <v>1578</v>
      </c>
      <c r="E155" s="954" t="s">
        <v>1579</v>
      </c>
      <c r="F155" s="954" t="s">
        <v>1580</v>
      </c>
    </row>
    <row r="156" spans="1:6" s="956" customFormat="1">
      <c r="A156" s="960" t="str">
        <f>IF(Eingabe!$E$3=$C$1,C156,IF(Eingabe!$E$3=$D$1,D156,IF(Eingabe!$E$3=$E$1,E156,IF(Eingabe!$E$3=$F$1,F156,NA()))))</f>
        <v>Die ermittelten Einspannmomente durch den MEGANT-Verbinder sind abhängig von den Drehfedersteifigkeiten (für den Grenzzustand der Tragfähigkeit), welche wiederum abhängig von den  Kombinationsbeiwerten der jeweiligen Lastfallkombination sind.
Nachfolgende Tabelle listet die den Einspannmomenten zugrundeliegenden Drehfedersteifigkeiten (für den Grenzzustand der Tragfähigkeit) in Abhängigkeit der Lastfallkombination auf.</v>
      </c>
      <c r="C156" s="961" t="s">
        <v>1092</v>
      </c>
      <c r="D156" s="961" t="s">
        <v>1581</v>
      </c>
      <c r="E156" s="961" t="s">
        <v>1582</v>
      </c>
      <c r="F156" s="961" t="s">
        <v>1764</v>
      </c>
    </row>
    <row r="157" spans="1:6">
      <c r="A157" s="958" t="str">
        <f>IF(Eingabe!$E$3=$C$1,C157,IF(Eingabe!$E$3=$D$1,D157,IF(Eingabe!$E$3=$E$1,E157,IF(Eingabe!$E$3=$F$1,F157,NA()))))</f>
        <v>Torsionstragfähigkeit</v>
      </c>
      <c r="C157" s="954" t="s">
        <v>938</v>
      </c>
      <c r="D157" s="954" t="s">
        <v>1583</v>
      </c>
      <c r="E157" s="954" t="s">
        <v>1584</v>
      </c>
      <c r="F157" s="954" t="s">
        <v>1585</v>
      </c>
    </row>
    <row r="158" spans="1:6">
      <c r="A158" s="958" t="str">
        <f>IF(Eingabe!$E$3=$C$1,C158,IF(Eingabe!$E$3=$D$1,D158,IF(Eingabe!$E$3=$E$1,E158,IF(Eingabe!$E$3=$F$1,F158,NA()))))</f>
        <v>c = 0,8 von höherer zu niedriger Dichte</v>
      </c>
      <c r="C158" s="954" t="s">
        <v>758</v>
      </c>
      <c r="D158" s="954" t="s">
        <v>1586</v>
      </c>
      <c r="E158" s="954" t="s">
        <v>1587</v>
      </c>
      <c r="F158" s="954" t="s">
        <v>1588</v>
      </c>
    </row>
    <row r="159" spans="1:6" s="956" customFormat="1">
      <c r="A159" s="960" t="str">
        <f>IF(Eingabe!$E$3=$C$1,C159,IF(Eingabe!$E$3=$D$1,D159,IF(Eingabe!$E$3=$E$1,E159,IF(Eingabe!$E$3=$F$1,F159,NA()))))</f>
        <v>c = 0,6 von niedriger zu höherer Dichte</v>
      </c>
      <c r="C159" s="961" t="s">
        <v>759</v>
      </c>
      <c r="D159" s="961" t="s">
        <v>1589</v>
      </c>
      <c r="E159" s="961" t="s">
        <v>1590</v>
      </c>
      <c r="F159" s="961" t="s">
        <v>1591</v>
      </c>
    </row>
    <row r="160" spans="1:6">
      <c r="A160" s="958" t="str">
        <f>IF(Eingabe!$E$3=$C$1,C160,IF(Eingabe!$E$3=$D$1,D160,IF(Eingabe!$E$3=$E$1,E160,IF(Eingabe!$E$3=$F$1,F160,NA()))))</f>
        <v>Zusammenfassung der Ergebnisse</v>
      </c>
      <c r="C160" s="954" t="s">
        <v>853</v>
      </c>
      <c r="D160" s="954" t="s">
        <v>1592</v>
      </c>
      <c r="E160" s="954" t="s">
        <v>1593</v>
      </c>
      <c r="F160" s="954" t="s">
        <v>1594</v>
      </c>
    </row>
    <row r="161" spans="1:6">
      <c r="A161" s="958" t="str">
        <f>IF(Eingabe!$E$3=$C$1,C161,IF(Eingabe!$E$3=$D$1,D161,IF(Eingabe!$E$3=$E$1,E161,IF(Eingabe!$E$3=$F$1,F161,NA()))))</f>
        <v>Einzelnachweise</v>
      </c>
      <c r="C161" s="954" t="s">
        <v>625</v>
      </c>
      <c r="D161" s="954" t="s">
        <v>1595</v>
      </c>
      <c r="E161" s="954" t="s">
        <v>1596</v>
      </c>
      <c r="F161" s="954" t="s">
        <v>1597</v>
      </c>
    </row>
    <row r="162" spans="1:6">
      <c r="A162" s="958" t="str">
        <f>IF(Eingabe!$E$3=$C$1,C162,IF(Eingabe!$E$3=$D$1,D162,IF(Eingabe!$E$3=$E$1,E162,IF(Eingabe!$E$3=$F$1,F162,NA()))))</f>
        <v>Tragfähigkeit</v>
      </c>
      <c r="C162" s="954" t="s">
        <v>624</v>
      </c>
      <c r="D162" s="954" t="s">
        <v>1598</v>
      </c>
      <c r="E162" s="954" t="s">
        <v>1599</v>
      </c>
      <c r="F162" s="954" t="s">
        <v>1600</v>
      </c>
    </row>
    <row r="163" spans="1:6">
      <c r="A163" s="958" t="str">
        <f>IF(Eingabe!$E$3=$C$1,C163,IF(Eingabe!$E$3=$D$1,D163,IF(Eingabe!$E$3=$E$1,E163,IF(Eingabe!$E$3=$F$1,F163,NA()))))</f>
        <v>Einwirkung</v>
      </c>
      <c r="C163" s="954" t="s">
        <v>665</v>
      </c>
      <c r="D163" s="954" t="s">
        <v>1601</v>
      </c>
      <c r="E163" s="954" t="s">
        <v>1602</v>
      </c>
      <c r="F163" s="954" t="s">
        <v>1603</v>
      </c>
    </row>
    <row r="164" spans="1:6">
      <c r="A164" s="958" t="str">
        <f>IF(Eingabe!$E$3=$C$1,C164,IF(Eingabe!$E$3=$D$1,D164,IF(Eingabe!$E$3=$E$1,E164,IF(Eingabe!$E$3=$F$1,F164,NA()))))</f>
        <v>Ausnutzung</v>
      </c>
      <c r="C164" s="954" t="s">
        <v>470</v>
      </c>
      <c r="D164" s="954" t="s">
        <v>1604</v>
      </c>
      <c r="E164" s="954" t="s">
        <v>1605</v>
      </c>
      <c r="F164" s="954" t="s">
        <v>1606</v>
      </c>
    </row>
    <row r="165" spans="1:6">
      <c r="A165" s="958" t="str">
        <f>IF(Eingabe!$E$3=$C$1,C165,IF(Eingabe!$E$3=$D$1,D165,IF(Eingabe!$E$3=$E$1,E165,IF(Eingabe!$E$3=$F$1,F165,NA()))))</f>
        <v>Kombinationsnachweise</v>
      </c>
      <c r="C165" s="954" t="s">
        <v>1100</v>
      </c>
      <c r="D165" s="954" t="s">
        <v>1607</v>
      </c>
      <c r="E165" s="954" t="s">
        <v>1608</v>
      </c>
      <c r="F165" s="954" t="s">
        <v>1609</v>
      </c>
    </row>
    <row r="166" spans="1:6">
      <c r="A166" s="958" t="str">
        <f>IF(Eingabe!$E$3=$C$1,C166,IF(Eingabe!$E$3=$D$1,D166,IF(Eingabe!$E$3=$E$1,E166,IF(Eingabe!$E$3=$F$1,F166,NA()))))</f>
        <v>Brandüberdeckung</v>
      </c>
      <c r="C166" s="954" t="s">
        <v>815</v>
      </c>
      <c r="D166" s="954" t="s">
        <v>1610</v>
      </c>
      <c r="E166" s="954" t="s">
        <v>1611</v>
      </c>
      <c r="F166" s="954" t="s">
        <v>1612</v>
      </c>
    </row>
    <row r="167" spans="1:6">
      <c r="A167" s="958" t="str">
        <f>IF(Eingabe!$E$3=$C$1,C167,IF(Eingabe!$E$3=$D$1,D167,IF(Eingabe!$E$3=$E$1,E167,IF(Eingabe!$E$3=$F$1,F167,NA()))))</f>
        <v>Brandbeanspruchungsdauer</v>
      </c>
      <c r="C167" s="954" t="s">
        <v>816</v>
      </c>
      <c r="D167" s="954" t="s">
        <v>1613</v>
      </c>
      <c r="E167" s="954" t="s">
        <v>1614</v>
      </c>
      <c r="F167" s="954" t="s">
        <v>1615</v>
      </c>
    </row>
    <row r="168" spans="1:6">
      <c r="A168" s="958" t="str">
        <f>IF(Eingabe!$E$3=$C$1,C168,IF(Eingabe!$E$3=$D$1,D168,IF(Eingabe!$E$3=$E$1,E168,IF(Eingabe!$E$3=$F$1,F168,NA()))))</f>
        <v>Keine Brandüberdeckung erforderlich.</v>
      </c>
      <c r="C168" s="954" t="s">
        <v>828</v>
      </c>
      <c r="D168" s="954" t="s">
        <v>1616</v>
      </c>
      <c r="E168" s="954" t="s">
        <v>1617</v>
      </c>
      <c r="F168" s="954" t="s">
        <v>1618</v>
      </c>
    </row>
    <row r="169" spans="1:6">
      <c r="A169" s="958" t="str">
        <f>IF(Eingabe!$E$3=$C$1,C169,IF(Eingabe!$E$3=$D$1,D169,IF(Eingabe!$E$3=$E$1,E169,IF(Eingabe!$E$3=$F$1,F169,NA()))))</f>
        <v>Nebenträger Breite</v>
      </c>
      <c r="C169" s="954" t="s">
        <v>819</v>
      </c>
      <c r="D169" s="954" t="s">
        <v>1619</v>
      </c>
      <c r="E169" s="954" t="s">
        <v>1620</v>
      </c>
      <c r="F169" s="954" t="s">
        <v>1621</v>
      </c>
    </row>
    <row r="170" spans="1:6">
      <c r="A170" s="958" t="str">
        <f>IF(Eingabe!$E$3=$C$1,C170,IF(Eingabe!$E$3=$D$1,D170,IF(Eingabe!$E$3=$E$1,E170,IF(Eingabe!$E$3=$F$1,F170,NA()))))</f>
        <v>Nebenträger Höhe</v>
      </c>
      <c r="C170" s="954" t="s">
        <v>820</v>
      </c>
      <c r="D170" s="954" t="s">
        <v>1622</v>
      </c>
      <c r="E170" s="954" t="s">
        <v>1623</v>
      </c>
      <c r="F170" s="954" t="s">
        <v>1624</v>
      </c>
    </row>
    <row r="171" spans="1:6">
      <c r="A171" s="958" t="str">
        <f>IF(Eingabe!$E$3=$C$1,C171,IF(Eingabe!$E$3=$D$1,D171,IF(Eingabe!$E$3=$E$1,E171,IF(Eingabe!$E$3=$F$1,F171,NA()))))</f>
        <v>Nebenträger Anschnittbreite</v>
      </c>
      <c r="C171" s="954" t="s">
        <v>1131</v>
      </c>
      <c r="D171" s="954" t="s">
        <v>1625</v>
      </c>
      <c r="E171" s="954" t="s">
        <v>1626</v>
      </c>
      <c r="F171" s="954" t="s">
        <v>1627</v>
      </c>
    </row>
    <row r="172" spans="1:6">
      <c r="A172" s="958" t="str">
        <f>IF(Eingabe!$E$3=$C$1,C172,IF(Eingabe!$E$3=$D$1,D172,IF(Eingabe!$E$3=$E$1,E172,IF(Eingabe!$E$3=$F$1,F172,NA()))))</f>
        <v>Nebenträger Anschnitthöhe</v>
      </c>
      <c r="C172" s="954" t="s">
        <v>1132</v>
      </c>
      <c r="D172" s="954" t="s">
        <v>1628</v>
      </c>
      <c r="E172" s="954" t="s">
        <v>1629</v>
      </c>
      <c r="F172" s="954" t="s">
        <v>1627</v>
      </c>
    </row>
    <row r="173" spans="1:6">
      <c r="A173" s="958" t="str">
        <f>IF(Eingabe!$E$3=$C$1,C173,IF(Eingabe!$E$3=$D$1,D173,IF(Eingabe!$E$3=$E$1,E173,IF(Eingabe!$E$3=$F$1,F173,NA()))))</f>
        <v>Verbinderbreite</v>
      </c>
      <c r="C173" s="954" t="s">
        <v>674</v>
      </c>
      <c r="D173" s="954" t="s">
        <v>1630</v>
      </c>
      <c r="E173" s="954" t="s">
        <v>1631</v>
      </c>
      <c r="F173" s="954" t="s">
        <v>1632</v>
      </c>
    </row>
    <row r="174" spans="1:6">
      <c r="A174" s="958" t="str">
        <f>IF(Eingabe!$E$3=$C$1,C174,IF(Eingabe!$E$3=$D$1,D174,IF(Eingabe!$E$3=$E$1,E174,IF(Eingabe!$E$3=$F$1,F174,NA()))))</f>
        <v>Verbinderhöhe</v>
      </c>
      <c r="C174" s="954" t="s">
        <v>324</v>
      </c>
      <c r="D174" s="954" t="s">
        <v>1633</v>
      </c>
      <c r="E174" s="954" t="s">
        <v>1634</v>
      </c>
      <c r="F174" s="954" t="s">
        <v>1635</v>
      </c>
    </row>
    <row r="175" spans="1:6">
      <c r="A175" s="958" t="str">
        <f>IF(Eingabe!$E$3=$C$1,C175,IF(Eingabe!$E$3=$D$1,D175,IF(Eingabe!$E$3=$E$1,E175,IF(Eingabe!$E$3=$F$1,F175,NA()))))</f>
        <v>Ausfräsbreite</v>
      </c>
      <c r="C175" s="954" t="s">
        <v>821</v>
      </c>
      <c r="D175" s="954" t="s">
        <v>1636</v>
      </c>
      <c r="E175" s="954" t="s">
        <v>1637</v>
      </c>
      <c r="F175" s="954" t="s">
        <v>1638</v>
      </c>
    </row>
    <row r="176" spans="1:6">
      <c r="A176" s="958" t="str">
        <f>IF(Eingabe!$E$3=$C$1,C176,IF(Eingabe!$E$3=$D$1,D176,IF(Eingabe!$E$3=$E$1,E176,IF(Eingabe!$E$3=$F$1,F176,NA()))))</f>
        <v>Ausfräslänge</v>
      </c>
      <c r="C176" s="954" t="s">
        <v>822</v>
      </c>
      <c r="D176" s="954" t="s">
        <v>1639</v>
      </c>
      <c r="E176" s="954" t="s">
        <v>1640</v>
      </c>
      <c r="F176" s="954" t="s">
        <v>1641</v>
      </c>
    </row>
    <row r="177" spans="1:6">
      <c r="A177" s="958" t="str">
        <f>IF(Eingabe!$E$3=$C$1,C177,IF(Eingabe!$E$3=$D$1,D177,IF(Eingabe!$E$3=$E$1,E177,IF(Eingabe!$E$3=$F$1,F177,NA()))))</f>
        <v>Kohleschicht</v>
      </c>
      <c r="C177" s="954" t="s">
        <v>826</v>
      </c>
      <c r="D177" s="954" t="s">
        <v>1642</v>
      </c>
      <c r="E177" s="954" t="s">
        <v>1643</v>
      </c>
      <c r="F177" s="954" t="s">
        <v>1644</v>
      </c>
    </row>
    <row r="178" spans="1:6">
      <c r="A178" s="958" t="str">
        <f>IF(Eingabe!$E$3=$C$1,C178,IF(Eingabe!$E$3=$D$1,D178,IF(Eingabe!$E$3=$E$1,E178,IF(Eingabe!$E$3=$F$1,F178,NA()))))</f>
        <v>Abbrandrate</v>
      </c>
      <c r="C178" s="954" t="s">
        <v>812</v>
      </c>
      <c r="D178" s="954" t="s">
        <v>1645</v>
      </c>
      <c r="E178" s="954" t="s">
        <v>1646</v>
      </c>
      <c r="F178" s="954" t="s">
        <v>1647</v>
      </c>
    </row>
    <row r="179" spans="1:6">
      <c r="A179" s="958" t="str">
        <f>IF(Eingabe!$E$3=$C$1,C179,IF(Eingabe!$E$3=$D$1,D179,IF(Eingabe!$E$3=$E$1,E179,IF(Eingabe!$E$3=$F$1,F179,NA()))))</f>
        <v>Abbrand</v>
      </c>
      <c r="C179" s="954" t="s">
        <v>825</v>
      </c>
      <c r="D179" s="954" t="s">
        <v>1648</v>
      </c>
      <c r="E179" s="954" t="s">
        <v>1649</v>
      </c>
      <c r="F179" s="954" t="s">
        <v>1650</v>
      </c>
    </row>
    <row r="180" spans="1:6">
      <c r="A180" s="958" t="str">
        <f>IF(Eingabe!$E$3=$C$1,C180,IF(Eingabe!$E$3=$D$1,D180,IF(Eingabe!$E$3=$E$1,E180,IF(Eingabe!$E$3=$F$1,F180,NA()))))</f>
        <v>Brandüberdeckung seitlich</v>
      </c>
      <c r="C180" s="954" t="s">
        <v>827</v>
      </c>
      <c r="D180" s="954" t="s">
        <v>1651</v>
      </c>
      <c r="E180" s="954" t="s">
        <v>1652</v>
      </c>
      <c r="F180" s="954" t="s">
        <v>1653</v>
      </c>
    </row>
    <row r="181" spans="1:6">
      <c r="A181" s="958" t="str">
        <f>IF(Eingabe!$E$3=$C$1,C181,IF(Eingabe!$E$3=$D$1,D181,IF(Eingabe!$E$3=$E$1,E181,IF(Eingabe!$E$3=$F$1,F181,NA()))))</f>
        <v>Brandüberdeckung unten</v>
      </c>
      <c r="C181" s="954" t="s">
        <v>818</v>
      </c>
      <c r="D181" s="954" t="s">
        <v>1654</v>
      </c>
      <c r="E181" s="954" t="s">
        <v>1655</v>
      </c>
      <c r="F181" s="954" t="s">
        <v>1656</v>
      </c>
    </row>
    <row r="182" spans="1:6">
      <c r="A182" s="958" t="str">
        <f>IF(Eingabe!$E$3=$C$1,C182,IF(Eingabe!$E$3=$D$1,D182,IF(Eingabe!$E$3=$E$1,E182,IF(Eingabe!$E$3=$F$1,F182,NA()))))</f>
        <v>Brandüberdeckung ausreichend.</v>
      </c>
      <c r="C182" s="954" t="s">
        <v>836</v>
      </c>
      <c r="D182" s="954" t="s">
        <v>1657</v>
      </c>
      <c r="E182" s="954" t="s">
        <v>1658</v>
      </c>
      <c r="F182" s="954" t="s">
        <v>1659</v>
      </c>
    </row>
    <row r="183" spans="1:6" ht="15.75" thickBot="1">
      <c r="A183" s="958" t="str">
        <f>IF(Eingabe!$E$3=$C$1,C183,IF(Eingabe!$E$3=$D$1,D183,IF(Eingabe!$E$3=$E$1,E183,IF(Eingabe!$E$3=$F$1,F183,NA()))))</f>
        <v>Brandüberdeckung nicht ausreichend.</v>
      </c>
      <c r="C183" s="954" t="s">
        <v>837</v>
      </c>
      <c r="D183" s="954" t="s">
        <v>1660</v>
      </c>
      <c r="E183" s="954" t="s">
        <v>1661</v>
      </c>
      <c r="F183" s="954" t="s">
        <v>1662</v>
      </c>
    </row>
    <row r="184" spans="1:6" s="626" customFormat="1">
      <c r="A184" s="967" t="str">
        <f>IF(Eingabe!$E$3=$C$1,C184,IF(Eingabe!$E$3=$D$1,D184,IF(Eingabe!$E$3=$E$1,E184,IF(Eingabe!$E$3=$F$1,F184,NA()))))</f>
        <v>Schraubenlänge</v>
      </c>
      <c r="C184" s="968" t="s">
        <v>376</v>
      </c>
      <c r="D184" s="968" t="s">
        <v>1663</v>
      </c>
      <c r="E184" s="968" t="s">
        <v>1664</v>
      </c>
      <c r="F184" s="968" t="s">
        <v>1665</v>
      </c>
    </row>
    <row r="185" spans="1:6">
      <c r="A185" s="958" t="str">
        <f>IF(Eingabe!$E$3=$C$1,C185,IF(Eingabe!$E$3=$D$1,D185,IF(Eingabe!$E$3=$E$1,E185,IF(Eingabe!$E$3=$F$1,F185,NA()))))</f>
        <v>Durchmesser</v>
      </c>
      <c r="C185" s="954" t="s">
        <v>387</v>
      </c>
      <c r="D185" s="954" t="s">
        <v>1666</v>
      </c>
      <c r="E185" s="954" t="s">
        <v>1667</v>
      </c>
      <c r="F185" s="954" t="s">
        <v>1668</v>
      </c>
    </row>
    <row r="186" spans="1:6">
      <c r="A186" s="958" t="str">
        <f>IF(Eingabe!$E$3=$C$1,C186,IF(Eingabe!$E$3=$D$1,D186,IF(Eingabe!$E$3=$E$1,E186,IF(Eingabe!$E$3=$F$1,F186,NA()))))</f>
        <v>Schrauben-Faser-Winkel</v>
      </c>
      <c r="C186" s="954" t="s">
        <v>478</v>
      </c>
      <c r="D186" s="954" t="s">
        <v>1669</v>
      </c>
      <c r="E186" s="954" t="s">
        <v>1670</v>
      </c>
      <c r="F186" s="954" t="s">
        <v>1671</v>
      </c>
    </row>
    <row r="187" spans="1:6">
      <c r="A187" s="958" t="str">
        <f>IF(Eingabe!$E$3=$C$1,C187,IF(Eingabe!$E$3=$D$1,D187,IF(Eingabe!$E$3=$E$1,E187,IF(Eingabe!$E$3=$F$1,F187,NA()))))</f>
        <v>Schr.-Deckfläche-Winkel</v>
      </c>
      <c r="C187" s="954" t="s">
        <v>634</v>
      </c>
      <c r="D187" s="954" t="s">
        <v>1672</v>
      </c>
      <c r="E187" s="954" t="s">
        <v>1673</v>
      </c>
      <c r="F187" s="954" t="s">
        <v>1674</v>
      </c>
    </row>
    <row r="188" spans="1:6">
      <c r="A188" s="958" t="str">
        <f>IF(Eingabe!$E$3=$C$1,C188,IF(Eingabe!$E$3=$D$1,D188,IF(Eingabe!$E$3=$E$1,E188,IF(Eingabe!$E$3=$F$1,F188,NA()))))</f>
        <v>Schrauben-Faser-Winkel</v>
      </c>
      <c r="C188" s="954" t="s">
        <v>478</v>
      </c>
      <c r="D188" s="954" t="s">
        <v>1669</v>
      </c>
      <c r="E188" s="954" t="s">
        <v>1670</v>
      </c>
      <c r="F188" s="954" t="s">
        <v>1671</v>
      </c>
    </row>
    <row r="189" spans="1:6">
      <c r="A189" s="958" t="str">
        <f>IF(Eingabe!$E$3=$C$1,C189,IF(Eingabe!$E$3=$D$1,D189,IF(Eingabe!$E$3=$E$1,E189,IF(Eingabe!$E$3=$F$1,F189,NA()))))</f>
        <v>mittlere eff. Schraubenlänge</v>
      </c>
      <c r="C189" s="954" t="s">
        <v>534</v>
      </c>
      <c r="D189" s="954" t="s">
        <v>1675</v>
      </c>
      <c r="E189" s="954" t="s">
        <v>1676</v>
      </c>
      <c r="F189" s="954" t="s">
        <v>1677</v>
      </c>
    </row>
    <row r="190" spans="1:6">
      <c r="A190" s="958" t="str">
        <f>IF(Eingabe!$E$3=$C$1,C190,IF(Eingabe!$E$3=$D$1,D190,IF(Eingabe!$E$3=$E$1,E190,IF(Eingabe!$E$3=$F$1,F190,NA()))))</f>
        <v>Anzahl VM</v>
      </c>
      <c r="C190" s="954" t="s">
        <v>651</v>
      </c>
      <c r="D190" s="954" t="s">
        <v>1678</v>
      </c>
      <c r="E190" s="954" t="s">
        <v>1765</v>
      </c>
      <c r="F190" s="954" t="s">
        <v>1679</v>
      </c>
    </row>
    <row r="191" spans="1:6">
      <c r="A191" s="958" t="str">
        <f>IF(Eingabe!$E$3=$C$1,C191,IF(Eingabe!$E$3=$D$1,D191,IF(Eingabe!$E$3=$E$1,E191,IF(Eingabe!$E$3=$F$1,F191,NA()))))</f>
        <v>eff. Schraubenanzahl</v>
      </c>
      <c r="C191" s="954" t="s">
        <v>645</v>
      </c>
      <c r="D191" s="954" t="s">
        <v>1680</v>
      </c>
      <c r="E191" s="954" t="s">
        <v>1681</v>
      </c>
      <c r="F191" s="954" t="s">
        <v>1682</v>
      </c>
    </row>
    <row r="192" spans="1:6">
      <c r="A192" s="958" t="str">
        <f>IF(Eingabe!$E$3=$C$1,C192,IF(Eingabe!$E$3=$D$1,D192,IF(Eingabe!$E$3=$E$1,E192,IF(Eingabe!$E$3=$F$1,F192,NA()))))</f>
        <v>char. Rohdichte</v>
      </c>
      <c r="C192" s="954" t="s">
        <v>481</v>
      </c>
      <c r="D192" s="954" t="s">
        <v>1683</v>
      </c>
      <c r="E192" s="954" t="s">
        <v>1684</v>
      </c>
      <c r="F192" s="954" t="s">
        <v>1685</v>
      </c>
    </row>
    <row r="193" spans="1:6">
      <c r="A193" s="958" t="str">
        <f>IF(Eingabe!$E$3=$C$1,C193,IF(Eingabe!$E$3=$D$1,D193,IF(Eingabe!$E$3=$E$1,E193,IF(Eingabe!$E$3=$F$1,F193,NA()))))</f>
        <v>char. Ausziehparamter</v>
      </c>
      <c r="C193" s="954" t="s">
        <v>639</v>
      </c>
      <c r="D193" s="954" t="s">
        <v>1686</v>
      </c>
      <c r="E193" s="954" t="s">
        <v>1687</v>
      </c>
      <c r="F193" s="954" t="s">
        <v>1688</v>
      </c>
    </row>
    <row r="194" spans="1:6">
      <c r="A194" s="958" t="str">
        <f>IF(Eingabe!$E$3=$C$1,C194,IF(Eingabe!$E$3=$D$1,D194,IF(Eingabe!$E$3=$E$1,E194,IF(Eingabe!$E$3=$F$1,F194,NA()))))</f>
        <v>Dimensionskoeffizient</v>
      </c>
      <c r="C194" s="954" t="s">
        <v>643</v>
      </c>
      <c r="D194" s="954" t="s">
        <v>1689</v>
      </c>
      <c r="E194" s="954" t="s">
        <v>1690</v>
      </c>
      <c r="F194" s="954" t="s">
        <v>1691</v>
      </c>
    </row>
    <row r="195" spans="1:6">
      <c r="A195" s="958" t="str">
        <f>IF(Eingabe!$E$3=$C$1,C195,IF(Eingabe!$E$3=$D$1,D195,IF(Eingabe!$E$3=$E$1,E195,IF(Eingabe!$E$3=$F$1,F195,NA()))))</f>
        <v>Koeffizient</v>
      </c>
      <c r="C195" s="954" t="s">
        <v>644</v>
      </c>
      <c r="D195" s="954" t="s">
        <v>1692</v>
      </c>
      <c r="E195" s="954" t="s">
        <v>1693</v>
      </c>
      <c r="F195" s="954" t="s">
        <v>1694</v>
      </c>
    </row>
    <row r="196" spans="1:6">
      <c r="A196" s="958" t="str">
        <f>IF(Eingabe!$E$3=$C$1,C196,IF(Eingabe!$E$3=$D$1,D196,IF(Eingabe!$E$3=$E$1,E196,IF(Eingabe!$E$3=$F$1,F196,NA()))))</f>
        <v>char. Ausziehwiderstand</v>
      </c>
      <c r="C196" s="954" t="s">
        <v>488</v>
      </c>
      <c r="D196" s="954" t="s">
        <v>1686</v>
      </c>
      <c r="E196" s="954" t="s">
        <v>1695</v>
      </c>
      <c r="F196" s="954" t="s">
        <v>1708</v>
      </c>
    </row>
    <row r="197" spans="1:6">
      <c r="A197" s="958" t="str">
        <f>IF(Eingabe!$E$3=$C$1,C197,IF(Eingabe!$E$3=$D$1,D197,IF(Eingabe!$E$3=$E$1,E197,IF(Eingabe!$E$3=$F$1,F197,NA()))))</f>
        <v>char. Tragfähigkeit</v>
      </c>
      <c r="C197" s="954" t="s">
        <v>623</v>
      </c>
      <c r="D197" s="954" t="s">
        <v>1696</v>
      </c>
      <c r="E197" s="954" t="s">
        <v>1697</v>
      </c>
      <c r="F197" s="954" t="s">
        <v>1698</v>
      </c>
    </row>
    <row r="198" spans="1:6">
      <c r="A198" s="958" t="str">
        <f>IF(Eingabe!$E$3=$C$1,C198,IF(Eingabe!$E$3=$D$1,D198,IF(Eingabe!$E$3=$E$1,E198,IF(Eingabe!$E$3=$F$1,F198,NA()))))</f>
        <v>Teilsicherheitsbeiwert</v>
      </c>
      <c r="C198" s="954" t="s">
        <v>641</v>
      </c>
      <c r="D198" s="954" t="s">
        <v>1699</v>
      </c>
      <c r="E198" s="954" t="s">
        <v>1700</v>
      </c>
      <c r="F198" s="954" t="s">
        <v>1701</v>
      </c>
    </row>
    <row r="199" spans="1:6">
      <c r="A199" s="958" t="str">
        <f>IF(Eingabe!$E$3=$C$1,C199,IF(Eingabe!$E$3=$D$1,D199,IF(Eingabe!$E$3=$E$1,E199,IF(Eingabe!$E$3=$F$1,F199,NA()))))</f>
        <v>char. Zugfestigkeit</v>
      </c>
      <c r="C199" s="954" t="s">
        <v>652</v>
      </c>
      <c r="D199" s="954" t="s">
        <v>1702</v>
      </c>
      <c r="E199" s="954" t="s">
        <v>1703</v>
      </c>
      <c r="F199" s="954" t="s">
        <v>1708</v>
      </c>
    </row>
    <row r="200" spans="1:6">
      <c r="A200" s="958" t="str">
        <f>IF(Eingabe!$E$3=$C$1,C200,IF(Eingabe!$E$3=$D$1,D200,IF(Eingabe!$E$3=$E$1,E200,IF(Eingabe!$E$3=$F$1,F200,NA()))))</f>
        <v>Anzahl Schrauben</v>
      </c>
      <c r="C200" s="954" t="s">
        <v>635</v>
      </c>
      <c r="D200" s="954" t="s">
        <v>1704</v>
      </c>
      <c r="E200" s="954" t="s">
        <v>1705</v>
      </c>
      <c r="F200" s="954" t="s">
        <v>1706</v>
      </c>
    </row>
    <row r="201" spans="1:6">
      <c r="A201" s="958" t="str">
        <f>IF(Eingabe!$E$3=$C$1,C201,IF(Eingabe!$E$3=$D$1,D201,IF(Eingabe!$E$3=$E$1,E201,IF(Eingabe!$E$3=$F$1,F201,NA()))))</f>
        <v>char. Zugwiderstand</v>
      </c>
      <c r="C201" s="954" t="s">
        <v>646</v>
      </c>
      <c r="D201" s="954" t="s">
        <v>1707</v>
      </c>
      <c r="E201" s="954" t="s">
        <v>1703</v>
      </c>
      <c r="F201" s="954" t="s">
        <v>1708</v>
      </c>
    </row>
    <row r="202" spans="1:6">
      <c r="A202" s="958" t="str">
        <f>IF(Eingabe!$E$3=$C$1,C202,IF(Eingabe!$E$3=$D$1,D202,IF(Eingabe!$E$3=$E$1,E202,IF(Eingabe!$E$3=$F$1,F202,NA()))))</f>
        <v>char. Ausziehwiderstand</v>
      </c>
      <c r="C202" s="954" t="s">
        <v>488</v>
      </c>
      <c r="D202" s="954" t="s">
        <v>1709</v>
      </c>
      <c r="E202" s="954" t="s">
        <v>1695</v>
      </c>
      <c r="F202" s="954" t="s">
        <v>1710</v>
      </c>
    </row>
    <row r="203" spans="1:6">
      <c r="A203" s="958" t="str">
        <f>IF(Eingabe!$E$3=$C$1,C203,IF(Eingabe!$E$3=$D$1,D203,IF(Eingabe!$E$3=$E$1,E203,IF(Eingabe!$E$3=$F$1,F203,NA()))))</f>
        <v>char. Zugwiderstand</v>
      </c>
      <c r="C203" s="954" t="s">
        <v>646</v>
      </c>
      <c r="D203" s="954" t="s">
        <v>1711</v>
      </c>
      <c r="E203" s="954" t="s">
        <v>1703</v>
      </c>
      <c r="F203" s="954" t="s">
        <v>1708</v>
      </c>
    </row>
    <row r="204" spans="1:6">
      <c r="A204" s="958" t="str">
        <f>IF(Eingabe!$E$3=$C$1,C204,IF(Eingabe!$E$3=$D$1,D204,IF(Eingabe!$E$3=$E$1,E204,IF(Eingabe!$E$3=$F$1,F204,NA()))))</f>
        <v>max. Tragfähigkeit MEGANT</v>
      </c>
      <c r="C204" s="954" t="s">
        <v>647</v>
      </c>
      <c r="D204" s="954" t="s">
        <v>1712</v>
      </c>
      <c r="E204" s="954" t="s">
        <v>1713</v>
      </c>
      <c r="F204" s="954" t="s">
        <v>1714</v>
      </c>
    </row>
    <row r="205" spans="1:6">
      <c r="A205" s="958" t="str">
        <f>IF(Eingabe!$E$3=$C$1,C205,IF(Eingabe!$E$3=$D$1,D205,IF(Eingabe!$E$3=$E$1,E205,IF(Eingabe!$E$3=$F$1,F205,NA()))))</f>
        <v>Faktor</v>
      </c>
      <c r="C205" s="954" t="s">
        <v>483</v>
      </c>
      <c r="D205" s="954" t="s">
        <v>1715</v>
      </c>
      <c r="E205" s="954" t="s">
        <v>1716</v>
      </c>
      <c r="F205" s="954" t="s">
        <v>1715</v>
      </c>
    </row>
    <row r="206" spans="1:6">
      <c r="A206" s="958" t="str">
        <f>IF(Eingabe!$E$3=$C$1,C206,IF(Eingabe!$E$3=$D$1,D206,IF(Eingabe!$E$3=$E$1,E206,IF(Eingabe!$E$3=$F$1,F206,NA()))))</f>
        <v>Querschnittfläche</v>
      </c>
      <c r="C206" s="954" t="s">
        <v>389</v>
      </c>
      <c r="D206" s="954" t="s">
        <v>1717</v>
      </c>
      <c r="E206" s="954" t="s">
        <v>1718</v>
      </c>
      <c r="F206" s="954" t="s">
        <v>1719</v>
      </c>
    </row>
    <row r="207" spans="1:6">
      <c r="A207" s="958" t="str">
        <f>IF(Eingabe!$E$3=$C$1,C207,IF(Eingabe!$E$3=$D$1,D207,IF(Eingabe!$E$3=$E$1,E207,IF(Eingabe!$E$3=$F$1,F207,NA()))))</f>
        <v>0,2% Streckgrenze</v>
      </c>
      <c r="C207" s="954" t="s">
        <v>489</v>
      </c>
      <c r="D207" s="954" t="s">
        <v>1720</v>
      </c>
      <c r="E207" s="954" t="s">
        <v>1721</v>
      </c>
      <c r="F207" s="954" t="s">
        <v>1766</v>
      </c>
    </row>
    <row r="208" spans="1:6">
      <c r="A208" s="958" t="str">
        <f>IF(Eingabe!$E$3=$C$1,C208,IF(Eingabe!$E$3=$D$1,D208,IF(Eingabe!$E$3=$E$1,E208,IF(Eingabe!$E$3=$F$1,F208,NA()))))</f>
        <v>Gewindedurchmesser</v>
      </c>
      <c r="C208" s="954" t="s">
        <v>490</v>
      </c>
      <c r="D208" s="954" t="s">
        <v>1722</v>
      </c>
      <c r="E208" s="954" t="s">
        <v>1723</v>
      </c>
      <c r="F208" s="954" t="s">
        <v>1724</v>
      </c>
    </row>
    <row r="209" spans="1:6">
      <c r="A209" s="958" t="str">
        <f>IF(Eingabe!$E$3=$C$1,C209,IF(Eingabe!$E$3=$D$1,D209,IF(Eingabe!$E$3=$E$1,E209,IF(Eingabe!$E$3=$F$1,F209,NA()))))</f>
        <v>Gewindelänge im Aluminium</v>
      </c>
      <c r="C209" s="954" t="s">
        <v>653</v>
      </c>
      <c r="D209" s="954" t="s">
        <v>1725</v>
      </c>
      <c r="E209" s="954" t="s">
        <v>1726</v>
      </c>
      <c r="F209" s="954" t="s">
        <v>1727</v>
      </c>
    </row>
    <row r="210" spans="1:6">
      <c r="A210" s="958" t="str">
        <f>IF(Eingabe!$E$3=$C$1,C210,IF(Eingabe!$E$3=$D$1,D210,IF(Eingabe!$E$3=$E$1,E210,IF(Eingabe!$E$3=$F$1,F210,NA()))))</f>
        <v>Gewindefläche</v>
      </c>
      <c r="C210" s="954" t="s">
        <v>654</v>
      </c>
      <c r="D210" s="954" t="s">
        <v>1728</v>
      </c>
      <c r="E210" s="954" t="s">
        <v>1729</v>
      </c>
      <c r="F210" s="954" t="s">
        <v>1730</v>
      </c>
    </row>
    <row r="211" spans="1:6">
      <c r="A211" s="958" t="str">
        <f>IF(Eingabe!$E$3=$C$1,C211,IF(Eingabe!$E$3=$D$1,D211,IF(Eingabe!$E$3=$E$1,E211,IF(Eingabe!$E$3=$F$1,F211,NA()))))</f>
        <v>Abminderungsfaktor</v>
      </c>
      <c r="C211" s="954" t="s">
        <v>492</v>
      </c>
      <c r="D211" s="954" t="s">
        <v>1731</v>
      </c>
      <c r="E211" s="954" t="s">
        <v>1732</v>
      </c>
      <c r="F211" s="954" t="s">
        <v>1733</v>
      </c>
    </row>
    <row r="212" spans="1:6">
      <c r="A212" s="958" t="str">
        <f>IF(Eingabe!$E$3=$C$1,C212,IF(Eingabe!$E$3=$D$1,D212,IF(Eingabe!$E$3=$E$1,E212,IF(Eingabe!$E$3=$F$1,F212,NA()))))</f>
        <v>char. Fließmoment</v>
      </c>
      <c r="C212" s="954" t="s">
        <v>655</v>
      </c>
      <c r="D212" s="954" t="s">
        <v>1734</v>
      </c>
      <c r="E212" s="954" t="s">
        <v>1735</v>
      </c>
      <c r="F212" s="954" t="s">
        <v>1736</v>
      </c>
    </row>
    <row r="213" spans="1:6">
      <c r="A213" s="958" t="str">
        <f>IF(Eingabe!$E$3=$C$1,C213,IF(Eingabe!$E$3=$D$1,D213,IF(Eingabe!$E$3=$E$1,E213,IF(Eingabe!$E$3=$F$1,F213,NA()))))</f>
        <v>char. Lochleibungsfestigkeit</v>
      </c>
      <c r="C213" s="954" t="s">
        <v>656</v>
      </c>
      <c r="D213" s="954" t="s">
        <v>1737</v>
      </c>
      <c r="E213" s="954" t="s">
        <v>1738</v>
      </c>
      <c r="F213" s="954" t="s">
        <v>1767</v>
      </c>
    </row>
    <row r="214" spans="1:6">
      <c r="A214" s="958" t="str">
        <f>IF(Eingabe!$E$3=$C$1,C214,IF(Eingabe!$E$3=$D$1,D214,IF(Eingabe!$E$3=$E$1,E214,IF(Eingabe!$E$3=$F$1,F214,NA()))))</f>
        <v>char. Tragfähigkeit pro VM</v>
      </c>
      <c r="C214" s="954" t="s">
        <v>657</v>
      </c>
      <c r="D214" s="954" t="s">
        <v>1739</v>
      </c>
      <c r="E214" s="954" t="s">
        <v>1768</v>
      </c>
      <c r="F214" s="954" t="s">
        <v>1740</v>
      </c>
    </row>
    <row r="215" spans="1:6">
      <c r="A215" s="958" t="str">
        <f>IF(Eingabe!$E$3=$C$1,C215,IF(Eingabe!$E$3=$D$1,D215,IF(Eingabe!$E$3=$E$1,E215,IF(Eingabe!$E$3=$F$1,F215,NA()))))</f>
        <v>Breite Kontaktfläche</v>
      </c>
      <c r="C215" s="954" t="s">
        <v>499</v>
      </c>
      <c r="D215" s="954" t="s">
        <v>1769</v>
      </c>
      <c r="E215" s="954" t="s">
        <v>1741</v>
      </c>
      <c r="F215" s="954" t="s">
        <v>1742</v>
      </c>
    </row>
    <row r="216" spans="1:6">
      <c r="A216" s="958" t="str">
        <f>IF(Eingabe!$E$3=$C$1,C216,IF(Eingabe!$E$3=$D$1,D216,IF(Eingabe!$E$3=$E$1,E216,IF(Eingabe!$E$3=$F$1,F216,NA()))))</f>
        <v>char. Druckfestigkeit</v>
      </c>
      <c r="C216" s="954" t="s">
        <v>659</v>
      </c>
      <c r="D216" s="954" t="s">
        <v>1743</v>
      </c>
      <c r="E216" s="954" t="s">
        <v>1744</v>
      </c>
      <c r="F216" s="954" t="s">
        <v>1745</v>
      </c>
    </row>
    <row r="217" spans="1:6">
      <c r="A217" s="958" t="str">
        <f>IF(Eingabe!$E$3=$C$1,C217,IF(Eingabe!$E$3=$D$1,D217,IF(Eingabe!$E$3=$E$1,E217,IF(Eingabe!$E$3=$F$1,F217,NA()))))</f>
        <v>max. Druckbeitrag</v>
      </c>
      <c r="C217" s="954" t="s">
        <v>658</v>
      </c>
      <c r="D217" s="954" t="s">
        <v>1770</v>
      </c>
      <c r="E217" s="954" t="s">
        <v>1746</v>
      </c>
      <c r="F217" s="954" t="s">
        <v>1747</v>
      </c>
    </row>
    <row r="218" spans="1:6">
      <c r="A218" s="958" t="str">
        <f>IF(Eingabe!$E$3=$C$1,C218,IF(Eingabe!$E$3=$D$1,D218,IF(Eingabe!$E$3=$E$1,E218,IF(Eingabe!$E$3=$F$1,F218,NA()))))</f>
        <v xml:space="preserve">Mitwirkende Faserlänge </v>
      </c>
      <c r="C218" s="954" t="s">
        <v>662</v>
      </c>
      <c r="D218" s="954" t="s">
        <v>1748</v>
      </c>
      <c r="E218" s="954" t="s">
        <v>1749</v>
      </c>
      <c r="F218" s="954" t="s">
        <v>1750</v>
      </c>
    </row>
    <row r="219" spans="1:6">
      <c r="A219" s="958" t="str">
        <f>IF(Eingabe!$E$3=$C$1,C219,IF(Eingabe!$E$3=$D$1,D219,IF(Eingabe!$E$3=$E$1,E219,IF(Eingabe!$E$3=$F$1,F219,NA()))))</f>
        <v>Drehfedersteifigkeit</v>
      </c>
      <c r="C219" s="954" t="s">
        <v>663</v>
      </c>
      <c r="D219" s="954" t="s">
        <v>1751</v>
      </c>
      <c r="E219" s="954" t="s">
        <v>1576</v>
      </c>
      <c r="F219" s="954" t="s">
        <v>1752</v>
      </c>
    </row>
    <row r="220" spans="1:6">
      <c r="A220" s="958" t="str">
        <f>IF(Eingabe!$E$3=$C$1,C220,IF(Eingabe!$E$3=$D$1,D220,IF(Eingabe!$E$3=$E$1,E220,IF(Eingabe!$E$3=$F$1,F220,NA()))))</f>
        <v>Umrechnungsfaktor</v>
      </c>
      <c r="C220" s="954" t="s">
        <v>664</v>
      </c>
      <c r="D220" s="954" t="s">
        <v>1753</v>
      </c>
      <c r="E220" s="954" t="s">
        <v>1754</v>
      </c>
      <c r="F220" s="954" t="s">
        <v>1755</v>
      </c>
    </row>
    <row r="221" spans="1:6" ht="15.75" thickBot="1">
      <c r="A221" s="958" t="str">
        <f>IF(Eingabe!$E$3=$C$1,C221,IF(Eingabe!$E$3=$D$1,D221,IF(Eingabe!$E$3=$E$1,E221,IF(Eingabe!$E$3=$F$1,F221,NA()))))</f>
        <v>Grenzausmitte</v>
      </c>
      <c r="C221" s="954" t="s">
        <v>666</v>
      </c>
      <c r="D221" s="954" t="s">
        <v>1756</v>
      </c>
      <c r="E221" s="954" t="s">
        <v>1757</v>
      </c>
      <c r="F221" s="954" t="s">
        <v>1758</v>
      </c>
    </row>
    <row r="222" spans="1:6" s="626" customFormat="1">
      <c r="A222" s="967" t="str">
        <f>IF(Eingabe!$E$3=$C$1,C222,IF(Eingabe!$E$3=$D$1,D222,IF(Eingabe!$E$3=$E$1,E222,IF(Eingabe!$E$3=$F$1,F222,NA()))))</f>
        <v>oben</v>
      </c>
      <c r="C222" s="968" t="s">
        <v>681</v>
      </c>
      <c r="D222" s="968" t="s">
        <v>1771</v>
      </c>
      <c r="E222" s="968" t="s">
        <v>1774</v>
      </c>
      <c r="F222" s="968" t="s">
        <v>1775</v>
      </c>
    </row>
    <row r="223" spans="1:6" s="638" customFormat="1" ht="15.75" thickBot="1">
      <c r="A223" s="962" t="str">
        <f>IF(Eingabe!$E$3=$C$1,C223,IF(Eingabe!$E$3=$D$1,D223,IF(Eingabe!$E$3=$E$1,E223,IF(Eingabe!$E$3=$F$1,F223,NA()))))</f>
        <v>unten</v>
      </c>
      <c r="C223" s="963" t="s">
        <v>119</v>
      </c>
      <c r="D223" s="963" t="s">
        <v>1772</v>
      </c>
      <c r="E223" s="963" t="s">
        <v>1773</v>
      </c>
      <c r="F223" s="963" t="s">
        <v>1776</v>
      </c>
    </row>
    <row r="224" spans="1:6">
      <c r="A224" s="958" t="str">
        <f>IF(Eingabe!$E$3=$C$1,C224,IF(Eingabe!$E$3=$D$1,D224,IF(Eingabe!$E$3=$E$1,E224,IF(Eingabe!$E$3=$F$1,F224,NA()))))</f>
        <v>* (Ausnutzung OHNE Verstärkung)</v>
      </c>
      <c r="C224" s="954" t="s">
        <v>1962</v>
      </c>
      <c r="D224" s="954" t="s">
        <v>2480</v>
      </c>
      <c r="E224" s="1443" t="s">
        <v>2606</v>
      </c>
      <c r="F224" s="954" t="s">
        <v>2481</v>
      </c>
    </row>
    <row r="225" spans="1:6">
      <c r="A225" s="958" t="str">
        <f>IF(Eingabe!$E$3=$C$1,C225,IF(Eingabe!$E$3=$D$1,D225,IF(Eingabe!$E$3=$E$1,E225,IF(Eingabe!$E$3=$F$1,F225,NA()))))</f>
        <v>Angaben zur Verstärkungen des MEGANT-Verbinders</v>
      </c>
      <c r="C225" s="954" t="s">
        <v>2416</v>
      </c>
      <c r="D225" s="954" t="s">
        <v>2482</v>
      </c>
      <c r="E225" s="1443" t="s">
        <v>2607</v>
      </c>
      <c r="F225" s="954" t="s">
        <v>2483</v>
      </c>
    </row>
    <row r="226" spans="1:6">
      <c r="A226" s="958" t="str">
        <f>IF(Eingabe!$E$3=$C$1,C226,IF(Eingabe!$E$3=$D$1,D226,IF(Eingabe!$E$3=$E$1,E226,IF(Eingabe!$E$3=$F$1,F226,NA()))))</f>
        <v>Verstärkung in der Zugzone vorhanden?</v>
      </c>
      <c r="C226" s="954" t="s">
        <v>2336</v>
      </c>
      <c r="D226" s="954" t="s">
        <v>2484</v>
      </c>
      <c r="E226" s="1443" t="s">
        <v>2608</v>
      </c>
      <c r="F226" s="954" t="s">
        <v>2485</v>
      </c>
    </row>
    <row r="227" spans="1:6">
      <c r="A227" s="958" t="str">
        <f>IF(Eingabe!$E$3=$C$1,C227,IF(Eingabe!$E$3=$D$1,D227,IF(Eingabe!$E$3=$E$1,E227,IF(Eingabe!$E$3=$F$1,F227,NA()))))</f>
        <v>Schraubenkreuz</v>
      </c>
      <c r="C227" s="954" t="s">
        <v>1965</v>
      </c>
      <c r="D227" s="954" t="s">
        <v>2486</v>
      </c>
      <c r="E227" s="1443" t="s">
        <v>2609</v>
      </c>
      <c r="F227" s="954" t="s">
        <v>2487</v>
      </c>
    </row>
    <row r="228" spans="1:6">
      <c r="A228" s="958" t="str">
        <f>IF(Eingabe!$E$3=$C$1,C228,IF(Eingabe!$E$3=$D$1,D228,IF(Eingabe!$E$3=$E$1,E228,IF(Eingabe!$E$3=$F$1,F228,NA()))))</f>
        <v>Einbauteil Hauptträger-Nebenträger</v>
      </c>
      <c r="C228" s="954" t="s">
        <v>1964</v>
      </c>
      <c r="D228" s="954" t="s">
        <v>2488</v>
      </c>
      <c r="E228" s="1443" t="s">
        <v>2610</v>
      </c>
      <c r="F228" s="954" t="s">
        <v>2489</v>
      </c>
    </row>
    <row r="229" spans="1:6">
      <c r="A229" s="958" t="str">
        <f>IF(Eingabe!$E$3=$C$1,C229,IF(Eingabe!$E$3=$D$1,D229,IF(Eingabe!$E$3=$E$1,E229,IF(Eingabe!$E$3=$F$1,F229,NA()))))</f>
        <v>Zuglasche NT-HT-NT</v>
      </c>
      <c r="C229" s="954" t="s">
        <v>1949</v>
      </c>
      <c r="D229" s="1441" t="s">
        <v>2490</v>
      </c>
      <c r="E229" s="1443" t="s">
        <v>2611</v>
      </c>
      <c r="F229" s="1441" t="s">
        <v>2491</v>
      </c>
    </row>
    <row r="230" spans="1:6">
      <c r="A230" s="958" t="str">
        <f>IF(Eingabe!$E$3=$C$1,C230,IF(Eingabe!$E$3=$D$1,D230,IF(Eingabe!$E$3=$E$1,E230,IF(Eingabe!$E$3=$F$1,F230,NA()))))</f>
        <v>Querzugverstärkung</v>
      </c>
      <c r="C230" s="954" t="s">
        <v>2023</v>
      </c>
      <c r="D230" s="954" t="s">
        <v>2492</v>
      </c>
      <c r="E230" s="1443" t="s">
        <v>2612</v>
      </c>
      <c r="F230" s="954" t="s">
        <v>2493</v>
      </c>
    </row>
    <row r="231" spans="1:6">
      <c r="A231" s="958" t="str">
        <f>IF(Eingabe!$E$3=$C$1,C231,IF(Eingabe!$E$3=$D$1,D231,IF(Eingabe!$E$3=$E$1,E231,IF(Eingabe!$E$3=$F$1,F231,NA()))))</f>
        <v>Druckzonenverstärkung</v>
      </c>
      <c r="C231" s="954" t="s">
        <v>2334</v>
      </c>
      <c r="D231" s="954" t="s">
        <v>2494</v>
      </c>
      <c r="E231" s="1443" t="s">
        <v>2613</v>
      </c>
      <c r="F231" s="954" t="s">
        <v>2495</v>
      </c>
    </row>
    <row r="232" spans="1:6">
      <c r="A232" s="958" t="str">
        <f>IF(Eingabe!$E$3=$C$1,C232,IF(Eingabe!$E$3=$D$1,D232,IF(Eingabe!$E$3=$E$1,E232,IF(Eingabe!$E$3=$F$1,F232,NA()))))</f>
        <v>Verschiebungsmodul</v>
      </c>
      <c r="C232" s="954" t="s">
        <v>1966</v>
      </c>
      <c r="D232" s="954" t="s">
        <v>2496</v>
      </c>
      <c r="E232" s="1443" t="s">
        <v>2614</v>
      </c>
      <c r="F232" s="954" t="s">
        <v>2497</v>
      </c>
    </row>
    <row r="233" spans="1:6">
      <c r="A233" s="958" t="str">
        <f>IF(Eingabe!$E$3=$C$1,C233,IF(Eingabe!$E$3=$D$1,D233,IF(Eingabe!$E$3=$E$1,E233,IF(Eingabe!$E$3=$F$1,F233,NA()))))</f>
        <v>Abstand VM - VM</v>
      </c>
      <c r="C233" s="954" t="s">
        <v>2403</v>
      </c>
      <c r="D233" s="1441" t="s">
        <v>2498</v>
      </c>
      <c r="E233" s="1443" t="s">
        <v>2615</v>
      </c>
      <c r="F233" s="1441" t="s">
        <v>2499</v>
      </c>
    </row>
    <row r="234" spans="1:6">
      <c r="A234" s="958" t="str">
        <f>IF(Eingabe!$E$3=$C$1,C234,IF(Eingabe!$E$3=$D$1,D234,IF(Eingabe!$E$3=$E$1,E234,IF(Eingabe!$E$3=$F$1,F234,NA()))))</f>
        <v>Abstand VM - MEGANT</v>
      </c>
      <c r="C234" s="954" t="s">
        <v>1967</v>
      </c>
      <c r="D234" s="1441" t="s">
        <v>2500</v>
      </c>
      <c r="E234" s="1443" t="s">
        <v>2616</v>
      </c>
      <c r="F234" s="1441" t="s">
        <v>2501</v>
      </c>
    </row>
    <row r="235" spans="1:6">
      <c r="A235" s="958" t="str">
        <f>IF(Eingabe!$E$3=$C$1,C235,IF(Eingabe!$E$3=$D$1,D235,IF(Eingabe!$E$3=$E$1,E235,IF(Eingabe!$E$3=$F$1,F235,NA()))))</f>
        <v>Anzahl VM-Reihen</v>
      </c>
      <c r="C235" s="954" t="s">
        <v>1968</v>
      </c>
      <c r="D235" s="1441" t="s">
        <v>2502</v>
      </c>
      <c r="E235" s="1443" t="s">
        <v>2617</v>
      </c>
      <c r="F235" s="1441" t="s">
        <v>2503</v>
      </c>
    </row>
    <row r="236" spans="1:6">
      <c r="A236" s="958" t="str">
        <f>IF(Eingabe!$E$3=$C$1,C236,IF(Eingabe!$E$3=$D$1,D236,IF(Eingabe!$E$3=$E$1,E236,IF(Eingabe!$E$3=$F$1,F236,NA()))))</f>
        <v>Verstärkung in der Druckzone vorhanden?</v>
      </c>
      <c r="C236" s="954" t="s">
        <v>2420</v>
      </c>
      <c r="D236" s="954" t="s">
        <v>2504</v>
      </c>
      <c r="E236" s="1443" t="s">
        <v>2618</v>
      </c>
      <c r="F236" s="954" t="s">
        <v>2505</v>
      </c>
    </row>
    <row r="237" spans="1:6">
      <c r="A237" s="958" t="str">
        <f>IF(Eingabe!$E$3=$C$1,C237,IF(Eingabe!$E$3=$D$1,D237,IF(Eingabe!$E$3=$E$1,E237,IF(Eingabe!$E$3=$F$1,F237,NA()))))</f>
        <v>Art der Druckzonenverstärkung</v>
      </c>
      <c r="C237" s="954" t="s">
        <v>2335</v>
      </c>
      <c r="D237" s="954" t="s">
        <v>2506</v>
      </c>
      <c r="E237" s="1443" t="s">
        <v>2619</v>
      </c>
      <c r="F237" s="954" t="s">
        <v>2507</v>
      </c>
    </row>
    <row r="238" spans="1:6">
      <c r="A238" s="958" t="str">
        <f>IF(Eingabe!$E$3=$C$1,C238,IF(Eingabe!$E$3=$D$1,D238,IF(Eingabe!$E$3=$E$1,E238,IF(Eingabe!$E$3=$F$1,F238,NA()))))</f>
        <v>Art der Zugzonenverstärkung</v>
      </c>
      <c r="C238" s="954" t="s">
        <v>2337</v>
      </c>
      <c r="D238" s="954" t="s">
        <v>2508</v>
      </c>
      <c r="E238" s="1443" t="s">
        <v>2620</v>
      </c>
      <c r="F238" s="954" t="s">
        <v>2509</v>
      </c>
    </row>
    <row r="239" spans="1:6">
      <c r="A239" s="958" t="str">
        <f>IF(Eingabe!$E$3=$C$1,C239,IF(Eingabe!$E$3=$D$1,D239,IF(Eingabe!$E$3=$E$1,E239,IF(Eingabe!$E$3=$F$1,F239,NA()))))</f>
        <v>Querdruckschrauben</v>
      </c>
      <c r="C239" s="954" t="s">
        <v>1969</v>
      </c>
      <c r="D239" s="954" t="s">
        <v>2510</v>
      </c>
      <c r="E239" s="1443" t="s">
        <v>2621</v>
      </c>
      <c r="F239" s="954" t="s">
        <v>2511</v>
      </c>
    </row>
    <row r="240" spans="1:6">
      <c r="A240" s="958" t="str">
        <f>IF(Eingabe!$E$3=$C$1,C240,IF(Eingabe!$E$3=$D$1,D240,IF(Eingabe!$E$3=$E$1,E240,IF(Eingabe!$E$3=$F$1,F240,NA()))))</f>
        <v>Werte je Schraubenkreuz</v>
      </c>
      <c r="C240" s="954" t="s">
        <v>2417</v>
      </c>
      <c r="D240" s="954" t="s">
        <v>2512</v>
      </c>
      <c r="E240" s="1443" t="s">
        <v>2622</v>
      </c>
      <c r="F240" s="954" t="s">
        <v>2513</v>
      </c>
    </row>
    <row r="241" spans="1:6">
      <c r="A241" s="958" t="str">
        <f>IF(Eingabe!$E$3=$C$1,C241,IF(Eingabe!$E$3=$D$1,D241,IF(Eingabe!$E$3=$E$1,E241,IF(Eingabe!$E$3=$F$1,F241,NA()))))</f>
        <v>Werte je Schraubenreihe</v>
      </c>
      <c r="C241" s="954" t="s">
        <v>2418</v>
      </c>
      <c r="D241" s="954" t="s">
        <v>2514</v>
      </c>
      <c r="E241" s="1443" t="s">
        <v>2623</v>
      </c>
      <c r="F241" s="954" t="s">
        <v>2515</v>
      </c>
    </row>
    <row r="242" spans="1:6">
      <c r="A242" s="958" t="str">
        <f>IF(Eingabe!$E$3=$C$1,C242,IF(Eingabe!$E$3=$D$1,D242,IF(Eingabe!$E$3=$E$1,E242,IF(Eingabe!$E$3=$F$1,F242,NA()))))</f>
        <v>Anzahl VM</v>
      </c>
      <c r="C242" s="954" t="s">
        <v>651</v>
      </c>
      <c r="D242" s="954" t="s">
        <v>2516</v>
      </c>
      <c r="E242" s="1443" t="s">
        <v>2624</v>
      </c>
      <c r="F242" s="954" t="s">
        <v>2517</v>
      </c>
    </row>
    <row r="243" spans="1:6">
      <c r="A243" s="958" t="str">
        <f>IF(Eingabe!$E$3=$C$1,C243,IF(Eingabe!$E$3=$D$1,D243,IF(Eingabe!$E$3=$E$1,E243,IF(Eingabe!$E$3=$F$1,F243,NA()))))</f>
        <v>Länge VM</v>
      </c>
      <c r="C243" s="954" t="s">
        <v>1970</v>
      </c>
      <c r="D243" s="954" t="s">
        <v>2518</v>
      </c>
      <c r="E243" s="1443" t="s">
        <v>2625</v>
      </c>
      <c r="F243" s="954" t="s">
        <v>2519</v>
      </c>
    </row>
    <row r="244" spans="1:6">
      <c r="A244" s="958" t="str">
        <f>IF(Eingabe!$E$3=$C$1,C244,IF(Eingabe!$E$3=$D$1,D244,IF(Eingabe!$E$3=$E$1,E244,IF(Eingabe!$E$3=$F$1,F244,NA()))))</f>
        <v>VM = Verbindungsmittel</v>
      </c>
      <c r="C244" s="954" t="s">
        <v>1971</v>
      </c>
      <c r="D244" s="954" t="s">
        <v>2520</v>
      </c>
      <c r="E244" s="1443" t="s">
        <v>2626</v>
      </c>
      <c r="F244" s="954" t="s">
        <v>2521</v>
      </c>
    </row>
    <row r="245" spans="1:6">
      <c r="A245" s="958" t="str">
        <f>IF(Eingabe!$E$3=$C$1,C245,IF(Eingabe!$E$3=$D$1,D245,IF(Eingabe!$E$3=$E$1,E245,IF(Eingabe!$E$3=$F$1,F245,NA()))))</f>
        <v>Momententragfähigkeit und Federsteifigkeit mit Verstärkung</v>
      </c>
      <c r="C245" s="954" t="s">
        <v>1972</v>
      </c>
      <c r="D245" s="954" t="s">
        <v>2522</v>
      </c>
      <c r="E245" s="1443" t="s">
        <v>2627</v>
      </c>
      <c r="F245" s="954" t="s">
        <v>2523</v>
      </c>
    </row>
    <row r="246" spans="1:6">
      <c r="A246" s="958" t="str">
        <f>IF(Eingabe!$E$3=$C$1,C246,IF(Eingabe!$E$3=$D$1,D246,IF(Eingabe!$E$3=$E$1,E246,IF(Eingabe!$E$3=$F$1,F246,NA()))))</f>
        <v xml:space="preserve">Bemessungswerte beziehen sich auf die Kombination des gewählten MEGANT-Verbinders mit zusätzlicher Verstärkung gemäß den Benutzereingaben. </v>
      </c>
      <c r="C246" s="1212" t="s">
        <v>1973</v>
      </c>
      <c r="D246" s="954" t="s">
        <v>2524</v>
      </c>
      <c r="E246" s="1443" t="s">
        <v>2628</v>
      </c>
      <c r="F246" s="954" t="s">
        <v>2525</v>
      </c>
    </row>
    <row r="247" spans="1:6">
      <c r="A247" s="958" t="str">
        <f>IF(Eingabe!$E$3=$C$1,C247,IF(Eingabe!$E$3=$D$1,D247,IF(Eingabe!$E$3=$E$1,E247,IF(Eingabe!$E$3=$F$1,F247,NA()))))</f>
        <v>Abstand VM - Bauteilrand NT</v>
      </c>
      <c r="C247" s="954" t="s">
        <v>1977</v>
      </c>
      <c r="D247" s="1441" t="s">
        <v>2526</v>
      </c>
      <c r="E247" s="1443" t="s">
        <v>2629</v>
      </c>
      <c r="F247" s="1441" t="s">
        <v>2527</v>
      </c>
    </row>
    <row r="248" spans="1:6">
      <c r="A248" s="958" t="str">
        <f>IF(Eingabe!$E$3=$C$1,C248,IF(Eingabe!$E$3=$D$1,D248,IF(Eingabe!$E$3=$E$1,E248,IF(Eingabe!$E$3=$F$1,F248,NA()))))</f>
        <v>Abstand VM - Oberkante  NT</v>
      </c>
      <c r="C248" s="954" t="s">
        <v>2404</v>
      </c>
      <c r="D248" s="1441" t="s">
        <v>2528</v>
      </c>
      <c r="E248" s="1443" t="s">
        <v>2630</v>
      </c>
      <c r="F248" s="1441" t="s">
        <v>2529</v>
      </c>
    </row>
    <row r="249" spans="1:6">
      <c r="A249" s="958" t="str">
        <f>IF(Eingabe!$E$3=$C$1,C249,IF(Eingabe!$E$3=$D$1,D249,IF(Eingabe!$E$3=$E$1,E249,IF(Eingabe!$E$3=$F$1,F249,NA()))))</f>
        <v>1) Angabe je Schraubenkreuz</v>
      </c>
      <c r="C249" s="954" t="s">
        <v>2414</v>
      </c>
      <c r="D249" s="954" t="s">
        <v>2530</v>
      </c>
      <c r="E249" s="1443" t="s">
        <v>2631</v>
      </c>
      <c r="F249" s="954" t="s">
        <v>2531</v>
      </c>
    </row>
    <row r="250" spans="1:6">
      <c r="A250" s="958" t="str">
        <f>IF(Eingabe!$E$3=$C$1,C250,IF(Eingabe!$E$3=$D$1,D250,IF(Eingabe!$E$3=$E$1,E250,IF(Eingabe!$E$3=$F$1,F250,NA()))))</f>
        <v>1) Angabe je Schraubenreihe (eine Schraubenreihe kann aus mehreren Schrauben(spalten) bestehen)</v>
      </c>
      <c r="C250" s="954" t="s">
        <v>2415</v>
      </c>
      <c r="D250" s="954" t="s">
        <v>2532</v>
      </c>
      <c r="E250" s="1443" t="s">
        <v>2632</v>
      </c>
      <c r="F250" s="954" t="s">
        <v>2533</v>
      </c>
    </row>
    <row r="251" spans="1:6">
      <c r="A251" s="958" t="str">
        <f>IF(Eingabe!$E$3=$C$1,C251,IF(Eingabe!$E$3=$D$1,D251,IF(Eingabe!$E$3=$E$1,E251,IF(Eingabe!$E$3=$F$1,F251,NA()))))</f>
        <v>Die Vertstärkungen müssen ausreichend vor Brand geschützt sein.</v>
      </c>
      <c r="C251" s="954" t="s">
        <v>2421</v>
      </c>
      <c r="D251" s="954" t="s">
        <v>2534</v>
      </c>
      <c r="E251" s="1443" t="s">
        <v>2633</v>
      </c>
      <c r="F251" s="954" t="s">
        <v>2535</v>
      </c>
    </row>
    <row r="252" spans="1:6">
      <c r="A252" s="958" t="str">
        <f>IF(Eingabe!$E$3=$C$1,C252,IF(Eingabe!$E$3=$D$1,D252,IF(Eingabe!$E$3=$E$1,E252,IF(Eingabe!$E$3=$F$1,F252,NA()))))</f>
        <v>je Schraube</v>
      </c>
      <c r="C252" s="954" t="s">
        <v>2002</v>
      </c>
      <c r="D252" s="954" t="s">
        <v>2536</v>
      </c>
      <c r="E252" s="1443" t="s">
        <v>2634</v>
      </c>
      <c r="F252" s="954" t="s">
        <v>2537</v>
      </c>
    </row>
    <row r="253" spans="1:6">
      <c r="A253" s="958" t="str">
        <f>IF(Eingabe!$E$3=$C$1,C253,IF(Eingabe!$E$3=$D$1,D253,IF(Eingabe!$E$3=$E$1,E253,IF(Eingabe!$E$3=$F$1,F253,NA()))))</f>
        <v>Anzahl der übereinander angeordneten Verstärkungselemente in der Biegezugzone</v>
      </c>
      <c r="C253" s="954" t="s">
        <v>2158</v>
      </c>
      <c r="D253" s="954" t="s">
        <v>2538</v>
      </c>
      <c r="E253" s="1443" t="s">
        <v>2635</v>
      </c>
      <c r="F253" s="954" t="s">
        <v>2539</v>
      </c>
    </row>
    <row r="254" spans="1:6">
      <c r="A254" s="958" t="str">
        <f>IF(Eingabe!$E$3=$C$1,C254,IF(Eingabe!$E$3=$D$1,D254,IF(Eingabe!$E$3=$E$1,E254,IF(Eingabe!$E$3=$F$1,F254,NA()))))</f>
        <v>char. Tragfähigkeit der Verstärkungselemente in der Druckzone</v>
      </c>
      <c r="C254" s="954" t="s">
        <v>2165</v>
      </c>
      <c r="D254" s="954" t="s">
        <v>2540</v>
      </c>
      <c r="E254" s="1443" t="s">
        <v>2636</v>
      </c>
      <c r="F254" s="954" t="s">
        <v>2541</v>
      </c>
    </row>
    <row r="255" spans="1:6">
      <c r="A255" s="958" t="str">
        <f>IF(Eingabe!$E$3=$C$1,C255,IF(Eingabe!$E$3=$D$1,D255,IF(Eingabe!$E$3=$E$1,E255,IF(Eingabe!$E$3=$F$1,F255,NA()))))</f>
        <v>Maßgebend: Biegezug oben</v>
      </c>
      <c r="C255" s="954" t="s">
        <v>2251</v>
      </c>
      <c r="D255" s="954" t="s">
        <v>2542</v>
      </c>
      <c r="E255" s="1444" t="s">
        <v>2661</v>
      </c>
      <c r="F255" s="954" t="s">
        <v>2543</v>
      </c>
    </row>
    <row r="256" spans="1:6">
      <c r="A256" s="958" t="str">
        <f>IF(Eingabe!$E$3=$C$1,C256,IF(Eingabe!$E$3=$D$1,D256,IF(Eingabe!$E$3=$E$1,E256,IF(Eingabe!$E$3=$F$1,F256,NA()))))</f>
        <v>Maßgebend: Biegezug unten</v>
      </c>
      <c r="C256" s="954" t="s">
        <v>2252</v>
      </c>
      <c r="D256" s="954" t="s">
        <v>2544</v>
      </c>
      <c r="E256" s="1444" t="s">
        <v>2662</v>
      </c>
      <c r="F256" s="954" t="s">
        <v>2545</v>
      </c>
    </row>
    <row r="257" spans="1:6">
      <c r="A257" s="958" t="str">
        <f>IF(Eingabe!$E$3=$C$1,C257,IF(Eingabe!$E$3=$D$1,D257,IF(Eingabe!$E$3=$E$1,E257,IF(Eingabe!$E$3=$F$1,F257,NA()))))</f>
        <v>Ausgabe der Zwischenwerte erfolgt nur für den maßgebenden Fall (Biegezug oben ODER Biegezug unten)</v>
      </c>
      <c r="C257" s="954" t="s">
        <v>2204</v>
      </c>
      <c r="D257" s="954" t="s">
        <v>2546</v>
      </c>
      <c r="E257" s="1443" t="s">
        <v>2637</v>
      </c>
      <c r="F257" s="954" t="s">
        <v>2547</v>
      </c>
    </row>
    <row r="258" spans="1:6">
      <c r="A258" s="958" t="str">
        <f>IF(Eingabe!$E$3=$C$1,C258,IF(Eingabe!$E$3=$D$1,D258,IF(Eingabe!$E$3=$E$1,E258,IF(Eingabe!$E$3=$F$1,F258,NA()))))</f>
        <v>Abstand des am weitesten entfernten Verstärkungselements zum Rotationszentrum</v>
      </c>
      <c r="C258" s="954" t="s">
        <v>2206</v>
      </c>
      <c r="D258" s="954" t="s">
        <v>2548</v>
      </c>
      <c r="E258" s="1443" t="s">
        <v>2638</v>
      </c>
      <c r="F258" s="954" t="s">
        <v>2549</v>
      </c>
    </row>
    <row r="259" spans="1:6">
      <c r="A259" s="958" t="str">
        <f>IF(Eingabe!$E$3=$C$1,C259,IF(Eingabe!$E$3=$D$1,D259,IF(Eingabe!$E$3=$E$1,E259,IF(Eingabe!$E$3=$F$1,F259,NA()))))</f>
        <v>Abstand des Verstärkungselements in der Druckzone zum Rotationszentrum</v>
      </c>
      <c r="C259" s="954" t="s">
        <v>2422</v>
      </c>
      <c r="D259" s="954" t="s">
        <v>2550</v>
      </c>
      <c r="E259" s="1443" t="s">
        <v>2639</v>
      </c>
      <c r="F259" s="954" t="s">
        <v>2551</v>
      </c>
    </row>
    <row r="260" spans="1:6">
      <c r="A260" s="958" t="str">
        <f>IF(Eingabe!$E$3=$C$1,C260,IF(Eingabe!$E$3=$D$1,D260,IF(Eingabe!$E$3=$E$1,E260,IF(Eingabe!$E$3=$F$1,F260,NA()))))</f>
        <v>Bitte markierte Eingabewerte prüfen</v>
      </c>
      <c r="C260" s="954" t="s">
        <v>2222</v>
      </c>
      <c r="D260" s="954" t="s">
        <v>2552</v>
      </c>
      <c r="E260" s="1443" t="s">
        <v>2640</v>
      </c>
      <c r="F260" s="954" t="s">
        <v>2553</v>
      </c>
    </row>
    <row r="261" spans="1:6">
      <c r="A261" s="958" t="str">
        <f>IF(Eingabe!$E$3=$C$1,C261,IF(Eingabe!$E$3=$D$1,D261,IF(Eingabe!$E$3=$E$1,E261,IF(Eingabe!$E$3=$F$1,F261,NA()))))</f>
        <v>Bei Ausführungen mit Anschlusswinkel (horizontal/vertikal) sind keine Verstärkungen zulässig</v>
      </c>
      <c r="C261" s="954" t="s">
        <v>2254</v>
      </c>
      <c r="D261" s="954" t="s">
        <v>2554</v>
      </c>
      <c r="E261" s="1443" t="s">
        <v>2641</v>
      </c>
      <c r="F261" s="954" t="s">
        <v>2555</v>
      </c>
    </row>
    <row r="262" spans="1:6">
      <c r="A262" s="958" t="str">
        <f>IF(Eingabe!$E$3=$C$1,C262,IF(Eingabe!$E$3=$D$1,D262,IF(Eingabe!$E$3=$E$1,E262,IF(Eingabe!$E$3=$F$1,F262,NA()))))</f>
        <v xml:space="preserve">Eine Zugzonenverstärkung kann nur oberhab des MEGANT-Verbinders angeordnet werden. Für alle Lastfälle in der die Biegezugzone "unten" liegt, wird die Verstärkungsmaßnahme rechnerisch nicht berücksichtigt. </v>
      </c>
      <c r="C262" s="954" t="s">
        <v>2419</v>
      </c>
      <c r="D262" s="954" t="s">
        <v>2556</v>
      </c>
      <c r="E262" s="1443" t="s">
        <v>2642</v>
      </c>
      <c r="F262" s="954" t="s">
        <v>2557</v>
      </c>
    </row>
    <row r="263" spans="1:6">
      <c r="A263" s="958" t="str">
        <f>IF(Eingabe!$E$3=$C$1,C263,IF(Eingabe!$E$3=$D$1,D263,IF(Eingabe!$E$3=$E$1,E263,IF(Eingabe!$E$3=$F$1,F263,NA()))))</f>
        <v>Nachweis mit Verstärkung</v>
      </c>
      <c r="C263" s="954" t="s">
        <v>2319</v>
      </c>
      <c r="D263" s="954" t="s">
        <v>2558</v>
      </c>
      <c r="E263" s="1443" t="s">
        <v>2643</v>
      </c>
      <c r="F263" s="954" t="s">
        <v>2559</v>
      </c>
    </row>
    <row r="264" spans="1:6">
      <c r="A264" s="958" t="str">
        <f>IF(Eingabe!$E$3=$C$1,C264,IF(Eingabe!$E$3=$D$1,D264,IF(Eingabe!$E$3=$E$1,E264,IF(Eingabe!$E$3=$F$1,F264,NA()))))</f>
        <v>Nachweis ohne Verstärkung:</v>
      </c>
      <c r="C264" s="954" t="s">
        <v>2318</v>
      </c>
      <c r="D264" s="954" t="s">
        <v>2560</v>
      </c>
      <c r="E264" s="1443" t="s">
        <v>2644</v>
      </c>
      <c r="F264" s="954" t="s">
        <v>2561</v>
      </c>
    </row>
    <row r="265" spans="1:6">
      <c r="A265" s="958" t="str">
        <f>IF(Eingabe!$E$3=$C$1,C265,IF(Eingabe!$E$3=$D$1,D265,IF(Eingabe!$E$3=$E$1,E265,IF(Eingabe!$E$3=$F$1,F265,NA()))))</f>
        <v>Verstärkungsmaßnahmen in der Zugzone und/oder Druckzone vorhanden</v>
      </c>
      <c r="C265" s="954" t="s">
        <v>2307</v>
      </c>
      <c r="D265" s="954" t="s">
        <v>2562</v>
      </c>
      <c r="E265" s="1443" t="s">
        <v>2645</v>
      </c>
      <c r="F265" s="954" t="s">
        <v>2563</v>
      </c>
    </row>
    <row r="266" spans="1:6">
      <c r="A266" s="958" t="str">
        <f>IF(Eingabe!$E$3=$C$1,C266,IF(Eingabe!$E$3=$D$1,D266,IF(Eingabe!$E$3=$E$1,E266,IF(Eingabe!$E$3=$F$1,F266,NA()))))</f>
        <v>keine Verstärkungsmaßnahmen in der Zugzone und/oder Druckzone vorhanden</v>
      </c>
      <c r="C266" s="954" t="s">
        <v>2309</v>
      </c>
      <c r="D266" s="954" t="s">
        <v>2564</v>
      </c>
      <c r="E266" s="1443" t="s">
        <v>2646</v>
      </c>
      <c r="F266" s="954" t="s">
        <v>2565</v>
      </c>
    </row>
    <row r="267" spans="1:6">
      <c r="A267" s="958" t="str">
        <f>IF(Eingabe!$E$3=$C$1,C267,IF(Eingabe!$E$3=$D$1,D267,IF(Eingabe!$E$3=$E$1,E267,IF(Eingabe!$E$3=$F$1,F267,NA()))))</f>
        <v>Nachweis der Ausklinkung am Nebenträger</v>
      </c>
      <c r="C267" s="954" t="s">
        <v>2311</v>
      </c>
      <c r="D267" s="954" t="s">
        <v>2566</v>
      </c>
      <c r="E267" s="1443" t="s">
        <v>2647</v>
      </c>
      <c r="F267" s="954" t="s">
        <v>2567</v>
      </c>
    </row>
    <row r="268" spans="1:6">
      <c r="A268" s="958" t="str">
        <f>IF(Eingabe!$E$3=$C$1,C268,IF(Eingabe!$E$3=$D$1,D268,IF(Eingabe!$E$3=$E$1,E268,IF(Eingabe!$E$3=$F$1,F268,NA()))))</f>
        <v>Querzugverstärkung der Ausklinkung im Nebenträger</v>
      </c>
      <c r="C268" s="954" t="s">
        <v>2339</v>
      </c>
      <c r="D268" s="954" t="s">
        <v>2568</v>
      </c>
      <c r="E268" s="1443" t="s">
        <v>2648</v>
      </c>
      <c r="F268" s="954" t="s">
        <v>2569</v>
      </c>
    </row>
    <row r="269" spans="1:6">
      <c r="A269" s="958" t="str">
        <f>IF(Eingabe!$E$3=$C$1,C269,IF(Eingabe!$E$3=$D$1,D269,IF(Eingabe!$E$3=$E$1,E269,IF(Eingabe!$E$3=$F$1,F269,NA()))))</f>
        <v>OK Nebenträger zur Risslinie</v>
      </c>
      <c r="C269" s="954" t="s">
        <v>2026</v>
      </c>
      <c r="D269" s="954" t="s">
        <v>2570</v>
      </c>
      <c r="E269" s="1443" t="s">
        <v>2649</v>
      </c>
      <c r="F269" s="954" t="s">
        <v>2571</v>
      </c>
    </row>
    <row r="270" spans="1:6">
      <c r="A270" s="958" t="str">
        <f>IF(Eingabe!$E$3=$C$1,C270,IF(Eingabe!$E$3=$D$1,D270,IF(Eingabe!$E$3=$E$1,E270,IF(Eingabe!$E$3=$F$1,F270,NA()))))</f>
        <v>UK Nebenträger zur Risslinie</v>
      </c>
      <c r="C270" s="954" t="s">
        <v>2027</v>
      </c>
      <c r="D270" s="954" t="s">
        <v>2572</v>
      </c>
      <c r="E270" s="1443" t="s">
        <v>2650</v>
      </c>
      <c r="F270" s="954" t="s">
        <v>2573</v>
      </c>
    </row>
    <row r="271" spans="1:6">
      <c r="A271" s="958" t="str">
        <f>IF(Eingabe!$E$3=$C$1,C271,IF(Eingabe!$E$3=$D$1,D271,IF(Eingabe!$E$3=$E$1,E271,IF(Eingabe!$E$3=$F$1,F271,NA()))))</f>
        <v xml:space="preserve">Querzugnachweis ist nicht eingehalten. Anzahl oder Tragfähigkeit der Querzugverstärkungen erhöhen. </v>
      </c>
      <c r="C271" s="954" t="s">
        <v>2423</v>
      </c>
      <c r="D271" s="954" t="s">
        <v>2574</v>
      </c>
      <c r="E271" s="1443" t="s">
        <v>2651</v>
      </c>
      <c r="F271" s="954" t="s">
        <v>2575</v>
      </c>
    </row>
    <row r="272" spans="1:6">
      <c r="A272" s="958" t="str">
        <f>IF(Eingabe!$E$3=$C$1,C272,IF(Eingabe!$E$3=$D$1,D272,IF(Eingabe!$E$3=$E$1,E272,IF(Eingabe!$E$3=$F$1,F272,NA()))))</f>
        <v>Querzugverstärkung vorhanden?</v>
      </c>
      <c r="C272" s="954" t="s">
        <v>2025</v>
      </c>
      <c r="D272" s="954" t="s">
        <v>2576</v>
      </c>
      <c r="E272" s="1443" t="s">
        <v>2652</v>
      </c>
      <c r="F272" s="954" t="s">
        <v>2577</v>
      </c>
    </row>
    <row r="273" spans="1:6">
      <c r="A273" s="958" t="str">
        <f>IF(Eingabe!$E$3=$C$1,C273,IF(Eingabe!$E$3=$D$1,D273,IF(Eingabe!$E$3=$E$1,E273,IF(Eingabe!$E$3=$F$1,F273,NA()))))</f>
        <v>Querzugverstärkung vorhanden</v>
      </c>
      <c r="C273" s="954" t="s">
        <v>2308</v>
      </c>
      <c r="D273" s="954" t="s">
        <v>2578</v>
      </c>
      <c r="E273" s="1443" t="s">
        <v>2653</v>
      </c>
      <c r="F273" s="954" t="s">
        <v>2579</v>
      </c>
    </row>
    <row r="274" spans="1:6">
      <c r="A274" s="958" t="str">
        <f>IF(Eingabe!$E$3=$C$1,C274,IF(Eingabe!$E$3=$D$1,D274,IF(Eingabe!$E$3=$E$1,E274,IF(Eingabe!$E$3=$F$1,F274,NA()))))</f>
        <v>keine Querzugverstärkung vorhanden</v>
      </c>
      <c r="C274" s="954" t="s">
        <v>2310</v>
      </c>
      <c r="D274" s="954" t="s">
        <v>2580</v>
      </c>
      <c r="E274" s="1443" t="s">
        <v>2654</v>
      </c>
      <c r="F274" s="954" t="s">
        <v>2581</v>
      </c>
    </row>
    <row r="275" spans="1:6">
      <c r="A275" s="958" t="str">
        <f>IF(Eingabe!$E$3=$C$1,C275,IF(Eingabe!$E$3=$D$1,D275,IF(Eingabe!$E$3=$E$1,E275,IF(Eingabe!$E$3=$F$1,F275,NA()))))</f>
        <v>Keine Querzugverstärkung erforderlich</v>
      </c>
      <c r="C275" s="954" t="s">
        <v>2036</v>
      </c>
      <c r="D275" s="954" t="s">
        <v>2582</v>
      </c>
      <c r="E275" s="1443" t="s">
        <v>2655</v>
      </c>
      <c r="F275" s="954" t="s">
        <v>2583</v>
      </c>
    </row>
    <row r="276" spans="1:6">
      <c r="A276" s="958" t="str">
        <f>IF(Eingabe!$E$3=$C$1,C276,IF(Eingabe!$E$3=$D$1,D276,IF(Eingabe!$E$3=$E$1,E276,IF(Eingabe!$E$3=$F$1,F276,NA()))))</f>
        <v>Querzugverstärkung erforderlich</v>
      </c>
      <c r="C276" s="954" t="s">
        <v>2035</v>
      </c>
      <c r="D276" s="954" t="s">
        <v>2584</v>
      </c>
      <c r="E276" s="1443" t="s">
        <v>2656</v>
      </c>
      <c r="F276" s="954" t="s">
        <v>2585</v>
      </c>
    </row>
    <row r="277" spans="1:6">
      <c r="A277" s="958" t="str">
        <f>IF(Eingabe!$E$3=$C$1,C277,IF(Eingabe!$E$3=$D$1,D277,IF(Eingabe!$E$3=$E$1,E277,IF(Eingabe!$E$3=$F$1,F277,NA()))))</f>
        <v>Der Querzugnachweis im Hauptträger ist gesondert nachzuweisen</v>
      </c>
      <c r="C277" s="954" t="s">
        <v>2338</v>
      </c>
      <c r="D277" s="954" t="s">
        <v>2586</v>
      </c>
      <c r="E277" s="1443" t="s">
        <v>2657</v>
      </c>
      <c r="F277" s="954" t="s">
        <v>2587</v>
      </c>
    </row>
    <row r="278" spans="1:6">
      <c r="A278" s="958" t="str">
        <f>IF(Eingabe!$E$3=$C$1,C278,IF(Eingabe!$E$3=$D$1,D278,IF(Eingabe!$E$3=$E$1,E278,IF(Eingabe!$E$3=$F$1,F278,NA()))))</f>
        <v>markierte Abstände müssen im Haupt- und Nebenträger gleich sein</v>
      </c>
      <c r="C278" s="954" t="s">
        <v>2374</v>
      </c>
      <c r="D278" s="954" t="s">
        <v>2588</v>
      </c>
      <c r="E278" s="1443" t="s">
        <v>2658</v>
      </c>
      <c r="F278" s="954" t="s">
        <v>2589</v>
      </c>
    </row>
    <row r="279" spans="1:6">
      <c r="A279" s="958" t="str">
        <f>IF(Eingabe!$E$3=$C$1,C279,IF(Eingabe!$E$3=$D$1,D279,IF(Eingabe!$E$3=$E$1,E279,IF(Eingabe!$E$3=$F$1,F279,NA()))))</f>
        <v>Im Nebenträger</v>
      </c>
      <c r="C279" s="954" t="s">
        <v>2375</v>
      </c>
      <c r="D279" s="954" t="s">
        <v>2590</v>
      </c>
      <c r="E279" s="1443" t="s">
        <v>2659</v>
      </c>
      <c r="F279" s="954" t="s">
        <v>2591</v>
      </c>
    </row>
    <row r="280" spans="1:6">
      <c r="A280" s="958" t="str">
        <f>IF(Eingabe!$E$3=$C$1,C280,IF(Eingabe!$E$3=$D$1,D280,IF(Eingabe!$E$3=$E$1,E280,IF(Eingabe!$E$3=$F$1,F280,NA()))))</f>
        <v>Im Haupt- und Nebenträger</v>
      </c>
      <c r="C280" s="954" t="s">
        <v>2376</v>
      </c>
      <c r="D280" s="954" t="s">
        <v>2592</v>
      </c>
      <c r="E280" s="1443" t="s">
        <v>2660</v>
      </c>
      <c r="F280" s="954" t="s">
        <v>2593</v>
      </c>
    </row>
    <row r="281" spans="1:6">
      <c r="A281" s="958" t="str">
        <f>IF(Eingabe!$E$3=$C$1,C281,IF(Eingabe!$E$3=$D$1,D281,IF(Eingabe!$E$3=$E$1,E281,IF(Eingabe!$E$3=$F$1,F281,NA()))))</f>
        <v>Eine VM-Reihe pro Haupt- und Nebenträger: m = 1</v>
      </c>
      <c r="C281" s="954" t="s">
        <v>2479</v>
      </c>
      <c r="D281" s="954" t="s">
        <v>2594</v>
      </c>
      <c r="E281" s="1444" t="s">
        <v>2663</v>
      </c>
      <c r="F281" s="954" t="s">
        <v>2595</v>
      </c>
    </row>
    <row r="282" spans="1:6">
      <c r="A282" s="958" t="str">
        <f>IF(Eingabe!$E$3=$C$1,C282,IF(Eingabe!$E$3=$D$1,D282,IF(Eingabe!$E$3=$E$1,E282,IF(Eingabe!$E$3=$F$1,F282,NA()))))</f>
        <v>Haftungsausschluss:</v>
      </c>
      <c r="C282" s="954" t="s">
        <v>2668</v>
      </c>
      <c r="D282" s="954" t="s">
        <v>2669</v>
      </c>
      <c r="E282" s="1601" t="s">
        <v>2684</v>
      </c>
      <c r="F282" s="954" t="s">
        <v>2670</v>
      </c>
    </row>
    <row r="283" spans="1:6" ht="279" customHeight="1">
      <c r="A283" s="1600" t="str">
        <f>IF(Eingabe!$E$3=$C$1,C283,IF(Eingabe!$E$3=$D$1,D283,IF(Eingabe!$E$3=$E$1,E283,IF(Eingabe!$E$3=$F$1,F283,NA()))))</f>
        <v>Die Bemessung ist vom Kunden oder einem von ihm beauftragten Ingenieurbüro eigenverantwortlich vorzunehmen. Jeder Vorschlag oder jede Unterstützung durch Mitarbeitende der KNAPP GmbH stellt lediglich eine unverbindliche Empfehlung dar und darf nicht ungeprüft umgesetzt werden. Eine Haftung der KNAPP GmbH für die Richtigkeit der Berechnung oder deren Ergebnisse wird ausdrücklich ausgeschlossen.
Die KNAPP GmbH stellt die zur Bemessung und zur Kontrolle der Bemessung erforderlichen ETA-Dokumente online auf ihrer Homepage zur Verfügung.</v>
      </c>
      <c r="C283" s="1442" t="s">
        <v>2667</v>
      </c>
      <c r="D283" s="1442" t="s">
        <v>2671</v>
      </c>
      <c r="E283" s="1442" t="s">
        <v>2685</v>
      </c>
      <c r="F283" s="1442" t="s">
        <v>2672</v>
      </c>
    </row>
  </sheetData>
  <sheetProtection algorithmName="SHA-512" hashValue="JUyvQY+psyUBr14KHmeWdrW7/LArvAjjdHzzayeihQkukiaTalvxYUzgycztQH/H2XQEVhqeru8b8xdpb9unJA==" saltValue="8QHAx4pVHrzybR6NqtjALQ==" spinCount="100000" sheet="1" objects="1" scenarios="1"/>
  <phoneticPr fontId="19" type="noConversion"/>
  <pageMargins left="0.7" right="0.7" top="0.78740157499999996" bottom="0.78740157499999996"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47A81-AD0D-4FDE-AED3-048216E00F93}">
  <sheetPr codeName="Tabelle2"/>
  <dimension ref="A1:CM818"/>
  <sheetViews>
    <sheetView view="pageBreakPreview" zoomScaleNormal="100" zoomScaleSheetLayoutView="100" workbookViewId="0">
      <selection activeCell="H8" sqref="H8"/>
    </sheetView>
  </sheetViews>
  <sheetFormatPr baseColWidth="10" defaultColWidth="11.42578125" defaultRowHeight="13.5"/>
  <cols>
    <col min="1" max="1" width="30.28515625" style="96" customWidth="1"/>
    <col min="2" max="2" width="14.7109375" style="47" customWidth="1"/>
    <col min="3" max="3" width="14.7109375" style="39" customWidth="1"/>
    <col min="4" max="4" width="14.7109375" style="46" customWidth="1"/>
    <col min="5" max="5" width="14.7109375" style="39" customWidth="1"/>
    <col min="6" max="6" width="4.7109375" style="96" customWidth="1"/>
    <col min="7" max="7" width="14.7109375" style="39" customWidth="1"/>
    <col min="8" max="9" width="14.7109375" style="46" customWidth="1"/>
    <col min="10" max="10" width="14.7109375" style="39" customWidth="1"/>
    <col min="11" max="11" width="4.7109375" style="96" customWidth="1"/>
    <col min="12" max="15" width="14.7109375" style="39" customWidth="1"/>
    <col min="16" max="16" width="4.7109375" style="96" customWidth="1"/>
    <col min="17" max="20" width="14.7109375" style="39" customWidth="1"/>
    <col min="21" max="21" width="4.7109375" style="96" customWidth="1"/>
    <col min="22" max="25" width="14.7109375" style="39" customWidth="1"/>
    <col min="26" max="26" width="4.7109375" style="96" customWidth="1"/>
    <col min="27" max="30" width="14.7109375" style="39" customWidth="1"/>
    <col min="31" max="31" width="4.7109375" style="96" customWidth="1"/>
    <col min="32" max="35" width="14.7109375" style="39" customWidth="1"/>
    <col min="36" max="36" width="4.7109375" style="96" customWidth="1"/>
    <col min="37" max="40" width="14.7109375" style="39" customWidth="1"/>
    <col min="41" max="41" width="4.7109375" style="96" customWidth="1"/>
    <col min="42" max="45" width="14.7109375" style="133" customWidth="1"/>
    <col min="46" max="46" width="4.7109375" style="96" customWidth="1"/>
    <col min="47" max="50" width="14.7109375" style="39" customWidth="1"/>
    <col min="51" max="51" width="4.7109375" style="96" customWidth="1"/>
    <col min="52" max="55" width="14.7109375" style="39" customWidth="1"/>
    <col min="56" max="56" width="4.7109375" style="96" customWidth="1"/>
    <col min="57" max="60" width="14.7109375" style="39" customWidth="1"/>
    <col min="61" max="61" width="4.7109375" style="96" customWidth="1"/>
    <col min="62" max="65" width="14.7109375" style="39" customWidth="1"/>
    <col min="66" max="66" width="4.7109375" style="96" customWidth="1"/>
    <col min="67" max="70" width="14.7109375" style="39" customWidth="1"/>
    <col min="71" max="71" width="4.7109375" style="96" customWidth="1"/>
    <col min="72" max="75" width="14.7109375" style="39" customWidth="1"/>
    <col min="76" max="76" width="4.7109375" style="96" customWidth="1"/>
    <col min="77" max="16384" width="11.42578125" style="36"/>
  </cols>
  <sheetData>
    <row r="1" spans="1:76">
      <c r="B1" s="158" t="s">
        <v>205</v>
      </c>
      <c r="AT1" s="288"/>
      <c r="AU1" s="158" t="s">
        <v>206</v>
      </c>
      <c r="BI1" s="288"/>
      <c r="BJ1" s="158" t="s">
        <v>207</v>
      </c>
      <c r="BX1" s="288"/>
    </row>
    <row r="2" spans="1:76">
      <c r="AT2" s="288"/>
      <c r="BI2" s="288"/>
      <c r="BX2" s="288"/>
    </row>
    <row r="3" spans="1:76" s="158" customFormat="1" ht="12.75">
      <c r="B3" s="158" t="s">
        <v>109</v>
      </c>
      <c r="C3" s="158" t="s">
        <v>110</v>
      </c>
      <c r="D3" s="158" t="s">
        <v>104</v>
      </c>
      <c r="G3" s="158" t="s">
        <v>109</v>
      </c>
      <c r="H3" s="158" t="s">
        <v>110</v>
      </c>
      <c r="I3" s="158" t="s">
        <v>104</v>
      </c>
      <c r="L3" s="158" t="s">
        <v>109</v>
      </c>
      <c r="M3" s="158" t="s">
        <v>110</v>
      </c>
      <c r="N3" s="158" t="s">
        <v>104</v>
      </c>
      <c r="Q3" s="158" t="s">
        <v>109</v>
      </c>
      <c r="R3" s="158" t="s">
        <v>110</v>
      </c>
      <c r="S3" s="158" t="s">
        <v>104</v>
      </c>
      <c r="V3" s="158" t="s">
        <v>109</v>
      </c>
      <c r="W3" s="158" t="s">
        <v>110</v>
      </c>
      <c r="X3" s="158" t="s">
        <v>104</v>
      </c>
      <c r="AA3" s="158" t="s">
        <v>109</v>
      </c>
      <c r="AB3" s="158" t="s">
        <v>110</v>
      </c>
      <c r="AC3" s="158" t="s">
        <v>104</v>
      </c>
      <c r="AF3" s="158" t="s">
        <v>109</v>
      </c>
      <c r="AG3" s="158" t="s">
        <v>110</v>
      </c>
      <c r="AH3" s="158" t="s">
        <v>104</v>
      </c>
      <c r="AK3" s="158" t="s">
        <v>109</v>
      </c>
      <c r="AL3" s="158" t="s">
        <v>110</v>
      </c>
      <c r="AM3" s="158" t="s">
        <v>104</v>
      </c>
      <c r="AP3" s="231" t="s">
        <v>109</v>
      </c>
      <c r="AQ3" s="231" t="s">
        <v>110</v>
      </c>
      <c r="AR3" s="231" t="s">
        <v>104</v>
      </c>
      <c r="AS3" s="231"/>
      <c r="AT3" s="275"/>
      <c r="AU3" s="158" t="s">
        <v>109</v>
      </c>
      <c r="AV3" s="158" t="s">
        <v>110</v>
      </c>
      <c r="AW3" s="158" t="s">
        <v>104</v>
      </c>
      <c r="AZ3" s="158" t="s">
        <v>109</v>
      </c>
      <c r="BA3" s="158" t="s">
        <v>110</v>
      </c>
      <c r="BB3" s="158" t="s">
        <v>104</v>
      </c>
      <c r="BE3" s="158" t="s">
        <v>109</v>
      </c>
      <c r="BF3" s="158" t="s">
        <v>110</v>
      </c>
      <c r="BG3" s="158" t="s">
        <v>104</v>
      </c>
      <c r="BI3" s="275"/>
      <c r="BJ3" s="158" t="s">
        <v>109</v>
      </c>
      <c r="BK3" s="158" t="s">
        <v>110</v>
      </c>
      <c r="BL3" s="158" t="s">
        <v>104</v>
      </c>
      <c r="BO3" s="158" t="s">
        <v>109</v>
      </c>
      <c r="BP3" s="158" t="s">
        <v>110</v>
      </c>
      <c r="BQ3" s="158" t="s">
        <v>104</v>
      </c>
      <c r="BT3" s="158" t="s">
        <v>109</v>
      </c>
      <c r="BU3" s="158" t="s">
        <v>110</v>
      </c>
      <c r="BV3" s="158" t="s">
        <v>104</v>
      </c>
      <c r="BX3" s="275"/>
    </row>
    <row r="4" spans="1:76" s="38" customFormat="1">
      <c r="A4" s="155"/>
      <c r="B4" s="228">
        <v>1090</v>
      </c>
      <c r="C4" s="226">
        <v>150</v>
      </c>
      <c r="D4" s="226">
        <v>50</v>
      </c>
      <c r="E4" s="44"/>
      <c r="F4" s="227"/>
      <c r="G4" s="158">
        <v>850</v>
      </c>
      <c r="H4" s="226">
        <v>150</v>
      </c>
      <c r="I4" s="226">
        <v>50</v>
      </c>
      <c r="J4" s="158"/>
      <c r="K4" s="227"/>
      <c r="L4" s="158">
        <v>790</v>
      </c>
      <c r="M4" s="158">
        <v>150</v>
      </c>
      <c r="N4" s="158">
        <v>50</v>
      </c>
      <c r="O4" s="158"/>
      <c r="P4" s="227"/>
      <c r="Q4" s="158">
        <v>730</v>
      </c>
      <c r="R4" s="158">
        <v>150</v>
      </c>
      <c r="S4" s="158">
        <v>50</v>
      </c>
      <c r="T4" s="158"/>
      <c r="U4" s="227"/>
      <c r="V4" s="158">
        <v>610</v>
      </c>
      <c r="W4" s="158">
        <v>150</v>
      </c>
      <c r="X4" s="158">
        <v>50</v>
      </c>
      <c r="Y4" s="158"/>
      <c r="Z4" s="227"/>
      <c r="AA4" s="158">
        <v>550</v>
      </c>
      <c r="AB4" s="158">
        <v>150</v>
      </c>
      <c r="AC4" s="158">
        <v>50</v>
      </c>
      <c r="AD4" s="158"/>
      <c r="AE4" s="227"/>
      <c r="AF4" s="158">
        <v>430</v>
      </c>
      <c r="AG4" s="158">
        <v>150</v>
      </c>
      <c r="AH4" s="158">
        <v>50</v>
      </c>
      <c r="AI4" s="158"/>
      <c r="AJ4" s="227"/>
      <c r="AK4" s="158">
        <v>310</v>
      </c>
      <c r="AL4" s="158">
        <v>150</v>
      </c>
      <c r="AM4" s="158">
        <v>50</v>
      </c>
      <c r="AN4" s="158"/>
      <c r="AO4" s="227"/>
      <c r="AP4" s="231">
        <v>1030</v>
      </c>
      <c r="AQ4" s="231">
        <v>150</v>
      </c>
      <c r="AR4" s="231">
        <v>50</v>
      </c>
      <c r="AS4" s="289"/>
      <c r="AT4" s="276"/>
      <c r="AU4" s="158">
        <v>550</v>
      </c>
      <c r="AV4" s="158">
        <v>100</v>
      </c>
      <c r="AW4" s="158">
        <v>40</v>
      </c>
      <c r="AX4" s="158"/>
      <c r="AY4" s="227"/>
      <c r="AZ4" s="158">
        <v>430</v>
      </c>
      <c r="BA4" s="158">
        <v>100</v>
      </c>
      <c r="BB4" s="158">
        <v>40</v>
      </c>
      <c r="BC4" s="158"/>
      <c r="BD4" s="227"/>
      <c r="BE4" s="158">
        <v>310</v>
      </c>
      <c r="BF4" s="158">
        <v>100</v>
      </c>
      <c r="BG4" s="158">
        <v>40</v>
      </c>
      <c r="BH4" s="158"/>
      <c r="BI4" s="276"/>
      <c r="BJ4" s="158">
        <v>550</v>
      </c>
      <c r="BK4" s="158">
        <v>60</v>
      </c>
      <c r="BL4" s="158">
        <v>40</v>
      </c>
      <c r="BM4" s="158"/>
      <c r="BN4" s="227"/>
      <c r="BO4" s="158">
        <v>430</v>
      </c>
      <c r="BP4" s="158">
        <v>60</v>
      </c>
      <c r="BQ4" s="158">
        <v>40</v>
      </c>
      <c r="BR4" s="158"/>
      <c r="BS4" s="227"/>
      <c r="BT4" s="158">
        <v>310</v>
      </c>
      <c r="BU4" s="158">
        <v>60</v>
      </c>
      <c r="BV4" s="158">
        <v>40</v>
      </c>
      <c r="BW4" s="158"/>
      <c r="BX4" s="276"/>
    </row>
    <row r="5" spans="1:76" ht="15">
      <c r="B5" s="659" t="s">
        <v>629</v>
      </c>
      <c r="C5" s="685">
        <f>MAX(Ausgabe!C143:C146)</f>
        <v>14</v>
      </c>
      <c r="D5" s="164" t="s">
        <v>630</v>
      </c>
      <c r="F5" s="168"/>
      <c r="G5" s="660" t="s">
        <v>629</v>
      </c>
      <c r="H5" s="661">
        <f>C5</f>
        <v>14</v>
      </c>
      <c r="I5" s="164" t="s">
        <v>630</v>
      </c>
      <c r="J5" s="87"/>
      <c r="K5" s="168"/>
      <c r="L5" s="660" t="s">
        <v>629</v>
      </c>
      <c r="M5" s="661">
        <f>H5</f>
        <v>14</v>
      </c>
      <c r="N5" s="164" t="s">
        <v>630</v>
      </c>
      <c r="O5" s="87"/>
      <c r="P5" s="168"/>
      <c r="Q5" s="660" t="s">
        <v>629</v>
      </c>
      <c r="R5" s="661">
        <f>M5</f>
        <v>14</v>
      </c>
      <c r="S5" s="164" t="s">
        <v>630</v>
      </c>
      <c r="T5" s="87"/>
      <c r="U5" s="168"/>
      <c r="V5" s="660" t="s">
        <v>629</v>
      </c>
      <c r="W5" s="661">
        <f>R5</f>
        <v>14</v>
      </c>
      <c r="X5" s="164" t="s">
        <v>630</v>
      </c>
      <c r="Y5" s="87"/>
      <c r="Z5" s="168"/>
      <c r="AA5" s="660" t="s">
        <v>629</v>
      </c>
      <c r="AB5" s="661">
        <f>W5</f>
        <v>14</v>
      </c>
      <c r="AC5" s="164" t="s">
        <v>630</v>
      </c>
      <c r="AD5" s="87"/>
      <c r="AE5" s="168"/>
      <c r="AF5" s="660" t="s">
        <v>629</v>
      </c>
      <c r="AG5" s="661">
        <f>AB5</f>
        <v>14</v>
      </c>
      <c r="AH5" s="164" t="s">
        <v>630</v>
      </c>
      <c r="AI5" s="87"/>
      <c r="AJ5" s="168"/>
      <c r="AK5" s="660" t="s">
        <v>629</v>
      </c>
      <c r="AL5" s="661">
        <f>AG5</f>
        <v>14</v>
      </c>
      <c r="AM5" s="164" t="s">
        <v>630</v>
      </c>
      <c r="AN5" s="87"/>
      <c r="AO5" s="168"/>
      <c r="AP5" s="660" t="s">
        <v>629</v>
      </c>
      <c r="AQ5" s="661">
        <f>AL5</f>
        <v>14</v>
      </c>
      <c r="AR5" s="164" t="s">
        <v>630</v>
      </c>
      <c r="AS5" s="87"/>
      <c r="AT5" s="276"/>
      <c r="AU5" s="660" t="s">
        <v>629</v>
      </c>
      <c r="AV5" s="661">
        <f>AQ5</f>
        <v>14</v>
      </c>
      <c r="AW5" s="164" t="s">
        <v>630</v>
      </c>
      <c r="AX5" s="87"/>
      <c r="AY5" s="168"/>
      <c r="AZ5" s="660" t="s">
        <v>629</v>
      </c>
      <c r="BA5" s="661">
        <f>AV5</f>
        <v>14</v>
      </c>
      <c r="BB5" s="164" t="s">
        <v>630</v>
      </c>
      <c r="BC5" s="87"/>
      <c r="BD5" s="168"/>
      <c r="BE5" s="660" t="s">
        <v>629</v>
      </c>
      <c r="BF5" s="661">
        <f>BA5</f>
        <v>14</v>
      </c>
      <c r="BG5" s="164" t="s">
        <v>630</v>
      </c>
      <c r="BH5" s="87"/>
      <c r="BI5" s="277"/>
      <c r="BJ5" s="660" t="s">
        <v>629</v>
      </c>
      <c r="BK5" s="661">
        <f>BF5</f>
        <v>14</v>
      </c>
      <c r="BL5" s="164" t="s">
        <v>630</v>
      </c>
      <c r="BM5" s="87"/>
      <c r="BN5" s="168"/>
      <c r="BO5" s="660" t="s">
        <v>629</v>
      </c>
      <c r="BP5" s="661">
        <f>BK5</f>
        <v>14</v>
      </c>
      <c r="BQ5" s="164" t="s">
        <v>630</v>
      </c>
      <c r="BR5" s="87"/>
      <c r="BS5" s="168"/>
      <c r="BT5" s="660" t="s">
        <v>629</v>
      </c>
      <c r="BU5" s="661">
        <f>BP5</f>
        <v>14</v>
      </c>
      <c r="BV5" s="164" t="s">
        <v>630</v>
      </c>
      <c r="BW5" s="87"/>
      <c r="BX5" s="277"/>
    </row>
    <row r="6" spans="1:76">
      <c r="A6" s="155"/>
      <c r="B6" s="155" t="s">
        <v>187</v>
      </c>
      <c r="C6" s="46"/>
      <c r="G6" s="155" t="s">
        <v>187</v>
      </c>
      <c r="L6" s="155" t="s">
        <v>187</v>
      </c>
      <c r="M6" s="46"/>
      <c r="N6" s="46"/>
      <c r="Q6" s="155" t="s">
        <v>187</v>
      </c>
      <c r="R6" s="46"/>
      <c r="S6" s="46"/>
      <c r="V6" s="155" t="s">
        <v>187</v>
      </c>
      <c r="W6" s="46"/>
      <c r="X6" s="46"/>
      <c r="AA6" s="155" t="s">
        <v>187</v>
      </c>
      <c r="AB6" s="46"/>
      <c r="AC6" s="46"/>
      <c r="AF6" s="155" t="s">
        <v>187</v>
      </c>
      <c r="AG6" s="46"/>
      <c r="AH6" s="46"/>
      <c r="AK6" s="155" t="s">
        <v>187</v>
      </c>
      <c r="AL6" s="46"/>
      <c r="AM6" s="46"/>
      <c r="AP6" s="233" t="s">
        <v>187</v>
      </c>
      <c r="AQ6" s="48"/>
      <c r="AR6" s="48"/>
      <c r="AS6" s="49"/>
      <c r="AT6" s="276"/>
      <c r="AU6" s="155" t="s">
        <v>187</v>
      </c>
      <c r="AZ6" s="155" t="s">
        <v>187</v>
      </c>
      <c r="BA6" s="46"/>
      <c r="BB6" s="46"/>
      <c r="BE6" s="155" t="s">
        <v>187</v>
      </c>
      <c r="BF6" s="46"/>
      <c r="BG6" s="46"/>
      <c r="BI6" s="288"/>
      <c r="BJ6" s="155" t="s">
        <v>187</v>
      </c>
      <c r="BO6" s="155" t="s">
        <v>187</v>
      </c>
      <c r="BP6" s="46"/>
      <c r="BQ6" s="46"/>
      <c r="BT6" s="155" t="s">
        <v>187</v>
      </c>
      <c r="BU6" s="46"/>
      <c r="BV6" s="46"/>
      <c r="BX6" s="288"/>
    </row>
    <row r="7" spans="1:76" ht="15">
      <c r="A7" s="665"/>
      <c r="B7" s="666" t="s">
        <v>154</v>
      </c>
      <c r="C7" s="662">
        <v>50</v>
      </c>
      <c r="D7" s="682" t="s">
        <v>541</v>
      </c>
      <c r="E7" s="105"/>
      <c r="G7" s="666" t="s">
        <v>154</v>
      </c>
      <c r="H7" s="661">
        <f>C7</f>
        <v>50</v>
      </c>
      <c r="I7" s="667" t="str">
        <f>D7</f>
        <v>90°/0° in Klemmbacke</v>
      </c>
      <c r="J7" s="105"/>
      <c r="L7" s="666" t="s">
        <v>154</v>
      </c>
      <c r="M7" s="661">
        <f>H7</f>
        <v>50</v>
      </c>
      <c r="N7" s="667" t="str">
        <f>I7</f>
        <v>90°/0° in Klemmbacke</v>
      </c>
      <c r="O7" s="105"/>
      <c r="Q7" s="666" t="s">
        <v>154</v>
      </c>
      <c r="R7" s="661">
        <f>M7</f>
        <v>50</v>
      </c>
      <c r="S7" s="667" t="str">
        <f>N7</f>
        <v>90°/0° in Klemmbacke</v>
      </c>
      <c r="T7" s="105"/>
      <c r="V7" s="666" t="s">
        <v>154</v>
      </c>
      <c r="W7" s="661">
        <f>R7</f>
        <v>50</v>
      </c>
      <c r="X7" s="667" t="str">
        <f>S7</f>
        <v>90°/0° in Klemmbacke</v>
      </c>
      <c r="Y7" s="105"/>
      <c r="AA7" s="666" t="s">
        <v>154</v>
      </c>
      <c r="AB7" s="661">
        <f>W7</f>
        <v>50</v>
      </c>
      <c r="AC7" s="667" t="str">
        <f>X7</f>
        <v>90°/0° in Klemmbacke</v>
      </c>
      <c r="AD7" s="105"/>
      <c r="AF7" s="666" t="s">
        <v>154</v>
      </c>
      <c r="AG7" s="661">
        <f>AB7</f>
        <v>50</v>
      </c>
      <c r="AH7" s="667" t="str">
        <f>AC7</f>
        <v>90°/0° in Klemmbacke</v>
      </c>
      <c r="AI7" s="105"/>
      <c r="AK7" s="666" t="s">
        <v>154</v>
      </c>
      <c r="AL7" s="661">
        <f>AG7</f>
        <v>50</v>
      </c>
      <c r="AM7" s="667" t="str">
        <f>AH7</f>
        <v>90°/0° in Klemmbacke</v>
      </c>
      <c r="AN7" s="105"/>
      <c r="AP7" s="666" t="s">
        <v>154</v>
      </c>
      <c r="AQ7" s="661">
        <f>AL7</f>
        <v>50</v>
      </c>
      <c r="AR7" s="667" t="str">
        <f>AM7</f>
        <v>90°/0° in Klemmbacke</v>
      </c>
      <c r="AS7" s="290"/>
      <c r="AT7" s="288"/>
      <c r="AU7" s="666" t="s">
        <v>154</v>
      </c>
      <c r="AV7" s="662">
        <v>40</v>
      </c>
      <c r="AW7" s="667" t="str">
        <f>AR7</f>
        <v>90°/0° in Klemmbacke</v>
      </c>
      <c r="AX7" s="668"/>
      <c r="AZ7" s="666" t="s">
        <v>154</v>
      </c>
      <c r="BA7" s="661">
        <f>AV7</f>
        <v>40</v>
      </c>
      <c r="BB7" s="667" t="str">
        <f>AW7</f>
        <v>90°/0° in Klemmbacke</v>
      </c>
      <c r="BC7" s="105"/>
      <c r="BE7" s="666" t="s">
        <v>154</v>
      </c>
      <c r="BF7" s="661">
        <f>BA7</f>
        <v>40</v>
      </c>
      <c r="BG7" s="667" t="str">
        <f>BB7</f>
        <v>90°/0° in Klemmbacke</v>
      </c>
      <c r="BH7" s="105"/>
      <c r="BI7" s="288"/>
      <c r="BJ7" s="666" t="s">
        <v>154</v>
      </c>
      <c r="BK7" s="662">
        <v>40</v>
      </c>
      <c r="BL7" s="667" t="str">
        <f>BG7</f>
        <v>90°/0° in Klemmbacke</v>
      </c>
      <c r="BM7" s="668"/>
      <c r="BO7" s="666" t="s">
        <v>154</v>
      </c>
      <c r="BP7" s="661">
        <f>BK7</f>
        <v>40</v>
      </c>
      <c r="BQ7" s="667" t="str">
        <f>BL7</f>
        <v>90°/0° in Klemmbacke</v>
      </c>
      <c r="BR7" s="105"/>
      <c r="BT7" s="666" t="s">
        <v>154</v>
      </c>
      <c r="BU7" s="661">
        <f>BP7</f>
        <v>40</v>
      </c>
      <c r="BV7" s="667" t="str">
        <f>BQ7</f>
        <v>90°/0° in Klemmbacke</v>
      </c>
      <c r="BW7" s="105"/>
      <c r="BX7" s="288"/>
    </row>
    <row r="8" spans="1:76" ht="15">
      <c r="A8" s="665"/>
      <c r="B8" s="669" t="s">
        <v>155</v>
      </c>
      <c r="C8" s="663">
        <v>20</v>
      </c>
      <c r="D8" s="683" t="s">
        <v>542</v>
      </c>
      <c r="E8" s="104"/>
      <c r="G8" s="669" t="s">
        <v>155</v>
      </c>
      <c r="H8" s="671">
        <f>C8</f>
        <v>20</v>
      </c>
      <c r="I8" s="670" t="str">
        <f t="shared" ref="I8:I10" si="0">D8</f>
        <v>90°/0° in Grundplatte</v>
      </c>
      <c r="J8" s="104"/>
      <c r="L8" s="669" t="s">
        <v>155</v>
      </c>
      <c r="M8" s="671">
        <f>H8</f>
        <v>20</v>
      </c>
      <c r="N8" s="670" t="str">
        <f t="shared" ref="N8:N10" si="1">I8</f>
        <v>90°/0° in Grundplatte</v>
      </c>
      <c r="O8" s="104"/>
      <c r="Q8" s="669" t="s">
        <v>155</v>
      </c>
      <c r="R8" s="671">
        <f>M8</f>
        <v>20</v>
      </c>
      <c r="S8" s="670" t="str">
        <f t="shared" ref="S8:S10" si="2">N8</f>
        <v>90°/0° in Grundplatte</v>
      </c>
      <c r="T8" s="104"/>
      <c r="V8" s="669" t="s">
        <v>155</v>
      </c>
      <c r="W8" s="671">
        <f>R8</f>
        <v>20</v>
      </c>
      <c r="X8" s="670" t="str">
        <f t="shared" ref="X8:X10" si="3">S8</f>
        <v>90°/0° in Grundplatte</v>
      </c>
      <c r="Y8" s="104"/>
      <c r="AA8" s="669" t="s">
        <v>155</v>
      </c>
      <c r="AB8" s="671">
        <f>W8</f>
        <v>20</v>
      </c>
      <c r="AC8" s="670" t="str">
        <f t="shared" ref="AC8:AC10" si="4">X8</f>
        <v>90°/0° in Grundplatte</v>
      </c>
      <c r="AD8" s="104"/>
      <c r="AF8" s="669" t="s">
        <v>155</v>
      </c>
      <c r="AG8" s="671">
        <f>AB8</f>
        <v>20</v>
      </c>
      <c r="AH8" s="670" t="str">
        <f t="shared" ref="AH8:AH10" si="5">AC8</f>
        <v>90°/0° in Grundplatte</v>
      </c>
      <c r="AI8" s="104"/>
      <c r="AK8" s="669" t="s">
        <v>155</v>
      </c>
      <c r="AL8" s="671">
        <f>AG8</f>
        <v>20</v>
      </c>
      <c r="AM8" s="670" t="str">
        <f t="shared" ref="AM8:AM10" si="6">AH8</f>
        <v>90°/0° in Grundplatte</v>
      </c>
      <c r="AN8" s="104"/>
      <c r="AP8" s="669" t="s">
        <v>155</v>
      </c>
      <c r="AQ8" s="671">
        <f>AL8</f>
        <v>20</v>
      </c>
      <c r="AR8" s="670" t="str">
        <f t="shared" ref="AR8:AR10" si="7">AM8</f>
        <v>90°/0° in Grundplatte</v>
      </c>
      <c r="AS8" s="291"/>
      <c r="AT8" s="288"/>
      <c r="AU8" s="669" t="s">
        <v>155</v>
      </c>
      <c r="AV8" s="663">
        <v>16.5</v>
      </c>
      <c r="AW8" s="670" t="str">
        <f t="shared" ref="AW8:AW10" si="8">AR8</f>
        <v>90°/0° in Grundplatte</v>
      </c>
      <c r="AX8" s="672"/>
      <c r="AZ8" s="669" t="s">
        <v>155</v>
      </c>
      <c r="BA8" s="671">
        <f>AV8</f>
        <v>16.5</v>
      </c>
      <c r="BB8" s="670" t="str">
        <f t="shared" ref="BB8:BB10" si="9">AW8</f>
        <v>90°/0° in Grundplatte</v>
      </c>
      <c r="BC8" s="104"/>
      <c r="BE8" s="669" t="s">
        <v>155</v>
      </c>
      <c r="BF8" s="671">
        <f>BA8</f>
        <v>16.5</v>
      </c>
      <c r="BG8" s="670" t="str">
        <f t="shared" ref="BG8:BG10" si="10">BB8</f>
        <v>90°/0° in Grundplatte</v>
      </c>
      <c r="BH8" s="104"/>
      <c r="BI8" s="288"/>
      <c r="BJ8" s="669" t="s">
        <v>155</v>
      </c>
      <c r="BK8" s="663">
        <v>16.5</v>
      </c>
      <c r="BL8" s="670" t="str">
        <f t="shared" ref="BL8:BL10" si="11">BG8</f>
        <v>90°/0° in Grundplatte</v>
      </c>
      <c r="BM8" s="672"/>
      <c r="BO8" s="669" t="s">
        <v>155</v>
      </c>
      <c r="BP8" s="671">
        <f>BK8</f>
        <v>16.5</v>
      </c>
      <c r="BQ8" s="670" t="str">
        <f t="shared" ref="BQ8:BQ10" si="12">BL8</f>
        <v>90°/0° in Grundplatte</v>
      </c>
      <c r="BR8" s="104"/>
      <c r="BT8" s="669" t="s">
        <v>155</v>
      </c>
      <c r="BU8" s="671">
        <f>BP8</f>
        <v>16.5</v>
      </c>
      <c r="BV8" s="670" t="str">
        <f t="shared" ref="BV8:BV10" si="13">BQ8</f>
        <v>90°/0° in Grundplatte</v>
      </c>
      <c r="BW8" s="104"/>
      <c r="BX8" s="288"/>
    </row>
    <row r="9" spans="1:76" ht="15">
      <c r="B9" s="669" t="s">
        <v>156</v>
      </c>
      <c r="C9" s="663">
        <v>12</v>
      </c>
      <c r="D9" s="683" t="s">
        <v>542</v>
      </c>
      <c r="E9" s="104"/>
      <c r="G9" s="669" t="s">
        <v>156</v>
      </c>
      <c r="H9" s="671">
        <f>C9</f>
        <v>12</v>
      </c>
      <c r="I9" s="670" t="str">
        <f t="shared" si="0"/>
        <v>90°/0° in Grundplatte</v>
      </c>
      <c r="J9" s="104"/>
      <c r="L9" s="669" t="s">
        <v>156</v>
      </c>
      <c r="M9" s="671">
        <f>H9</f>
        <v>12</v>
      </c>
      <c r="N9" s="670" t="str">
        <f t="shared" si="1"/>
        <v>90°/0° in Grundplatte</v>
      </c>
      <c r="O9" s="104"/>
      <c r="Q9" s="669" t="s">
        <v>156</v>
      </c>
      <c r="R9" s="671">
        <f>M9</f>
        <v>12</v>
      </c>
      <c r="S9" s="670" t="str">
        <f t="shared" si="2"/>
        <v>90°/0° in Grundplatte</v>
      </c>
      <c r="T9" s="104"/>
      <c r="V9" s="669" t="s">
        <v>156</v>
      </c>
      <c r="W9" s="671">
        <f>R9</f>
        <v>12</v>
      </c>
      <c r="X9" s="670" t="str">
        <f t="shared" si="3"/>
        <v>90°/0° in Grundplatte</v>
      </c>
      <c r="Y9" s="104"/>
      <c r="AA9" s="669" t="s">
        <v>156</v>
      </c>
      <c r="AB9" s="671">
        <f>W9</f>
        <v>12</v>
      </c>
      <c r="AC9" s="670" t="str">
        <f t="shared" si="4"/>
        <v>90°/0° in Grundplatte</v>
      </c>
      <c r="AD9" s="104"/>
      <c r="AF9" s="669" t="s">
        <v>156</v>
      </c>
      <c r="AG9" s="671">
        <f>AB9</f>
        <v>12</v>
      </c>
      <c r="AH9" s="670" t="str">
        <f t="shared" si="5"/>
        <v>90°/0° in Grundplatte</v>
      </c>
      <c r="AI9" s="104"/>
      <c r="AK9" s="669" t="s">
        <v>156</v>
      </c>
      <c r="AL9" s="671">
        <f>AG9</f>
        <v>12</v>
      </c>
      <c r="AM9" s="670" t="str">
        <f t="shared" si="6"/>
        <v>90°/0° in Grundplatte</v>
      </c>
      <c r="AN9" s="104"/>
      <c r="AP9" s="669" t="s">
        <v>156</v>
      </c>
      <c r="AQ9" s="671">
        <f>AL9</f>
        <v>12</v>
      </c>
      <c r="AR9" s="670" t="str">
        <f t="shared" si="7"/>
        <v>90°/0° in Grundplatte</v>
      </c>
      <c r="AS9" s="291"/>
      <c r="AT9" s="288"/>
      <c r="AU9" s="669" t="s">
        <v>156</v>
      </c>
      <c r="AV9" s="663">
        <v>9</v>
      </c>
      <c r="AW9" s="670" t="str">
        <f t="shared" si="8"/>
        <v>90°/0° in Grundplatte</v>
      </c>
      <c r="AX9" s="672"/>
      <c r="AZ9" s="669" t="s">
        <v>156</v>
      </c>
      <c r="BA9" s="671">
        <f>AV9</f>
        <v>9</v>
      </c>
      <c r="BB9" s="670" t="str">
        <f t="shared" si="9"/>
        <v>90°/0° in Grundplatte</v>
      </c>
      <c r="BC9" s="104"/>
      <c r="BE9" s="669" t="s">
        <v>156</v>
      </c>
      <c r="BF9" s="671">
        <f>BA9</f>
        <v>9</v>
      </c>
      <c r="BG9" s="670" t="str">
        <f t="shared" si="10"/>
        <v>90°/0° in Grundplatte</v>
      </c>
      <c r="BH9" s="104"/>
      <c r="BI9" s="288"/>
      <c r="BJ9" s="669" t="s">
        <v>156</v>
      </c>
      <c r="BK9" s="663">
        <v>9</v>
      </c>
      <c r="BL9" s="670" t="str">
        <f t="shared" si="11"/>
        <v>90°/0° in Grundplatte</v>
      </c>
      <c r="BM9" s="672"/>
      <c r="BO9" s="669" t="s">
        <v>156</v>
      </c>
      <c r="BP9" s="671">
        <f>BK9</f>
        <v>9</v>
      </c>
      <c r="BQ9" s="670" t="str">
        <f t="shared" si="12"/>
        <v>90°/0° in Grundplatte</v>
      </c>
      <c r="BR9" s="104"/>
      <c r="BT9" s="669" t="s">
        <v>156</v>
      </c>
      <c r="BU9" s="671">
        <f>BP9</f>
        <v>9</v>
      </c>
      <c r="BV9" s="670" t="str">
        <f t="shared" si="13"/>
        <v>90°/0° in Grundplatte</v>
      </c>
      <c r="BW9" s="104"/>
      <c r="BX9" s="288"/>
    </row>
    <row r="10" spans="1:76" ht="15">
      <c r="B10" s="673" t="s">
        <v>157</v>
      </c>
      <c r="C10" s="664">
        <v>18</v>
      </c>
      <c r="D10" s="684" t="s">
        <v>188</v>
      </c>
      <c r="E10" s="101"/>
      <c r="G10" s="673" t="s">
        <v>157</v>
      </c>
      <c r="H10" s="675">
        <f>C10</f>
        <v>18</v>
      </c>
      <c r="I10" s="674" t="str">
        <f t="shared" si="0"/>
        <v>45° in Grundplatte</v>
      </c>
      <c r="J10" s="101"/>
      <c r="L10" s="673" t="s">
        <v>157</v>
      </c>
      <c r="M10" s="675">
        <f>H10</f>
        <v>18</v>
      </c>
      <c r="N10" s="674" t="str">
        <f t="shared" si="1"/>
        <v>45° in Grundplatte</v>
      </c>
      <c r="O10" s="101"/>
      <c r="Q10" s="673" t="s">
        <v>157</v>
      </c>
      <c r="R10" s="675">
        <f>M10</f>
        <v>18</v>
      </c>
      <c r="S10" s="674" t="str">
        <f t="shared" si="2"/>
        <v>45° in Grundplatte</v>
      </c>
      <c r="T10" s="101"/>
      <c r="V10" s="673" t="s">
        <v>157</v>
      </c>
      <c r="W10" s="675">
        <f>R10</f>
        <v>18</v>
      </c>
      <c r="X10" s="674" t="str">
        <f t="shared" si="3"/>
        <v>45° in Grundplatte</v>
      </c>
      <c r="Y10" s="101"/>
      <c r="AA10" s="673" t="s">
        <v>157</v>
      </c>
      <c r="AB10" s="675">
        <f>W10</f>
        <v>18</v>
      </c>
      <c r="AC10" s="674" t="str">
        <f t="shared" si="4"/>
        <v>45° in Grundplatte</v>
      </c>
      <c r="AD10" s="101"/>
      <c r="AF10" s="673" t="s">
        <v>157</v>
      </c>
      <c r="AG10" s="675">
        <f>AB10</f>
        <v>18</v>
      </c>
      <c r="AH10" s="674" t="str">
        <f t="shared" si="5"/>
        <v>45° in Grundplatte</v>
      </c>
      <c r="AI10" s="101"/>
      <c r="AK10" s="673" t="s">
        <v>157</v>
      </c>
      <c r="AL10" s="675">
        <f>AG10</f>
        <v>18</v>
      </c>
      <c r="AM10" s="674" t="str">
        <f t="shared" si="6"/>
        <v>45° in Grundplatte</v>
      </c>
      <c r="AN10" s="101"/>
      <c r="AP10" s="673" t="s">
        <v>157</v>
      </c>
      <c r="AQ10" s="675">
        <f>AL10</f>
        <v>18</v>
      </c>
      <c r="AR10" s="674" t="str">
        <f t="shared" si="7"/>
        <v>45° in Grundplatte</v>
      </c>
      <c r="AS10" s="106"/>
      <c r="AT10" s="288"/>
      <c r="AU10" s="673" t="s">
        <v>157</v>
      </c>
      <c r="AV10" s="664">
        <v>17.5</v>
      </c>
      <c r="AW10" s="674" t="str">
        <f t="shared" si="8"/>
        <v>45° in Grundplatte</v>
      </c>
      <c r="AX10" s="676"/>
      <c r="AZ10" s="673" t="s">
        <v>157</v>
      </c>
      <c r="BA10" s="675">
        <f>AV10</f>
        <v>17.5</v>
      </c>
      <c r="BB10" s="674" t="str">
        <f t="shared" si="9"/>
        <v>45° in Grundplatte</v>
      </c>
      <c r="BC10" s="101"/>
      <c r="BE10" s="673" t="s">
        <v>157</v>
      </c>
      <c r="BF10" s="675">
        <f>BA10</f>
        <v>17.5</v>
      </c>
      <c r="BG10" s="674" t="str">
        <f t="shared" si="10"/>
        <v>45° in Grundplatte</v>
      </c>
      <c r="BH10" s="101"/>
      <c r="BI10" s="288"/>
      <c r="BJ10" s="673" t="s">
        <v>157</v>
      </c>
      <c r="BK10" s="664">
        <v>17.5</v>
      </c>
      <c r="BL10" s="674" t="str">
        <f t="shared" si="11"/>
        <v>45° in Grundplatte</v>
      </c>
      <c r="BM10" s="676"/>
      <c r="BO10" s="673" t="s">
        <v>157</v>
      </c>
      <c r="BP10" s="675">
        <f>BK10</f>
        <v>17.5</v>
      </c>
      <c r="BQ10" s="674" t="str">
        <f t="shared" si="12"/>
        <v>45° in Grundplatte</v>
      </c>
      <c r="BR10" s="101"/>
      <c r="BT10" s="673" t="s">
        <v>157</v>
      </c>
      <c r="BU10" s="675">
        <f>BP10</f>
        <v>17.5</v>
      </c>
      <c r="BV10" s="674" t="str">
        <f t="shared" si="13"/>
        <v>45° in Grundplatte</v>
      </c>
      <c r="BW10" s="101"/>
      <c r="BX10" s="288"/>
    </row>
    <row r="11" spans="1:76">
      <c r="B11" s="234" t="s">
        <v>190</v>
      </c>
      <c r="G11" s="234" t="s">
        <v>190</v>
      </c>
      <c r="H11" s="39"/>
      <c r="L11" s="234" t="s">
        <v>190</v>
      </c>
      <c r="N11" s="46"/>
      <c r="Q11" s="234" t="s">
        <v>190</v>
      </c>
      <c r="S11" s="46"/>
      <c r="V11" s="234" t="s">
        <v>190</v>
      </c>
      <c r="X11" s="46"/>
      <c r="AA11" s="234" t="s">
        <v>190</v>
      </c>
      <c r="AC11" s="46"/>
      <c r="AF11" s="234" t="s">
        <v>190</v>
      </c>
      <c r="AH11" s="46"/>
      <c r="AK11" s="234" t="s">
        <v>190</v>
      </c>
      <c r="AM11" s="46"/>
      <c r="AP11" s="234" t="s">
        <v>190</v>
      </c>
      <c r="AQ11" s="49"/>
      <c r="AR11" s="48"/>
      <c r="AS11" s="49"/>
      <c r="AT11" s="288"/>
      <c r="AU11" s="162" t="s">
        <v>190</v>
      </c>
      <c r="AW11" s="46"/>
      <c r="AZ11" s="162" t="s">
        <v>190</v>
      </c>
      <c r="BB11" s="46"/>
      <c r="BE11" s="162" t="s">
        <v>190</v>
      </c>
      <c r="BG11" s="46"/>
      <c r="BI11" s="288"/>
      <c r="BJ11" s="162" t="s">
        <v>190</v>
      </c>
      <c r="BL11" s="46"/>
      <c r="BO11" s="162" t="s">
        <v>190</v>
      </c>
      <c r="BQ11" s="46"/>
      <c r="BT11" s="162" t="s">
        <v>190</v>
      </c>
      <c r="BV11" s="46"/>
      <c r="BX11" s="288"/>
    </row>
    <row r="12" spans="1:76" ht="15">
      <c r="A12" s="168"/>
      <c r="B12" s="211" t="s">
        <v>185</v>
      </c>
      <c r="C12" s="222">
        <v>4</v>
      </c>
      <c r="D12" s="134"/>
      <c r="E12" s="223"/>
      <c r="F12" s="168"/>
      <c r="G12" s="211" t="s">
        <v>185</v>
      </c>
      <c r="H12" s="225">
        <v>4</v>
      </c>
      <c r="I12" s="134"/>
      <c r="J12" s="223"/>
      <c r="K12" s="168"/>
      <c r="L12" s="211" t="s">
        <v>185</v>
      </c>
      <c r="M12" s="225">
        <v>4</v>
      </c>
      <c r="N12" s="134"/>
      <c r="O12" s="223"/>
      <c r="P12" s="168"/>
      <c r="Q12" s="211" t="s">
        <v>185</v>
      </c>
      <c r="R12" s="225">
        <v>4</v>
      </c>
      <c r="S12" s="134"/>
      <c r="T12" s="223"/>
      <c r="U12" s="168"/>
      <c r="V12" s="211" t="s">
        <v>185</v>
      </c>
      <c r="W12" s="225">
        <v>4</v>
      </c>
      <c r="X12" s="134"/>
      <c r="Y12" s="223"/>
      <c r="Z12" s="168"/>
      <c r="AA12" s="211" t="s">
        <v>185</v>
      </c>
      <c r="AB12" s="225">
        <v>4</v>
      </c>
      <c r="AC12" s="134"/>
      <c r="AD12" s="223"/>
      <c r="AE12" s="168"/>
      <c r="AF12" s="211" t="s">
        <v>185</v>
      </c>
      <c r="AG12" s="225">
        <v>4</v>
      </c>
      <c r="AH12" s="134"/>
      <c r="AI12" s="223"/>
      <c r="AJ12" s="168"/>
      <c r="AK12" s="211" t="s">
        <v>185</v>
      </c>
      <c r="AL12" s="225">
        <v>4</v>
      </c>
      <c r="AM12" s="134"/>
      <c r="AN12" s="223"/>
      <c r="AO12" s="168"/>
      <c r="AP12" s="211" t="s">
        <v>185</v>
      </c>
      <c r="AQ12" s="225">
        <v>4</v>
      </c>
      <c r="AR12" s="134"/>
      <c r="AS12" s="223"/>
      <c r="AT12" s="277"/>
      <c r="AU12" s="211" t="s">
        <v>185</v>
      </c>
      <c r="AV12" s="225">
        <v>2</v>
      </c>
      <c r="AW12" s="134"/>
      <c r="AX12" s="223"/>
      <c r="AY12" s="168"/>
      <c r="AZ12" s="211" t="s">
        <v>185</v>
      </c>
      <c r="BA12" s="225">
        <v>2</v>
      </c>
      <c r="BB12" s="134"/>
      <c r="BC12" s="223"/>
      <c r="BD12" s="168"/>
      <c r="BE12" s="211" t="s">
        <v>185</v>
      </c>
      <c r="BF12" s="225">
        <v>2</v>
      </c>
      <c r="BG12" s="134"/>
      <c r="BH12" s="223"/>
      <c r="BI12" s="277"/>
      <c r="BJ12" s="211" t="s">
        <v>185</v>
      </c>
      <c r="BK12" s="225">
        <v>2</v>
      </c>
      <c r="BL12" s="134"/>
      <c r="BM12" s="223"/>
      <c r="BN12" s="168"/>
      <c r="BO12" s="211" t="s">
        <v>185</v>
      </c>
      <c r="BP12" s="225">
        <v>2</v>
      </c>
      <c r="BQ12" s="134"/>
      <c r="BR12" s="223"/>
      <c r="BS12" s="168"/>
      <c r="BT12" s="211" t="s">
        <v>185</v>
      </c>
      <c r="BU12" s="225">
        <v>2</v>
      </c>
      <c r="BV12" s="134"/>
      <c r="BW12" s="223"/>
      <c r="BX12" s="277"/>
    </row>
    <row r="13" spans="1:76" ht="15">
      <c r="A13" s="168"/>
      <c r="B13" s="213" t="s">
        <v>178</v>
      </c>
      <c r="C13" s="210">
        <v>10</v>
      </c>
      <c r="D13" s="163" t="s">
        <v>166</v>
      </c>
      <c r="E13" s="214">
        <v>10</v>
      </c>
      <c r="F13" s="168"/>
      <c r="G13" s="213" t="s">
        <v>178</v>
      </c>
      <c r="H13" s="214">
        <v>10</v>
      </c>
      <c r="I13" s="163" t="s">
        <v>166</v>
      </c>
      <c r="J13" s="214">
        <v>10</v>
      </c>
      <c r="K13" s="168"/>
      <c r="L13" s="213" t="s">
        <v>178</v>
      </c>
      <c r="M13" s="214">
        <v>10</v>
      </c>
      <c r="N13" s="163" t="s">
        <v>166</v>
      </c>
      <c r="O13" s="214">
        <v>10</v>
      </c>
      <c r="P13" s="168"/>
      <c r="Q13" s="213" t="s">
        <v>178</v>
      </c>
      <c r="R13" s="214">
        <v>10</v>
      </c>
      <c r="S13" s="163" t="s">
        <v>166</v>
      </c>
      <c r="T13" s="214">
        <v>10</v>
      </c>
      <c r="U13" s="168"/>
      <c r="V13" s="213" t="s">
        <v>178</v>
      </c>
      <c r="W13" s="214">
        <v>10</v>
      </c>
      <c r="X13" s="163" t="s">
        <v>166</v>
      </c>
      <c r="Y13" s="214">
        <v>10</v>
      </c>
      <c r="Z13" s="168"/>
      <c r="AA13" s="213" t="s">
        <v>178</v>
      </c>
      <c r="AB13" s="214">
        <v>10</v>
      </c>
      <c r="AC13" s="163" t="s">
        <v>166</v>
      </c>
      <c r="AD13" s="214">
        <v>10</v>
      </c>
      <c r="AE13" s="168"/>
      <c r="AF13" s="213" t="s">
        <v>178</v>
      </c>
      <c r="AG13" s="214">
        <v>10</v>
      </c>
      <c r="AH13" s="163" t="s">
        <v>166</v>
      </c>
      <c r="AI13" s="214">
        <v>10</v>
      </c>
      <c r="AJ13" s="168"/>
      <c r="AK13" s="213" t="s">
        <v>178</v>
      </c>
      <c r="AL13" s="214">
        <v>10</v>
      </c>
      <c r="AM13" s="163" t="s">
        <v>166</v>
      </c>
      <c r="AN13" s="214">
        <v>10</v>
      </c>
      <c r="AO13" s="168"/>
      <c r="AP13" s="213" t="s">
        <v>178</v>
      </c>
      <c r="AQ13" s="214">
        <v>10</v>
      </c>
      <c r="AR13" s="163" t="s">
        <v>166</v>
      </c>
      <c r="AS13" s="214">
        <v>15</v>
      </c>
      <c r="AT13" s="277"/>
      <c r="AU13" s="213" t="s">
        <v>178</v>
      </c>
      <c r="AV13" s="214">
        <v>10</v>
      </c>
      <c r="AW13" s="163" t="s">
        <v>166</v>
      </c>
      <c r="AX13" s="214">
        <v>10</v>
      </c>
      <c r="AY13" s="168"/>
      <c r="AZ13" s="213" t="s">
        <v>178</v>
      </c>
      <c r="BA13" s="214">
        <v>10</v>
      </c>
      <c r="BB13" s="163" t="s">
        <v>166</v>
      </c>
      <c r="BC13" s="214">
        <v>10</v>
      </c>
      <c r="BD13" s="168"/>
      <c r="BE13" s="213" t="s">
        <v>178</v>
      </c>
      <c r="BF13" s="214">
        <v>10</v>
      </c>
      <c r="BG13" s="163" t="s">
        <v>166</v>
      </c>
      <c r="BH13" s="214">
        <v>10</v>
      </c>
      <c r="BI13" s="277"/>
      <c r="BJ13" s="213" t="s">
        <v>178</v>
      </c>
      <c r="BK13" s="214">
        <v>10</v>
      </c>
      <c r="BL13" s="163" t="s">
        <v>166</v>
      </c>
      <c r="BM13" s="214">
        <v>10</v>
      </c>
      <c r="BN13" s="168"/>
      <c r="BO13" s="213" t="s">
        <v>178</v>
      </c>
      <c r="BP13" s="214">
        <v>10</v>
      </c>
      <c r="BQ13" s="163" t="s">
        <v>166</v>
      </c>
      <c r="BR13" s="214">
        <v>10</v>
      </c>
      <c r="BS13" s="168"/>
      <c r="BT13" s="213" t="s">
        <v>178</v>
      </c>
      <c r="BU13" s="214">
        <v>10</v>
      </c>
      <c r="BV13" s="163" t="s">
        <v>166</v>
      </c>
      <c r="BW13" s="214">
        <v>10</v>
      </c>
      <c r="BX13" s="277"/>
    </row>
    <row r="14" spans="1:76" ht="15">
      <c r="A14" s="168"/>
      <c r="B14" s="213" t="s">
        <v>179</v>
      </c>
      <c r="C14" s="210">
        <v>54</v>
      </c>
      <c r="D14" s="163" t="s">
        <v>174</v>
      </c>
      <c r="E14" s="214">
        <v>20</v>
      </c>
      <c r="F14" s="168"/>
      <c r="G14" s="213" t="s">
        <v>179</v>
      </c>
      <c r="H14" s="214">
        <v>54</v>
      </c>
      <c r="I14" s="163" t="s">
        <v>174</v>
      </c>
      <c r="J14" s="214">
        <v>20</v>
      </c>
      <c r="K14" s="168"/>
      <c r="L14" s="213" t="s">
        <v>179</v>
      </c>
      <c r="M14" s="214">
        <v>54</v>
      </c>
      <c r="N14" s="163" t="s">
        <v>174</v>
      </c>
      <c r="O14" s="214">
        <v>20</v>
      </c>
      <c r="P14" s="168"/>
      <c r="Q14" s="213" t="s">
        <v>179</v>
      </c>
      <c r="R14" s="214">
        <v>54</v>
      </c>
      <c r="S14" s="163" t="s">
        <v>174</v>
      </c>
      <c r="T14" s="214">
        <v>20</v>
      </c>
      <c r="U14" s="168"/>
      <c r="V14" s="213" t="s">
        <v>179</v>
      </c>
      <c r="W14" s="214">
        <v>54</v>
      </c>
      <c r="X14" s="163" t="s">
        <v>174</v>
      </c>
      <c r="Y14" s="214">
        <v>20</v>
      </c>
      <c r="Z14" s="168"/>
      <c r="AA14" s="213" t="s">
        <v>179</v>
      </c>
      <c r="AB14" s="214">
        <v>54</v>
      </c>
      <c r="AC14" s="163" t="s">
        <v>174</v>
      </c>
      <c r="AD14" s="214">
        <v>20</v>
      </c>
      <c r="AE14" s="168"/>
      <c r="AF14" s="213" t="s">
        <v>179</v>
      </c>
      <c r="AG14" s="214">
        <v>54</v>
      </c>
      <c r="AH14" s="163" t="s">
        <v>174</v>
      </c>
      <c r="AI14" s="214">
        <v>20</v>
      </c>
      <c r="AJ14" s="168"/>
      <c r="AK14" s="213" t="s">
        <v>179</v>
      </c>
      <c r="AL14" s="214">
        <v>54</v>
      </c>
      <c r="AM14" s="163" t="s">
        <v>174</v>
      </c>
      <c r="AN14" s="214">
        <v>20</v>
      </c>
      <c r="AO14" s="168"/>
      <c r="AP14" s="213" t="s">
        <v>179</v>
      </c>
      <c r="AQ14" s="214">
        <v>54</v>
      </c>
      <c r="AR14" s="163" t="s">
        <v>174</v>
      </c>
      <c r="AS14" s="214">
        <v>25</v>
      </c>
      <c r="AT14" s="277"/>
      <c r="AU14" s="213" t="s">
        <v>179</v>
      </c>
      <c r="AV14" s="214">
        <v>90</v>
      </c>
      <c r="AW14" s="163" t="s">
        <v>174</v>
      </c>
      <c r="AX14" s="214">
        <v>10</v>
      </c>
      <c r="AY14" s="168"/>
      <c r="AZ14" s="213" t="s">
        <v>179</v>
      </c>
      <c r="BA14" s="214">
        <v>90</v>
      </c>
      <c r="BB14" s="163" t="s">
        <v>174</v>
      </c>
      <c r="BC14" s="214">
        <v>10</v>
      </c>
      <c r="BD14" s="168"/>
      <c r="BE14" s="213" t="s">
        <v>179</v>
      </c>
      <c r="BF14" s="214">
        <v>90</v>
      </c>
      <c r="BG14" s="163" t="s">
        <v>174</v>
      </c>
      <c r="BH14" s="214">
        <v>10</v>
      </c>
      <c r="BI14" s="277"/>
      <c r="BJ14" s="213" t="s">
        <v>179</v>
      </c>
      <c r="BK14" s="214">
        <v>50</v>
      </c>
      <c r="BL14" s="163" t="s">
        <v>174</v>
      </c>
      <c r="BM14" s="214">
        <v>10</v>
      </c>
      <c r="BN14" s="168"/>
      <c r="BO14" s="213" t="s">
        <v>179</v>
      </c>
      <c r="BP14" s="214">
        <v>50</v>
      </c>
      <c r="BQ14" s="163" t="s">
        <v>174</v>
      </c>
      <c r="BR14" s="214">
        <v>10</v>
      </c>
      <c r="BS14" s="168"/>
      <c r="BT14" s="213" t="s">
        <v>179</v>
      </c>
      <c r="BU14" s="214">
        <v>50</v>
      </c>
      <c r="BV14" s="163" t="s">
        <v>174</v>
      </c>
      <c r="BW14" s="214">
        <v>10</v>
      </c>
      <c r="BX14" s="277"/>
    </row>
    <row r="15" spans="1:76" ht="15">
      <c r="A15" s="168"/>
      <c r="B15" s="213" t="s">
        <v>180</v>
      </c>
      <c r="C15" s="210">
        <v>96</v>
      </c>
      <c r="D15" s="163" t="s">
        <v>177</v>
      </c>
      <c r="E15" s="215">
        <f>E14</f>
        <v>20</v>
      </c>
      <c r="F15" s="168"/>
      <c r="G15" s="213" t="s">
        <v>180</v>
      </c>
      <c r="H15" s="214">
        <v>96</v>
      </c>
      <c r="I15" s="163" t="s">
        <v>177</v>
      </c>
      <c r="J15" s="215">
        <f>J14</f>
        <v>20</v>
      </c>
      <c r="K15" s="168"/>
      <c r="L15" s="213" t="s">
        <v>180</v>
      </c>
      <c r="M15" s="214">
        <v>96</v>
      </c>
      <c r="N15" s="163" t="s">
        <v>177</v>
      </c>
      <c r="O15" s="215">
        <f>O14</f>
        <v>20</v>
      </c>
      <c r="P15" s="168"/>
      <c r="Q15" s="213" t="s">
        <v>180</v>
      </c>
      <c r="R15" s="214">
        <v>96</v>
      </c>
      <c r="S15" s="163" t="s">
        <v>177</v>
      </c>
      <c r="T15" s="215">
        <f>T14</f>
        <v>20</v>
      </c>
      <c r="U15" s="168"/>
      <c r="V15" s="213" t="s">
        <v>180</v>
      </c>
      <c r="W15" s="214">
        <v>96</v>
      </c>
      <c r="X15" s="163" t="s">
        <v>177</v>
      </c>
      <c r="Y15" s="215">
        <f>Y14</f>
        <v>20</v>
      </c>
      <c r="Z15" s="168"/>
      <c r="AA15" s="213" t="s">
        <v>180</v>
      </c>
      <c r="AB15" s="214">
        <v>96</v>
      </c>
      <c r="AC15" s="163" t="s">
        <v>177</v>
      </c>
      <c r="AD15" s="215">
        <f>AD14</f>
        <v>20</v>
      </c>
      <c r="AE15" s="168"/>
      <c r="AF15" s="213" t="s">
        <v>180</v>
      </c>
      <c r="AG15" s="214">
        <v>96</v>
      </c>
      <c r="AH15" s="163" t="s">
        <v>177</v>
      </c>
      <c r="AI15" s="215">
        <f>AI14</f>
        <v>20</v>
      </c>
      <c r="AJ15" s="168"/>
      <c r="AK15" s="213" t="s">
        <v>180</v>
      </c>
      <c r="AL15" s="214">
        <v>96</v>
      </c>
      <c r="AM15" s="163" t="s">
        <v>177</v>
      </c>
      <c r="AN15" s="215">
        <f>AN14</f>
        <v>20</v>
      </c>
      <c r="AO15" s="168"/>
      <c r="AP15" s="213" t="s">
        <v>180</v>
      </c>
      <c r="AQ15" s="214">
        <v>96</v>
      </c>
      <c r="AR15" s="163" t="s">
        <v>177</v>
      </c>
      <c r="AS15" s="215">
        <f>AS14</f>
        <v>25</v>
      </c>
      <c r="AT15" s="277"/>
      <c r="AU15" s="213"/>
      <c r="AV15" s="215"/>
      <c r="AW15" s="163"/>
      <c r="AX15" s="215"/>
      <c r="AY15" s="168"/>
      <c r="AZ15" s="213"/>
      <c r="BA15" s="215"/>
      <c r="BB15" s="163"/>
      <c r="BC15" s="215"/>
      <c r="BD15" s="168"/>
      <c r="BE15" s="213"/>
      <c r="BF15" s="215"/>
      <c r="BG15" s="163"/>
      <c r="BH15" s="215"/>
      <c r="BI15" s="277"/>
      <c r="BJ15" s="213"/>
      <c r="BK15" s="215"/>
      <c r="BL15" s="163"/>
      <c r="BM15" s="215"/>
      <c r="BN15" s="168"/>
      <c r="BO15" s="213"/>
      <c r="BP15" s="215"/>
      <c r="BQ15" s="163"/>
      <c r="BR15" s="215"/>
      <c r="BS15" s="168"/>
      <c r="BT15" s="213"/>
      <c r="BU15" s="215"/>
      <c r="BV15" s="163"/>
      <c r="BW15" s="215"/>
      <c r="BX15" s="277"/>
    </row>
    <row r="16" spans="1:76" ht="15">
      <c r="A16" s="168"/>
      <c r="B16" s="216" t="s">
        <v>181</v>
      </c>
      <c r="C16" s="217">
        <v>140</v>
      </c>
      <c r="D16" s="135" t="s">
        <v>182</v>
      </c>
      <c r="E16" s="218">
        <f>E13</f>
        <v>10</v>
      </c>
      <c r="F16" s="168"/>
      <c r="G16" s="216" t="s">
        <v>181</v>
      </c>
      <c r="H16" s="224">
        <v>140</v>
      </c>
      <c r="I16" s="135" t="s">
        <v>182</v>
      </c>
      <c r="J16" s="218">
        <f>J13</f>
        <v>10</v>
      </c>
      <c r="K16" s="168"/>
      <c r="L16" s="216" t="s">
        <v>181</v>
      </c>
      <c r="M16" s="224">
        <v>140</v>
      </c>
      <c r="N16" s="135" t="s">
        <v>182</v>
      </c>
      <c r="O16" s="218">
        <f>O13</f>
        <v>10</v>
      </c>
      <c r="P16" s="168"/>
      <c r="Q16" s="216" t="s">
        <v>181</v>
      </c>
      <c r="R16" s="224">
        <v>140</v>
      </c>
      <c r="S16" s="135" t="s">
        <v>182</v>
      </c>
      <c r="T16" s="218">
        <f>T13</f>
        <v>10</v>
      </c>
      <c r="U16" s="168"/>
      <c r="V16" s="216" t="s">
        <v>181</v>
      </c>
      <c r="W16" s="224">
        <v>140</v>
      </c>
      <c r="X16" s="135" t="s">
        <v>182</v>
      </c>
      <c r="Y16" s="218">
        <f>Y13</f>
        <v>10</v>
      </c>
      <c r="Z16" s="168"/>
      <c r="AA16" s="216" t="s">
        <v>181</v>
      </c>
      <c r="AB16" s="224">
        <v>140</v>
      </c>
      <c r="AC16" s="135" t="s">
        <v>182</v>
      </c>
      <c r="AD16" s="218">
        <f>AD13</f>
        <v>10</v>
      </c>
      <c r="AE16" s="168"/>
      <c r="AF16" s="216" t="s">
        <v>181</v>
      </c>
      <c r="AG16" s="224">
        <v>140</v>
      </c>
      <c r="AH16" s="135" t="s">
        <v>182</v>
      </c>
      <c r="AI16" s="218">
        <f>AI13</f>
        <v>10</v>
      </c>
      <c r="AJ16" s="168"/>
      <c r="AK16" s="216" t="s">
        <v>181</v>
      </c>
      <c r="AL16" s="224">
        <v>140</v>
      </c>
      <c r="AM16" s="135" t="s">
        <v>182</v>
      </c>
      <c r="AN16" s="218">
        <f>AN13</f>
        <v>10</v>
      </c>
      <c r="AO16" s="168"/>
      <c r="AP16" s="216" t="s">
        <v>181</v>
      </c>
      <c r="AQ16" s="224">
        <v>140</v>
      </c>
      <c r="AR16" s="135" t="s">
        <v>182</v>
      </c>
      <c r="AS16" s="218">
        <f>AS13</f>
        <v>15</v>
      </c>
      <c r="AT16" s="277"/>
      <c r="AU16" s="216"/>
      <c r="AV16" s="218"/>
      <c r="AW16" s="135"/>
      <c r="AX16" s="218"/>
      <c r="AY16" s="168"/>
      <c r="AZ16" s="216"/>
      <c r="BA16" s="218"/>
      <c r="BB16" s="135"/>
      <c r="BC16" s="218"/>
      <c r="BD16" s="168"/>
      <c r="BE16" s="216"/>
      <c r="BF16" s="218"/>
      <c r="BG16" s="135"/>
      <c r="BH16" s="218"/>
      <c r="BI16" s="277"/>
      <c r="BJ16" s="216"/>
      <c r="BK16" s="218"/>
      <c r="BL16" s="135"/>
      <c r="BM16" s="218"/>
      <c r="BN16" s="168"/>
      <c r="BO16" s="216"/>
      <c r="BP16" s="218"/>
      <c r="BQ16" s="135"/>
      <c r="BR16" s="218"/>
      <c r="BS16" s="168"/>
      <c r="BT16" s="216"/>
      <c r="BU16" s="218"/>
      <c r="BV16" s="135"/>
      <c r="BW16" s="218"/>
      <c r="BX16" s="277"/>
    </row>
    <row r="17" spans="1:76">
      <c r="A17" s="168"/>
      <c r="B17" s="162" t="s">
        <v>189</v>
      </c>
      <c r="C17" s="87"/>
      <c r="D17" s="163"/>
      <c r="E17" s="87"/>
      <c r="F17" s="168"/>
      <c r="G17" s="162" t="s">
        <v>189</v>
      </c>
      <c r="H17" s="87"/>
      <c r="I17" s="163"/>
      <c r="J17" s="87"/>
      <c r="K17" s="168"/>
      <c r="L17" s="162" t="s">
        <v>189</v>
      </c>
      <c r="M17" s="87"/>
      <c r="N17" s="163"/>
      <c r="O17" s="87"/>
      <c r="P17" s="168"/>
      <c r="Q17" s="162" t="s">
        <v>189</v>
      </c>
      <c r="R17" s="87"/>
      <c r="S17" s="163"/>
      <c r="T17" s="87"/>
      <c r="U17" s="168"/>
      <c r="V17" s="162" t="s">
        <v>189</v>
      </c>
      <c r="W17" s="87"/>
      <c r="X17" s="163"/>
      <c r="Y17" s="87"/>
      <c r="Z17" s="168"/>
      <c r="AA17" s="162" t="s">
        <v>189</v>
      </c>
      <c r="AB17" s="87"/>
      <c r="AC17" s="163"/>
      <c r="AD17" s="87"/>
      <c r="AE17" s="168"/>
      <c r="AF17" s="162" t="s">
        <v>189</v>
      </c>
      <c r="AG17" s="87"/>
      <c r="AH17" s="163"/>
      <c r="AI17" s="87"/>
      <c r="AJ17" s="168"/>
      <c r="AK17" s="162" t="s">
        <v>189</v>
      </c>
      <c r="AL17" s="87"/>
      <c r="AM17" s="163"/>
      <c r="AN17" s="87"/>
      <c r="AO17" s="168"/>
      <c r="AP17" s="162" t="s">
        <v>189</v>
      </c>
      <c r="AQ17" s="87"/>
      <c r="AR17" s="163"/>
      <c r="AS17" s="87"/>
      <c r="AT17" s="277"/>
      <c r="AU17" s="162" t="s">
        <v>189</v>
      </c>
      <c r="AV17" s="87"/>
      <c r="AW17" s="163"/>
      <c r="AX17" s="87"/>
      <c r="AY17" s="168"/>
      <c r="AZ17" s="162" t="s">
        <v>189</v>
      </c>
      <c r="BA17" s="87"/>
      <c r="BB17" s="163"/>
      <c r="BC17" s="87"/>
      <c r="BD17" s="168"/>
      <c r="BE17" s="162" t="s">
        <v>189</v>
      </c>
      <c r="BF17" s="87"/>
      <c r="BG17" s="163"/>
      <c r="BH17" s="87"/>
      <c r="BI17" s="277"/>
      <c r="BJ17" s="162" t="s">
        <v>189</v>
      </c>
      <c r="BK17" s="87"/>
      <c r="BL17" s="163"/>
      <c r="BM17" s="87"/>
      <c r="BN17" s="168"/>
      <c r="BO17" s="162" t="s">
        <v>189</v>
      </c>
      <c r="BP17" s="87"/>
      <c r="BQ17" s="163"/>
      <c r="BR17" s="87"/>
      <c r="BS17" s="168"/>
      <c r="BT17" s="162" t="s">
        <v>189</v>
      </c>
      <c r="BU17" s="87"/>
      <c r="BV17" s="163"/>
      <c r="BW17" s="87"/>
      <c r="BX17" s="277"/>
    </row>
    <row r="18" spans="1:76" ht="15">
      <c r="A18" s="168"/>
      <c r="B18" s="211" t="s">
        <v>186</v>
      </c>
      <c r="C18" s="222">
        <v>11</v>
      </c>
      <c r="D18" s="219" t="s">
        <v>241</v>
      </c>
      <c r="E18" s="212">
        <v>465</v>
      </c>
      <c r="F18" s="168"/>
      <c r="G18" s="211" t="s">
        <v>186</v>
      </c>
      <c r="H18" s="225">
        <v>11</v>
      </c>
      <c r="I18" s="219" t="s">
        <v>241</v>
      </c>
      <c r="J18" s="212">
        <v>355</v>
      </c>
      <c r="K18" s="168"/>
      <c r="L18" s="211" t="s">
        <v>186</v>
      </c>
      <c r="M18" s="225">
        <v>8</v>
      </c>
      <c r="N18" s="219" t="s">
        <v>241</v>
      </c>
      <c r="O18" s="212">
        <v>650</v>
      </c>
      <c r="P18" s="168"/>
      <c r="Q18" s="211" t="s">
        <v>186</v>
      </c>
      <c r="R18" s="225">
        <v>8</v>
      </c>
      <c r="S18" s="219" t="s">
        <v>241</v>
      </c>
      <c r="T18" s="212">
        <v>590</v>
      </c>
      <c r="U18" s="168"/>
      <c r="V18" s="211" t="s">
        <v>186</v>
      </c>
      <c r="W18" s="225">
        <v>8</v>
      </c>
      <c r="X18" s="219" t="s">
        <v>241</v>
      </c>
      <c r="Y18" s="212">
        <v>470</v>
      </c>
      <c r="Z18" s="168"/>
      <c r="AA18" s="211" t="s">
        <v>186</v>
      </c>
      <c r="AB18" s="225">
        <v>8</v>
      </c>
      <c r="AC18" s="219" t="s">
        <v>241</v>
      </c>
      <c r="AD18" s="212">
        <v>410</v>
      </c>
      <c r="AE18" s="168"/>
      <c r="AF18" s="211" t="s">
        <v>186</v>
      </c>
      <c r="AG18" s="225">
        <v>8</v>
      </c>
      <c r="AH18" s="219" t="s">
        <v>241</v>
      </c>
      <c r="AI18" s="212">
        <v>290</v>
      </c>
      <c r="AJ18" s="168"/>
      <c r="AK18" s="211" t="s">
        <v>186</v>
      </c>
      <c r="AL18" s="225">
        <v>8</v>
      </c>
      <c r="AM18" s="219" t="s">
        <v>241</v>
      </c>
      <c r="AN18" s="212">
        <v>170</v>
      </c>
      <c r="AO18" s="168"/>
      <c r="AP18" s="211" t="s">
        <v>186</v>
      </c>
      <c r="AQ18" s="225">
        <v>8</v>
      </c>
      <c r="AR18" s="219" t="s">
        <v>241</v>
      </c>
      <c r="AS18" s="212">
        <v>590</v>
      </c>
      <c r="AT18" s="277"/>
      <c r="AU18" s="211" t="s">
        <v>186</v>
      </c>
      <c r="AV18" s="225">
        <v>6</v>
      </c>
      <c r="AW18" s="219" t="s">
        <v>241</v>
      </c>
      <c r="AX18" s="212">
        <v>410</v>
      </c>
      <c r="AY18" s="168"/>
      <c r="AZ18" s="211" t="s">
        <v>186</v>
      </c>
      <c r="BA18" s="225">
        <v>6</v>
      </c>
      <c r="BB18" s="219" t="s">
        <v>241</v>
      </c>
      <c r="BC18" s="212">
        <v>290</v>
      </c>
      <c r="BD18" s="168"/>
      <c r="BE18" s="211" t="s">
        <v>186</v>
      </c>
      <c r="BF18" s="225">
        <v>6</v>
      </c>
      <c r="BG18" s="219" t="s">
        <v>241</v>
      </c>
      <c r="BH18" s="212">
        <v>170</v>
      </c>
      <c r="BI18" s="277"/>
      <c r="BJ18" s="211" t="s">
        <v>186</v>
      </c>
      <c r="BK18" s="225">
        <v>3</v>
      </c>
      <c r="BL18" s="219" t="s">
        <v>241</v>
      </c>
      <c r="BM18" s="212">
        <v>410</v>
      </c>
      <c r="BN18" s="168"/>
      <c r="BO18" s="211" t="s">
        <v>186</v>
      </c>
      <c r="BP18" s="225">
        <v>3</v>
      </c>
      <c r="BQ18" s="219" t="s">
        <v>241</v>
      </c>
      <c r="BR18" s="212">
        <v>290</v>
      </c>
      <c r="BS18" s="168"/>
      <c r="BT18" s="211" t="s">
        <v>186</v>
      </c>
      <c r="BU18" s="225">
        <v>3</v>
      </c>
      <c r="BV18" s="219" t="s">
        <v>241</v>
      </c>
      <c r="BW18" s="212">
        <v>170</v>
      </c>
      <c r="BX18" s="277"/>
    </row>
    <row r="19" spans="1:76" ht="15">
      <c r="A19" s="168"/>
      <c r="B19" s="221" t="s">
        <v>243</v>
      </c>
      <c r="C19" s="210">
        <v>21.5</v>
      </c>
      <c r="D19" s="221" t="s">
        <v>242</v>
      </c>
      <c r="E19" s="214">
        <v>485</v>
      </c>
      <c r="F19" s="168"/>
      <c r="G19" s="221" t="s">
        <v>243</v>
      </c>
      <c r="H19" s="214">
        <v>21.5</v>
      </c>
      <c r="I19" s="221" t="s">
        <v>242</v>
      </c>
      <c r="J19" s="214">
        <v>355</v>
      </c>
      <c r="K19" s="168"/>
      <c r="L19" s="221" t="s">
        <v>243</v>
      </c>
      <c r="M19" s="214">
        <v>21.5</v>
      </c>
      <c r="N19" s="221" t="s">
        <v>242</v>
      </c>
      <c r="O19" s="214"/>
      <c r="P19" s="168"/>
      <c r="Q19" s="221" t="s">
        <v>243</v>
      </c>
      <c r="R19" s="214">
        <v>21.5</v>
      </c>
      <c r="S19" s="221" t="s">
        <v>242</v>
      </c>
      <c r="T19" s="214"/>
      <c r="U19" s="168"/>
      <c r="V19" s="221" t="s">
        <v>243</v>
      </c>
      <c r="W19" s="214">
        <v>21.5</v>
      </c>
      <c r="X19" s="221" t="s">
        <v>242</v>
      </c>
      <c r="Y19" s="214"/>
      <c r="Z19" s="168"/>
      <c r="AA19" s="221" t="s">
        <v>243</v>
      </c>
      <c r="AB19" s="214">
        <v>21.5</v>
      </c>
      <c r="AC19" s="221" t="s">
        <v>242</v>
      </c>
      <c r="AD19" s="214"/>
      <c r="AE19" s="168"/>
      <c r="AF19" s="221" t="s">
        <v>243</v>
      </c>
      <c r="AG19" s="214">
        <v>21.5</v>
      </c>
      <c r="AH19" s="221" t="s">
        <v>242</v>
      </c>
      <c r="AI19" s="214"/>
      <c r="AJ19" s="168"/>
      <c r="AK19" s="221" t="s">
        <v>243</v>
      </c>
      <c r="AL19" s="214">
        <v>21.5</v>
      </c>
      <c r="AM19" s="221" t="s">
        <v>242</v>
      </c>
      <c r="AN19" s="214"/>
      <c r="AO19" s="168"/>
      <c r="AP19" s="221" t="s">
        <v>243</v>
      </c>
      <c r="AQ19" s="214">
        <v>21.5</v>
      </c>
      <c r="AR19" s="221" t="s">
        <v>242</v>
      </c>
      <c r="AS19" s="214"/>
      <c r="AT19" s="277"/>
      <c r="AU19" s="213"/>
      <c r="AV19" s="215"/>
      <c r="AW19" s="213"/>
      <c r="AX19" s="215"/>
      <c r="AY19" s="168"/>
      <c r="AZ19" s="213"/>
      <c r="BA19" s="215"/>
      <c r="BB19" s="213"/>
      <c r="BC19" s="215"/>
      <c r="BD19" s="168"/>
      <c r="BE19" s="213"/>
      <c r="BF19" s="215"/>
      <c r="BG19" s="213"/>
      <c r="BH19" s="215"/>
      <c r="BI19" s="277"/>
      <c r="BJ19" s="213"/>
      <c r="BK19" s="215"/>
      <c r="BL19" s="213"/>
      <c r="BM19" s="215"/>
      <c r="BN19" s="168"/>
      <c r="BO19" s="213"/>
      <c r="BP19" s="215"/>
      <c r="BQ19" s="213"/>
      <c r="BR19" s="215"/>
      <c r="BS19" s="168"/>
      <c r="BT19" s="213"/>
      <c r="BU19" s="215"/>
      <c r="BV19" s="213"/>
      <c r="BW19" s="215"/>
      <c r="BX19" s="277"/>
    </row>
    <row r="20" spans="1:76" ht="15">
      <c r="A20" s="168"/>
      <c r="B20" s="213" t="s">
        <v>171</v>
      </c>
      <c r="C20" s="210">
        <v>10.5</v>
      </c>
      <c r="D20" s="213" t="s">
        <v>166</v>
      </c>
      <c r="E20" s="214">
        <v>80</v>
      </c>
      <c r="F20" s="168"/>
      <c r="G20" s="213" t="s">
        <v>171</v>
      </c>
      <c r="H20" s="214">
        <v>10.5</v>
      </c>
      <c r="I20" s="213" t="s">
        <v>166</v>
      </c>
      <c r="J20" s="214">
        <v>80</v>
      </c>
      <c r="K20" s="168"/>
      <c r="L20" s="213" t="s">
        <v>171</v>
      </c>
      <c r="M20" s="214">
        <v>10.5</v>
      </c>
      <c r="N20" s="213" t="s">
        <v>166</v>
      </c>
      <c r="O20" s="214">
        <v>80</v>
      </c>
      <c r="P20" s="168"/>
      <c r="Q20" s="213" t="s">
        <v>171</v>
      </c>
      <c r="R20" s="214">
        <v>10.5</v>
      </c>
      <c r="S20" s="213" t="s">
        <v>166</v>
      </c>
      <c r="T20" s="214">
        <v>80</v>
      </c>
      <c r="U20" s="168"/>
      <c r="V20" s="213" t="s">
        <v>171</v>
      </c>
      <c r="W20" s="214">
        <v>10.5</v>
      </c>
      <c r="X20" s="213" t="s">
        <v>166</v>
      </c>
      <c r="Y20" s="214">
        <v>80</v>
      </c>
      <c r="Z20" s="168"/>
      <c r="AA20" s="213" t="s">
        <v>171</v>
      </c>
      <c r="AB20" s="214">
        <v>10.5</v>
      </c>
      <c r="AC20" s="213" t="s">
        <v>166</v>
      </c>
      <c r="AD20" s="214">
        <v>80</v>
      </c>
      <c r="AE20" s="168"/>
      <c r="AF20" s="213" t="s">
        <v>171</v>
      </c>
      <c r="AG20" s="214">
        <v>10.5</v>
      </c>
      <c r="AH20" s="213" t="s">
        <v>166</v>
      </c>
      <c r="AI20" s="214">
        <v>80</v>
      </c>
      <c r="AJ20" s="168"/>
      <c r="AK20" s="213" t="s">
        <v>171</v>
      </c>
      <c r="AL20" s="214">
        <v>10.5</v>
      </c>
      <c r="AM20" s="213" t="s">
        <v>166</v>
      </c>
      <c r="AN20" s="214">
        <v>80</v>
      </c>
      <c r="AO20" s="168"/>
      <c r="AP20" s="213" t="s">
        <v>171</v>
      </c>
      <c r="AQ20" s="214">
        <v>10.5</v>
      </c>
      <c r="AR20" s="213" t="s">
        <v>166</v>
      </c>
      <c r="AS20" s="214">
        <v>230</v>
      </c>
      <c r="AT20" s="277"/>
      <c r="AU20" s="213" t="s">
        <v>171</v>
      </c>
      <c r="AV20" s="214">
        <v>10.8</v>
      </c>
      <c r="AW20" s="213" t="s">
        <v>166</v>
      </c>
      <c r="AX20" s="214">
        <v>80</v>
      </c>
      <c r="AY20" s="168"/>
      <c r="AZ20" s="213" t="s">
        <v>171</v>
      </c>
      <c r="BA20" s="214">
        <v>10.8</v>
      </c>
      <c r="BB20" s="213" t="s">
        <v>166</v>
      </c>
      <c r="BC20" s="214">
        <v>80</v>
      </c>
      <c r="BD20" s="168"/>
      <c r="BE20" s="213" t="s">
        <v>171</v>
      </c>
      <c r="BF20" s="214">
        <v>10.8</v>
      </c>
      <c r="BG20" s="213" t="s">
        <v>166</v>
      </c>
      <c r="BH20" s="214">
        <v>80</v>
      </c>
      <c r="BI20" s="277"/>
      <c r="BJ20" s="213" t="s">
        <v>171</v>
      </c>
      <c r="BK20" s="229">
        <v>9.75</v>
      </c>
      <c r="BL20" s="213" t="s">
        <v>166</v>
      </c>
      <c r="BM20" s="214">
        <v>60</v>
      </c>
      <c r="BN20" s="168"/>
      <c r="BO20" s="213" t="s">
        <v>171</v>
      </c>
      <c r="BP20" s="229">
        <v>9.75</v>
      </c>
      <c r="BQ20" s="213" t="s">
        <v>166</v>
      </c>
      <c r="BR20" s="214">
        <v>60</v>
      </c>
      <c r="BS20" s="168"/>
      <c r="BT20" s="213" t="s">
        <v>171</v>
      </c>
      <c r="BU20" s="229">
        <v>9.75</v>
      </c>
      <c r="BV20" s="213" t="s">
        <v>166</v>
      </c>
      <c r="BW20" s="214">
        <v>60</v>
      </c>
      <c r="BX20" s="277"/>
    </row>
    <row r="21" spans="1:76" ht="15">
      <c r="A21" s="168"/>
      <c r="B21" s="213" t="s">
        <v>172</v>
      </c>
      <c r="C21" s="176">
        <f>+C20+C$19</f>
        <v>32</v>
      </c>
      <c r="D21" s="213" t="s">
        <v>174</v>
      </c>
      <c r="E21" s="215">
        <f>+E20-15</f>
        <v>65</v>
      </c>
      <c r="F21" s="168"/>
      <c r="G21" s="213" t="s">
        <v>172</v>
      </c>
      <c r="H21" s="176">
        <f>+H20+H$19</f>
        <v>32</v>
      </c>
      <c r="I21" s="213" t="s">
        <v>174</v>
      </c>
      <c r="J21" s="215">
        <f>+J20-15</f>
        <v>65</v>
      </c>
      <c r="K21" s="168"/>
      <c r="L21" s="213" t="s">
        <v>172</v>
      </c>
      <c r="M21" s="176">
        <f>+M20+M$19</f>
        <v>32</v>
      </c>
      <c r="N21" s="213" t="s">
        <v>174</v>
      </c>
      <c r="O21" s="215">
        <f>+O20-15</f>
        <v>65</v>
      </c>
      <c r="P21" s="168"/>
      <c r="Q21" s="213" t="s">
        <v>172</v>
      </c>
      <c r="R21" s="176">
        <f>+R20+R$19</f>
        <v>32</v>
      </c>
      <c r="S21" s="213" t="s">
        <v>174</v>
      </c>
      <c r="T21" s="215">
        <f>+T20-15</f>
        <v>65</v>
      </c>
      <c r="U21" s="168"/>
      <c r="V21" s="213" t="s">
        <v>172</v>
      </c>
      <c r="W21" s="176">
        <f>+W20+W$19</f>
        <v>32</v>
      </c>
      <c r="X21" s="213" t="s">
        <v>174</v>
      </c>
      <c r="Y21" s="215">
        <f>+Y20-15</f>
        <v>65</v>
      </c>
      <c r="Z21" s="168"/>
      <c r="AA21" s="213" t="s">
        <v>172</v>
      </c>
      <c r="AB21" s="176">
        <f>+AB20+AB$19</f>
        <v>32</v>
      </c>
      <c r="AC21" s="213" t="s">
        <v>174</v>
      </c>
      <c r="AD21" s="215">
        <f>+AD20-15</f>
        <v>65</v>
      </c>
      <c r="AE21" s="168"/>
      <c r="AF21" s="213" t="s">
        <v>172</v>
      </c>
      <c r="AG21" s="176">
        <f>+AG20+AG$19</f>
        <v>32</v>
      </c>
      <c r="AH21" s="213" t="s">
        <v>174</v>
      </c>
      <c r="AI21" s="215">
        <f>+AI20-15</f>
        <v>65</v>
      </c>
      <c r="AJ21" s="168"/>
      <c r="AK21" s="213" t="s">
        <v>172</v>
      </c>
      <c r="AL21" s="176">
        <f>+AL20+AL$19</f>
        <v>32</v>
      </c>
      <c r="AM21" s="213" t="s">
        <v>174</v>
      </c>
      <c r="AN21" s="215">
        <f>+AN20-15</f>
        <v>65</v>
      </c>
      <c r="AO21" s="168"/>
      <c r="AP21" s="213" t="s">
        <v>172</v>
      </c>
      <c r="AQ21" s="176">
        <f>+AQ20+AQ$19</f>
        <v>32</v>
      </c>
      <c r="AR21" s="213" t="s">
        <v>174</v>
      </c>
      <c r="AS21" s="215">
        <f>+AS20-15</f>
        <v>215</v>
      </c>
      <c r="AT21" s="277"/>
      <c r="AU21" s="213" t="s">
        <v>172</v>
      </c>
      <c r="AV21" s="210">
        <v>30</v>
      </c>
      <c r="AW21" s="213" t="s">
        <v>174</v>
      </c>
      <c r="AX21" s="214">
        <v>65</v>
      </c>
      <c r="AY21" s="168"/>
      <c r="AZ21" s="213" t="s">
        <v>172</v>
      </c>
      <c r="BA21" s="210">
        <v>30</v>
      </c>
      <c r="BB21" s="213" t="s">
        <v>174</v>
      </c>
      <c r="BC21" s="214">
        <v>65</v>
      </c>
      <c r="BD21" s="168"/>
      <c r="BE21" s="213" t="s">
        <v>172</v>
      </c>
      <c r="BF21" s="210">
        <v>30</v>
      </c>
      <c r="BG21" s="213" t="s">
        <v>174</v>
      </c>
      <c r="BH21" s="214">
        <v>65</v>
      </c>
      <c r="BI21" s="277"/>
      <c r="BJ21" s="213" t="s">
        <v>172</v>
      </c>
      <c r="BK21" s="210">
        <v>30</v>
      </c>
      <c r="BL21" s="213" t="s">
        <v>174</v>
      </c>
      <c r="BM21" s="214">
        <v>70</v>
      </c>
      <c r="BN21" s="168"/>
      <c r="BO21" s="213" t="s">
        <v>172</v>
      </c>
      <c r="BP21" s="210">
        <v>30</v>
      </c>
      <c r="BQ21" s="213" t="s">
        <v>174</v>
      </c>
      <c r="BR21" s="214">
        <v>70</v>
      </c>
      <c r="BS21" s="168"/>
      <c r="BT21" s="213" t="s">
        <v>172</v>
      </c>
      <c r="BU21" s="210">
        <v>30</v>
      </c>
      <c r="BV21" s="213" t="s">
        <v>174</v>
      </c>
      <c r="BW21" s="214">
        <v>70</v>
      </c>
      <c r="BX21" s="277"/>
    </row>
    <row r="22" spans="1:76" ht="15">
      <c r="A22" s="168"/>
      <c r="B22" s="213" t="s">
        <v>175</v>
      </c>
      <c r="C22" s="176">
        <f>+C21+2*C$19</f>
        <v>75</v>
      </c>
      <c r="D22" s="213" t="s">
        <v>177</v>
      </c>
      <c r="E22" s="215">
        <f>+E20-5</f>
        <v>75</v>
      </c>
      <c r="F22" s="168"/>
      <c r="G22" s="213" t="s">
        <v>175</v>
      </c>
      <c r="H22" s="176">
        <f>+H21+2*H$19</f>
        <v>75</v>
      </c>
      <c r="I22" s="213" t="s">
        <v>177</v>
      </c>
      <c r="J22" s="215">
        <f>+J20-5</f>
        <v>75</v>
      </c>
      <c r="K22" s="168"/>
      <c r="L22" s="213" t="s">
        <v>175</v>
      </c>
      <c r="M22" s="176">
        <f>+M21+2*M$19</f>
        <v>75</v>
      </c>
      <c r="N22" s="213" t="s">
        <v>177</v>
      </c>
      <c r="O22" s="215">
        <f>+O20-5</f>
        <v>75</v>
      </c>
      <c r="P22" s="168"/>
      <c r="Q22" s="213" t="s">
        <v>175</v>
      </c>
      <c r="R22" s="176">
        <f>+R21+2*R$19</f>
        <v>75</v>
      </c>
      <c r="S22" s="213" t="s">
        <v>177</v>
      </c>
      <c r="T22" s="215">
        <f>+T20-5</f>
        <v>75</v>
      </c>
      <c r="U22" s="168"/>
      <c r="V22" s="213" t="s">
        <v>175</v>
      </c>
      <c r="W22" s="176">
        <f>+W21+2*W$19</f>
        <v>75</v>
      </c>
      <c r="X22" s="213" t="s">
        <v>177</v>
      </c>
      <c r="Y22" s="215">
        <f>+Y20-5</f>
        <v>75</v>
      </c>
      <c r="Z22" s="168"/>
      <c r="AA22" s="213" t="s">
        <v>175</v>
      </c>
      <c r="AB22" s="176">
        <f>+AB21+2*AB$19</f>
        <v>75</v>
      </c>
      <c r="AC22" s="213" t="s">
        <v>177</v>
      </c>
      <c r="AD22" s="215">
        <f>+AD20-5</f>
        <v>75</v>
      </c>
      <c r="AE22" s="168"/>
      <c r="AF22" s="213" t="s">
        <v>175</v>
      </c>
      <c r="AG22" s="176">
        <f>+AG21+2*AG$19</f>
        <v>75</v>
      </c>
      <c r="AH22" s="213" t="s">
        <v>177</v>
      </c>
      <c r="AI22" s="215">
        <f>+AI20-5</f>
        <v>75</v>
      </c>
      <c r="AJ22" s="168"/>
      <c r="AK22" s="213" t="s">
        <v>175</v>
      </c>
      <c r="AL22" s="176">
        <f>+AL21+2*AL$19</f>
        <v>75</v>
      </c>
      <c r="AM22" s="213" t="s">
        <v>177</v>
      </c>
      <c r="AN22" s="215">
        <f>+AN20-5</f>
        <v>75</v>
      </c>
      <c r="AO22" s="168"/>
      <c r="AP22" s="213" t="s">
        <v>175</v>
      </c>
      <c r="AQ22" s="176">
        <f>+AQ21+2*AQ$19</f>
        <v>75</v>
      </c>
      <c r="AR22" s="213" t="s">
        <v>177</v>
      </c>
      <c r="AS22" s="215">
        <f>+AS20-5</f>
        <v>225</v>
      </c>
      <c r="AT22" s="277"/>
      <c r="AU22" s="213" t="s">
        <v>175</v>
      </c>
      <c r="AV22" s="210">
        <v>70</v>
      </c>
      <c r="AW22" s="213" t="s">
        <v>177</v>
      </c>
      <c r="AX22" s="214">
        <v>65</v>
      </c>
      <c r="AY22" s="168"/>
      <c r="AZ22" s="213" t="s">
        <v>175</v>
      </c>
      <c r="BA22" s="210">
        <v>70</v>
      </c>
      <c r="BB22" s="213" t="s">
        <v>177</v>
      </c>
      <c r="BC22" s="214">
        <v>65</v>
      </c>
      <c r="BD22" s="168"/>
      <c r="BE22" s="213" t="s">
        <v>175</v>
      </c>
      <c r="BF22" s="210">
        <v>70</v>
      </c>
      <c r="BG22" s="213" t="s">
        <v>177</v>
      </c>
      <c r="BH22" s="214">
        <v>65</v>
      </c>
      <c r="BI22" s="277"/>
      <c r="BJ22" s="213"/>
      <c r="BK22" s="176"/>
      <c r="BL22" s="213"/>
      <c r="BM22" s="215"/>
      <c r="BN22" s="168"/>
      <c r="BO22" s="213"/>
      <c r="BP22" s="176"/>
      <c r="BQ22" s="213"/>
      <c r="BR22" s="215"/>
      <c r="BS22" s="168"/>
      <c r="BT22" s="213"/>
      <c r="BU22" s="176"/>
      <c r="BV22" s="213"/>
      <c r="BW22" s="215"/>
      <c r="BX22" s="277"/>
    </row>
    <row r="23" spans="1:76" ht="15">
      <c r="A23" s="168"/>
      <c r="B23" s="213" t="s">
        <v>173</v>
      </c>
      <c r="C23" s="176">
        <f>+C22+2*C$19</f>
        <v>118</v>
      </c>
      <c r="D23" s="213" t="s">
        <v>182</v>
      </c>
      <c r="E23" s="215">
        <f>+E21</f>
        <v>65</v>
      </c>
      <c r="F23" s="168"/>
      <c r="G23" s="213" t="s">
        <v>173</v>
      </c>
      <c r="H23" s="176">
        <f>+H22+2*H$19</f>
        <v>118</v>
      </c>
      <c r="I23" s="213" t="s">
        <v>182</v>
      </c>
      <c r="J23" s="215">
        <f>+J21</f>
        <v>65</v>
      </c>
      <c r="K23" s="168"/>
      <c r="L23" s="213" t="s">
        <v>173</v>
      </c>
      <c r="M23" s="176">
        <f>+M22+2*M$19</f>
        <v>118</v>
      </c>
      <c r="N23" s="213" t="s">
        <v>182</v>
      </c>
      <c r="O23" s="215">
        <f>+O21</f>
        <v>65</v>
      </c>
      <c r="P23" s="168"/>
      <c r="Q23" s="213" t="s">
        <v>173</v>
      </c>
      <c r="R23" s="176">
        <f>+R22+2*R$19</f>
        <v>118</v>
      </c>
      <c r="S23" s="213" t="s">
        <v>182</v>
      </c>
      <c r="T23" s="215">
        <f>+T21</f>
        <v>65</v>
      </c>
      <c r="U23" s="168"/>
      <c r="V23" s="213" t="s">
        <v>173</v>
      </c>
      <c r="W23" s="176">
        <f>+W22+2*W$19</f>
        <v>118</v>
      </c>
      <c r="X23" s="213" t="s">
        <v>182</v>
      </c>
      <c r="Y23" s="215">
        <f>+Y21</f>
        <v>65</v>
      </c>
      <c r="Z23" s="168"/>
      <c r="AA23" s="213" t="s">
        <v>173</v>
      </c>
      <c r="AB23" s="176">
        <f>+AB22+2*AB$19</f>
        <v>118</v>
      </c>
      <c r="AC23" s="213" t="s">
        <v>182</v>
      </c>
      <c r="AD23" s="215">
        <f>+AD21</f>
        <v>65</v>
      </c>
      <c r="AE23" s="168"/>
      <c r="AF23" s="213" t="s">
        <v>173</v>
      </c>
      <c r="AG23" s="176">
        <f>+AG22+2*AG$19</f>
        <v>118</v>
      </c>
      <c r="AH23" s="213" t="s">
        <v>182</v>
      </c>
      <c r="AI23" s="215">
        <f>+AI21</f>
        <v>65</v>
      </c>
      <c r="AJ23" s="168"/>
      <c r="AK23" s="213" t="s">
        <v>173</v>
      </c>
      <c r="AL23" s="176">
        <f>+AL22+2*AL$19</f>
        <v>118</v>
      </c>
      <c r="AM23" s="213" t="s">
        <v>182</v>
      </c>
      <c r="AN23" s="215">
        <f>+AN21</f>
        <v>65</v>
      </c>
      <c r="AO23" s="168"/>
      <c r="AP23" s="213" t="s">
        <v>173</v>
      </c>
      <c r="AQ23" s="176">
        <f>+AQ22+2*AQ$19</f>
        <v>118</v>
      </c>
      <c r="AR23" s="213" t="s">
        <v>182</v>
      </c>
      <c r="AS23" s="215">
        <f>+AS21</f>
        <v>215</v>
      </c>
      <c r="AT23" s="277"/>
      <c r="AU23" s="213" t="s">
        <v>173</v>
      </c>
      <c r="AV23" s="210">
        <v>89.2</v>
      </c>
      <c r="AW23" s="213" t="s">
        <v>182</v>
      </c>
      <c r="AX23" s="214">
        <v>80</v>
      </c>
      <c r="AY23" s="168"/>
      <c r="AZ23" s="213" t="s">
        <v>173</v>
      </c>
      <c r="BA23" s="210">
        <v>89.2</v>
      </c>
      <c r="BB23" s="213" t="s">
        <v>182</v>
      </c>
      <c r="BC23" s="214">
        <v>80</v>
      </c>
      <c r="BD23" s="168"/>
      <c r="BE23" s="213" t="s">
        <v>173</v>
      </c>
      <c r="BF23" s="210">
        <v>89.2</v>
      </c>
      <c r="BG23" s="213" t="s">
        <v>182</v>
      </c>
      <c r="BH23" s="214">
        <v>80</v>
      </c>
      <c r="BI23" s="277"/>
      <c r="BJ23" s="213"/>
      <c r="BK23" s="176"/>
      <c r="BL23" s="213"/>
      <c r="BM23" s="215"/>
      <c r="BN23" s="168"/>
      <c r="BO23" s="213"/>
      <c r="BP23" s="176"/>
      <c r="BQ23" s="213"/>
      <c r="BR23" s="215"/>
      <c r="BS23" s="168"/>
      <c r="BT23" s="213"/>
      <c r="BU23" s="176"/>
      <c r="BV23" s="213"/>
      <c r="BW23" s="215"/>
      <c r="BX23" s="277"/>
    </row>
    <row r="24" spans="1:76" ht="15">
      <c r="A24" s="168"/>
      <c r="B24" s="216" t="s">
        <v>176</v>
      </c>
      <c r="C24" s="220">
        <f>+C23+C$19</f>
        <v>139.5</v>
      </c>
      <c r="D24" s="216" t="s">
        <v>184</v>
      </c>
      <c r="E24" s="218">
        <f>+E20</f>
        <v>80</v>
      </c>
      <c r="F24" s="168"/>
      <c r="G24" s="216" t="s">
        <v>176</v>
      </c>
      <c r="H24" s="220">
        <f>+H23+H$19</f>
        <v>139.5</v>
      </c>
      <c r="I24" s="216" t="s">
        <v>184</v>
      </c>
      <c r="J24" s="218">
        <f>+J20</f>
        <v>80</v>
      </c>
      <c r="K24" s="168"/>
      <c r="L24" s="216" t="s">
        <v>176</v>
      </c>
      <c r="M24" s="220">
        <f>+M23+M$19</f>
        <v>139.5</v>
      </c>
      <c r="N24" s="216" t="s">
        <v>184</v>
      </c>
      <c r="O24" s="218">
        <f>+O20</f>
        <v>80</v>
      </c>
      <c r="P24" s="168"/>
      <c r="Q24" s="216" t="s">
        <v>176</v>
      </c>
      <c r="R24" s="220">
        <f>+R23+R$19</f>
        <v>139.5</v>
      </c>
      <c r="S24" s="216" t="s">
        <v>184</v>
      </c>
      <c r="T24" s="218">
        <f>+T20</f>
        <v>80</v>
      </c>
      <c r="U24" s="168"/>
      <c r="V24" s="216" t="s">
        <v>176</v>
      </c>
      <c r="W24" s="220">
        <f>+W23+W$19</f>
        <v>139.5</v>
      </c>
      <c r="X24" s="216" t="s">
        <v>184</v>
      </c>
      <c r="Y24" s="218">
        <f>+Y20</f>
        <v>80</v>
      </c>
      <c r="Z24" s="168"/>
      <c r="AA24" s="216" t="s">
        <v>176</v>
      </c>
      <c r="AB24" s="220">
        <f>+AB23+AB$19</f>
        <v>139.5</v>
      </c>
      <c r="AC24" s="216" t="s">
        <v>184</v>
      </c>
      <c r="AD24" s="218">
        <f>+AD20</f>
        <v>80</v>
      </c>
      <c r="AE24" s="168"/>
      <c r="AF24" s="216" t="s">
        <v>176</v>
      </c>
      <c r="AG24" s="220">
        <f>+AG23+AG$19</f>
        <v>139.5</v>
      </c>
      <c r="AH24" s="216" t="s">
        <v>184</v>
      </c>
      <c r="AI24" s="218">
        <f>+AI20</f>
        <v>80</v>
      </c>
      <c r="AJ24" s="168"/>
      <c r="AK24" s="216" t="s">
        <v>176</v>
      </c>
      <c r="AL24" s="220">
        <f>+AL23+AL$19</f>
        <v>139.5</v>
      </c>
      <c r="AM24" s="216" t="s">
        <v>184</v>
      </c>
      <c r="AN24" s="218">
        <f>+AN20</f>
        <v>80</v>
      </c>
      <c r="AO24" s="168"/>
      <c r="AP24" s="216" t="s">
        <v>176</v>
      </c>
      <c r="AQ24" s="220">
        <f>+AQ23+AQ$19</f>
        <v>139.5</v>
      </c>
      <c r="AR24" s="216" t="s">
        <v>184</v>
      </c>
      <c r="AS24" s="218">
        <f>+AS20</f>
        <v>230</v>
      </c>
      <c r="AT24" s="277"/>
      <c r="AU24" s="216"/>
      <c r="AV24" s="220"/>
      <c r="AW24" s="216"/>
      <c r="AX24" s="218"/>
      <c r="AY24" s="168"/>
      <c r="AZ24" s="216"/>
      <c r="BA24" s="220"/>
      <c r="BB24" s="216"/>
      <c r="BC24" s="218"/>
      <c r="BD24" s="168"/>
      <c r="BE24" s="216"/>
      <c r="BF24" s="220"/>
      <c r="BG24" s="216"/>
      <c r="BH24" s="218"/>
      <c r="BI24" s="277"/>
      <c r="BJ24" s="216"/>
      <c r="BK24" s="220"/>
      <c r="BL24" s="216"/>
      <c r="BM24" s="218"/>
      <c r="BN24" s="168"/>
      <c r="BO24" s="216"/>
      <c r="BP24" s="220"/>
      <c r="BQ24" s="216"/>
      <c r="BR24" s="218"/>
      <c r="BS24" s="168"/>
      <c r="BT24" s="216"/>
      <c r="BU24" s="220"/>
      <c r="BV24" s="216"/>
      <c r="BW24" s="218"/>
      <c r="BX24" s="277"/>
    </row>
    <row r="25" spans="1:76" ht="15">
      <c r="A25" s="168"/>
      <c r="B25" s="211" t="s">
        <v>191</v>
      </c>
      <c r="C25" s="223">
        <f>+C21</f>
        <v>32</v>
      </c>
      <c r="D25" s="211" t="s">
        <v>197</v>
      </c>
      <c r="E25" s="223">
        <f>+E21+E$18</f>
        <v>530</v>
      </c>
      <c r="F25" s="168"/>
      <c r="G25" s="211" t="s">
        <v>191</v>
      </c>
      <c r="H25" s="223">
        <f>+H21</f>
        <v>32</v>
      </c>
      <c r="I25" s="211" t="s">
        <v>197</v>
      </c>
      <c r="J25" s="223">
        <f>+J21+J$18</f>
        <v>420</v>
      </c>
      <c r="K25" s="168"/>
      <c r="L25" s="211" t="s">
        <v>191</v>
      </c>
      <c r="M25" s="223">
        <f>+M21</f>
        <v>32</v>
      </c>
      <c r="N25" s="211" t="s">
        <v>197</v>
      </c>
      <c r="O25" s="223">
        <f>+O21+O$18</f>
        <v>715</v>
      </c>
      <c r="P25" s="168"/>
      <c r="Q25" s="211" t="s">
        <v>191</v>
      </c>
      <c r="R25" s="223">
        <f>+R21</f>
        <v>32</v>
      </c>
      <c r="S25" s="211" t="s">
        <v>197</v>
      </c>
      <c r="T25" s="223">
        <f>+T21+T$18</f>
        <v>655</v>
      </c>
      <c r="U25" s="168"/>
      <c r="V25" s="211" t="s">
        <v>191</v>
      </c>
      <c r="W25" s="223">
        <f>+W21</f>
        <v>32</v>
      </c>
      <c r="X25" s="211" t="s">
        <v>197</v>
      </c>
      <c r="Y25" s="223">
        <f>+Y21+Y$18</f>
        <v>535</v>
      </c>
      <c r="Z25" s="168"/>
      <c r="AA25" s="211" t="s">
        <v>191</v>
      </c>
      <c r="AB25" s="223">
        <f>+AB21</f>
        <v>32</v>
      </c>
      <c r="AC25" s="211" t="s">
        <v>197</v>
      </c>
      <c r="AD25" s="223">
        <f>+AD21+AD$18</f>
        <v>475</v>
      </c>
      <c r="AE25" s="168"/>
      <c r="AF25" s="211" t="s">
        <v>191</v>
      </c>
      <c r="AG25" s="223">
        <f>+AG21</f>
        <v>32</v>
      </c>
      <c r="AH25" s="211" t="s">
        <v>197</v>
      </c>
      <c r="AI25" s="223">
        <f>+AI21+AI$18</f>
        <v>355</v>
      </c>
      <c r="AJ25" s="168"/>
      <c r="AK25" s="211" t="s">
        <v>191</v>
      </c>
      <c r="AL25" s="223">
        <f>+AL21</f>
        <v>32</v>
      </c>
      <c r="AM25" s="211" t="s">
        <v>197</v>
      </c>
      <c r="AN25" s="223">
        <f>+AN21+AN$18</f>
        <v>235</v>
      </c>
      <c r="AO25" s="168"/>
      <c r="AP25" s="211" t="s">
        <v>191</v>
      </c>
      <c r="AQ25" s="223">
        <f>+AQ21</f>
        <v>32</v>
      </c>
      <c r="AR25" s="211" t="s">
        <v>197</v>
      </c>
      <c r="AS25" s="223">
        <f>+AS21+AS$18</f>
        <v>805</v>
      </c>
      <c r="AT25" s="277"/>
      <c r="AU25" s="211" t="s">
        <v>176</v>
      </c>
      <c r="AV25" s="212">
        <v>30</v>
      </c>
      <c r="AW25" s="211" t="s">
        <v>184</v>
      </c>
      <c r="AX25" s="223">
        <f>+AX21+AX18</f>
        <v>475</v>
      </c>
      <c r="AY25" s="168"/>
      <c r="AZ25" s="211" t="s">
        <v>176</v>
      </c>
      <c r="BA25" s="212">
        <v>30</v>
      </c>
      <c r="BB25" s="211" t="s">
        <v>184</v>
      </c>
      <c r="BC25" s="223">
        <f>+BC21+BC18</f>
        <v>355</v>
      </c>
      <c r="BD25" s="168"/>
      <c r="BE25" s="211" t="s">
        <v>176</v>
      </c>
      <c r="BF25" s="212">
        <v>30</v>
      </c>
      <c r="BG25" s="211" t="s">
        <v>184</v>
      </c>
      <c r="BH25" s="223">
        <f>+BH21+BH18</f>
        <v>235</v>
      </c>
      <c r="BI25" s="277"/>
      <c r="BJ25" s="211" t="s">
        <v>175</v>
      </c>
      <c r="BK25" s="212">
        <v>30</v>
      </c>
      <c r="BL25" s="211" t="s">
        <v>184</v>
      </c>
      <c r="BM25" s="223">
        <f>+BM21+BM18</f>
        <v>480</v>
      </c>
      <c r="BN25" s="168"/>
      <c r="BO25" s="211" t="s">
        <v>175</v>
      </c>
      <c r="BP25" s="212">
        <v>30</v>
      </c>
      <c r="BQ25" s="211" t="s">
        <v>184</v>
      </c>
      <c r="BR25" s="223">
        <f>+BR21+BR18</f>
        <v>360</v>
      </c>
      <c r="BS25" s="168"/>
      <c r="BT25" s="211" t="s">
        <v>175</v>
      </c>
      <c r="BU25" s="212">
        <v>30</v>
      </c>
      <c r="BV25" s="211" t="s">
        <v>184</v>
      </c>
      <c r="BW25" s="223">
        <f>+BW21+BW18</f>
        <v>240</v>
      </c>
      <c r="BX25" s="277"/>
    </row>
    <row r="26" spans="1:76" ht="15">
      <c r="A26" s="168"/>
      <c r="B26" s="213" t="s">
        <v>192</v>
      </c>
      <c r="C26" s="215">
        <f>+C22</f>
        <v>75</v>
      </c>
      <c r="D26" s="213" t="s">
        <v>198</v>
      </c>
      <c r="E26" s="215">
        <f>+E22+E$18</f>
        <v>540</v>
      </c>
      <c r="F26" s="168"/>
      <c r="G26" s="213" t="s">
        <v>192</v>
      </c>
      <c r="H26" s="215">
        <f>+H22</f>
        <v>75</v>
      </c>
      <c r="I26" s="213" t="s">
        <v>198</v>
      </c>
      <c r="J26" s="215">
        <f>+J22+J$18</f>
        <v>430</v>
      </c>
      <c r="K26" s="168"/>
      <c r="L26" s="213" t="s">
        <v>192</v>
      </c>
      <c r="M26" s="215">
        <f>+M22</f>
        <v>75</v>
      </c>
      <c r="N26" s="213" t="s">
        <v>198</v>
      </c>
      <c r="O26" s="215">
        <f>+O22+O$18</f>
        <v>725</v>
      </c>
      <c r="P26" s="168"/>
      <c r="Q26" s="213" t="s">
        <v>192</v>
      </c>
      <c r="R26" s="215">
        <f>+R22</f>
        <v>75</v>
      </c>
      <c r="S26" s="213" t="s">
        <v>198</v>
      </c>
      <c r="T26" s="215">
        <f>+T22+T$18</f>
        <v>665</v>
      </c>
      <c r="U26" s="168"/>
      <c r="V26" s="213" t="s">
        <v>192</v>
      </c>
      <c r="W26" s="215">
        <f>+W22</f>
        <v>75</v>
      </c>
      <c r="X26" s="213" t="s">
        <v>198</v>
      </c>
      <c r="Y26" s="215">
        <f>+Y22+Y$18</f>
        <v>545</v>
      </c>
      <c r="Z26" s="168"/>
      <c r="AA26" s="213" t="s">
        <v>192</v>
      </c>
      <c r="AB26" s="215">
        <f>+AB22</f>
        <v>75</v>
      </c>
      <c r="AC26" s="213" t="s">
        <v>198</v>
      </c>
      <c r="AD26" s="215">
        <f>+AD22+AD$18</f>
        <v>485</v>
      </c>
      <c r="AE26" s="168"/>
      <c r="AF26" s="213" t="s">
        <v>192</v>
      </c>
      <c r="AG26" s="215">
        <f>+AG22</f>
        <v>75</v>
      </c>
      <c r="AH26" s="213" t="s">
        <v>198</v>
      </c>
      <c r="AI26" s="215">
        <f>+AI22+AI$18</f>
        <v>365</v>
      </c>
      <c r="AJ26" s="168"/>
      <c r="AK26" s="213" t="s">
        <v>192</v>
      </c>
      <c r="AL26" s="215">
        <f>+AL22</f>
        <v>75</v>
      </c>
      <c r="AM26" s="213" t="s">
        <v>198</v>
      </c>
      <c r="AN26" s="215">
        <f>+AN22+AN$18</f>
        <v>245</v>
      </c>
      <c r="AO26" s="168"/>
      <c r="AP26" s="213" t="s">
        <v>192</v>
      </c>
      <c r="AQ26" s="215">
        <f>+AQ22</f>
        <v>75</v>
      </c>
      <c r="AR26" s="213" t="s">
        <v>198</v>
      </c>
      <c r="AS26" s="215">
        <f>+AS22+AS$18</f>
        <v>815</v>
      </c>
      <c r="AT26" s="277"/>
      <c r="AU26" s="213" t="s">
        <v>191</v>
      </c>
      <c r="AV26" s="214">
        <v>70</v>
      </c>
      <c r="AW26" s="213" t="s">
        <v>197</v>
      </c>
      <c r="AX26" s="215">
        <f>+AX18+AX22</f>
        <v>475</v>
      </c>
      <c r="AY26" s="168"/>
      <c r="AZ26" s="213" t="s">
        <v>191</v>
      </c>
      <c r="BA26" s="214">
        <v>70</v>
      </c>
      <c r="BB26" s="213" t="s">
        <v>197</v>
      </c>
      <c r="BC26" s="215">
        <f>+BC18+BC22</f>
        <v>355</v>
      </c>
      <c r="BD26" s="168"/>
      <c r="BE26" s="213" t="s">
        <v>191</v>
      </c>
      <c r="BF26" s="214">
        <v>70</v>
      </c>
      <c r="BG26" s="213" t="s">
        <v>197</v>
      </c>
      <c r="BH26" s="215">
        <f>+BH18+BH22</f>
        <v>235</v>
      </c>
      <c r="BI26" s="277"/>
      <c r="BJ26" s="213"/>
      <c r="BK26" s="215"/>
      <c r="BL26" s="213"/>
      <c r="BM26" s="215"/>
      <c r="BN26" s="168"/>
      <c r="BO26" s="213"/>
      <c r="BP26" s="215"/>
      <c r="BQ26" s="213"/>
      <c r="BR26" s="215"/>
      <c r="BS26" s="168"/>
      <c r="BT26" s="213"/>
      <c r="BU26" s="215"/>
      <c r="BV26" s="213"/>
      <c r="BW26" s="215"/>
      <c r="BX26" s="277"/>
    </row>
    <row r="27" spans="1:76" ht="15">
      <c r="A27" s="168"/>
      <c r="B27" s="216" t="s">
        <v>193</v>
      </c>
      <c r="C27" s="218">
        <f>+C23</f>
        <v>118</v>
      </c>
      <c r="D27" s="216" t="s">
        <v>199</v>
      </c>
      <c r="E27" s="218">
        <f>+E23+E$18</f>
        <v>530</v>
      </c>
      <c r="F27" s="168"/>
      <c r="G27" s="216" t="s">
        <v>193</v>
      </c>
      <c r="H27" s="218">
        <f>+H23</f>
        <v>118</v>
      </c>
      <c r="I27" s="216" t="s">
        <v>199</v>
      </c>
      <c r="J27" s="218">
        <f>+J23+J$18</f>
        <v>420</v>
      </c>
      <c r="K27" s="168"/>
      <c r="L27" s="216" t="s">
        <v>193</v>
      </c>
      <c r="M27" s="218">
        <f>+M23</f>
        <v>118</v>
      </c>
      <c r="N27" s="216" t="s">
        <v>199</v>
      </c>
      <c r="O27" s="218">
        <f>+O23+O$18</f>
        <v>715</v>
      </c>
      <c r="P27" s="168"/>
      <c r="Q27" s="216" t="s">
        <v>193</v>
      </c>
      <c r="R27" s="218">
        <f>+R23</f>
        <v>118</v>
      </c>
      <c r="S27" s="216" t="s">
        <v>199</v>
      </c>
      <c r="T27" s="218">
        <f>+T23+T$18</f>
        <v>655</v>
      </c>
      <c r="U27" s="168"/>
      <c r="V27" s="216" t="s">
        <v>193</v>
      </c>
      <c r="W27" s="218">
        <f>+W23</f>
        <v>118</v>
      </c>
      <c r="X27" s="216" t="s">
        <v>199</v>
      </c>
      <c r="Y27" s="218">
        <f>+Y23+Y$18</f>
        <v>535</v>
      </c>
      <c r="Z27" s="168"/>
      <c r="AA27" s="216" t="s">
        <v>193</v>
      </c>
      <c r="AB27" s="218">
        <f>+AB23</f>
        <v>118</v>
      </c>
      <c r="AC27" s="216" t="s">
        <v>199</v>
      </c>
      <c r="AD27" s="218">
        <f>+AD23+AD$18</f>
        <v>475</v>
      </c>
      <c r="AE27" s="168"/>
      <c r="AF27" s="216" t="s">
        <v>193</v>
      </c>
      <c r="AG27" s="218">
        <f>+AG23</f>
        <v>118</v>
      </c>
      <c r="AH27" s="216" t="s">
        <v>199</v>
      </c>
      <c r="AI27" s="218">
        <f>+AI23+AI$18</f>
        <v>355</v>
      </c>
      <c r="AJ27" s="168"/>
      <c r="AK27" s="216" t="s">
        <v>193</v>
      </c>
      <c r="AL27" s="218">
        <f>+AL23</f>
        <v>118</v>
      </c>
      <c r="AM27" s="216" t="s">
        <v>199</v>
      </c>
      <c r="AN27" s="218">
        <f>+AN23+AN$18</f>
        <v>235</v>
      </c>
      <c r="AO27" s="168"/>
      <c r="AP27" s="216" t="s">
        <v>193</v>
      </c>
      <c r="AQ27" s="218">
        <f>+AQ23</f>
        <v>118</v>
      </c>
      <c r="AR27" s="216" t="s">
        <v>199</v>
      </c>
      <c r="AS27" s="218">
        <f>+AS23+AS$18</f>
        <v>805</v>
      </c>
      <c r="AT27" s="277"/>
      <c r="AU27" s="216"/>
      <c r="AV27" s="218"/>
      <c r="AW27" s="216"/>
      <c r="AX27" s="218"/>
      <c r="AY27" s="168"/>
      <c r="AZ27" s="216"/>
      <c r="BA27" s="218"/>
      <c r="BB27" s="216"/>
      <c r="BC27" s="218"/>
      <c r="BD27" s="168"/>
      <c r="BE27" s="216"/>
      <c r="BF27" s="218"/>
      <c r="BG27" s="216"/>
      <c r="BH27" s="218"/>
      <c r="BI27" s="277"/>
      <c r="BJ27" s="216"/>
      <c r="BK27" s="218"/>
      <c r="BL27" s="216"/>
      <c r="BM27" s="218"/>
      <c r="BN27" s="168"/>
      <c r="BO27" s="216"/>
      <c r="BP27" s="218"/>
      <c r="BQ27" s="216"/>
      <c r="BR27" s="218"/>
      <c r="BS27" s="168"/>
      <c r="BT27" s="216"/>
      <c r="BU27" s="218"/>
      <c r="BV27" s="216"/>
      <c r="BW27" s="218"/>
      <c r="BX27" s="277"/>
    </row>
    <row r="28" spans="1:76" ht="15">
      <c r="A28" s="168"/>
      <c r="B28" s="211" t="s">
        <v>194</v>
      </c>
      <c r="C28" s="223">
        <f>IF(E$19="","",C21)</f>
        <v>32</v>
      </c>
      <c r="D28" s="211" t="s">
        <v>200</v>
      </c>
      <c r="E28" s="223">
        <f>IF(E$19="","",E25+E$19)</f>
        <v>1015</v>
      </c>
      <c r="F28" s="168"/>
      <c r="G28" s="211" t="s">
        <v>194</v>
      </c>
      <c r="H28" s="223">
        <f>IF(J$19="","",H21)</f>
        <v>32</v>
      </c>
      <c r="I28" s="211" t="s">
        <v>200</v>
      </c>
      <c r="J28" s="223">
        <f>IF(J$19="","",J25+J$19)</f>
        <v>775</v>
      </c>
      <c r="K28" s="168"/>
      <c r="L28" s="211" t="s">
        <v>194</v>
      </c>
      <c r="M28" s="223" t="str">
        <f>IF(O$19="","",M21)</f>
        <v/>
      </c>
      <c r="N28" s="211" t="s">
        <v>200</v>
      </c>
      <c r="O28" s="223" t="str">
        <f>IF(O$19="","",O25+O$19)</f>
        <v/>
      </c>
      <c r="P28" s="168"/>
      <c r="Q28" s="211" t="s">
        <v>194</v>
      </c>
      <c r="R28" s="223" t="str">
        <f>IF(T$19="","",R21)</f>
        <v/>
      </c>
      <c r="S28" s="211" t="s">
        <v>200</v>
      </c>
      <c r="T28" s="223" t="str">
        <f>IF(T$19="","",T25+T$19)</f>
        <v/>
      </c>
      <c r="U28" s="168"/>
      <c r="V28" s="211" t="s">
        <v>194</v>
      </c>
      <c r="W28" s="223" t="str">
        <f>IF(Y$19="","",W21)</f>
        <v/>
      </c>
      <c r="X28" s="211" t="s">
        <v>200</v>
      </c>
      <c r="Y28" s="223" t="str">
        <f>IF(Y$19="","",Y25+Y$19)</f>
        <v/>
      </c>
      <c r="Z28" s="168"/>
      <c r="AA28" s="211" t="s">
        <v>194</v>
      </c>
      <c r="AB28" s="223" t="str">
        <f>IF(AD$19="","",AB21)</f>
        <v/>
      </c>
      <c r="AC28" s="211" t="s">
        <v>200</v>
      </c>
      <c r="AD28" s="223" t="str">
        <f>IF(AD$19="","",AD25+AD$19)</f>
        <v/>
      </c>
      <c r="AE28" s="168"/>
      <c r="AF28" s="211" t="s">
        <v>194</v>
      </c>
      <c r="AG28" s="223" t="str">
        <f>IF(AI$19="","",AG21)</f>
        <v/>
      </c>
      <c r="AH28" s="211" t="s">
        <v>200</v>
      </c>
      <c r="AI28" s="223" t="str">
        <f>IF(AI$19="","",AI25+AI$19)</f>
        <v/>
      </c>
      <c r="AJ28" s="168"/>
      <c r="AK28" s="211" t="s">
        <v>194</v>
      </c>
      <c r="AL28" s="223" t="str">
        <f>IF(AN$19="","",AL21)</f>
        <v/>
      </c>
      <c r="AM28" s="211" t="s">
        <v>200</v>
      </c>
      <c r="AN28" s="223" t="str">
        <f>IF(AN$19="","",AN25+AN$19)</f>
        <v/>
      </c>
      <c r="AO28" s="168"/>
      <c r="AP28" s="211" t="s">
        <v>194</v>
      </c>
      <c r="AQ28" s="223" t="str">
        <f>IF(AS$19="","",AQ21)</f>
        <v/>
      </c>
      <c r="AR28" s="211" t="s">
        <v>200</v>
      </c>
      <c r="AS28" s="223" t="str">
        <f>IF(AS$19="","",AS25+AS$19)</f>
        <v/>
      </c>
      <c r="AT28" s="277"/>
      <c r="AU28" s="211"/>
      <c r="AV28" s="223"/>
      <c r="AW28" s="211"/>
      <c r="AX28" s="223" t="str">
        <f>IF(AX$19="","",AX25+AX$19)</f>
        <v/>
      </c>
      <c r="AY28" s="168"/>
      <c r="AZ28" s="211"/>
      <c r="BA28" s="223"/>
      <c r="BB28" s="211"/>
      <c r="BC28" s="223" t="str">
        <f>IF(BC$19="","",BC25+BC$19)</f>
        <v/>
      </c>
      <c r="BD28" s="168"/>
      <c r="BE28" s="211"/>
      <c r="BF28" s="223"/>
      <c r="BG28" s="211"/>
      <c r="BH28" s="223" t="str">
        <f>IF(BH$19="","",BH25+BH$19)</f>
        <v/>
      </c>
      <c r="BI28" s="277"/>
      <c r="BJ28" s="211"/>
      <c r="BK28" s="223"/>
      <c r="BL28" s="211"/>
      <c r="BM28" s="223" t="str">
        <f>IF(BM$19="","",BM25+BM$19)</f>
        <v/>
      </c>
      <c r="BN28" s="168"/>
      <c r="BO28" s="211"/>
      <c r="BP28" s="223"/>
      <c r="BQ28" s="211"/>
      <c r="BR28" s="223" t="str">
        <f>IF(BR$19="","",BR25+BR$19)</f>
        <v/>
      </c>
      <c r="BS28" s="168"/>
      <c r="BT28" s="211"/>
      <c r="BU28" s="223"/>
      <c r="BV28" s="211"/>
      <c r="BW28" s="223" t="str">
        <f>IF(BW$19="","",BW25+BW$19)</f>
        <v/>
      </c>
      <c r="BX28" s="277"/>
    </row>
    <row r="29" spans="1:76" ht="15">
      <c r="A29" s="168"/>
      <c r="B29" s="213" t="s">
        <v>195</v>
      </c>
      <c r="C29" s="215">
        <f>IF(E$19="","",C22)</f>
        <v>75</v>
      </c>
      <c r="D29" s="213" t="s">
        <v>201</v>
      </c>
      <c r="E29" s="215">
        <f>IF(E$19="","",E26+E$19)</f>
        <v>1025</v>
      </c>
      <c r="F29" s="168"/>
      <c r="G29" s="213" t="s">
        <v>195</v>
      </c>
      <c r="H29" s="215">
        <f>IF(J$19="","",H22)</f>
        <v>75</v>
      </c>
      <c r="I29" s="213" t="s">
        <v>201</v>
      </c>
      <c r="J29" s="215">
        <f>IF(J$19="","",J26+J$19)</f>
        <v>785</v>
      </c>
      <c r="K29" s="168"/>
      <c r="L29" s="213" t="s">
        <v>195</v>
      </c>
      <c r="M29" s="215" t="str">
        <f>IF(O$19="","",M22)</f>
        <v/>
      </c>
      <c r="N29" s="213" t="s">
        <v>201</v>
      </c>
      <c r="O29" s="215" t="str">
        <f>IF(O$19="","",O26+O$19)</f>
        <v/>
      </c>
      <c r="P29" s="168"/>
      <c r="Q29" s="213" t="s">
        <v>195</v>
      </c>
      <c r="R29" s="215" t="str">
        <f>IF(T$19="","",R22)</f>
        <v/>
      </c>
      <c r="S29" s="213" t="s">
        <v>201</v>
      </c>
      <c r="T29" s="215" t="str">
        <f>IF(T$19="","",T26+T$19)</f>
        <v/>
      </c>
      <c r="U29" s="168"/>
      <c r="V29" s="213" t="s">
        <v>195</v>
      </c>
      <c r="W29" s="215" t="str">
        <f>IF(Y$19="","",W22)</f>
        <v/>
      </c>
      <c r="X29" s="213" t="s">
        <v>201</v>
      </c>
      <c r="Y29" s="215" t="str">
        <f>IF(Y$19="","",Y26+Y$19)</f>
        <v/>
      </c>
      <c r="Z29" s="168"/>
      <c r="AA29" s="213" t="s">
        <v>195</v>
      </c>
      <c r="AB29" s="215" t="str">
        <f>IF(AD$19="","",AB22)</f>
        <v/>
      </c>
      <c r="AC29" s="213" t="s">
        <v>201</v>
      </c>
      <c r="AD29" s="215" t="str">
        <f>IF(AD$19="","",AD26+AD$19)</f>
        <v/>
      </c>
      <c r="AE29" s="168"/>
      <c r="AF29" s="213" t="s">
        <v>195</v>
      </c>
      <c r="AG29" s="215" t="str">
        <f>IF(AI$19="","",AG22)</f>
        <v/>
      </c>
      <c r="AH29" s="213" t="s">
        <v>201</v>
      </c>
      <c r="AI29" s="215" t="str">
        <f>IF(AI$19="","",AI26+AI$19)</f>
        <v/>
      </c>
      <c r="AJ29" s="168"/>
      <c r="AK29" s="213" t="s">
        <v>195</v>
      </c>
      <c r="AL29" s="215" t="str">
        <f>IF(AN$19="","",AL22)</f>
        <v/>
      </c>
      <c r="AM29" s="213" t="s">
        <v>201</v>
      </c>
      <c r="AN29" s="215" t="str">
        <f>IF(AN$19="","",AN26+AN$19)</f>
        <v/>
      </c>
      <c r="AO29" s="168"/>
      <c r="AP29" s="213" t="s">
        <v>195</v>
      </c>
      <c r="AQ29" s="215" t="str">
        <f>IF(AS$19="","",AQ22)</f>
        <v/>
      </c>
      <c r="AR29" s="213" t="s">
        <v>201</v>
      </c>
      <c r="AS29" s="215" t="str">
        <f>IF(AS$19="","",AS26+AS$19)</f>
        <v/>
      </c>
      <c r="AT29" s="277"/>
      <c r="AU29" s="213"/>
      <c r="AV29" s="215"/>
      <c r="AW29" s="213"/>
      <c r="AX29" s="215" t="str">
        <f>IF(AX$19="","",AX26+AX$19)</f>
        <v/>
      </c>
      <c r="AY29" s="168"/>
      <c r="AZ29" s="213"/>
      <c r="BA29" s="215"/>
      <c r="BB29" s="213"/>
      <c r="BC29" s="215" t="str">
        <f>IF(BC$19="","",BC26+BC$19)</f>
        <v/>
      </c>
      <c r="BD29" s="168"/>
      <c r="BE29" s="213"/>
      <c r="BF29" s="215"/>
      <c r="BG29" s="213"/>
      <c r="BH29" s="215" t="str">
        <f>IF(BH$19="","",BH26+BH$19)</f>
        <v/>
      </c>
      <c r="BI29" s="277"/>
      <c r="BJ29" s="213"/>
      <c r="BK29" s="215"/>
      <c r="BL29" s="213"/>
      <c r="BM29" s="215" t="str">
        <f>IF(BM$19="","",BM26+BM$19)</f>
        <v/>
      </c>
      <c r="BN29" s="168"/>
      <c r="BO29" s="213"/>
      <c r="BP29" s="215"/>
      <c r="BQ29" s="213"/>
      <c r="BR29" s="215" t="str">
        <f>IF(BR$19="","",BR26+BR$19)</f>
        <v/>
      </c>
      <c r="BS29" s="168"/>
      <c r="BT29" s="213"/>
      <c r="BU29" s="215"/>
      <c r="BV29" s="213"/>
      <c r="BW29" s="215" t="str">
        <f>IF(BW$19="","",BW26+BW$19)</f>
        <v/>
      </c>
      <c r="BX29" s="277"/>
    </row>
    <row r="30" spans="1:76" ht="15">
      <c r="A30" s="168"/>
      <c r="B30" s="216" t="s">
        <v>196</v>
      </c>
      <c r="C30" s="218">
        <f>IF(E$19="","",C23)</f>
        <v>118</v>
      </c>
      <c r="D30" s="216" t="s">
        <v>202</v>
      </c>
      <c r="E30" s="218">
        <f>IF(E$19="","",E27+E$19)</f>
        <v>1015</v>
      </c>
      <c r="F30" s="168"/>
      <c r="G30" s="216" t="s">
        <v>196</v>
      </c>
      <c r="H30" s="218">
        <f>IF(J$19="","",H23)</f>
        <v>118</v>
      </c>
      <c r="I30" s="216" t="s">
        <v>202</v>
      </c>
      <c r="J30" s="218">
        <f>IF(J$19="","",J27+J$19)</f>
        <v>775</v>
      </c>
      <c r="K30" s="168"/>
      <c r="L30" s="216" t="s">
        <v>196</v>
      </c>
      <c r="M30" s="218" t="str">
        <f>IF(O$19="","",M23)</f>
        <v/>
      </c>
      <c r="N30" s="216" t="s">
        <v>202</v>
      </c>
      <c r="O30" s="218" t="str">
        <f>IF(O$19="","",O27+O$19)</f>
        <v/>
      </c>
      <c r="P30" s="168"/>
      <c r="Q30" s="216" t="s">
        <v>196</v>
      </c>
      <c r="R30" s="218" t="str">
        <f>IF(T$19="","",R23)</f>
        <v/>
      </c>
      <c r="S30" s="216" t="s">
        <v>202</v>
      </c>
      <c r="T30" s="218" t="str">
        <f>IF(T$19="","",T27+T$19)</f>
        <v/>
      </c>
      <c r="U30" s="168"/>
      <c r="V30" s="216" t="s">
        <v>196</v>
      </c>
      <c r="W30" s="218" t="str">
        <f>IF(Y$19="","",W23)</f>
        <v/>
      </c>
      <c r="X30" s="216" t="s">
        <v>202</v>
      </c>
      <c r="Y30" s="218" t="str">
        <f>IF(Y$19="","",Y27+Y$19)</f>
        <v/>
      </c>
      <c r="Z30" s="168"/>
      <c r="AA30" s="216" t="s">
        <v>196</v>
      </c>
      <c r="AB30" s="218" t="str">
        <f>IF(AD$19="","",AB23)</f>
        <v/>
      </c>
      <c r="AC30" s="216" t="s">
        <v>202</v>
      </c>
      <c r="AD30" s="218" t="str">
        <f>IF(AD$19="","",AD27+AD$19)</f>
        <v/>
      </c>
      <c r="AE30" s="168"/>
      <c r="AF30" s="216" t="s">
        <v>196</v>
      </c>
      <c r="AG30" s="218" t="str">
        <f>IF(AI$19="","",AG23)</f>
        <v/>
      </c>
      <c r="AH30" s="216" t="s">
        <v>202</v>
      </c>
      <c r="AI30" s="218" t="str">
        <f>IF(AI$19="","",AI27+AI$19)</f>
        <v/>
      </c>
      <c r="AJ30" s="168"/>
      <c r="AK30" s="216" t="s">
        <v>196</v>
      </c>
      <c r="AL30" s="218" t="str">
        <f>IF(AN$19="","",AL23)</f>
        <v/>
      </c>
      <c r="AM30" s="216" t="s">
        <v>202</v>
      </c>
      <c r="AN30" s="218" t="str">
        <f>IF(AN$19="","",AN27+AN$19)</f>
        <v/>
      </c>
      <c r="AO30" s="168"/>
      <c r="AP30" s="216" t="s">
        <v>196</v>
      </c>
      <c r="AQ30" s="218" t="str">
        <f>IF(AS$19="","",AQ23)</f>
        <v/>
      </c>
      <c r="AR30" s="216" t="s">
        <v>202</v>
      </c>
      <c r="AS30" s="218" t="str">
        <f>IF(AS$19="","",AS27+AS$19)</f>
        <v/>
      </c>
      <c r="AT30" s="277"/>
      <c r="AU30" s="216"/>
      <c r="AV30" s="218"/>
      <c r="AW30" s="216"/>
      <c r="AX30" s="218" t="str">
        <f>IF(AX$19="","",AX27+AX$19)</f>
        <v/>
      </c>
      <c r="AY30" s="168"/>
      <c r="AZ30" s="216"/>
      <c r="BA30" s="218"/>
      <c r="BB30" s="216"/>
      <c r="BC30" s="218" t="str">
        <f>IF(BC$19="","",BC27+BC$19)</f>
        <v/>
      </c>
      <c r="BD30" s="168"/>
      <c r="BE30" s="216"/>
      <c r="BF30" s="218"/>
      <c r="BG30" s="216"/>
      <c r="BH30" s="218" t="str">
        <f>IF(BH$19="","",BH27+BH$19)</f>
        <v/>
      </c>
      <c r="BI30" s="277"/>
      <c r="BJ30" s="216"/>
      <c r="BK30" s="218"/>
      <c r="BL30" s="216"/>
      <c r="BM30" s="218" t="str">
        <f>IF(BM$19="","",BM27+BM$19)</f>
        <v/>
      </c>
      <c r="BN30" s="168"/>
      <c r="BO30" s="216"/>
      <c r="BP30" s="218"/>
      <c r="BQ30" s="216"/>
      <c r="BR30" s="218" t="str">
        <f>IF(BR$19="","",BR27+BR$19)</f>
        <v/>
      </c>
      <c r="BS30" s="168"/>
      <c r="BT30" s="216"/>
      <c r="BU30" s="218"/>
      <c r="BV30" s="216"/>
      <c r="BW30" s="218" t="str">
        <f>IF(BW$19="","",BW27+BW$19)</f>
        <v/>
      </c>
      <c r="BX30" s="277"/>
    </row>
    <row r="31" spans="1:76" ht="15">
      <c r="A31" s="168"/>
      <c r="B31" s="211" t="s">
        <v>204</v>
      </c>
      <c r="C31" s="225">
        <v>4</v>
      </c>
      <c r="D31" s="211" t="s">
        <v>164</v>
      </c>
      <c r="E31" s="225">
        <v>12</v>
      </c>
      <c r="F31" s="168"/>
      <c r="G31" s="211" t="s">
        <v>204</v>
      </c>
      <c r="H31" s="225">
        <v>4</v>
      </c>
      <c r="I31" s="211" t="s">
        <v>164</v>
      </c>
      <c r="J31" s="225">
        <v>12</v>
      </c>
      <c r="K31" s="168"/>
      <c r="L31" s="211" t="s">
        <v>204</v>
      </c>
      <c r="M31" s="225">
        <v>4</v>
      </c>
      <c r="N31" s="211" t="s">
        <v>164</v>
      </c>
      <c r="O31" s="225">
        <v>11</v>
      </c>
      <c r="P31" s="168"/>
      <c r="Q31" s="211" t="s">
        <v>204</v>
      </c>
      <c r="R31" s="225">
        <v>4</v>
      </c>
      <c r="S31" s="211" t="s">
        <v>164</v>
      </c>
      <c r="T31" s="225">
        <v>10</v>
      </c>
      <c r="U31" s="168"/>
      <c r="V31" s="211" t="s">
        <v>204</v>
      </c>
      <c r="W31" s="225">
        <v>4</v>
      </c>
      <c r="X31" s="211" t="s">
        <v>164</v>
      </c>
      <c r="Y31" s="225">
        <v>8</v>
      </c>
      <c r="Z31" s="168"/>
      <c r="AA31" s="211" t="s">
        <v>204</v>
      </c>
      <c r="AB31" s="225">
        <v>4</v>
      </c>
      <c r="AC31" s="211" t="s">
        <v>164</v>
      </c>
      <c r="AD31" s="225">
        <v>7</v>
      </c>
      <c r="AE31" s="168"/>
      <c r="AF31" s="211" t="s">
        <v>204</v>
      </c>
      <c r="AG31" s="225">
        <v>4</v>
      </c>
      <c r="AH31" s="211" t="s">
        <v>164</v>
      </c>
      <c r="AI31" s="225">
        <v>5</v>
      </c>
      <c r="AJ31" s="168"/>
      <c r="AK31" s="211" t="s">
        <v>204</v>
      </c>
      <c r="AL31" s="225">
        <v>4</v>
      </c>
      <c r="AM31" s="211" t="s">
        <v>164</v>
      </c>
      <c r="AN31" s="225">
        <v>3</v>
      </c>
      <c r="AO31" s="168"/>
      <c r="AP31" s="211" t="s">
        <v>204</v>
      </c>
      <c r="AQ31" s="225">
        <v>4</v>
      </c>
      <c r="AR31" s="211" t="s">
        <v>164</v>
      </c>
      <c r="AS31" s="225">
        <v>10</v>
      </c>
      <c r="AT31" s="277"/>
      <c r="AU31" s="211" t="s">
        <v>204</v>
      </c>
      <c r="AV31" s="225">
        <v>3</v>
      </c>
      <c r="AW31" s="211" t="s">
        <v>164</v>
      </c>
      <c r="AX31" s="225">
        <v>7</v>
      </c>
      <c r="AY31" s="168"/>
      <c r="AZ31" s="211" t="s">
        <v>204</v>
      </c>
      <c r="BA31" s="225">
        <v>3</v>
      </c>
      <c r="BB31" s="211" t="s">
        <v>164</v>
      </c>
      <c r="BC31" s="225">
        <v>5</v>
      </c>
      <c r="BD31" s="168"/>
      <c r="BE31" s="211" t="s">
        <v>204</v>
      </c>
      <c r="BF31" s="225">
        <v>3</v>
      </c>
      <c r="BG31" s="211" t="s">
        <v>164</v>
      </c>
      <c r="BH31" s="225">
        <v>3</v>
      </c>
      <c r="BI31" s="277"/>
      <c r="BJ31" s="211" t="s">
        <v>204</v>
      </c>
      <c r="BK31" s="225">
        <v>2</v>
      </c>
      <c r="BL31" s="211" t="s">
        <v>164</v>
      </c>
      <c r="BM31" s="212">
        <v>8</v>
      </c>
      <c r="BN31" s="168"/>
      <c r="BO31" s="211" t="s">
        <v>204</v>
      </c>
      <c r="BP31" s="225">
        <v>2</v>
      </c>
      <c r="BQ31" s="211" t="s">
        <v>164</v>
      </c>
      <c r="BR31" s="212">
        <v>6</v>
      </c>
      <c r="BS31" s="168"/>
      <c r="BT31" s="211" t="s">
        <v>204</v>
      </c>
      <c r="BU31" s="225">
        <v>2</v>
      </c>
      <c r="BV31" s="211" t="s">
        <v>164</v>
      </c>
      <c r="BW31" s="212">
        <v>4</v>
      </c>
      <c r="BX31" s="277"/>
    </row>
    <row r="32" spans="1:76" ht="15">
      <c r="A32" s="168"/>
      <c r="B32" s="221" t="s">
        <v>239</v>
      </c>
      <c r="C32" s="214">
        <v>43</v>
      </c>
      <c r="D32" s="221" t="s">
        <v>240</v>
      </c>
      <c r="E32" s="214">
        <v>57</v>
      </c>
      <c r="F32" s="168"/>
      <c r="G32" s="221" t="s">
        <v>239</v>
      </c>
      <c r="H32" s="214">
        <v>43</v>
      </c>
      <c r="I32" s="221" t="s">
        <v>240</v>
      </c>
      <c r="J32" s="214">
        <v>57</v>
      </c>
      <c r="K32" s="168"/>
      <c r="L32" s="221" t="s">
        <v>239</v>
      </c>
      <c r="M32" s="214">
        <v>43</v>
      </c>
      <c r="N32" s="221" t="s">
        <v>240</v>
      </c>
      <c r="O32" s="214">
        <v>57</v>
      </c>
      <c r="P32" s="168"/>
      <c r="Q32" s="221" t="s">
        <v>239</v>
      </c>
      <c r="R32" s="214">
        <v>43</v>
      </c>
      <c r="S32" s="221" t="s">
        <v>240</v>
      </c>
      <c r="T32" s="214">
        <v>57</v>
      </c>
      <c r="U32" s="168"/>
      <c r="V32" s="221" t="s">
        <v>239</v>
      </c>
      <c r="W32" s="214">
        <v>43</v>
      </c>
      <c r="X32" s="221" t="s">
        <v>240</v>
      </c>
      <c r="Y32" s="214">
        <v>57</v>
      </c>
      <c r="Z32" s="168"/>
      <c r="AA32" s="221" t="s">
        <v>239</v>
      </c>
      <c r="AB32" s="214">
        <v>43</v>
      </c>
      <c r="AC32" s="221" t="s">
        <v>240</v>
      </c>
      <c r="AD32" s="214">
        <v>58</v>
      </c>
      <c r="AE32" s="168"/>
      <c r="AF32" s="221" t="s">
        <v>239</v>
      </c>
      <c r="AG32" s="214">
        <v>43</v>
      </c>
      <c r="AH32" s="221" t="s">
        <v>240</v>
      </c>
      <c r="AI32" s="214">
        <v>58</v>
      </c>
      <c r="AJ32" s="168"/>
      <c r="AK32" s="221" t="s">
        <v>239</v>
      </c>
      <c r="AL32" s="214">
        <v>43</v>
      </c>
      <c r="AM32" s="221" t="s">
        <v>240</v>
      </c>
      <c r="AN32" s="214">
        <v>58</v>
      </c>
      <c r="AO32" s="168"/>
      <c r="AP32" s="221" t="s">
        <v>239</v>
      </c>
      <c r="AQ32" s="214">
        <v>43</v>
      </c>
      <c r="AR32" s="221" t="s">
        <v>240</v>
      </c>
      <c r="AS32" s="214">
        <v>57</v>
      </c>
      <c r="AT32" s="277"/>
      <c r="AU32" s="221" t="s">
        <v>239</v>
      </c>
      <c r="AV32" s="214">
        <v>39.200000000000003</v>
      </c>
      <c r="AW32" s="221" t="s">
        <v>240</v>
      </c>
      <c r="AX32" s="214">
        <v>58</v>
      </c>
      <c r="AY32" s="168"/>
      <c r="AZ32" s="221" t="s">
        <v>239</v>
      </c>
      <c r="BA32" s="214">
        <v>39.200000000000003</v>
      </c>
      <c r="BB32" s="221" t="s">
        <v>240</v>
      </c>
      <c r="BC32" s="214">
        <v>58</v>
      </c>
      <c r="BD32" s="168"/>
      <c r="BE32" s="221" t="s">
        <v>239</v>
      </c>
      <c r="BF32" s="214">
        <v>39.200000000000003</v>
      </c>
      <c r="BG32" s="221" t="s">
        <v>240</v>
      </c>
      <c r="BH32" s="214">
        <v>58</v>
      </c>
      <c r="BI32" s="277"/>
      <c r="BJ32" s="221" t="s">
        <v>239</v>
      </c>
      <c r="BK32" s="214">
        <v>40.5</v>
      </c>
      <c r="BL32" s="213" t="s">
        <v>203</v>
      </c>
      <c r="BM32" s="214">
        <v>58</v>
      </c>
      <c r="BN32" s="168"/>
      <c r="BO32" s="221" t="s">
        <v>239</v>
      </c>
      <c r="BP32" s="214">
        <v>40.5</v>
      </c>
      <c r="BQ32" s="221" t="s">
        <v>240</v>
      </c>
      <c r="BR32" s="214">
        <v>58</v>
      </c>
      <c r="BS32" s="168"/>
      <c r="BT32" s="221" t="s">
        <v>239</v>
      </c>
      <c r="BU32" s="214">
        <v>40.5</v>
      </c>
      <c r="BV32" s="221" t="s">
        <v>240</v>
      </c>
      <c r="BW32" s="214">
        <v>58</v>
      </c>
      <c r="BX32" s="277"/>
    </row>
    <row r="33" spans="1:76" ht="15">
      <c r="A33" s="168"/>
      <c r="B33" s="213" t="s">
        <v>167</v>
      </c>
      <c r="C33" s="214">
        <v>10.5</v>
      </c>
      <c r="D33" s="213" t="s">
        <v>165</v>
      </c>
      <c r="E33" s="214">
        <v>150</v>
      </c>
      <c r="F33" s="168"/>
      <c r="G33" s="213" t="s">
        <v>167</v>
      </c>
      <c r="H33" s="214">
        <v>10.5</v>
      </c>
      <c r="I33" s="213" t="s">
        <v>165</v>
      </c>
      <c r="J33" s="214">
        <v>150</v>
      </c>
      <c r="K33" s="168"/>
      <c r="L33" s="213" t="s">
        <v>167</v>
      </c>
      <c r="M33" s="214">
        <v>10.5</v>
      </c>
      <c r="N33" s="213" t="s">
        <v>165</v>
      </c>
      <c r="O33" s="214">
        <v>159</v>
      </c>
      <c r="P33" s="168"/>
      <c r="Q33" s="213" t="s">
        <v>167</v>
      </c>
      <c r="R33" s="214">
        <v>10.5</v>
      </c>
      <c r="S33" s="213" t="s">
        <v>165</v>
      </c>
      <c r="T33" s="214">
        <v>156</v>
      </c>
      <c r="U33" s="168"/>
      <c r="V33" s="213" t="s">
        <v>167</v>
      </c>
      <c r="W33" s="214">
        <v>10.5</v>
      </c>
      <c r="X33" s="213" t="s">
        <v>165</v>
      </c>
      <c r="Y33" s="214">
        <v>150</v>
      </c>
      <c r="Z33" s="168"/>
      <c r="AA33" s="213" t="s">
        <v>167</v>
      </c>
      <c r="AB33" s="214">
        <v>10.5</v>
      </c>
      <c r="AC33" s="213" t="s">
        <v>165</v>
      </c>
      <c r="AD33" s="214">
        <v>138</v>
      </c>
      <c r="AE33" s="168"/>
      <c r="AF33" s="213" t="s">
        <v>167</v>
      </c>
      <c r="AG33" s="214">
        <v>10.5</v>
      </c>
      <c r="AH33" s="213" t="s">
        <v>165</v>
      </c>
      <c r="AI33" s="214">
        <v>138</v>
      </c>
      <c r="AJ33" s="168"/>
      <c r="AK33" s="213" t="s">
        <v>167</v>
      </c>
      <c r="AL33" s="214">
        <v>10.5</v>
      </c>
      <c r="AM33" s="213" t="s">
        <v>165</v>
      </c>
      <c r="AN33" s="214">
        <v>134</v>
      </c>
      <c r="AO33" s="168"/>
      <c r="AP33" s="213" t="s">
        <v>167</v>
      </c>
      <c r="AQ33" s="214">
        <v>10.5</v>
      </c>
      <c r="AR33" s="213" t="s">
        <v>165</v>
      </c>
      <c r="AS33" s="214">
        <f>150+156</f>
        <v>306</v>
      </c>
      <c r="AT33" s="277"/>
      <c r="AU33" s="213" t="s">
        <v>167</v>
      </c>
      <c r="AV33" s="214">
        <v>10.8</v>
      </c>
      <c r="AW33" s="213" t="s">
        <v>165</v>
      </c>
      <c r="AX33" s="214">
        <v>138</v>
      </c>
      <c r="AY33" s="168"/>
      <c r="AZ33" s="213" t="s">
        <v>167</v>
      </c>
      <c r="BA33" s="214">
        <v>10.8</v>
      </c>
      <c r="BB33" s="213" t="s">
        <v>165</v>
      </c>
      <c r="BC33" s="214">
        <v>138</v>
      </c>
      <c r="BD33" s="168"/>
      <c r="BE33" s="213" t="s">
        <v>167</v>
      </c>
      <c r="BF33" s="214">
        <v>10.8</v>
      </c>
      <c r="BG33" s="213" t="s">
        <v>165</v>
      </c>
      <c r="BH33" s="214">
        <v>138</v>
      </c>
      <c r="BI33" s="277"/>
      <c r="BJ33" s="213" t="s">
        <v>167</v>
      </c>
      <c r="BK33" s="229">
        <v>9.75</v>
      </c>
      <c r="BL33" s="213" t="s">
        <v>165</v>
      </c>
      <c r="BM33" s="214">
        <v>118</v>
      </c>
      <c r="BN33" s="168"/>
      <c r="BO33" s="213" t="s">
        <v>167</v>
      </c>
      <c r="BP33" s="229">
        <v>9.75</v>
      </c>
      <c r="BQ33" s="213" t="s">
        <v>165</v>
      </c>
      <c r="BR33" s="214">
        <v>118</v>
      </c>
      <c r="BS33" s="168"/>
      <c r="BT33" s="213" t="s">
        <v>167</v>
      </c>
      <c r="BU33" s="229">
        <v>9.75</v>
      </c>
      <c r="BV33" s="213" t="s">
        <v>165</v>
      </c>
      <c r="BW33" s="214">
        <v>118</v>
      </c>
      <c r="BX33" s="277"/>
    </row>
    <row r="34" spans="1:76" ht="15">
      <c r="A34" s="168"/>
      <c r="B34" s="213" t="s">
        <v>168</v>
      </c>
      <c r="C34" s="215">
        <f>+C33+C$32</f>
        <v>53.5</v>
      </c>
      <c r="D34" s="213" t="s">
        <v>183</v>
      </c>
      <c r="E34" s="214">
        <v>121</v>
      </c>
      <c r="F34" s="168"/>
      <c r="G34" s="213" t="s">
        <v>168</v>
      </c>
      <c r="H34" s="215">
        <f>+H33+H$32</f>
        <v>53.5</v>
      </c>
      <c r="I34" s="213" t="s">
        <v>183</v>
      </c>
      <c r="J34" s="214">
        <v>121</v>
      </c>
      <c r="K34" s="168"/>
      <c r="L34" s="213" t="s">
        <v>168</v>
      </c>
      <c r="M34" s="215">
        <f>+M33+M$32</f>
        <v>53.5</v>
      </c>
      <c r="N34" s="213" t="s">
        <v>183</v>
      </c>
      <c r="O34" s="214">
        <v>130</v>
      </c>
      <c r="P34" s="168"/>
      <c r="Q34" s="213" t="s">
        <v>168</v>
      </c>
      <c r="R34" s="215">
        <f>+R33+R$32</f>
        <v>53.5</v>
      </c>
      <c r="S34" s="213" t="s">
        <v>183</v>
      </c>
      <c r="T34" s="214">
        <v>127</v>
      </c>
      <c r="U34" s="168"/>
      <c r="V34" s="213" t="s">
        <v>168</v>
      </c>
      <c r="W34" s="215">
        <f>+W33+W$32</f>
        <v>53.5</v>
      </c>
      <c r="X34" s="213" t="s">
        <v>183</v>
      </c>
      <c r="Y34" s="214">
        <v>121.5</v>
      </c>
      <c r="Z34" s="168"/>
      <c r="AA34" s="213" t="s">
        <v>168</v>
      </c>
      <c r="AB34" s="215">
        <f>+AB33+AB$32</f>
        <v>53.5</v>
      </c>
      <c r="AC34" s="213" t="s">
        <v>183</v>
      </c>
      <c r="AD34" s="214">
        <v>110</v>
      </c>
      <c r="AE34" s="168"/>
      <c r="AF34" s="213" t="s">
        <v>168</v>
      </c>
      <c r="AG34" s="215">
        <f>+AG33+AG$32</f>
        <v>53.5</v>
      </c>
      <c r="AH34" s="213" t="s">
        <v>183</v>
      </c>
      <c r="AI34" s="214">
        <v>110</v>
      </c>
      <c r="AJ34" s="168"/>
      <c r="AK34" s="213" t="s">
        <v>168</v>
      </c>
      <c r="AL34" s="215">
        <f>+AL33+AL$32</f>
        <v>53.5</v>
      </c>
      <c r="AM34" s="213" t="s">
        <v>183</v>
      </c>
      <c r="AN34" s="214">
        <v>110</v>
      </c>
      <c r="AO34" s="168"/>
      <c r="AP34" s="213" t="s">
        <v>168</v>
      </c>
      <c r="AQ34" s="215">
        <f>+AQ33+AQ$32</f>
        <v>53.5</v>
      </c>
      <c r="AR34" s="213" t="s">
        <v>183</v>
      </c>
      <c r="AS34" s="214">
        <f>150+127</f>
        <v>277</v>
      </c>
      <c r="AT34" s="277"/>
      <c r="AU34" s="213" t="s">
        <v>168</v>
      </c>
      <c r="AV34" s="215">
        <f>+AV33+AV$32</f>
        <v>50</v>
      </c>
      <c r="AW34" s="213" t="s">
        <v>183</v>
      </c>
      <c r="AX34" s="214">
        <v>110</v>
      </c>
      <c r="AY34" s="168"/>
      <c r="AZ34" s="213" t="s">
        <v>168</v>
      </c>
      <c r="BA34" s="215">
        <f>+BA33+BA$32</f>
        <v>50</v>
      </c>
      <c r="BB34" s="213" t="s">
        <v>183</v>
      </c>
      <c r="BC34" s="214">
        <v>110</v>
      </c>
      <c r="BD34" s="168"/>
      <c r="BE34" s="213" t="s">
        <v>168</v>
      </c>
      <c r="BF34" s="215">
        <f>+BF33+BF$32</f>
        <v>50</v>
      </c>
      <c r="BG34" s="213" t="s">
        <v>183</v>
      </c>
      <c r="BH34" s="214">
        <v>110</v>
      </c>
      <c r="BI34" s="277"/>
      <c r="BJ34" s="213" t="s">
        <v>168</v>
      </c>
      <c r="BK34" s="230">
        <f>+BK33+BK$32</f>
        <v>50.25</v>
      </c>
      <c r="BL34" s="213" t="s">
        <v>183</v>
      </c>
      <c r="BM34" s="214">
        <v>80</v>
      </c>
      <c r="BN34" s="168"/>
      <c r="BO34" s="213" t="s">
        <v>168</v>
      </c>
      <c r="BP34" s="230">
        <f>+BP33+BP$32</f>
        <v>50.25</v>
      </c>
      <c r="BQ34" s="213" t="s">
        <v>183</v>
      </c>
      <c r="BR34" s="214">
        <v>80</v>
      </c>
      <c r="BS34" s="168"/>
      <c r="BT34" s="213" t="s">
        <v>168</v>
      </c>
      <c r="BU34" s="230">
        <f>+BU33+BU$32</f>
        <v>50.25</v>
      </c>
      <c r="BV34" s="213" t="s">
        <v>183</v>
      </c>
      <c r="BW34" s="214">
        <v>80</v>
      </c>
      <c r="BX34" s="277"/>
    </row>
    <row r="35" spans="1:76" ht="15">
      <c r="A35" s="168"/>
      <c r="B35" s="213" t="s">
        <v>169</v>
      </c>
      <c r="C35" s="215">
        <f>+C34+C$32</f>
        <v>96.5</v>
      </c>
      <c r="D35" s="213"/>
      <c r="E35" s="215"/>
      <c r="F35" s="168"/>
      <c r="G35" s="213" t="s">
        <v>169</v>
      </c>
      <c r="H35" s="215">
        <f>+H34+H$32</f>
        <v>96.5</v>
      </c>
      <c r="I35" s="213"/>
      <c r="J35" s="215"/>
      <c r="K35" s="168"/>
      <c r="L35" s="213" t="s">
        <v>169</v>
      </c>
      <c r="M35" s="215">
        <f>+M34+M$32</f>
        <v>96.5</v>
      </c>
      <c r="N35" s="213"/>
      <c r="O35" s="215"/>
      <c r="P35" s="168"/>
      <c r="Q35" s="213" t="s">
        <v>169</v>
      </c>
      <c r="R35" s="215">
        <f>+R34+R$32</f>
        <v>96.5</v>
      </c>
      <c r="S35" s="213"/>
      <c r="T35" s="215"/>
      <c r="U35" s="168"/>
      <c r="V35" s="213" t="s">
        <v>169</v>
      </c>
      <c r="W35" s="215">
        <f>+W34+W$32</f>
        <v>96.5</v>
      </c>
      <c r="X35" s="213"/>
      <c r="Y35" s="215"/>
      <c r="Z35" s="168"/>
      <c r="AA35" s="213" t="s">
        <v>169</v>
      </c>
      <c r="AB35" s="215">
        <f>+AB34+AB$32</f>
        <v>96.5</v>
      </c>
      <c r="AC35" s="213"/>
      <c r="AD35" s="215"/>
      <c r="AE35" s="168"/>
      <c r="AF35" s="213" t="s">
        <v>169</v>
      </c>
      <c r="AG35" s="215">
        <f>+AG34+AG$32</f>
        <v>96.5</v>
      </c>
      <c r="AH35" s="213"/>
      <c r="AI35" s="215"/>
      <c r="AJ35" s="168"/>
      <c r="AK35" s="213" t="s">
        <v>169</v>
      </c>
      <c r="AL35" s="215">
        <f>+AL34+AL$32</f>
        <v>96.5</v>
      </c>
      <c r="AM35" s="213"/>
      <c r="AN35" s="215"/>
      <c r="AO35" s="168"/>
      <c r="AP35" s="213" t="s">
        <v>169</v>
      </c>
      <c r="AQ35" s="215">
        <f>+AQ34+AQ$32</f>
        <v>96.5</v>
      </c>
      <c r="AR35" s="213"/>
      <c r="AS35" s="215"/>
      <c r="AT35" s="277"/>
      <c r="AU35" s="213" t="s">
        <v>169</v>
      </c>
      <c r="AV35" s="215">
        <f>+AV34+AV$32</f>
        <v>89.2</v>
      </c>
      <c r="AW35" s="213"/>
      <c r="AX35" s="215"/>
      <c r="AY35" s="168"/>
      <c r="AZ35" s="213" t="s">
        <v>169</v>
      </c>
      <c r="BA35" s="215">
        <f>+BA34+BA$32</f>
        <v>89.2</v>
      </c>
      <c r="BB35" s="213"/>
      <c r="BC35" s="215"/>
      <c r="BD35" s="168"/>
      <c r="BE35" s="213" t="s">
        <v>169</v>
      </c>
      <c r="BF35" s="215">
        <f>+BF34+BF$32</f>
        <v>89.2</v>
      </c>
      <c r="BG35" s="213"/>
      <c r="BH35" s="215"/>
      <c r="BI35" s="277"/>
      <c r="BJ35" s="213" t="s">
        <v>169</v>
      </c>
      <c r="BK35" s="230"/>
      <c r="BL35" s="213"/>
      <c r="BM35" s="215"/>
      <c r="BN35" s="168"/>
      <c r="BO35" s="213" t="s">
        <v>169</v>
      </c>
      <c r="BP35" s="230">
        <f>+BP34+BP$32</f>
        <v>90.75</v>
      </c>
      <c r="BQ35" s="213"/>
      <c r="BR35" s="215"/>
      <c r="BS35" s="168"/>
      <c r="BT35" s="213" t="s">
        <v>169</v>
      </c>
      <c r="BU35" s="230">
        <f>+BU34+BU$32</f>
        <v>90.75</v>
      </c>
      <c r="BV35" s="213"/>
      <c r="BW35" s="215"/>
      <c r="BX35" s="277"/>
    </row>
    <row r="36" spans="1:76" ht="15">
      <c r="A36" s="168"/>
      <c r="B36" s="216" t="s">
        <v>170</v>
      </c>
      <c r="C36" s="218">
        <f>+C35+C$32</f>
        <v>139.5</v>
      </c>
      <c r="D36" s="216"/>
      <c r="E36" s="218"/>
      <c r="F36" s="168"/>
      <c r="G36" s="216" t="s">
        <v>170</v>
      </c>
      <c r="H36" s="218">
        <f>+H35+H$32</f>
        <v>139.5</v>
      </c>
      <c r="I36" s="216"/>
      <c r="J36" s="218"/>
      <c r="K36" s="168"/>
      <c r="L36" s="216" t="s">
        <v>170</v>
      </c>
      <c r="M36" s="218">
        <f>+M35+M$32</f>
        <v>139.5</v>
      </c>
      <c r="N36" s="216"/>
      <c r="O36" s="218"/>
      <c r="P36" s="168"/>
      <c r="Q36" s="216" t="s">
        <v>170</v>
      </c>
      <c r="R36" s="218">
        <f>+R35+R$32</f>
        <v>139.5</v>
      </c>
      <c r="S36" s="216"/>
      <c r="T36" s="218"/>
      <c r="U36" s="168"/>
      <c r="V36" s="216" t="s">
        <v>170</v>
      </c>
      <c r="W36" s="218">
        <f>+W35+W$32</f>
        <v>139.5</v>
      </c>
      <c r="X36" s="216"/>
      <c r="Y36" s="218"/>
      <c r="Z36" s="168"/>
      <c r="AA36" s="216" t="s">
        <v>170</v>
      </c>
      <c r="AB36" s="218">
        <f>+AB35+AB$32</f>
        <v>139.5</v>
      </c>
      <c r="AC36" s="216"/>
      <c r="AD36" s="218"/>
      <c r="AE36" s="168"/>
      <c r="AF36" s="216" t="s">
        <v>170</v>
      </c>
      <c r="AG36" s="218">
        <f>+AG35+AG$32</f>
        <v>139.5</v>
      </c>
      <c r="AH36" s="216"/>
      <c r="AI36" s="218"/>
      <c r="AJ36" s="168"/>
      <c r="AK36" s="216" t="s">
        <v>170</v>
      </c>
      <c r="AL36" s="218">
        <f>+AL35+AL$32</f>
        <v>139.5</v>
      </c>
      <c r="AM36" s="216"/>
      <c r="AN36" s="218"/>
      <c r="AO36" s="168"/>
      <c r="AP36" s="216" t="s">
        <v>170</v>
      </c>
      <c r="AQ36" s="218">
        <f>+AQ35+AQ$32</f>
        <v>139.5</v>
      </c>
      <c r="AR36" s="216"/>
      <c r="AS36" s="218"/>
      <c r="AT36" s="277"/>
      <c r="AU36" s="216"/>
      <c r="AV36" s="218"/>
      <c r="AW36" s="216"/>
      <c r="AX36" s="218"/>
      <c r="AY36" s="168"/>
      <c r="AZ36" s="216"/>
      <c r="BA36" s="218"/>
      <c r="BB36" s="216"/>
      <c r="BC36" s="218"/>
      <c r="BD36" s="168"/>
      <c r="BE36" s="216"/>
      <c r="BF36" s="218"/>
      <c r="BG36" s="216"/>
      <c r="BH36" s="218"/>
      <c r="BI36" s="277"/>
      <c r="BJ36" s="216"/>
      <c r="BK36" s="218"/>
      <c r="BL36" s="216"/>
      <c r="BM36" s="218"/>
      <c r="BN36" s="168"/>
      <c r="BO36" s="216"/>
      <c r="BP36" s="218"/>
      <c r="BQ36" s="216"/>
      <c r="BR36" s="218"/>
      <c r="BS36" s="168"/>
      <c r="BT36" s="216"/>
      <c r="BU36" s="218"/>
      <c r="BV36" s="216"/>
      <c r="BW36" s="218"/>
      <c r="BX36" s="277"/>
    </row>
    <row r="37" spans="1:76">
      <c r="A37" s="155" t="s">
        <v>219</v>
      </c>
      <c r="F37" s="168"/>
      <c r="K37" s="168"/>
      <c r="P37" s="168"/>
      <c r="U37" s="168"/>
      <c r="Z37" s="168"/>
      <c r="AE37" s="168"/>
      <c r="AJ37" s="168"/>
      <c r="AO37" s="168"/>
      <c r="AP37" s="49"/>
      <c r="AQ37" s="49"/>
      <c r="AR37" s="49"/>
      <c r="AS37" s="49"/>
      <c r="AT37" s="277"/>
      <c r="AY37" s="168"/>
      <c r="BD37" s="168"/>
      <c r="BI37" s="277"/>
      <c r="BN37" s="168"/>
      <c r="BS37" s="168"/>
      <c r="BX37" s="277"/>
    </row>
    <row r="38" spans="1:76">
      <c r="A38" s="155" t="s">
        <v>218</v>
      </c>
      <c r="AP38" s="49"/>
      <c r="AQ38" s="49"/>
      <c r="AR38" s="49"/>
      <c r="AS38" s="49"/>
      <c r="AT38" s="288"/>
      <c r="BI38" s="288"/>
      <c r="BX38" s="288"/>
    </row>
    <row r="39" spans="1:76">
      <c r="A39" s="155" t="s">
        <v>214</v>
      </c>
      <c r="B39" s="39"/>
      <c r="H39" s="39"/>
      <c r="AP39" s="49"/>
      <c r="AQ39" s="49"/>
      <c r="AR39" s="49"/>
      <c r="AS39" s="49"/>
      <c r="AT39" s="288"/>
      <c r="BI39" s="288"/>
      <c r="BX39" s="288"/>
    </row>
    <row r="40" spans="1:76" ht="15">
      <c r="A40" s="159" t="s">
        <v>209</v>
      </c>
      <c r="B40" s="98" t="s">
        <v>9</v>
      </c>
      <c r="C40" s="119" t="s">
        <v>105</v>
      </c>
      <c r="D40" s="119" t="s">
        <v>106</v>
      </c>
      <c r="E40" s="118" t="s">
        <v>158</v>
      </c>
      <c r="F40" s="159"/>
      <c r="G40" s="98" t="s">
        <v>9</v>
      </c>
      <c r="H40" s="119" t="s">
        <v>105</v>
      </c>
      <c r="I40" s="119" t="s">
        <v>106</v>
      </c>
      <c r="J40" s="118" t="s">
        <v>158</v>
      </c>
      <c r="K40" s="159"/>
      <c r="L40" s="98" t="s">
        <v>9</v>
      </c>
      <c r="M40" s="72" t="s">
        <v>105</v>
      </c>
      <c r="N40" s="72" t="s">
        <v>106</v>
      </c>
      <c r="O40" s="118" t="s">
        <v>158</v>
      </c>
      <c r="P40" s="159"/>
      <c r="Q40" s="98" t="s">
        <v>9</v>
      </c>
      <c r="R40" s="72" t="s">
        <v>105</v>
      </c>
      <c r="S40" s="72" t="s">
        <v>106</v>
      </c>
      <c r="T40" s="118" t="s">
        <v>158</v>
      </c>
      <c r="U40" s="159"/>
      <c r="V40" s="98" t="s">
        <v>9</v>
      </c>
      <c r="W40" s="72" t="s">
        <v>105</v>
      </c>
      <c r="X40" s="72" t="s">
        <v>106</v>
      </c>
      <c r="Y40" s="118" t="s">
        <v>158</v>
      </c>
      <c r="Z40" s="159"/>
      <c r="AA40" s="98" t="s">
        <v>9</v>
      </c>
      <c r="AB40" s="72" t="s">
        <v>105</v>
      </c>
      <c r="AC40" s="72" t="s">
        <v>106</v>
      </c>
      <c r="AD40" s="118" t="s">
        <v>158</v>
      </c>
      <c r="AE40" s="159"/>
      <c r="AF40" s="98" t="s">
        <v>9</v>
      </c>
      <c r="AG40" s="72" t="s">
        <v>105</v>
      </c>
      <c r="AH40" s="72" t="s">
        <v>106</v>
      </c>
      <c r="AI40" s="118" t="s">
        <v>158</v>
      </c>
      <c r="AJ40" s="159"/>
      <c r="AK40" s="98" t="s">
        <v>9</v>
      </c>
      <c r="AL40" s="72" t="s">
        <v>105</v>
      </c>
      <c r="AM40" s="72" t="s">
        <v>106</v>
      </c>
      <c r="AN40" s="118" t="s">
        <v>158</v>
      </c>
      <c r="AO40" s="159"/>
      <c r="AP40" s="235" t="s">
        <v>9</v>
      </c>
      <c r="AQ40" s="236" t="s">
        <v>210</v>
      </c>
      <c r="AR40" s="236" t="s">
        <v>211</v>
      </c>
      <c r="AS40" s="237" t="s">
        <v>212</v>
      </c>
      <c r="AT40" s="278"/>
      <c r="AU40" s="98" t="s">
        <v>9</v>
      </c>
      <c r="AV40" s="72" t="s">
        <v>105</v>
      </c>
      <c r="AW40" s="72" t="s">
        <v>106</v>
      </c>
      <c r="AX40" s="118" t="s">
        <v>158</v>
      </c>
      <c r="AY40" s="159"/>
      <c r="AZ40" s="98" t="s">
        <v>9</v>
      </c>
      <c r="BA40" s="72" t="s">
        <v>105</v>
      </c>
      <c r="BB40" s="72" t="s">
        <v>106</v>
      </c>
      <c r="BC40" s="118" t="s">
        <v>158</v>
      </c>
      <c r="BD40" s="159"/>
      <c r="BE40" s="98" t="s">
        <v>9</v>
      </c>
      <c r="BF40" s="72" t="s">
        <v>105</v>
      </c>
      <c r="BG40" s="72" t="s">
        <v>106</v>
      </c>
      <c r="BH40" s="118" t="s">
        <v>158</v>
      </c>
      <c r="BI40" s="278"/>
      <c r="BJ40" s="98" t="s">
        <v>9</v>
      </c>
      <c r="BK40" s="72" t="s">
        <v>105</v>
      </c>
      <c r="BL40" s="72" t="s">
        <v>106</v>
      </c>
      <c r="BM40" s="118" t="s">
        <v>158</v>
      </c>
      <c r="BN40" s="159"/>
      <c r="BO40" s="98" t="s">
        <v>9</v>
      </c>
      <c r="BP40" s="72" t="s">
        <v>105</v>
      </c>
      <c r="BQ40" s="72" t="s">
        <v>106</v>
      </c>
      <c r="BR40" s="118" t="s">
        <v>158</v>
      </c>
      <c r="BS40" s="159"/>
      <c r="BT40" s="98" t="s">
        <v>9</v>
      </c>
      <c r="BU40" s="72" t="s">
        <v>105</v>
      </c>
      <c r="BV40" s="72" t="s">
        <v>106</v>
      </c>
      <c r="BW40" s="118" t="s">
        <v>158</v>
      </c>
      <c r="BX40" s="277"/>
    </row>
    <row r="41" spans="1:76">
      <c r="A41" s="168"/>
      <c r="B41" s="100" t="s">
        <v>125</v>
      </c>
      <c r="C41" s="83" t="s">
        <v>99</v>
      </c>
      <c r="D41" s="83" t="s">
        <v>99</v>
      </c>
      <c r="E41" s="120" t="s">
        <v>99</v>
      </c>
      <c r="F41" s="168"/>
      <c r="G41" s="100" t="s">
        <v>125</v>
      </c>
      <c r="H41" s="83" t="s">
        <v>99</v>
      </c>
      <c r="I41" s="83" t="s">
        <v>99</v>
      </c>
      <c r="J41" s="120" t="s">
        <v>99</v>
      </c>
      <c r="K41" s="168"/>
      <c r="L41" s="100" t="s">
        <v>125</v>
      </c>
      <c r="M41" s="74" t="s">
        <v>99</v>
      </c>
      <c r="N41" s="74" t="s">
        <v>99</v>
      </c>
      <c r="O41" s="120" t="s">
        <v>99</v>
      </c>
      <c r="P41" s="168"/>
      <c r="Q41" s="100" t="s">
        <v>125</v>
      </c>
      <c r="R41" s="74" t="s">
        <v>99</v>
      </c>
      <c r="S41" s="74" t="s">
        <v>99</v>
      </c>
      <c r="T41" s="120" t="s">
        <v>99</v>
      </c>
      <c r="U41" s="168"/>
      <c r="V41" s="100" t="s">
        <v>125</v>
      </c>
      <c r="W41" s="74" t="s">
        <v>99</v>
      </c>
      <c r="X41" s="74" t="s">
        <v>99</v>
      </c>
      <c r="Y41" s="120" t="s">
        <v>99</v>
      </c>
      <c r="Z41" s="168"/>
      <c r="AA41" s="100" t="s">
        <v>125</v>
      </c>
      <c r="AB41" s="74" t="s">
        <v>99</v>
      </c>
      <c r="AC41" s="74" t="s">
        <v>99</v>
      </c>
      <c r="AD41" s="120" t="s">
        <v>99</v>
      </c>
      <c r="AE41" s="168"/>
      <c r="AF41" s="100" t="s">
        <v>125</v>
      </c>
      <c r="AG41" s="74" t="s">
        <v>99</v>
      </c>
      <c r="AH41" s="74" t="s">
        <v>99</v>
      </c>
      <c r="AI41" s="120" t="s">
        <v>99</v>
      </c>
      <c r="AJ41" s="168"/>
      <c r="AK41" s="100" t="s">
        <v>125</v>
      </c>
      <c r="AL41" s="74" t="s">
        <v>99</v>
      </c>
      <c r="AM41" s="74" t="s">
        <v>99</v>
      </c>
      <c r="AN41" s="120" t="s">
        <v>99</v>
      </c>
      <c r="AO41" s="168"/>
      <c r="AP41" s="238" t="s">
        <v>125</v>
      </c>
      <c r="AQ41" s="239" t="s">
        <v>99</v>
      </c>
      <c r="AR41" s="239" t="s">
        <v>99</v>
      </c>
      <c r="AS41" s="240" t="s">
        <v>99</v>
      </c>
      <c r="AT41" s="277"/>
      <c r="AU41" s="100" t="s">
        <v>125</v>
      </c>
      <c r="AV41" s="74" t="s">
        <v>99</v>
      </c>
      <c r="AW41" s="74" t="s">
        <v>99</v>
      </c>
      <c r="AX41" s="120" t="s">
        <v>99</v>
      </c>
      <c r="AY41" s="168"/>
      <c r="AZ41" s="100" t="s">
        <v>125</v>
      </c>
      <c r="BA41" s="74" t="s">
        <v>99</v>
      </c>
      <c r="BB41" s="74" t="s">
        <v>99</v>
      </c>
      <c r="BC41" s="120" t="s">
        <v>99</v>
      </c>
      <c r="BD41" s="168"/>
      <c r="BE41" s="100" t="s">
        <v>125</v>
      </c>
      <c r="BF41" s="74" t="s">
        <v>99</v>
      </c>
      <c r="BG41" s="74" t="s">
        <v>99</v>
      </c>
      <c r="BH41" s="120" t="s">
        <v>99</v>
      </c>
      <c r="BI41" s="277"/>
      <c r="BJ41" s="100" t="s">
        <v>125</v>
      </c>
      <c r="BK41" s="74" t="s">
        <v>99</v>
      </c>
      <c r="BL41" s="74" t="s">
        <v>99</v>
      </c>
      <c r="BM41" s="120" t="s">
        <v>99</v>
      </c>
      <c r="BN41" s="168"/>
      <c r="BO41" s="100" t="s">
        <v>125</v>
      </c>
      <c r="BP41" s="74" t="s">
        <v>99</v>
      </c>
      <c r="BQ41" s="74" t="s">
        <v>99</v>
      </c>
      <c r="BR41" s="120" t="s">
        <v>99</v>
      </c>
      <c r="BS41" s="168"/>
      <c r="BT41" s="100" t="s">
        <v>125</v>
      </c>
      <c r="BU41" s="74" t="s">
        <v>99</v>
      </c>
      <c r="BV41" s="74" t="s">
        <v>99</v>
      </c>
      <c r="BW41" s="120" t="s">
        <v>99</v>
      </c>
      <c r="BX41" s="277"/>
    </row>
    <row r="42" spans="1:76" ht="15" customHeight="1">
      <c r="A42" s="168" t="s">
        <v>220</v>
      </c>
      <c r="B42" s="189">
        <f>IF(ROW(B42)-ROW(B$41)&lt;=C$12,90,"")</f>
        <v>90</v>
      </c>
      <c r="C42" s="190">
        <f>+C13</f>
        <v>10</v>
      </c>
      <c r="D42" s="190">
        <f>+E13</f>
        <v>10</v>
      </c>
      <c r="E42" s="191" cm="1">
        <f t="array" ref="E42">IF(C42="","",MAX($C$5,IF(B42=90,IF(OR(D42=E$13,D42=E$14,D42=B$4-E$14,D42=B$4-E$13),C$7,IF(OR(C42=C$20,C42=C$24),C$8,IF(OR(C42=C$21:C$23),C$9))),C$10)))</f>
        <v>50</v>
      </c>
      <c r="F42" s="168" t="s">
        <v>220</v>
      </c>
      <c r="G42" s="189">
        <f>IF(ROW(G42)-ROW(G$41)&lt;=H$12,90,"")</f>
        <v>90</v>
      </c>
      <c r="H42" s="190">
        <f>+H13</f>
        <v>10</v>
      </c>
      <c r="I42" s="190">
        <f>+J13</f>
        <v>10</v>
      </c>
      <c r="J42" s="191" cm="1">
        <f t="array" ref="J42">IF(H42="","",MAX($C$5,IF(G42=90,IF(OR(I42=J$13,I42=J$14,I42=G$4-J$14,I42=G$4-J$13),H$7,IF(OR(H42=H$20,H42=H$24),H$8,IF(OR(H42=H$21:H$23),H$9))),H$10)))</f>
        <v>50</v>
      </c>
      <c r="K42" s="168" t="s">
        <v>220</v>
      </c>
      <c r="L42" s="189">
        <f>IF(ROW(L42)-ROW(L$41)&lt;=M$12,90,"")</f>
        <v>90</v>
      </c>
      <c r="M42" s="190">
        <f>+M13</f>
        <v>10</v>
      </c>
      <c r="N42" s="190">
        <f>+O13</f>
        <v>10</v>
      </c>
      <c r="O42" s="191" cm="1">
        <f t="array" ref="O42">IF(M42="","",MAX($C$5,IF(L42=90,IF(OR(N42=O$13,N42=O$14,N42=L$4-O$14,N42=L$4-O$13),M$7,IF(OR(M42=M$20,M42=M$24),M$8,IF(OR(M42=M$21:M$23),M$9))),M$10)))</f>
        <v>50</v>
      </c>
      <c r="P42" s="168" t="s">
        <v>220</v>
      </c>
      <c r="Q42" s="189">
        <f>IF(ROW(Q42)-ROW(Q$41)&lt;=R$12,90,"")</f>
        <v>90</v>
      </c>
      <c r="R42" s="190">
        <f>+R13</f>
        <v>10</v>
      </c>
      <c r="S42" s="190">
        <f>+T13</f>
        <v>10</v>
      </c>
      <c r="T42" s="191" cm="1">
        <f t="array" ref="T42">IF(R42="","",MAX($C$5,IF(Q42=90,IF(OR(S42=T$13,S42=T$14,S42=Q$4-T$14,S42=Q$4-T$13),R$7,IF(OR(R42=R$20,R42=R$24),R$8,IF(OR(R42=R$21:R$23),R$9))),R$10)))</f>
        <v>50</v>
      </c>
      <c r="U42" s="168" t="s">
        <v>220</v>
      </c>
      <c r="V42" s="189">
        <f>IF(ROW(V42)-ROW(V$41)&lt;=W$12,90,"")</f>
        <v>90</v>
      </c>
      <c r="W42" s="190">
        <f>+W13</f>
        <v>10</v>
      </c>
      <c r="X42" s="190">
        <f>+Y13</f>
        <v>10</v>
      </c>
      <c r="Y42" s="191" cm="1">
        <f t="array" ref="Y42">IF(W42="","",MAX($C$5,IF(V42=90,IF(OR(X42=Y$13,X42=Y$14,X42=V$4-Y$14,X42=V$4-Y$13),W$7,IF(OR(W42=W$20,W42=W$24),W$8,IF(OR(W42=W$21:W$23),W$9))),W$10)))</f>
        <v>50</v>
      </c>
      <c r="Z42" s="168" t="s">
        <v>220</v>
      </c>
      <c r="AA42" s="189">
        <f>IF(ROW(AA42)-ROW(AA$41)&lt;=AB$12,90,"")</f>
        <v>90</v>
      </c>
      <c r="AB42" s="190">
        <f>+AB13</f>
        <v>10</v>
      </c>
      <c r="AC42" s="190">
        <f>+AD13</f>
        <v>10</v>
      </c>
      <c r="AD42" s="191" cm="1">
        <f t="array" ref="AD42">IF(AB42="","",MAX($C$5,IF(AA42=90,IF(OR(AC42=AD$13,AC42=AD$14,AC42=AA$4-AD$14,AC42=AA$4-AD$13),AB$7,IF(OR(AB42=AB$20,AB42=AB$24),AB$8,IF(OR(AB42=AB$21:AB$23),AB$9))),AB$10)))</f>
        <v>50</v>
      </c>
      <c r="AE42" s="168" t="s">
        <v>220</v>
      </c>
      <c r="AF42" s="189">
        <f>IF(ROW(AF42)-ROW(AF$41)&lt;=AG$12,90,"")</f>
        <v>90</v>
      </c>
      <c r="AG42" s="190">
        <f>+AG13</f>
        <v>10</v>
      </c>
      <c r="AH42" s="190">
        <f>+AI13</f>
        <v>10</v>
      </c>
      <c r="AI42" s="191" cm="1">
        <f t="array" ref="AI42">IF(AG42="","",MAX($C$5,IF(AF42=90,IF(OR(AH42=AI$13,AH42=AI$14,AH42=AF$4-AI$14,AH42=AF$4-AI$13),AG$7,IF(OR(AG42=AG$20,AG42=AG$24),AG$8,IF(OR(AG42=AG$21:AG$23),AG$9))),AG$10)))</f>
        <v>50</v>
      </c>
      <c r="AJ42" s="168" t="s">
        <v>220</v>
      </c>
      <c r="AK42" s="189">
        <f>IF(ROW(AK42)-ROW(AK$41)&lt;=AL$12,90,"")</f>
        <v>90</v>
      </c>
      <c r="AL42" s="190">
        <f>+AL13</f>
        <v>10</v>
      </c>
      <c r="AM42" s="190">
        <f>+AN13</f>
        <v>10</v>
      </c>
      <c r="AN42" s="191" cm="1">
        <f t="array" ref="AN42">IF(AL42="","",MAX($C$5,IF(AK42=90,IF(OR(AM42=AN$13,AM42=AN$14,AM42=AK$4-AN$14,AM42=AK$4-AN$13),AL$7,IF(OR(AL42=AL$20,AL42=AL$24),AL$8,IF(OR(AL42=AL$21:AL$23),AL$9))),AL$10)))</f>
        <v>50</v>
      </c>
      <c r="AO42" s="168" t="s">
        <v>220</v>
      </c>
      <c r="AP42" s="241">
        <f>IF(ROW(AP42)-ROW(AP$41)&lt;=AQ$12,90,"")</f>
        <v>90</v>
      </c>
      <c r="AQ42" s="242">
        <f>+AQ13</f>
        <v>10</v>
      </c>
      <c r="AR42" s="242">
        <f>+AS13</f>
        <v>15</v>
      </c>
      <c r="AS42" s="191" cm="1">
        <f t="array" ref="AS42">IF(AQ42="","",MAX($C$5,IF(AP42=90,IF(OR(AR42=AS$13,AR42=AS$14,AR42=AP$4-AS$14,AR42=AP$4-AS$13),AQ$7,IF(OR(AQ42=AQ$20,AQ42=AQ$24),AQ$8,IF(OR(AQ42=AQ$21:AQ$23),AQ$9))),AQ$10)))</f>
        <v>50</v>
      </c>
      <c r="AT42" s="277" t="s">
        <v>220</v>
      </c>
      <c r="AU42" s="189">
        <f>IF(ROW(AU42)-ROW(AU$41)&lt;=AV$12,90,"")</f>
        <v>90</v>
      </c>
      <c r="AV42" s="190">
        <f>IF(AU42="","",AV13)</f>
        <v>10</v>
      </c>
      <c r="AW42" s="190">
        <f>IF(AU42="","",AX13)</f>
        <v>10</v>
      </c>
      <c r="AX42" s="191" cm="1">
        <f t="array" ref="AX42">IF(AV42="","",MAX($C$5,IF(AU42=90,IF(OR(AW42=AX$13,AW42=AX$14,AW42=AU$4-AX$14,AW42=AU$4-AX$13),AV$7,IF(OR(AV42=AV$20,AV42=AV$24),AV$8,IF(OR(AV42=AV$21:AV$23),AV$9))),AV$10)))</f>
        <v>40</v>
      </c>
      <c r="AY42" s="168" t="s">
        <v>220</v>
      </c>
      <c r="AZ42" s="189">
        <f>IF(ROW(AZ42)-ROW(AZ$41)&lt;=BA$12,90,"")</f>
        <v>90</v>
      </c>
      <c r="BA42" s="190">
        <f>IF(AZ42="","",BA13)</f>
        <v>10</v>
      </c>
      <c r="BB42" s="190">
        <f>IF(AZ42="","",BC13)</f>
        <v>10</v>
      </c>
      <c r="BC42" s="191" cm="1">
        <f t="array" ref="BC42">IF(BA42="","",MAX($C$5,IF(AZ42=90,IF(OR(BB42=BC$13,BB42=BC$14,BB42=AZ$4-BC$14,BB42=AZ$4-BC$13),BA$7,IF(OR(BA42=BA$20,BA42=BA$24),BA$8,IF(OR(BA42=BA$21:BA$23),BA$9))),BA$10)))</f>
        <v>40</v>
      </c>
      <c r="BD42" s="168" t="s">
        <v>220</v>
      </c>
      <c r="BE42" s="189">
        <f>IF(ROW(BE42)-ROW(BE$41)&lt;=BF$12,90,"")</f>
        <v>90</v>
      </c>
      <c r="BF42" s="190">
        <f>IF(BE42="","",BF13)</f>
        <v>10</v>
      </c>
      <c r="BG42" s="190">
        <f>IF(BE42="","",BH13)</f>
        <v>10</v>
      </c>
      <c r="BH42" s="191" cm="1">
        <f t="array" ref="BH42">IF(BF42="","",MAX($C$5,IF(BE42=90,IF(OR(BG42=BH$13,BG42=BH$14,BG42=BE$4-BH$14,BG42=BE$4-BH$13),BF$7,IF(OR(BF42=BF$20,BF42=BF$24),BF$8,IF(OR(BF42=BF$21:BF$23),BF$9))),BF$10)))</f>
        <v>40</v>
      </c>
      <c r="BI42" s="277" t="s">
        <v>220</v>
      </c>
      <c r="BJ42" s="189">
        <f>IF(ROW(BJ42)-ROW(BJ$41)&lt;=BK$12,90,"")</f>
        <v>90</v>
      </c>
      <c r="BK42" s="190">
        <f>IF(BJ42="","",BK13)</f>
        <v>10</v>
      </c>
      <c r="BL42" s="190">
        <f>IF(BJ42="","",BM13)</f>
        <v>10</v>
      </c>
      <c r="BM42" s="191" cm="1">
        <f t="array" ref="BM42">IF(BK42="","",MAX($C$5,IF(BJ42=90,IF(OR(BL42=BM$13,BL42=BM$14,BL42=BJ$4-BM$14,BL42=BJ$4-BM$13),BK$7,IF(OR(BK42=BK$20,BK42=BK$24),BK$8,IF(OR(BK42=BK$21:BK$23),BK$9))),BK$10)))</f>
        <v>40</v>
      </c>
      <c r="BN42" s="168" t="s">
        <v>220</v>
      </c>
      <c r="BO42" s="189">
        <f>IF(ROW(BO42)-ROW(BO$41)&lt;=BP$12,90,"")</f>
        <v>90</v>
      </c>
      <c r="BP42" s="190">
        <f>IF(BO42="","",BP13)</f>
        <v>10</v>
      </c>
      <c r="BQ42" s="190">
        <f>IF(BO42="","",BR13)</f>
        <v>10</v>
      </c>
      <c r="BR42" s="191" cm="1">
        <f t="array" ref="BR42">IF(BP42="","",MAX($C$5,IF(BO42=90,IF(OR(BQ42=BR$13,BQ42=BR$14,BQ42=BO$4-BR$14,BQ42=BO$4-BR$13),BP$7,IF(OR(BP42=BP$20,BP42=BP$24),BP$8,IF(OR(BP42=BP$21:BP$23),BP$9))),BP$10)))</f>
        <v>40</v>
      </c>
      <c r="BS42" s="168" t="s">
        <v>220</v>
      </c>
      <c r="BT42" s="189">
        <f>IF(ROW(BT42)-ROW(BT$41)&lt;=BU$12,90,"")</f>
        <v>90</v>
      </c>
      <c r="BU42" s="190">
        <f>IF(BT42="","",BU13)</f>
        <v>10</v>
      </c>
      <c r="BV42" s="190">
        <f>IF(BT42="","",BW13)</f>
        <v>10</v>
      </c>
      <c r="BW42" s="191" cm="1">
        <f t="array" ref="BW42">IF(BU42="","",MAX($C$5,IF(BT42=90,IF(OR(BV42=BW$13,BV42=BW$14,BV42=BT$4-BW$14,BV42=BT$4-BW$13),BU$7,IF(OR(BU42=BU$20,BU42=BU$24),BU$8,IF(OR(BU42=BU$21:BU$23),BU$9))),BU$10)))</f>
        <v>40</v>
      </c>
      <c r="BX42" s="288"/>
    </row>
    <row r="43" spans="1:76">
      <c r="A43" s="168"/>
      <c r="B43" s="192">
        <f>IF(ROW(B43)-ROW(B$41)&lt;=C$12,90,"")</f>
        <v>90</v>
      </c>
      <c r="C43" s="193">
        <f>+C14</f>
        <v>54</v>
      </c>
      <c r="D43" s="193">
        <f>+E14</f>
        <v>20</v>
      </c>
      <c r="E43" s="194" cm="1">
        <f t="array" ref="E43">IF(C43="","",MAX($C$5,IF(B43=90,IF(OR(D43=E$13,D43=E$14,D43=B$4-E$14,D43=B$4-E$13),C$7,IF(OR(C43=C$20,C43=C$24),C$8,IF(OR(C43=C$21:C$23),C$9))),C$10)))</f>
        <v>50</v>
      </c>
      <c r="F43" s="168"/>
      <c r="G43" s="192">
        <f>IF(ROW(G43)-ROW(G$41)&lt;=H$12,90,"")</f>
        <v>90</v>
      </c>
      <c r="H43" s="193">
        <f>+H14</f>
        <v>54</v>
      </c>
      <c r="I43" s="193">
        <f>+J14</f>
        <v>20</v>
      </c>
      <c r="J43" s="194" cm="1">
        <f t="array" ref="J43">IF(H43="","",MAX($C$5,IF(G43=90,IF(OR(I43=J$13,I43=J$14,I43=G$4-J$14,I43=G$4-J$13),H$7,IF(OR(H43=H$20,H43=H$24),H$8,IF(OR(H43=H$21:H$23),H$9))),H$10)))</f>
        <v>50</v>
      </c>
      <c r="K43" s="168"/>
      <c r="L43" s="192">
        <f>IF(ROW(L43)-ROW(L$41)&lt;=M$12,90,"")</f>
        <v>90</v>
      </c>
      <c r="M43" s="193">
        <f>+M14</f>
        <v>54</v>
      </c>
      <c r="N43" s="193">
        <f>+O14</f>
        <v>20</v>
      </c>
      <c r="O43" s="194" cm="1">
        <f t="array" ref="O43">IF(M43="","",MAX($C$5,IF(L43=90,IF(OR(N43=O$13,N43=O$14,N43=L$4-O$14,N43=L$4-O$13),M$7,IF(OR(M43=M$20,M43=M$24),M$8,IF(OR(M43=M$21:M$23),M$9))),M$10)))</f>
        <v>50</v>
      </c>
      <c r="P43" s="168"/>
      <c r="Q43" s="192">
        <f>IF(ROW(Q43)-ROW(Q$41)&lt;=R$12,90,"")</f>
        <v>90</v>
      </c>
      <c r="R43" s="193">
        <f>+R14</f>
        <v>54</v>
      </c>
      <c r="S43" s="193">
        <f>+T14</f>
        <v>20</v>
      </c>
      <c r="T43" s="194" cm="1">
        <f t="array" ref="T43">IF(R43="","",MAX($C$5,IF(Q43=90,IF(OR(S43=T$13,S43=T$14,S43=Q$4-T$14,S43=Q$4-T$13),R$7,IF(OR(R43=R$20,R43=R$24),R$8,IF(OR(R43=R$21:R$23),R$9))),R$10)))</f>
        <v>50</v>
      </c>
      <c r="U43" s="168"/>
      <c r="V43" s="192">
        <f>IF(ROW(V43)-ROW(V$41)&lt;=W$12,90,"")</f>
        <v>90</v>
      </c>
      <c r="W43" s="193">
        <f>+W14</f>
        <v>54</v>
      </c>
      <c r="X43" s="193">
        <f>+Y14</f>
        <v>20</v>
      </c>
      <c r="Y43" s="194" cm="1">
        <f t="array" ref="Y43">IF(W43="","",MAX($C$5,IF(V43=90,IF(OR(X43=Y$13,X43=Y$14,X43=V$4-Y$14,X43=V$4-Y$13),W$7,IF(OR(W43=W$20,W43=W$24),W$8,IF(OR(W43=W$21:W$23),W$9))),W$10)))</f>
        <v>50</v>
      </c>
      <c r="Z43" s="168"/>
      <c r="AA43" s="192">
        <f>IF(ROW(AA43)-ROW(AA$41)&lt;=AB$12,90,"")</f>
        <v>90</v>
      </c>
      <c r="AB43" s="193">
        <f>+AB14</f>
        <v>54</v>
      </c>
      <c r="AC43" s="193">
        <f>+AD14</f>
        <v>20</v>
      </c>
      <c r="AD43" s="194" cm="1">
        <f t="array" ref="AD43">IF(AB43="","",MAX($C$5,IF(AA43=90,IF(OR(AC43=AD$13,AC43=AD$14,AC43=AA$4-AD$14,AC43=AA$4-AD$13),AB$7,IF(OR(AB43=AB$20,AB43=AB$24),AB$8,IF(OR(AB43=AB$21:AB$23),AB$9))),AB$10)))</f>
        <v>50</v>
      </c>
      <c r="AE43" s="168"/>
      <c r="AF43" s="192">
        <f>IF(ROW(AF43)-ROW(AF$41)&lt;=AG$12,90,"")</f>
        <v>90</v>
      </c>
      <c r="AG43" s="193">
        <f>+AG14</f>
        <v>54</v>
      </c>
      <c r="AH43" s="193">
        <f>+AI14</f>
        <v>20</v>
      </c>
      <c r="AI43" s="194" cm="1">
        <f t="array" ref="AI43">IF(AG43="","",MAX($C$5,IF(AF43=90,IF(OR(AH43=AI$13,AH43=AI$14,AH43=AF$4-AI$14,AH43=AF$4-AI$13),AG$7,IF(OR(AG43=AG$20,AG43=AG$24),AG$8,IF(OR(AG43=AG$21:AG$23),AG$9))),AG$10)))</f>
        <v>50</v>
      </c>
      <c r="AJ43" s="168"/>
      <c r="AK43" s="192">
        <f>IF(ROW(AK43)-ROW(AK$41)&lt;=AL$12,90,"")</f>
        <v>90</v>
      </c>
      <c r="AL43" s="193">
        <f>+AL14</f>
        <v>54</v>
      </c>
      <c r="AM43" s="193">
        <f>+AN14</f>
        <v>20</v>
      </c>
      <c r="AN43" s="194" cm="1">
        <f t="array" ref="AN43">IF(AL43="","",MAX($C$5,IF(AK43=90,IF(OR(AM43=AN$13,AM43=AN$14,AM43=AK$4-AN$14,AM43=AK$4-AN$13),AL$7,IF(OR(AL43=AL$20,AL43=AL$24),AL$8,IF(OR(AL43=AL$21:AL$23),AL$9))),AL$10)))</f>
        <v>50</v>
      </c>
      <c r="AO43" s="168"/>
      <c r="AP43" s="244">
        <f>IF(ROW(AP43)-ROW(AP$41)&lt;=AQ$12,90,"")</f>
        <v>90</v>
      </c>
      <c r="AQ43" s="245">
        <f>+AQ14</f>
        <v>54</v>
      </c>
      <c r="AR43" s="245">
        <f>+AS14</f>
        <v>25</v>
      </c>
      <c r="AS43" s="194" cm="1">
        <f t="array" ref="AS43">IF(AQ43="","",MAX($C$5,IF(AP43=90,IF(OR(AR43=AS$13,AR43=AS$14,AR43=AP$4-AS$14,AR43=AP$4-AS$13),AQ$7,IF(OR(AQ43=AQ$20,AQ43=AQ$24),AQ$8,IF(OR(AQ43=AQ$21:AQ$23),AQ$9))),AQ$10)))</f>
        <v>50</v>
      </c>
      <c r="AT43" s="277"/>
      <c r="AU43" s="192">
        <f>IF(ROW(AU43)-ROW(AU$41)&lt;=AV$12,90,"")</f>
        <v>90</v>
      </c>
      <c r="AV43" s="193">
        <f>IF(AU43="","",AV14)</f>
        <v>90</v>
      </c>
      <c r="AW43" s="193">
        <f>IF(AU43="","",AX14)</f>
        <v>10</v>
      </c>
      <c r="AX43" s="194" cm="1">
        <f t="array" ref="AX43">IF(AV43="","",MAX($C$5,IF(AU43=90,IF(OR(AW43=AX$13,AW43=AX$14,AW43=AU$4-AX$14,AW43=AU$4-AX$13),AV$7,IF(OR(AV43=AV$20,AV43=AV$24),AV$8,IF(OR(AV43=AV$21:AV$23),AV$9))),AV$10)))</f>
        <v>40</v>
      </c>
      <c r="AY43" s="168"/>
      <c r="AZ43" s="192">
        <f>IF(ROW(AZ43)-ROW(AZ$41)&lt;=BA$12,90,"")</f>
        <v>90</v>
      </c>
      <c r="BA43" s="193">
        <f>IF(AZ43="","",BA14)</f>
        <v>90</v>
      </c>
      <c r="BB43" s="193">
        <f>IF(AZ43="","",BC14)</f>
        <v>10</v>
      </c>
      <c r="BC43" s="194" cm="1">
        <f t="array" ref="BC43">IF(BA43="","",MAX($C$5,IF(AZ43=90,IF(OR(BB43=BC$13,BB43=BC$14,BB43=AZ$4-BC$14,BB43=AZ$4-BC$13),BA$7,IF(OR(BA43=BA$20,BA43=BA$24),BA$8,IF(OR(BA43=BA$21:BA$23),BA$9))),BA$10)))</f>
        <v>40</v>
      </c>
      <c r="BD43" s="168"/>
      <c r="BE43" s="192">
        <f>IF(ROW(BE43)-ROW(BE$41)&lt;=BF$12,90,"")</f>
        <v>90</v>
      </c>
      <c r="BF43" s="193">
        <f>IF(BE43="","",BF14)</f>
        <v>90</v>
      </c>
      <c r="BG43" s="193">
        <f>IF(BE43="","",BH14)</f>
        <v>10</v>
      </c>
      <c r="BH43" s="194" cm="1">
        <f t="array" ref="BH43">IF(BF43="","",MAX($C$5,IF(BE43=90,IF(OR(BG43=BH$13,BG43=BH$14,BG43=BE$4-BH$14,BG43=BE$4-BH$13),BF$7,IF(OR(BF43=BF$20,BF43=BF$24),BF$8,IF(OR(BF43=BF$21:BF$23),BF$9))),BF$10)))</f>
        <v>40</v>
      </c>
      <c r="BI43" s="277"/>
      <c r="BJ43" s="192">
        <f>IF(ROW(BJ43)-ROW(BJ$41)&lt;=BK$12,90,"")</f>
        <v>90</v>
      </c>
      <c r="BK43" s="193">
        <f>IF(BJ43="","",BK14)</f>
        <v>50</v>
      </c>
      <c r="BL43" s="193">
        <f>IF(BJ43="","",BM14)</f>
        <v>10</v>
      </c>
      <c r="BM43" s="194" cm="1">
        <f t="array" ref="BM43">IF(BK43="","",MAX($C$5,IF(BJ43=90,IF(OR(BL43=BM$13,BL43=BM$14,BL43=BJ$4-BM$14,BL43=BJ$4-BM$13),BK$7,IF(OR(BK43=BK$20,BK43=BK$24),BK$8,IF(OR(BK43=BK$21:BK$23),BK$9))),BK$10)))</f>
        <v>40</v>
      </c>
      <c r="BN43" s="168"/>
      <c r="BO43" s="192">
        <f>IF(ROW(BO43)-ROW(BO$41)&lt;=BP$12,90,"")</f>
        <v>90</v>
      </c>
      <c r="BP43" s="193">
        <f>IF(BO43="","",BP14)</f>
        <v>50</v>
      </c>
      <c r="BQ43" s="193">
        <f>IF(BO43="","",BR14)</f>
        <v>10</v>
      </c>
      <c r="BR43" s="194" cm="1">
        <f t="array" ref="BR43">IF(BP43="","",MAX($C$5,IF(BO43=90,IF(OR(BQ43=BR$13,BQ43=BR$14,BQ43=BO$4-BR$14,BQ43=BO$4-BR$13),BP$7,IF(OR(BP43=BP$20,BP43=BP$24),BP$8,IF(OR(BP43=BP$21:BP$23),BP$9))),BP$10)))</f>
        <v>40</v>
      </c>
      <c r="BS43" s="168"/>
      <c r="BT43" s="192">
        <f>IF(ROW(BT43)-ROW(BT$41)&lt;=BU$12,90,"")</f>
        <v>90</v>
      </c>
      <c r="BU43" s="193">
        <f>IF(BT43="","",BU14)</f>
        <v>50</v>
      </c>
      <c r="BV43" s="193">
        <f>IF(BT43="","",BW14)</f>
        <v>10</v>
      </c>
      <c r="BW43" s="194" cm="1">
        <f t="array" ref="BW43">IF(BU43="","",MAX($C$5,IF(BT43=90,IF(OR(BV43=BW$13,BV43=BW$14,BV43=BT$4-BW$14,BV43=BT$4-BW$13),BU$7,IF(OR(BU43=BU$20,BU43=BU$24),BU$8,IF(OR(BU43=BU$21:BU$23),BU$9))),BU$10)))</f>
        <v>40</v>
      </c>
      <c r="BX43" s="288"/>
    </row>
    <row r="44" spans="1:76">
      <c r="A44" s="168"/>
      <c r="B44" s="192">
        <f>IF(ROW(B44)-ROW(B$41)&lt;=C$12,90,"")</f>
        <v>90</v>
      </c>
      <c r="C44" s="193">
        <f>+C15</f>
        <v>96</v>
      </c>
      <c r="D44" s="193">
        <f>+E15</f>
        <v>20</v>
      </c>
      <c r="E44" s="194" cm="1">
        <f t="array" ref="E44">IF(C44="","",MAX($C$5,IF(B44=90,IF(OR(D44=E$13,D44=E$14,D44=B$4-E$14,D44=B$4-E$13),C$7,IF(OR(C44=C$20,C44=C$24),C$8,IF(OR(C44=C$21:C$23),C$9))),C$10)))</f>
        <v>50</v>
      </c>
      <c r="F44" s="168"/>
      <c r="G44" s="192">
        <f>IF(ROW(G44)-ROW(G$41)&lt;=H$12,90,"")</f>
        <v>90</v>
      </c>
      <c r="H44" s="193">
        <f>+H15</f>
        <v>96</v>
      </c>
      <c r="I44" s="193">
        <f>+J15</f>
        <v>20</v>
      </c>
      <c r="J44" s="194" cm="1">
        <f t="array" ref="J44">IF(H44="","",MAX($C$5,IF(G44=90,IF(OR(I44=J$13,I44=J$14,I44=G$4-J$14,I44=G$4-J$13),H$7,IF(OR(H44=H$20,H44=H$24),H$8,IF(OR(H44=H$21:H$23),H$9))),H$10)))</f>
        <v>50</v>
      </c>
      <c r="K44" s="168"/>
      <c r="L44" s="192">
        <f>IF(ROW(L44)-ROW(L$41)&lt;=M$12,90,"")</f>
        <v>90</v>
      </c>
      <c r="M44" s="193">
        <f>+M15</f>
        <v>96</v>
      </c>
      <c r="N44" s="193">
        <f>+O15</f>
        <v>20</v>
      </c>
      <c r="O44" s="194" cm="1">
        <f t="array" ref="O44">IF(M44="","",MAX($C$5,IF(L44=90,IF(OR(N44=O$13,N44=O$14,N44=L$4-O$14,N44=L$4-O$13),M$7,IF(OR(M44=M$20,M44=M$24),M$8,IF(OR(M44=M$21:M$23),M$9))),M$10)))</f>
        <v>50</v>
      </c>
      <c r="P44" s="168"/>
      <c r="Q44" s="192">
        <f>IF(ROW(Q44)-ROW(Q$41)&lt;=R$12,90,"")</f>
        <v>90</v>
      </c>
      <c r="R44" s="193">
        <f>+R15</f>
        <v>96</v>
      </c>
      <c r="S44" s="193">
        <f>+T15</f>
        <v>20</v>
      </c>
      <c r="T44" s="194" cm="1">
        <f t="array" ref="T44">IF(R44="","",MAX($C$5,IF(Q44=90,IF(OR(S44=T$13,S44=T$14,S44=Q$4-T$14,S44=Q$4-T$13),R$7,IF(OR(R44=R$20,R44=R$24),R$8,IF(OR(R44=R$21:R$23),R$9))),R$10)))</f>
        <v>50</v>
      </c>
      <c r="U44" s="168"/>
      <c r="V44" s="192">
        <f>IF(ROW(V44)-ROW(V$41)&lt;=W$12,90,"")</f>
        <v>90</v>
      </c>
      <c r="W44" s="193">
        <f>+W15</f>
        <v>96</v>
      </c>
      <c r="X44" s="193">
        <f>+Y15</f>
        <v>20</v>
      </c>
      <c r="Y44" s="194" cm="1">
        <f t="array" ref="Y44">IF(W44="","",MAX($C$5,IF(V44=90,IF(OR(X44=Y$13,X44=Y$14,X44=V$4-Y$14,X44=V$4-Y$13),W$7,IF(OR(W44=W$20,W44=W$24),W$8,IF(OR(W44=W$21:W$23),W$9))),W$10)))</f>
        <v>50</v>
      </c>
      <c r="Z44" s="168"/>
      <c r="AA44" s="192">
        <f>IF(ROW(AA44)-ROW(AA$41)&lt;=AB$12,90,"")</f>
        <v>90</v>
      </c>
      <c r="AB44" s="193">
        <f>+AB15</f>
        <v>96</v>
      </c>
      <c r="AC44" s="193">
        <f>+AD15</f>
        <v>20</v>
      </c>
      <c r="AD44" s="194" cm="1">
        <f t="array" ref="AD44">IF(AB44="","",MAX($C$5,IF(AA44=90,IF(OR(AC44=AD$13,AC44=AD$14,AC44=AA$4-AD$14,AC44=AA$4-AD$13),AB$7,IF(OR(AB44=AB$20,AB44=AB$24),AB$8,IF(OR(AB44=AB$21:AB$23),AB$9))),AB$10)))</f>
        <v>50</v>
      </c>
      <c r="AE44" s="168"/>
      <c r="AF44" s="192">
        <f>IF(ROW(AF44)-ROW(AF$41)&lt;=AG$12,90,"")</f>
        <v>90</v>
      </c>
      <c r="AG44" s="193">
        <f>+AG15</f>
        <v>96</v>
      </c>
      <c r="AH44" s="193">
        <f>+AI15</f>
        <v>20</v>
      </c>
      <c r="AI44" s="194" cm="1">
        <f t="array" ref="AI44">IF(AG44="","",MAX($C$5,IF(AF44=90,IF(OR(AH44=AI$13,AH44=AI$14,AH44=AF$4-AI$14,AH44=AF$4-AI$13),AG$7,IF(OR(AG44=AG$20,AG44=AG$24),AG$8,IF(OR(AG44=AG$21:AG$23),AG$9))),AG$10)))</f>
        <v>50</v>
      </c>
      <c r="AJ44" s="168"/>
      <c r="AK44" s="192">
        <f>IF(ROW(AK44)-ROW(AK$41)&lt;=AL$12,90,"")</f>
        <v>90</v>
      </c>
      <c r="AL44" s="193">
        <f>+AL15</f>
        <v>96</v>
      </c>
      <c r="AM44" s="193">
        <f>+AN15</f>
        <v>20</v>
      </c>
      <c r="AN44" s="194" cm="1">
        <f t="array" ref="AN44">IF(AL44="","",MAX($C$5,IF(AK44=90,IF(OR(AM44=AN$13,AM44=AN$14,AM44=AK$4-AN$14,AM44=AK$4-AN$13),AL$7,IF(OR(AL44=AL$20,AL44=AL$24),AL$8,IF(OR(AL44=AL$21:AL$23),AL$9))),AL$10)))</f>
        <v>50</v>
      </c>
      <c r="AO44" s="168"/>
      <c r="AP44" s="244">
        <f>IF(ROW(AP44)-ROW(AP$41)&lt;=AQ$12,90,"")</f>
        <v>90</v>
      </c>
      <c r="AQ44" s="245">
        <f>+AQ15</f>
        <v>96</v>
      </c>
      <c r="AR44" s="245">
        <f>+AS15</f>
        <v>25</v>
      </c>
      <c r="AS44" s="194" cm="1">
        <f t="array" ref="AS44">IF(AQ44="","",MAX($C$5,IF(AP44=90,IF(OR(AR44=AS$13,AR44=AS$14,AR44=AP$4-AS$14,AR44=AP$4-AS$13),AQ$7,IF(OR(AQ44=AQ$20,AQ44=AQ$24),AQ$8,IF(OR(AQ44=AQ$21:AQ$23),AQ$9))),AQ$10)))</f>
        <v>50</v>
      </c>
      <c r="AT44" s="277"/>
      <c r="AU44" s="192" t="str">
        <f>IF(ROW(AU44)-ROW(AU$41)&lt;=AV$12,90,"")</f>
        <v/>
      </c>
      <c r="AV44" s="193" t="str">
        <f>IF(AU44="","",AV15)</f>
        <v/>
      </c>
      <c r="AW44" s="193" t="str">
        <f>IF(AU44="","",AX15)</f>
        <v/>
      </c>
      <c r="AX44" s="194" t="str" cm="1">
        <f t="array" ref="AX44">IF(AV44="","",MAX($C$5,IF(AU44=90,IF(OR(AW44=AX$13,AW44=AX$14,AW44=AU$4-AX$14,AW44=AU$4-AX$13),AV$7,IF(OR(AV44=AV$20,AV44=AV$24),AV$8,IF(OR(AV44=AV$21:AV$23),AV$9))),AV$10)))</f>
        <v/>
      </c>
      <c r="AY44" s="168"/>
      <c r="AZ44" s="192" t="str">
        <f>IF(ROW(AZ44)-ROW(AZ$41)&lt;=BA$12,90,"")</f>
        <v/>
      </c>
      <c r="BA44" s="193" t="str">
        <f>IF(AZ44="","",BA15)</f>
        <v/>
      </c>
      <c r="BB44" s="193" t="str">
        <f>IF(AZ44="","",BC15)</f>
        <v/>
      </c>
      <c r="BC44" s="194" t="str" cm="1">
        <f t="array" ref="BC44">IF(BA44="","",MAX($C$5,IF(AZ44=90,IF(OR(BB44=BC$13,BB44=BC$14,BB44=AZ$4-BC$14,BB44=AZ$4-BC$13),BA$7,IF(OR(BA44=BA$20,BA44=BA$24),BA$8,IF(OR(BA44=BA$21:BA$23),BA$9))),BA$10)))</f>
        <v/>
      </c>
      <c r="BD44" s="168"/>
      <c r="BE44" s="192" t="str">
        <f>IF(ROW(BE44)-ROW(BE$41)&lt;=BF$12,90,"")</f>
        <v/>
      </c>
      <c r="BF44" s="193" t="str">
        <f>IF(BE44="","",BF15)</f>
        <v/>
      </c>
      <c r="BG44" s="193" t="str">
        <f>IF(BE44="","",BH15)</f>
        <v/>
      </c>
      <c r="BH44" s="194" t="str" cm="1">
        <f t="array" ref="BH44">IF(BF44="","",MAX($C$5,IF(BE44=90,IF(OR(BG44=BH$13,BG44=BH$14,BG44=BE$4-BH$14,BG44=BE$4-BH$13),BF$7,IF(OR(BF44=BF$20,BF44=BF$24),BF$8,IF(OR(BF44=BF$21:BF$23),BF$9))),BF$10)))</f>
        <v/>
      </c>
      <c r="BI44" s="277"/>
      <c r="BJ44" s="192" t="str">
        <f>IF(ROW(BJ44)-ROW(BJ$41)&lt;=BK$12,90,"")</f>
        <v/>
      </c>
      <c r="BK44" s="193" t="str">
        <f>IF(BJ44="","",BK15)</f>
        <v/>
      </c>
      <c r="BL44" s="193" t="str">
        <f>IF(BJ44="","",BM15)</f>
        <v/>
      </c>
      <c r="BM44" s="194" t="str" cm="1">
        <f t="array" ref="BM44">IF(BK44="","",MAX($C$5,IF(BJ44=90,IF(OR(BL44=BM$13,BL44=BM$14,BL44=BJ$4-BM$14,BL44=BJ$4-BM$13),BK$7,IF(OR(BK44=BK$20,BK44=BK$24),BK$8,IF(OR(BK44=BK$21:BK$23),BK$9))),BK$10)))</f>
        <v/>
      </c>
      <c r="BN44" s="168"/>
      <c r="BO44" s="192" t="str">
        <f>IF(ROW(BO44)-ROW(BO$41)&lt;=BP$12,90,"")</f>
        <v/>
      </c>
      <c r="BP44" s="193" t="str">
        <f>IF(BO44="","",BP15)</f>
        <v/>
      </c>
      <c r="BQ44" s="193" t="str">
        <f>IF(BO44="","",BR15)</f>
        <v/>
      </c>
      <c r="BR44" s="194" t="str" cm="1">
        <f t="array" ref="BR44">IF(BP44="","",MAX($C$5,IF(BO44=90,IF(OR(BQ44=BR$13,BQ44=BR$14,BQ44=BO$4-BR$14,BQ44=BO$4-BR$13),BP$7,IF(OR(BP44=BP$20,BP44=BP$24),BP$8,IF(OR(BP44=BP$21:BP$23),BP$9))),BP$10)))</f>
        <v/>
      </c>
      <c r="BS44" s="168"/>
      <c r="BT44" s="192" t="str">
        <f>IF(ROW(BT44)-ROW(BT$41)&lt;=BU$12,90,"")</f>
        <v/>
      </c>
      <c r="BU44" s="193" t="str">
        <f>IF(BT44="","",BU15)</f>
        <v/>
      </c>
      <c r="BV44" s="193" t="str">
        <f>IF(BT44="","",BW15)</f>
        <v/>
      </c>
      <c r="BW44" s="194" t="str" cm="1">
        <f t="array" ref="BW44">IF(BU44="","",MAX($C$5,IF(BT44=90,IF(OR(BV44=BW$13,BV44=BW$14,BV44=BT$4-BW$14,BV44=BT$4-BW$13),BU$7,IF(OR(BU44=BU$20,BU44=BU$24),BU$8,IF(OR(BU44=BU$21:BU$23),BU$9))),BU$10)))</f>
        <v/>
      </c>
      <c r="BX44" s="288"/>
    </row>
    <row r="45" spans="1:76">
      <c r="A45" s="168"/>
      <c r="B45" s="195">
        <f>IF(ROW(B45)-ROW(B$41)&lt;=C$12,90,"")</f>
        <v>90</v>
      </c>
      <c r="C45" s="196">
        <f>+C16</f>
        <v>140</v>
      </c>
      <c r="D45" s="196">
        <f>+E16</f>
        <v>10</v>
      </c>
      <c r="E45" s="197" cm="1">
        <f t="array" ref="E45">IF(C45="","",MAX($C$5,IF(B45=90,IF(OR(D45=E$13,D45=E$14,D45=B$4-E$14,D45=B$4-E$13),C$7,IF(OR(C45=C$20,C45=C$24),C$8,IF(OR(C45=C$21:C$23),C$9))),C$10)))</f>
        <v>50</v>
      </c>
      <c r="F45" s="168"/>
      <c r="G45" s="195">
        <f>IF(ROW(G45)-ROW(G$41)&lt;=H$12,90,"")</f>
        <v>90</v>
      </c>
      <c r="H45" s="196">
        <f>+H16</f>
        <v>140</v>
      </c>
      <c r="I45" s="196">
        <f>+J16</f>
        <v>10</v>
      </c>
      <c r="J45" s="197" cm="1">
        <f t="array" ref="J45">IF(H45="","",MAX($C$5,IF(G45=90,IF(OR(I45=J$13,I45=J$14,I45=G$4-J$14,I45=G$4-J$13),H$7,IF(OR(H45=H$20,H45=H$24),H$8,IF(OR(H45=H$21:H$23),H$9))),H$10)))</f>
        <v>50</v>
      </c>
      <c r="K45" s="168"/>
      <c r="L45" s="195">
        <f>IF(ROW(L45)-ROW(L$41)&lt;=M$12,90,"")</f>
        <v>90</v>
      </c>
      <c r="M45" s="196">
        <f>+M16</f>
        <v>140</v>
      </c>
      <c r="N45" s="196">
        <f>+O16</f>
        <v>10</v>
      </c>
      <c r="O45" s="197" cm="1">
        <f t="array" ref="O45">IF(M45="","",MAX($C$5,IF(L45=90,IF(OR(N45=O$13,N45=O$14,N45=L$4-O$14,N45=L$4-O$13),M$7,IF(OR(M45=M$20,M45=M$24),M$8,IF(OR(M45=M$21:M$23),M$9))),M$10)))</f>
        <v>50</v>
      </c>
      <c r="P45" s="168"/>
      <c r="Q45" s="195">
        <f>IF(ROW(Q45)-ROW(Q$41)&lt;=R$12,90,"")</f>
        <v>90</v>
      </c>
      <c r="R45" s="196">
        <f>+R16</f>
        <v>140</v>
      </c>
      <c r="S45" s="196">
        <f>+T16</f>
        <v>10</v>
      </c>
      <c r="T45" s="197" cm="1">
        <f t="array" ref="T45">IF(R45="","",MAX($C$5,IF(Q45=90,IF(OR(S45=T$13,S45=T$14,S45=Q$4-T$14,S45=Q$4-T$13),R$7,IF(OR(R45=R$20,R45=R$24),R$8,IF(OR(R45=R$21:R$23),R$9))),R$10)))</f>
        <v>50</v>
      </c>
      <c r="U45" s="168"/>
      <c r="V45" s="195">
        <f>IF(ROW(V45)-ROW(V$41)&lt;=W$12,90,"")</f>
        <v>90</v>
      </c>
      <c r="W45" s="196">
        <f>+W16</f>
        <v>140</v>
      </c>
      <c r="X45" s="196">
        <f>+Y16</f>
        <v>10</v>
      </c>
      <c r="Y45" s="197" cm="1">
        <f t="array" ref="Y45">IF(W45="","",MAX($C$5,IF(V45=90,IF(OR(X45=Y$13,X45=Y$14,X45=V$4-Y$14,X45=V$4-Y$13),W$7,IF(OR(W45=W$20,W45=W$24),W$8,IF(OR(W45=W$21:W$23),W$9))),W$10)))</f>
        <v>50</v>
      </c>
      <c r="Z45" s="168"/>
      <c r="AA45" s="195">
        <f>IF(ROW(AA45)-ROW(AA$41)&lt;=AB$12,90,"")</f>
        <v>90</v>
      </c>
      <c r="AB45" s="196">
        <f>+AB16</f>
        <v>140</v>
      </c>
      <c r="AC45" s="196">
        <f>+AD16</f>
        <v>10</v>
      </c>
      <c r="AD45" s="197" cm="1">
        <f t="array" ref="AD45">IF(AB45="","",MAX($C$5,IF(AA45=90,IF(OR(AC45=AD$13,AC45=AD$14,AC45=AA$4-AD$14,AC45=AA$4-AD$13),AB$7,IF(OR(AB45=AB$20,AB45=AB$24),AB$8,IF(OR(AB45=AB$21:AB$23),AB$9))),AB$10)))</f>
        <v>50</v>
      </c>
      <c r="AE45" s="168"/>
      <c r="AF45" s="195">
        <f>IF(ROW(AF45)-ROW(AF$41)&lt;=AG$12,90,"")</f>
        <v>90</v>
      </c>
      <c r="AG45" s="196">
        <f>+AG16</f>
        <v>140</v>
      </c>
      <c r="AH45" s="196">
        <f>+AI16</f>
        <v>10</v>
      </c>
      <c r="AI45" s="197" cm="1">
        <f t="array" ref="AI45">IF(AG45="","",MAX($C$5,IF(AF45=90,IF(OR(AH45=AI$13,AH45=AI$14,AH45=AF$4-AI$14,AH45=AF$4-AI$13),AG$7,IF(OR(AG45=AG$20,AG45=AG$24),AG$8,IF(OR(AG45=AG$21:AG$23),AG$9))),AG$10)))</f>
        <v>50</v>
      </c>
      <c r="AJ45" s="168"/>
      <c r="AK45" s="195">
        <f>IF(ROW(AK45)-ROW(AK$41)&lt;=AL$12,90,"")</f>
        <v>90</v>
      </c>
      <c r="AL45" s="196">
        <f>+AL16</f>
        <v>140</v>
      </c>
      <c r="AM45" s="196">
        <f>+AN16</f>
        <v>10</v>
      </c>
      <c r="AN45" s="197" cm="1">
        <f t="array" ref="AN45">IF(AL45="","",MAX($C$5,IF(AK45=90,IF(OR(AM45=AN$13,AM45=AN$14,AM45=AK$4-AN$14,AM45=AK$4-AN$13),AL$7,IF(OR(AL45=AL$20,AL45=AL$24),AL$8,IF(OR(AL45=AL$21:AL$23),AL$9))),AL$10)))</f>
        <v>50</v>
      </c>
      <c r="AO45" s="168"/>
      <c r="AP45" s="247">
        <f>IF(ROW(AP45)-ROW(AP$41)&lt;=AQ$12,90,"")</f>
        <v>90</v>
      </c>
      <c r="AQ45" s="248">
        <f>+AQ16</f>
        <v>140</v>
      </c>
      <c r="AR45" s="248">
        <f>+AS16</f>
        <v>15</v>
      </c>
      <c r="AS45" s="197" cm="1">
        <f t="array" ref="AS45">IF(AQ45="","",MAX($C$5,IF(AP45=90,IF(OR(AR45=AS$13,AR45=AS$14,AR45=AP$4-AS$14,AR45=AP$4-AS$13),AQ$7,IF(OR(AQ45=AQ$20,AQ45=AQ$24),AQ$8,IF(OR(AQ45=AQ$21:AQ$23),AQ$9))),AQ$10)))</f>
        <v>50</v>
      </c>
      <c r="AT45" s="277"/>
      <c r="AU45" s="192" t="str">
        <f>IF(ROW(AU45)-ROW(AU$41)&lt;=AV$12,90,"")</f>
        <v/>
      </c>
      <c r="AV45" s="193" t="str">
        <f>IF(AU45="","",AV16)</f>
        <v/>
      </c>
      <c r="AW45" s="193" t="str">
        <f>IF(AU45="","",AX16)</f>
        <v/>
      </c>
      <c r="AX45" s="197" t="str" cm="1">
        <f t="array" ref="AX45">IF(AV45="","",MAX($C$5,IF(AU45=90,IF(OR(AW45=AX$13,AW45=AX$14,AW45=AU$4-AX$14,AW45=AU$4-AX$13),AV$7,IF(OR(AV45=AV$20,AV45=AV$24),AV$8,IF(OR(AV45=AV$21:AV$23),AV$9))),AV$10)))</f>
        <v/>
      </c>
      <c r="AY45" s="168"/>
      <c r="AZ45" s="192" t="str">
        <f>IF(ROW(AZ45)-ROW(AZ$41)&lt;=BA$12,90,"")</f>
        <v/>
      </c>
      <c r="BA45" s="193" t="str">
        <f>IF(AZ45="","",BA16)</f>
        <v/>
      </c>
      <c r="BB45" s="193" t="str">
        <f>IF(AZ45="","",BC16)</f>
        <v/>
      </c>
      <c r="BC45" s="197" t="str" cm="1">
        <f t="array" ref="BC45">IF(BA45="","",MAX($C$5,IF(AZ45=90,IF(OR(BB45=BC$13,BB45=BC$14,BB45=AZ$4-BC$14,BB45=AZ$4-BC$13),BA$7,IF(OR(BA45=BA$20,BA45=BA$24),BA$8,IF(OR(BA45=BA$21:BA$23),BA$9))),BA$10)))</f>
        <v/>
      </c>
      <c r="BD45" s="168"/>
      <c r="BE45" s="192" t="str">
        <f>IF(ROW(BE45)-ROW(BE$41)&lt;=BF$12,90,"")</f>
        <v/>
      </c>
      <c r="BF45" s="193" t="str">
        <f>IF(BE45="","",BF16)</f>
        <v/>
      </c>
      <c r="BG45" s="193" t="str">
        <f>IF(BE45="","",BH16)</f>
        <v/>
      </c>
      <c r="BH45" s="197" t="str" cm="1">
        <f t="array" ref="BH45">IF(BF45="","",MAX($C$5,IF(BE45=90,IF(OR(BG45=BH$13,BG45=BH$14,BG45=BE$4-BH$14,BG45=BE$4-BH$13),BF$7,IF(OR(BF45=BF$20,BF45=BF$24),BF$8,IF(OR(BF45=BF$21:BF$23),BF$9))),BF$10)))</f>
        <v/>
      </c>
      <c r="BI45" s="277"/>
      <c r="BJ45" s="195" t="str">
        <f>IF(ROW(BJ45)-ROW(BJ$41)&lt;=BK$12,90,"")</f>
        <v/>
      </c>
      <c r="BK45" s="193" t="str">
        <f>IF(BJ45="","",BK16)</f>
        <v/>
      </c>
      <c r="BL45" s="193" t="str">
        <f>IF(BJ45="","",BM16)</f>
        <v/>
      </c>
      <c r="BM45" s="197" t="str" cm="1">
        <f t="array" ref="BM45">IF(BK45="","",MAX($C$5,IF(BJ45=90,IF(OR(BL45=BM$13,BL45=BM$14,BL45=BJ$4-BM$14,BL45=BJ$4-BM$13),BK$7,IF(OR(BK45=BK$20,BK45=BK$24),BK$8,IF(OR(BK45=BK$21:BK$23),BK$9))),BK$10)))</f>
        <v/>
      </c>
      <c r="BN45" s="168"/>
      <c r="BO45" s="195" t="str">
        <f>IF(ROW(BO45)-ROW(BO$41)&lt;=BP$12,90,"")</f>
        <v/>
      </c>
      <c r="BP45" s="193" t="str">
        <f>IF(BO45="","",BP16)</f>
        <v/>
      </c>
      <c r="BQ45" s="193" t="str">
        <f>IF(BO45="","",BR16)</f>
        <v/>
      </c>
      <c r="BR45" s="197" t="str" cm="1">
        <f t="array" ref="BR45">IF(BP45="","",MAX($C$5,IF(BO45=90,IF(OR(BQ45=BR$13,BQ45=BR$14,BQ45=BO$4-BR$14,BQ45=BO$4-BR$13),BP$7,IF(OR(BP45=BP$20,BP45=BP$24),BP$8,IF(OR(BP45=BP$21:BP$23),BP$9))),BP$10)))</f>
        <v/>
      </c>
      <c r="BS45" s="168"/>
      <c r="BT45" s="195" t="str">
        <f>IF(ROW(BT45)-ROW(BT$41)&lt;=BU$12,90,"")</f>
        <v/>
      </c>
      <c r="BU45" s="193" t="str">
        <f>IF(BT45="","",BU16)</f>
        <v/>
      </c>
      <c r="BV45" s="193" t="str">
        <f>IF(BT45="","",BW16)</f>
        <v/>
      </c>
      <c r="BW45" s="197" t="str" cm="1">
        <f t="array" ref="BW45">IF(BU45="","",MAX($C$5,IF(BT45=90,IF(OR(BV45=BW$13,BV45=BW$14,BV45=BT$4-BW$14,BV45=BT$4-BW$13),BU$7,IF(OR(BU45=BU$20,BU45=BU$24),BU$8,IF(OR(BU45=BU$21:BU$23),BU$9))),BU$10)))</f>
        <v/>
      </c>
      <c r="BX45" s="288"/>
    </row>
    <row r="46" spans="1:76">
      <c r="A46" s="168" t="s">
        <v>217</v>
      </c>
      <c r="B46" s="189">
        <f>IF(ROW(B46)-ROW(B$45)&lt;=C$12,90,"")</f>
        <v>90</v>
      </c>
      <c r="C46" s="190">
        <f>+C13</f>
        <v>10</v>
      </c>
      <c r="D46" s="190">
        <f>B$4-E13</f>
        <v>1080</v>
      </c>
      <c r="E46" s="191" cm="1">
        <f t="array" ref="E46">IF(C46="","",MAX($C$5,IF(B46=90,IF(OR(D46=E$13,D46=E$14,D46=B$4-E$14,D46=B$4-E$13),C$7,IF(OR(C46=C$20,C46=C$24),C$8,IF(OR(C46=C$21:C$23),C$9))),C$10)))</f>
        <v>50</v>
      </c>
      <c r="F46" s="168" t="s">
        <v>217</v>
      </c>
      <c r="G46" s="189">
        <f>IF(ROW(G46)-ROW(G$45)&lt;=H$12,90,"")</f>
        <v>90</v>
      </c>
      <c r="H46" s="190">
        <f>+H13</f>
        <v>10</v>
      </c>
      <c r="I46" s="190">
        <f>G$4-J13</f>
        <v>840</v>
      </c>
      <c r="J46" s="191" cm="1">
        <f t="array" ref="J46">IF(H46="","",MAX($C$5,IF(G46=90,IF(OR(I46=J$13,I46=J$14,I46=G$4-J$14,I46=G$4-J$13),H$7,IF(OR(H46=H$20,H46=H$24),H$8,IF(OR(H46=H$21:H$23),H$9))),H$10)))</f>
        <v>50</v>
      </c>
      <c r="K46" s="168" t="s">
        <v>217</v>
      </c>
      <c r="L46" s="189">
        <f>IF(ROW(L46)-ROW(L$45)&lt;=M$12,90,"")</f>
        <v>90</v>
      </c>
      <c r="M46" s="190">
        <f>+M13</f>
        <v>10</v>
      </c>
      <c r="N46" s="190">
        <f>L$4-O13</f>
        <v>780</v>
      </c>
      <c r="O46" s="191" cm="1">
        <f t="array" ref="O46">IF(M46="","",MAX($C$5,IF(L46=90,IF(OR(N46=O$13,N46=O$14,N46=L$4-O$14,N46=L$4-O$13),M$7,IF(OR(M46=M$20,M46=M$24),M$8,IF(OR(M46=M$21:M$23),M$9))),M$10)))</f>
        <v>50</v>
      </c>
      <c r="P46" s="168" t="s">
        <v>217</v>
      </c>
      <c r="Q46" s="189">
        <f>IF(ROW(Q46)-ROW(Q$45)&lt;=R$12,90,"")</f>
        <v>90</v>
      </c>
      <c r="R46" s="190">
        <f>+R13</f>
        <v>10</v>
      </c>
      <c r="S46" s="190">
        <f>Q$4-T13</f>
        <v>720</v>
      </c>
      <c r="T46" s="191" cm="1">
        <f t="array" ref="T46">IF(R46="","",MAX($C$5,IF(Q46=90,IF(OR(S46=T$13,S46=T$14,S46=Q$4-T$14,S46=Q$4-T$13),R$7,IF(OR(R46=R$20,R46=R$24),R$8,IF(OR(R46=R$21:R$23),R$9))),R$10)))</f>
        <v>50</v>
      </c>
      <c r="U46" s="168" t="s">
        <v>217</v>
      </c>
      <c r="V46" s="189">
        <f>IF(ROW(V46)-ROW(V$45)&lt;=W$12,90,"")</f>
        <v>90</v>
      </c>
      <c r="W46" s="190">
        <f>+W13</f>
        <v>10</v>
      </c>
      <c r="X46" s="190">
        <f>V$4-Y13</f>
        <v>600</v>
      </c>
      <c r="Y46" s="191" cm="1">
        <f t="array" ref="Y46">IF(W46="","",MAX($C$5,IF(V46=90,IF(OR(X46=Y$13,X46=Y$14,X46=V$4-Y$14,X46=V$4-Y$13),W$7,IF(OR(W46=W$20,W46=W$24),W$8,IF(OR(W46=W$21:W$23),W$9))),W$10)))</f>
        <v>50</v>
      </c>
      <c r="Z46" s="168" t="s">
        <v>217</v>
      </c>
      <c r="AA46" s="189">
        <f>IF(ROW(AA46)-ROW(AA$45)&lt;=AB$12,90,"")</f>
        <v>90</v>
      </c>
      <c r="AB46" s="190">
        <f>+AB13</f>
        <v>10</v>
      </c>
      <c r="AC46" s="190">
        <f>AA$4-AD13</f>
        <v>540</v>
      </c>
      <c r="AD46" s="191" cm="1">
        <f t="array" ref="AD46">IF(AB46="","",MAX($C$5,IF(AA46=90,IF(OR(AC46=AD$13,AC46=AD$14,AC46=AA$4-AD$14,AC46=AA$4-AD$13),AB$7,IF(OR(AB46=AB$20,AB46=AB$24),AB$8,IF(OR(AB46=AB$21:AB$23),AB$9))),AB$10)))</f>
        <v>50</v>
      </c>
      <c r="AE46" s="168" t="s">
        <v>217</v>
      </c>
      <c r="AF46" s="189">
        <f>IF(ROW(AF46)-ROW(AF$45)&lt;=AG$12,90,"")</f>
        <v>90</v>
      </c>
      <c r="AG46" s="190">
        <f>+AG13</f>
        <v>10</v>
      </c>
      <c r="AH46" s="190">
        <f>AF$4-AI13</f>
        <v>420</v>
      </c>
      <c r="AI46" s="191" cm="1">
        <f t="array" ref="AI46">IF(AG46="","",MAX($C$5,IF(AF46=90,IF(OR(AH46=AI$13,AH46=AI$14,AH46=AF$4-AI$14,AH46=AF$4-AI$13),AG$7,IF(OR(AG46=AG$20,AG46=AG$24),AG$8,IF(OR(AG46=AG$21:AG$23),AG$9))),AG$10)))</f>
        <v>50</v>
      </c>
      <c r="AJ46" s="168" t="s">
        <v>217</v>
      </c>
      <c r="AK46" s="189">
        <f>IF(ROW(AK46)-ROW(AK$45)&lt;=AL$12,90,"")</f>
        <v>90</v>
      </c>
      <c r="AL46" s="190">
        <f>+AL13</f>
        <v>10</v>
      </c>
      <c r="AM46" s="190">
        <f>AK$4-AN13</f>
        <v>300</v>
      </c>
      <c r="AN46" s="191" cm="1">
        <f t="array" ref="AN46">IF(AL46="","",MAX($C$5,IF(AK46=90,IF(OR(AM46=AN$13,AM46=AN$14,AM46=AK$4-AN$14,AM46=AK$4-AN$13),AL$7,IF(OR(AL46=AL$20,AL46=AL$24),AL$8,IF(OR(AL46=AL$21:AL$23),AL$9))),AL$10)))</f>
        <v>50</v>
      </c>
      <c r="AO46" s="168" t="s">
        <v>217</v>
      </c>
      <c r="AP46" s="241">
        <f>IF(ROW(AP46)-ROW(AP$45)&lt;=AQ$12,90,"")</f>
        <v>90</v>
      </c>
      <c r="AQ46" s="242">
        <f>+AQ13</f>
        <v>10</v>
      </c>
      <c r="AR46" s="242">
        <f>AP$4-AS13</f>
        <v>1015</v>
      </c>
      <c r="AS46" s="191" cm="1">
        <f t="array" ref="AS46">IF(AQ46="","",MAX($C$5,IF(AP46=90,IF(OR(AR46=AS$13,AR46=AS$14,AR46=AP$4-AS$14,AR46=AP$4-AS$13),AQ$7,IF(OR(AQ46=AQ$20,AQ46=AQ$24),AQ$8,IF(OR(AQ46=AQ$21:AQ$23),AQ$9))),AQ$10)))</f>
        <v>50</v>
      </c>
      <c r="AT46" s="277" t="s">
        <v>217</v>
      </c>
      <c r="AU46" s="189">
        <f>IF(ROW(AU46)-ROW(AU$45)&lt;=AV$12,90,"")</f>
        <v>90</v>
      </c>
      <c r="AV46" s="190">
        <f>IF(AU46="","",AV13)</f>
        <v>10</v>
      </c>
      <c r="AW46" s="190">
        <f>IF(AU46="","",AU$4-AX13)</f>
        <v>540</v>
      </c>
      <c r="AX46" s="191" cm="1">
        <f t="array" ref="AX46">IF(AV46="","",MAX($C$5,IF(AU46=90,IF(OR(AW46=AX$13,AW46=AX$14,AW46=AU$4-AX$14,AW46=AU$4-AX$13),AV$7,IF(OR(AV46=AV$20,AV46=AV$24),AV$8,IF(OR(AV46=AV$21:AV$23),AV$9))),AV$10)))</f>
        <v>40</v>
      </c>
      <c r="AY46" s="168" t="s">
        <v>217</v>
      </c>
      <c r="AZ46" s="189">
        <f>IF(ROW(AZ46)-ROW(AZ$45)&lt;=BA$12,90,"")</f>
        <v>90</v>
      </c>
      <c r="BA46" s="190">
        <f>IF(AZ46="","",BA13)</f>
        <v>10</v>
      </c>
      <c r="BB46" s="190">
        <f>IF(AZ46="","",AZ$4-BC13)</f>
        <v>420</v>
      </c>
      <c r="BC46" s="191" cm="1">
        <f t="array" ref="BC46">IF(BA46="","",MAX($C$5,IF(AZ46=90,IF(OR(BB46=BC$13,BB46=BC$14,BB46=AZ$4-BC$14,BB46=AZ$4-BC$13),BA$7,IF(OR(BA46=BA$20,BA46=BA$24),BA$8,IF(OR(BA46=BA$21:BA$23),BA$9))),BA$10)))</f>
        <v>40</v>
      </c>
      <c r="BD46" s="168" t="s">
        <v>217</v>
      </c>
      <c r="BE46" s="189">
        <f>IF(ROW(BE46)-ROW(BE$45)&lt;=BF$12,90,"")</f>
        <v>90</v>
      </c>
      <c r="BF46" s="190">
        <f>IF(BE46="","",BF13)</f>
        <v>10</v>
      </c>
      <c r="BG46" s="190">
        <f>IF(BE46="","",BE$4-BH13)</f>
        <v>300</v>
      </c>
      <c r="BH46" s="191" cm="1">
        <f t="array" ref="BH46">IF(BF46="","",MAX($C$5,IF(BE46=90,IF(OR(BG46=BH$13,BG46=BH$14,BG46=BE$4-BH$14,BG46=BE$4-BH$13),BF$7,IF(OR(BF46=BF$20,BF46=BF$24),BF$8,IF(OR(BF46=BF$21:BF$23),BF$9))),BF$10)))</f>
        <v>40</v>
      </c>
      <c r="BI46" s="277" t="s">
        <v>217</v>
      </c>
      <c r="BJ46" s="189">
        <f>IF(ROW(BJ46)-ROW(BJ$45)&lt;=BK$12,90,"")</f>
        <v>90</v>
      </c>
      <c r="BK46" s="190">
        <f>IF(BJ46="","",BK13)</f>
        <v>10</v>
      </c>
      <c r="BL46" s="190">
        <f>IF(BJ46="","",BJ$4-BM13)</f>
        <v>540</v>
      </c>
      <c r="BM46" s="191" cm="1">
        <f t="array" ref="BM46">IF(BK46="","",MAX($C$5,IF(BJ46=90,IF(OR(BL46=BM$13,BL46=BM$14,BL46=BJ$4-BM$14,BL46=BJ$4-BM$13),BK$7,IF(OR(BK46=BK$20,BK46=BK$24),BK$8,IF(OR(BK46=BK$21:BK$23),BK$9))),BK$10)))</f>
        <v>40</v>
      </c>
      <c r="BN46" s="168" t="s">
        <v>217</v>
      </c>
      <c r="BO46" s="189">
        <f>IF(ROW(BO46)-ROW(BO$45)&lt;=BP$12,90,"")</f>
        <v>90</v>
      </c>
      <c r="BP46" s="190">
        <f>IF(BO46="","",BP13)</f>
        <v>10</v>
      </c>
      <c r="BQ46" s="190">
        <f>IF(BO46="","",BO$4-BR13)</f>
        <v>420</v>
      </c>
      <c r="BR46" s="191" cm="1">
        <f t="array" ref="BR46">IF(BP46="","",MAX($C$5,IF(BO46=90,IF(OR(BQ46=BR$13,BQ46=BR$14,BQ46=BO$4-BR$14,BQ46=BO$4-BR$13),BP$7,IF(OR(BP46=BP$20,BP46=BP$24),BP$8,IF(OR(BP46=BP$21:BP$23),BP$9))),BP$10)))</f>
        <v>40</v>
      </c>
      <c r="BS46" s="168" t="s">
        <v>217</v>
      </c>
      <c r="BT46" s="189">
        <f>IF(ROW(BT46)-ROW(BT$45)&lt;=BU$12,90,"")</f>
        <v>90</v>
      </c>
      <c r="BU46" s="190">
        <f>IF(BT46="","",BU13)</f>
        <v>10</v>
      </c>
      <c r="BV46" s="190">
        <f>IF(BT46="","",BT$4-BW13)</f>
        <v>300</v>
      </c>
      <c r="BW46" s="191" cm="1">
        <f t="array" ref="BW46">IF(BU46="","",MAX($C$5,IF(BT46=90,IF(OR(BV46=BW$13,BV46=BW$14,BV46=BT$4-BW$14,BV46=BT$4-BW$13),BU$7,IF(OR(BU46=BU$20,BU46=BU$24),BU$8,IF(OR(BU46=BU$21:BU$23),BU$9))),BU$10)))</f>
        <v>40</v>
      </c>
      <c r="BX46" s="288"/>
    </row>
    <row r="47" spans="1:76">
      <c r="A47" s="168"/>
      <c r="B47" s="192">
        <f>IF(ROW(B47)-ROW(B$45)&lt;=C$12,90,"")</f>
        <v>90</v>
      </c>
      <c r="C47" s="193">
        <f>+C14</f>
        <v>54</v>
      </c>
      <c r="D47" s="193">
        <f>B$4-E14</f>
        <v>1070</v>
      </c>
      <c r="E47" s="194" cm="1">
        <f t="array" ref="E47">IF(C47="","",MAX($C$5,IF(B47=90,IF(OR(D47=E$13,D47=E$14,D47=B$4-E$14,D47=B$4-E$13),C$7,IF(OR(C47=C$20,C47=C$24),C$8,IF(OR(C47=C$21:C$23),C$9))),C$10)))</f>
        <v>50</v>
      </c>
      <c r="F47" s="168"/>
      <c r="G47" s="192">
        <f>IF(ROW(G47)-ROW(G$45)&lt;=H$12,90,"")</f>
        <v>90</v>
      </c>
      <c r="H47" s="193">
        <f>+H14</f>
        <v>54</v>
      </c>
      <c r="I47" s="193">
        <f>G$4-J14</f>
        <v>830</v>
      </c>
      <c r="J47" s="194" cm="1">
        <f t="array" ref="J47">IF(H47="","",MAX($C$5,IF(G47=90,IF(OR(I47=J$13,I47=J$14,I47=G$4-J$14,I47=G$4-J$13),H$7,IF(OR(H47=H$20,H47=H$24),H$8,IF(OR(H47=H$21:H$23),H$9))),H$10)))</f>
        <v>50</v>
      </c>
      <c r="K47" s="168"/>
      <c r="L47" s="192">
        <f>IF(ROW(L47)-ROW(L$45)&lt;=M$12,90,"")</f>
        <v>90</v>
      </c>
      <c r="M47" s="193">
        <f>+M14</f>
        <v>54</v>
      </c>
      <c r="N47" s="193">
        <f>L$4-O14</f>
        <v>770</v>
      </c>
      <c r="O47" s="194" cm="1">
        <f t="array" ref="O47">IF(M47="","",MAX($C$5,IF(L47=90,IF(OR(N47=O$13,N47=O$14,N47=L$4-O$14,N47=L$4-O$13),M$7,IF(OR(M47=M$20,M47=M$24),M$8,IF(OR(M47=M$21:M$23),M$9))),M$10)))</f>
        <v>50</v>
      </c>
      <c r="P47" s="168"/>
      <c r="Q47" s="192">
        <f>IF(ROW(Q47)-ROW(Q$45)&lt;=R$12,90,"")</f>
        <v>90</v>
      </c>
      <c r="R47" s="193">
        <f>+R14</f>
        <v>54</v>
      </c>
      <c r="S47" s="193">
        <f>Q$4-T14</f>
        <v>710</v>
      </c>
      <c r="T47" s="194" cm="1">
        <f t="array" ref="T47">IF(R47="","",MAX($C$5,IF(Q47=90,IF(OR(S47=T$13,S47=T$14,S47=Q$4-T$14,S47=Q$4-T$13),R$7,IF(OR(R47=R$20,R47=R$24),R$8,IF(OR(R47=R$21:R$23),R$9))),R$10)))</f>
        <v>50</v>
      </c>
      <c r="U47" s="168"/>
      <c r="V47" s="192">
        <f>IF(ROW(V47)-ROW(V$45)&lt;=W$12,90,"")</f>
        <v>90</v>
      </c>
      <c r="W47" s="193">
        <f>+W14</f>
        <v>54</v>
      </c>
      <c r="X47" s="193">
        <f>V$4-Y14</f>
        <v>590</v>
      </c>
      <c r="Y47" s="194" cm="1">
        <f t="array" ref="Y47">IF(W47="","",MAX($C$5,IF(V47=90,IF(OR(X47=Y$13,X47=Y$14,X47=V$4-Y$14,X47=V$4-Y$13),W$7,IF(OR(W47=W$20,W47=W$24),W$8,IF(OR(W47=W$21:W$23),W$9))),W$10)))</f>
        <v>50</v>
      </c>
      <c r="Z47" s="168"/>
      <c r="AA47" s="192">
        <f>IF(ROW(AA47)-ROW(AA$45)&lt;=AB$12,90,"")</f>
        <v>90</v>
      </c>
      <c r="AB47" s="193">
        <f>+AB14</f>
        <v>54</v>
      </c>
      <c r="AC47" s="193">
        <f>AA$4-AD14</f>
        <v>530</v>
      </c>
      <c r="AD47" s="194" cm="1">
        <f t="array" ref="AD47">IF(AB47="","",MAX($C$5,IF(AA47=90,IF(OR(AC47=AD$13,AC47=AD$14,AC47=AA$4-AD$14,AC47=AA$4-AD$13),AB$7,IF(OR(AB47=AB$20,AB47=AB$24),AB$8,IF(OR(AB47=AB$21:AB$23),AB$9))),AB$10)))</f>
        <v>50</v>
      </c>
      <c r="AE47" s="168"/>
      <c r="AF47" s="192">
        <f>IF(ROW(AF47)-ROW(AF$45)&lt;=AG$12,90,"")</f>
        <v>90</v>
      </c>
      <c r="AG47" s="193">
        <f>+AG14</f>
        <v>54</v>
      </c>
      <c r="AH47" s="193">
        <f>AF$4-AI14</f>
        <v>410</v>
      </c>
      <c r="AI47" s="194" cm="1">
        <f t="array" ref="AI47">IF(AG47="","",MAX($C$5,IF(AF47=90,IF(OR(AH47=AI$13,AH47=AI$14,AH47=AF$4-AI$14,AH47=AF$4-AI$13),AG$7,IF(OR(AG47=AG$20,AG47=AG$24),AG$8,IF(OR(AG47=AG$21:AG$23),AG$9))),AG$10)))</f>
        <v>50</v>
      </c>
      <c r="AJ47" s="168"/>
      <c r="AK47" s="192">
        <f>IF(ROW(AK47)-ROW(AK$45)&lt;=AL$12,90,"")</f>
        <v>90</v>
      </c>
      <c r="AL47" s="193">
        <f>+AL14</f>
        <v>54</v>
      </c>
      <c r="AM47" s="193">
        <f>AK$4-AN14</f>
        <v>290</v>
      </c>
      <c r="AN47" s="194" cm="1">
        <f t="array" ref="AN47">IF(AL47="","",MAX($C$5,IF(AK47=90,IF(OR(AM47=AN$13,AM47=AN$14,AM47=AK$4-AN$14,AM47=AK$4-AN$13),AL$7,IF(OR(AL47=AL$20,AL47=AL$24),AL$8,IF(OR(AL47=AL$21:AL$23),AL$9))),AL$10)))</f>
        <v>50</v>
      </c>
      <c r="AO47" s="168"/>
      <c r="AP47" s="244">
        <f>IF(ROW(AP47)-ROW(AP$45)&lt;=AQ$12,90,"")</f>
        <v>90</v>
      </c>
      <c r="AQ47" s="245">
        <f>+AQ14</f>
        <v>54</v>
      </c>
      <c r="AR47" s="245">
        <f>AP$4-AS14</f>
        <v>1005</v>
      </c>
      <c r="AS47" s="194" cm="1">
        <f t="array" ref="AS47">IF(AQ47="","",MAX($C$5,IF(AP47=90,IF(OR(AR47=AS$13,AR47=AS$14,AR47=AP$4-AS$14,AR47=AP$4-AS$13),AQ$7,IF(OR(AQ47=AQ$20,AQ47=AQ$24),AQ$8,IF(OR(AQ47=AQ$21:AQ$23),AQ$9))),AQ$10)))</f>
        <v>50</v>
      </c>
      <c r="AT47" s="277"/>
      <c r="AU47" s="192">
        <f>IF(ROW(AU47)-ROW(AU$45)&lt;=AV$12,90,"")</f>
        <v>90</v>
      </c>
      <c r="AV47" s="193">
        <f>IF(AU47="","",AV14)</f>
        <v>90</v>
      </c>
      <c r="AW47" s="193">
        <f>IF(AU47="","",AU$4-AX14)</f>
        <v>540</v>
      </c>
      <c r="AX47" s="194" cm="1">
        <f t="array" ref="AX47">IF(AV47="","",MAX($C$5,IF(AU47=90,IF(OR(AW47=AX$13,AW47=AX$14,AW47=AU$4-AX$14,AW47=AU$4-AX$13),AV$7,IF(OR(AV47=AV$20,AV47=AV$24),AV$8,IF(OR(AV47=AV$21:AV$23),AV$9))),AV$10)))</f>
        <v>40</v>
      </c>
      <c r="AY47" s="168"/>
      <c r="AZ47" s="192">
        <f>IF(ROW(AZ47)-ROW(AZ$45)&lt;=BA$12,90,"")</f>
        <v>90</v>
      </c>
      <c r="BA47" s="193">
        <f>IF(AZ47="","",BA14)</f>
        <v>90</v>
      </c>
      <c r="BB47" s="193">
        <f>IF(AZ47="","",AZ$4-BC14)</f>
        <v>420</v>
      </c>
      <c r="BC47" s="194" cm="1">
        <f t="array" ref="BC47">IF(BA47="","",MAX($C$5,IF(AZ47=90,IF(OR(BB47=BC$13,BB47=BC$14,BB47=AZ$4-BC$14,BB47=AZ$4-BC$13),BA$7,IF(OR(BA47=BA$20,BA47=BA$24),BA$8,IF(OR(BA47=BA$21:BA$23),BA$9))),BA$10)))</f>
        <v>40</v>
      </c>
      <c r="BD47" s="168"/>
      <c r="BE47" s="192">
        <f>IF(ROW(BE47)-ROW(BE$45)&lt;=BF$12,90,"")</f>
        <v>90</v>
      </c>
      <c r="BF47" s="193">
        <f>IF(BE47="","",BF14)</f>
        <v>90</v>
      </c>
      <c r="BG47" s="193">
        <f>IF(BE47="","",BE$4-BH14)</f>
        <v>300</v>
      </c>
      <c r="BH47" s="194" cm="1">
        <f t="array" ref="BH47">IF(BF47="","",MAX($C$5,IF(BE47=90,IF(OR(BG47=BH$13,BG47=BH$14,BG47=BE$4-BH$14,BG47=BE$4-BH$13),BF$7,IF(OR(BF47=BF$20,BF47=BF$24),BF$8,IF(OR(BF47=BF$21:BF$23),BF$9))),BF$10)))</f>
        <v>40</v>
      </c>
      <c r="BI47" s="277"/>
      <c r="BJ47" s="192">
        <f>IF(ROW(BJ47)-ROW(BJ$45)&lt;=BK$12,90,"")</f>
        <v>90</v>
      </c>
      <c r="BK47" s="193">
        <f>IF(BJ47="","",BK14)</f>
        <v>50</v>
      </c>
      <c r="BL47" s="193">
        <f>IF(BJ47="","",BJ$4-BM14)</f>
        <v>540</v>
      </c>
      <c r="BM47" s="194" cm="1">
        <f t="array" ref="BM47">IF(BK47="","",MAX($C$5,IF(BJ47=90,IF(OR(BL47=BM$13,BL47=BM$14,BL47=BJ$4-BM$14,BL47=BJ$4-BM$13),BK$7,IF(OR(BK47=BK$20,BK47=BK$24),BK$8,IF(OR(BK47=BK$21:BK$23),BK$9))),BK$10)))</f>
        <v>40</v>
      </c>
      <c r="BN47" s="168"/>
      <c r="BO47" s="192">
        <f>IF(ROW(BO47)-ROW(BO$45)&lt;=BP$12,90,"")</f>
        <v>90</v>
      </c>
      <c r="BP47" s="193">
        <f>IF(BO47="","",BP14)</f>
        <v>50</v>
      </c>
      <c r="BQ47" s="193">
        <f>IF(BO47="","",BO$4-BR14)</f>
        <v>420</v>
      </c>
      <c r="BR47" s="194" cm="1">
        <f t="array" ref="BR47">IF(BP47="","",MAX($C$5,IF(BO47=90,IF(OR(BQ47=BR$13,BQ47=BR$14,BQ47=BO$4-BR$14,BQ47=BO$4-BR$13),BP$7,IF(OR(BP47=BP$20,BP47=BP$24),BP$8,IF(OR(BP47=BP$21:BP$23),BP$9))),BP$10)))</f>
        <v>40</v>
      </c>
      <c r="BS47" s="168"/>
      <c r="BT47" s="192">
        <f>IF(ROW(BT47)-ROW(BT$45)&lt;=BU$12,90,"")</f>
        <v>90</v>
      </c>
      <c r="BU47" s="193">
        <f>IF(BT47="","",BU14)</f>
        <v>50</v>
      </c>
      <c r="BV47" s="193">
        <f>IF(BT47="","",BT$4-BW14)</f>
        <v>300</v>
      </c>
      <c r="BW47" s="194" cm="1">
        <f t="array" ref="BW47">IF(BU47="","",MAX($C$5,IF(BT47=90,IF(OR(BV47=BW$13,BV47=BW$14,BV47=BT$4-BW$14,BV47=BT$4-BW$13),BU$7,IF(OR(BU47=BU$20,BU47=BU$24),BU$8,IF(OR(BU47=BU$21:BU$23),BU$9))),BU$10)))</f>
        <v>40</v>
      </c>
      <c r="BX47" s="288"/>
    </row>
    <row r="48" spans="1:76">
      <c r="A48" s="168"/>
      <c r="B48" s="192">
        <f>IF(ROW(B48)-ROW(B$45)&lt;=C$12,90,"")</f>
        <v>90</v>
      </c>
      <c r="C48" s="193">
        <f>+C15</f>
        <v>96</v>
      </c>
      <c r="D48" s="193">
        <f>B$4-E15</f>
        <v>1070</v>
      </c>
      <c r="E48" s="194" cm="1">
        <f t="array" ref="E48">IF(C48="","",MAX($C$5,IF(B48=90,IF(OR(D48=E$13,D48=E$14,D48=B$4-E$14,D48=B$4-E$13),C$7,IF(OR(C48=C$20,C48=C$24),C$8,IF(OR(C48=C$21:C$23),C$9))),C$10)))</f>
        <v>50</v>
      </c>
      <c r="F48" s="168"/>
      <c r="G48" s="192">
        <f>IF(ROW(G48)-ROW(G$45)&lt;=H$12,90,"")</f>
        <v>90</v>
      </c>
      <c r="H48" s="193">
        <f>+H15</f>
        <v>96</v>
      </c>
      <c r="I48" s="193">
        <f>G$4-J15</f>
        <v>830</v>
      </c>
      <c r="J48" s="194" cm="1">
        <f t="array" ref="J48">IF(H48="","",MAX($C$5,IF(G48=90,IF(OR(I48=J$13,I48=J$14,I48=G$4-J$14,I48=G$4-J$13),H$7,IF(OR(H48=H$20,H48=H$24),H$8,IF(OR(H48=H$21:H$23),H$9))),H$10)))</f>
        <v>50</v>
      </c>
      <c r="K48" s="168"/>
      <c r="L48" s="192">
        <f>IF(ROW(L48)-ROW(L$45)&lt;=M$12,90,"")</f>
        <v>90</v>
      </c>
      <c r="M48" s="193">
        <f>+M15</f>
        <v>96</v>
      </c>
      <c r="N48" s="193">
        <f>L$4-O15</f>
        <v>770</v>
      </c>
      <c r="O48" s="194" cm="1">
        <f t="array" ref="O48">IF(M48="","",MAX($C$5,IF(L48=90,IF(OR(N48=O$13,N48=O$14,N48=L$4-O$14,N48=L$4-O$13),M$7,IF(OR(M48=M$20,M48=M$24),M$8,IF(OR(M48=M$21:M$23),M$9))),M$10)))</f>
        <v>50</v>
      </c>
      <c r="P48" s="168"/>
      <c r="Q48" s="192">
        <f>IF(ROW(Q48)-ROW(Q$45)&lt;=R$12,90,"")</f>
        <v>90</v>
      </c>
      <c r="R48" s="193">
        <f>+R15</f>
        <v>96</v>
      </c>
      <c r="S48" s="193">
        <f>Q$4-T15</f>
        <v>710</v>
      </c>
      <c r="T48" s="194" cm="1">
        <f t="array" ref="T48">IF(R48="","",MAX($C$5,IF(Q48=90,IF(OR(S48=T$13,S48=T$14,S48=Q$4-T$14,S48=Q$4-T$13),R$7,IF(OR(R48=R$20,R48=R$24),R$8,IF(OR(R48=R$21:R$23),R$9))),R$10)))</f>
        <v>50</v>
      </c>
      <c r="U48" s="168"/>
      <c r="V48" s="192">
        <f>IF(ROW(V48)-ROW(V$45)&lt;=W$12,90,"")</f>
        <v>90</v>
      </c>
      <c r="W48" s="193">
        <f>+W15</f>
        <v>96</v>
      </c>
      <c r="X48" s="193">
        <f>V$4-Y15</f>
        <v>590</v>
      </c>
      <c r="Y48" s="194" cm="1">
        <f t="array" ref="Y48">IF(W48="","",MAX($C$5,IF(V48=90,IF(OR(X48=Y$13,X48=Y$14,X48=V$4-Y$14,X48=V$4-Y$13),W$7,IF(OR(W48=W$20,W48=W$24),W$8,IF(OR(W48=W$21:W$23),W$9))),W$10)))</f>
        <v>50</v>
      </c>
      <c r="Z48" s="168"/>
      <c r="AA48" s="192">
        <f>IF(ROW(AA48)-ROW(AA$45)&lt;=AB$12,90,"")</f>
        <v>90</v>
      </c>
      <c r="AB48" s="193">
        <f>+AB15</f>
        <v>96</v>
      </c>
      <c r="AC48" s="193">
        <f>AA$4-AD15</f>
        <v>530</v>
      </c>
      <c r="AD48" s="194" cm="1">
        <f t="array" ref="AD48">IF(AB48="","",MAX($C$5,IF(AA48=90,IF(OR(AC48=AD$13,AC48=AD$14,AC48=AA$4-AD$14,AC48=AA$4-AD$13),AB$7,IF(OR(AB48=AB$20,AB48=AB$24),AB$8,IF(OR(AB48=AB$21:AB$23),AB$9))),AB$10)))</f>
        <v>50</v>
      </c>
      <c r="AE48" s="168"/>
      <c r="AF48" s="192">
        <f>IF(ROW(AF48)-ROW(AF$45)&lt;=AG$12,90,"")</f>
        <v>90</v>
      </c>
      <c r="AG48" s="193">
        <f>+AG15</f>
        <v>96</v>
      </c>
      <c r="AH48" s="193">
        <f>AF$4-AI15</f>
        <v>410</v>
      </c>
      <c r="AI48" s="194" cm="1">
        <f t="array" ref="AI48">IF(AG48="","",MAX($C$5,IF(AF48=90,IF(OR(AH48=AI$13,AH48=AI$14,AH48=AF$4-AI$14,AH48=AF$4-AI$13),AG$7,IF(OR(AG48=AG$20,AG48=AG$24),AG$8,IF(OR(AG48=AG$21:AG$23),AG$9))),AG$10)))</f>
        <v>50</v>
      </c>
      <c r="AJ48" s="168"/>
      <c r="AK48" s="192">
        <f>IF(ROW(AK48)-ROW(AK$45)&lt;=AL$12,90,"")</f>
        <v>90</v>
      </c>
      <c r="AL48" s="193">
        <f>+AL15</f>
        <v>96</v>
      </c>
      <c r="AM48" s="193">
        <f>AK$4-AN15</f>
        <v>290</v>
      </c>
      <c r="AN48" s="194" cm="1">
        <f t="array" ref="AN48">IF(AL48="","",MAX($C$5,IF(AK48=90,IF(OR(AM48=AN$13,AM48=AN$14,AM48=AK$4-AN$14,AM48=AK$4-AN$13),AL$7,IF(OR(AL48=AL$20,AL48=AL$24),AL$8,IF(OR(AL48=AL$21:AL$23),AL$9))),AL$10)))</f>
        <v>50</v>
      </c>
      <c r="AO48" s="168"/>
      <c r="AP48" s="244">
        <f>IF(ROW(AP48)-ROW(AP$45)&lt;=AQ$12,90,"")</f>
        <v>90</v>
      </c>
      <c r="AQ48" s="245">
        <f>+AQ15</f>
        <v>96</v>
      </c>
      <c r="AR48" s="245">
        <f>AP$4-AS15</f>
        <v>1005</v>
      </c>
      <c r="AS48" s="194" cm="1">
        <f t="array" ref="AS48">IF(AQ48="","",MAX($C$5,IF(AP48=90,IF(OR(AR48=AS$13,AR48=AS$14,AR48=AP$4-AS$14,AR48=AP$4-AS$13),AQ$7,IF(OR(AQ48=AQ$20,AQ48=AQ$24),AQ$8,IF(OR(AQ48=AQ$21:AQ$23),AQ$9))),AQ$10)))</f>
        <v>50</v>
      </c>
      <c r="AT48" s="277"/>
      <c r="AU48" s="192" t="str">
        <f>IF(ROW(AU48)-ROW(AU$45)&lt;=AV$12,90,"")</f>
        <v/>
      </c>
      <c r="AV48" s="193" t="str">
        <f>IF(AU48="","",AV15)</f>
        <v/>
      </c>
      <c r="AW48" s="193" t="str">
        <f>IF(AU48="","",AU$4-AX15)</f>
        <v/>
      </c>
      <c r="AX48" s="194" t="str" cm="1">
        <f t="array" ref="AX48">IF(AV48="","",MAX($C$5,IF(AU48=90,IF(OR(AW48=AX$13,AW48=AX$14,AW48=AU$4-AX$14,AW48=AU$4-AX$13),AV$7,IF(OR(AV48=AV$20,AV48=AV$24),AV$8,IF(OR(AV48=AV$21:AV$23),AV$9))),AV$10)))</f>
        <v/>
      </c>
      <c r="AY48" s="168"/>
      <c r="AZ48" s="192" t="str">
        <f>IF(ROW(AZ48)-ROW(AZ$45)&lt;=BA$12,90,"")</f>
        <v/>
      </c>
      <c r="BA48" s="193" t="str">
        <f>IF(AZ48="","",BA15)</f>
        <v/>
      </c>
      <c r="BB48" s="193" t="str">
        <f>IF(AZ48="","",AZ$4-BC15)</f>
        <v/>
      </c>
      <c r="BC48" s="194" t="str" cm="1">
        <f t="array" ref="BC48">IF(BA48="","",MAX($C$5,IF(AZ48=90,IF(OR(BB48=BC$13,BB48=BC$14,BB48=AZ$4-BC$14,BB48=AZ$4-BC$13),BA$7,IF(OR(BA48=BA$20,BA48=BA$24),BA$8,IF(OR(BA48=BA$21:BA$23),BA$9))),BA$10)))</f>
        <v/>
      </c>
      <c r="BD48" s="168"/>
      <c r="BE48" s="192" t="str">
        <f>IF(ROW(BE48)-ROW(BE$45)&lt;=BF$12,90,"")</f>
        <v/>
      </c>
      <c r="BF48" s="193" t="str">
        <f>IF(BE48="","",BF15)</f>
        <v/>
      </c>
      <c r="BG48" s="193" t="str">
        <f>IF(BE48="","",BE$4-BH15)</f>
        <v/>
      </c>
      <c r="BH48" s="194" t="str" cm="1">
        <f t="array" ref="BH48">IF(BF48="","",MAX($C$5,IF(BE48=90,IF(OR(BG48=BH$13,BG48=BH$14,BG48=BE$4-BH$14,BG48=BE$4-BH$13),BF$7,IF(OR(BF48=BF$20,BF48=BF$24),BF$8,IF(OR(BF48=BF$21:BF$23),BF$9))),BF$10)))</f>
        <v/>
      </c>
      <c r="BI48" s="277"/>
      <c r="BJ48" s="192" t="str">
        <f>IF(ROW(BJ48)-ROW(BJ$45)&lt;=BK$12,90,"")</f>
        <v/>
      </c>
      <c r="BK48" s="193" t="str">
        <f>IF(BJ48="","",BK15)</f>
        <v/>
      </c>
      <c r="BL48" s="193" t="str">
        <f>IF(BJ48="","",BJ$4-BM15)</f>
        <v/>
      </c>
      <c r="BM48" s="194" t="str" cm="1">
        <f t="array" ref="BM48">IF(BK48="","",MAX($C$5,IF(BJ48=90,IF(OR(BL48=BM$13,BL48=BM$14,BL48=BJ$4-BM$14,BL48=BJ$4-BM$13),BK$7,IF(OR(BK48=BK$20,BK48=BK$24),BK$8,IF(OR(BK48=BK$21:BK$23),BK$9))),BK$10)))</f>
        <v/>
      </c>
      <c r="BN48" s="168"/>
      <c r="BO48" s="192" t="str">
        <f>IF(ROW(BO48)-ROW(BO$45)&lt;=BP$12,90,"")</f>
        <v/>
      </c>
      <c r="BP48" s="193" t="str">
        <f>IF(BO48="","",BP15)</f>
        <v/>
      </c>
      <c r="BQ48" s="193" t="str">
        <f>IF(BO48="","",BO$4-BR15)</f>
        <v/>
      </c>
      <c r="BR48" s="194" t="str" cm="1">
        <f t="array" ref="BR48">IF(BP48="","",MAX($C$5,IF(BO48=90,IF(OR(BQ48=BR$13,BQ48=BR$14,BQ48=BO$4-BR$14,BQ48=BO$4-BR$13),BP$7,IF(OR(BP48=BP$20,BP48=BP$24),BP$8,IF(OR(BP48=BP$21:BP$23),BP$9))),BP$10)))</f>
        <v/>
      </c>
      <c r="BS48" s="168"/>
      <c r="BT48" s="192" t="str">
        <f>IF(ROW(BT48)-ROW(BT$45)&lt;=BU$12,90,"")</f>
        <v/>
      </c>
      <c r="BU48" s="193" t="str">
        <f>IF(BT48="","",BU15)</f>
        <v/>
      </c>
      <c r="BV48" s="193" t="str">
        <f>IF(BT48="","",BT$4-BW15)</f>
        <v/>
      </c>
      <c r="BW48" s="194" t="str" cm="1">
        <f t="array" ref="BW48">IF(BU48="","",MAX($C$5,IF(BT48=90,IF(OR(BV48=BW$13,BV48=BW$14,BV48=BT$4-BW$14,BV48=BT$4-BW$13),BU$7,IF(OR(BU48=BU$20,BU48=BU$24),BU$8,IF(OR(BU48=BU$21:BU$23),BU$9))),BU$10)))</f>
        <v/>
      </c>
      <c r="BX48" s="288"/>
    </row>
    <row r="49" spans="1:76">
      <c r="A49" s="168"/>
      <c r="B49" s="195">
        <f>IF(ROW(B49)-ROW(B$45)&lt;=C$12,90,"")</f>
        <v>90</v>
      </c>
      <c r="C49" s="196">
        <f>+C16</f>
        <v>140</v>
      </c>
      <c r="D49" s="196">
        <f>B$4-E16</f>
        <v>1080</v>
      </c>
      <c r="E49" s="197" cm="1">
        <f t="array" ref="E49">IF(C49="","",MAX($C$5,IF(B49=90,IF(OR(D49=E$13,D49=E$14,D49=B$4-E$14,D49=B$4-E$13),C$7,IF(OR(C49=C$20,C49=C$24),C$8,IF(OR(C49=C$21:C$23),C$9))),C$10)))</f>
        <v>50</v>
      </c>
      <c r="F49" s="168"/>
      <c r="G49" s="195">
        <f>IF(ROW(G49)-ROW(G$45)&lt;=H$12,90,"")</f>
        <v>90</v>
      </c>
      <c r="H49" s="196">
        <f>+H16</f>
        <v>140</v>
      </c>
      <c r="I49" s="196">
        <f>G$4-J16</f>
        <v>840</v>
      </c>
      <c r="J49" s="197" cm="1">
        <f t="array" ref="J49">IF(H49="","",MAX($C$5,IF(G49=90,IF(OR(I49=J$13,I49=J$14,I49=G$4-J$14,I49=G$4-J$13),H$7,IF(OR(H49=H$20,H49=H$24),H$8,IF(OR(H49=H$21:H$23),H$9))),H$10)))</f>
        <v>50</v>
      </c>
      <c r="K49" s="168"/>
      <c r="L49" s="195">
        <f>IF(ROW(L49)-ROW(L$45)&lt;=M$12,90,"")</f>
        <v>90</v>
      </c>
      <c r="M49" s="196">
        <f>+M16</f>
        <v>140</v>
      </c>
      <c r="N49" s="196">
        <f>L$4-O16</f>
        <v>780</v>
      </c>
      <c r="O49" s="197" cm="1">
        <f t="array" ref="O49">IF(M49="","",MAX($C$5,IF(L49=90,IF(OR(N49=O$13,N49=O$14,N49=L$4-O$14,N49=L$4-O$13),M$7,IF(OR(M49=M$20,M49=M$24),M$8,IF(OR(M49=M$21:M$23),M$9))),M$10)))</f>
        <v>50</v>
      </c>
      <c r="P49" s="168"/>
      <c r="Q49" s="195">
        <f>IF(ROW(Q49)-ROW(Q$45)&lt;=R$12,90,"")</f>
        <v>90</v>
      </c>
      <c r="R49" s="196">
        <f>+R16</f>
        <v>140</v>
      </c>
      <c r="S49" s="196">
        <f>Q$4-T16</f>
        <v>720</v>
      </c>
      <c r="T49" s="197" cm="1">
        <f t="array" ref="T49">IF(R49="","",MAX($C$5,IF(Q49=90,IF(OR(S49=T$13,S49=T$14,S49=Q$4-T$14,S49=Q$4-T$13),R$7,IF(OR(R49=R$20,R49=R$24),R$8,IF(OR(R49=R$21:R$23),R$9))),R$10)))</f>
        <v>50</v>
      </c>
      <c r="U49" s="168"/>
      <c r="V49" s="195">
        <f>IF(ROW(V49)-ROW(V$45)&lt;=W$12,90,"")</f>
        <v>90</v>
      </c>
      <c r="W49" s="196">
        <f>+W16</f>
        <v>140</v>
      </c>
      <c r="X49" s="196">
        <f>V$4-Y16</f>
        <v>600</v>
      </c>
      <c r="Y49" s="197" cm="1">
        <f t="array" ref="Y49">IF(W49="","",MAX($C$5,IF(V49=90,IF(OR(X49=Y$13,X49=Y$14,X49=V$4-Y$14,X49=V$4-Y$13),W$7,IF(OR(W49=W$20,W49=W$24),W$8,IF(OR(W49=W$21:W$23),W$9))),W$10)))</f>
        <v>50</v>
      </c>
      <c r="Z49" s="168"/>
      <c r="AA49" s="195">
        <f>IF(ROW(AA49)-ROW(AA$45)&lt;=AB$12,90,"")</f>
        <v>90</v>
      </c>
      <c r="AB49" s="196">
        <f>+AB16</f>
        <v>140</v>
      </c>
      <c r="AC49" s="196">
        <f>AA$4-AD16</f>
        <v>540</v>
      </c>
      <c r="AD49" s="197" cm="1">
        <f t="array" ref="AD49">IF(AB49="","",MAX($C$5,IF(AA49=90,IF(OR(AC49=AD$13,AC49=AD$14,AC49=AA$4-AD$14,AC49=AA$4-AD$13),AB$7,IF(OR(AB49=AB$20,AB49=AB$24),AB$8,IF(OR(AB49=AB$21:AB$23),AB$9))),AB$10)))</f>
        <v>50</v>
      </c>
      <c r="AE49" s="168"/>
      <c r="AF49" s="195">
        <f>IF(ROW(AF49)-ROW(AF$45)&lt;=AG$12,90,"")</f>
        <v>90</v>
      </c>
      <c r="AG49" s="196">
        <f>+AG16</f>
        <v>140</v>
      </c>
      <c r="AH49" s="196">
        <f>AF$4-AI16</f>
        <v>420</v>
      </c>
      <c r="AI49" s="197" cm="1">
        <f t="array" ref="AI49">IF(AG49="","",MAX($C$5,IF(AF49=90,IF(OR(AH49=AI$13,AH49=AI$14,AH49=AF$4-AI$14,AH49=AF$4-AI$13),AG$7,IF(OR(AG49=AG$20,AG49=AG$24),AG$8,IF(OR(AG49=AG$21:AG$23),AG$9))),AG$10)))</f>
        <v>50</v>
      </c>
      <c r="AJ49" s="168"/>
      <c r="AK49" s="195">
        <f>IF(ROW(AK49)-ROW(AK$45)&lt;=AL$12,90,"")</f>
        <v>90</v>
      </c>
      <c r="AL49" s="196">
        <f>+AL16</f>
        <v>140</v>
      </c>
      <c r="AM49" s="196">
        <f>AK$4-AN16</f>
        <v>300</v>
      </c>
      <c r="AN49" s="197" cm="1">
        <f t="array" ref="AN49">IF(AL49="","",MAX($C$5,IF(AK49=90,IF(OR(AM49=AN$13,AM49=AN$14,AM49=AK$4-AN$14,AM49=AK$4-AN$13),AL$7,IF(OR(AL49=AL$20,AL49=AL$24),AL$8,IF(OR(AL49=AL$21:AL$23),AL$9))),AL$10)))</f>
        <v>50</v>
      </c>
      <c r="AO49" s="168"/>
      <c r="AP49" s="247">
        <f>IF(ROW(AP49)-ROW(AP$45)&lt;=AQ$12,90,"")</f>
        <v>90</v>
      </c>
      <c r="AQ49" s="248">
        <f>+AQ16</f>
        <v>140</v>
      </c>
      <c r="AR49" s="248">
        <f>AP$4-AS16</f>
        <v>1015</v>
      </c>
      <c r="AS49" s="197" cm="1">
        <f t="array" ref="AS49">IF(AQ49="","",MAX($C$5,IF(AP49=90,IF(OR(AR49=AS$13,AR49=AS$14,AR49=AP$4-AS$14,AR49=AP$4-AS$13),AQ$7,IF(OR(AQ49=AQ$20,AQ49=AQ$24),AQ$8,IF(OR(AQ49=AQ$21:AQ$23),AQ$9))),AQ$10)))</f>
        <v>50</v>
      </c>
      <c r="AT49" s="277"/>
      <c r="AU49" s="192" t="str">
        <f>IF(ROW(AU49)-ROW(AU$45)&lt;=AV$12,90,"")</f>
        <v/>
      </c>
      <c r="AV49" s="193" t="str">
        <f>IF(AU49="","",AV16)</f>
        <v/>
      </c>
      <c r="AW49" s="193" t="str">
        <f>IF(AU49="","",AU$4-AX16)</f>
        <v/>
      </c>
      <c r="AX49" s="197" t="str" cm="1">
        <f t="array" ref="AX49">IF(AV49="","",MAX($C$5,IF(AU49=90,IF(OR(AW49=AX$13,AW49=AX$14,AW49=AU$4-AX$14,AW49=AU$4-AX$13),AV$7,IF(OR(AV49=AV$20,AV49=AV$24),AV$8,IF(OR(AV49=AV$21:AV$23),AV$9))),AV$10)))</f>
        <v/>
      </c>
      <c r="AY49" s="168"/>
      <c r="AZ49" s="192" t="str">
        <f>IF(ROW(AZ49)-ROW(AZ$45)&lt;=BA$12,90,"")</f>
        <v/>
      </c>
      <c r="BA49" s="193" t="str">
        <f>IF(AZ49="","",BA16)</f>
        <v/>
      </c>
      <c r="BB49" s="193" t="str">
        <f>IF(AZ49="","",AZ$4-BC16)</f>
        <v/>
      </c>
      <c r="BC49" s="197" t="str" cm="1">
        <f t="array" ref="BC49">IF(BA49="","",MAX($C$5,IF(AZ49=90,IF(OR(BB49=BC$13,BB49=BC$14,BB49=AZ$4-BC$14,BB49=AZ$4-BC$13),BA$7,IF(OR(BA49=BA$20,BA49=BA$24),BA$8,IF(OR(BA49=BA$21:BA$23),BA$9))),BA$10)))</f>
        <v/>
      </c>
      <c r="BD49" s="168"/>
      <c r="BE49" s="192" t="str">
        <f>IF(ROW(BE49)-ROW(BE$45)&lt;=BF$12,90,"")</f>
        <v/>
      </c>
      <c r="BF49" s="193" t="str">
        <f>IF(BE49="","",BF16)</f>
        <v/>
      </c>
      <c r="BG49" s="193" t="str">
        <f>IF(BE49="","",BE$4-BH16)</f>
        <v/>
      </c>
      <c r="BH49" s="197" t="str" cm="1">
        <f t="array" ref="BH49">IF(BF49="","",MAX($C$5,IF(BE49=90,IF(OR(BG49=BH$13,BG49=BH$14,BG49=BE$4-BH$14,BG49=BE$4-BH$13),BF$7,IF(OR(BF49=BF$20,BF49=BF$24),BF$8,IF(OR(BF49=BF$21:BF$23),BF$9))),BF$10)))</f>
        <v/>
      </c>
      <c r="BI49" s="277"/>
      <c r="BJ49" s="192" t="str">
        <f>IF(ROW(BJ49)-ROW(BJ$45)&lt;=BK$12,90,"")</f>
        <v/>
      </c>
      <c r="BK49" s="193" t="str">
        <f>IF(BJ49="","",BK16)</f>
        <v/>
      </c>
      <c r="BL49" s="193" t="str">
        <f>IF(BJ49="","",BJ$4-BM16)</f>
        <v/>
      </c>
      <c r="BM49" s="197" t="str" cm="1">
        <f t="array" ref="BM49">IF(BK49="","",MAX($C$5,IF(BJ49=90,IF(OR(BL49=BM$13,BL49=BM$14,BL49=BJ$4-BM$14,BL49=BJ$4-BM$13),BK$7,IF(OR(BK49=BK$20,BK49=BK$24),BK$8,IF(OR(BK49=BK$21:BK$23),BK$9))),BK$10)))</f>
        <v/>
      </c>
      <c r="BN49" s="168"/>
      <c r="BO49" s="192" t="str">
        <f>IF(ROW(BO49)-ROW(BO$45)&lt;=BP$12,90,"")</f>
        <v/>
      </c>
      <c r="BP49" s="193" t="str">
        <f>IF(BO49="","",BP16)</f>
        <v/>
      </c>
      <c r="BQ49" s="193" t="str">
        <f>IF(BO49="","",BO$4-BR16)</f>
        <v/>
      </c>
      <c r="BR49" s="197" t="str" cm="1">
        <f t="array" ref="BR49">IF(BP49="","",MAX($C$5,IF(BO49=90,IF(OR(BQ49=BR$13,BQ49=BR$14,BQ49=BO$4-BR$14,BQ49=BO$4-BR$13),BP$7,IF(OR(BP49=BP$20,BP49=BP$24),BP$8,IF(OR(BP49=BP$21:BP$23),BP$9))),BP$10)))</f>
        <v/>
      </c>
      <c r="BS49" s="168"/>
      <c r="BT49" s="192" t="str">
        <f>IF(ROW(BT49)-ROW(BT$45)&lt;=BU$12,90,"")</f>
        <v/>
      </c>
      <c r="BU49" s="193" t="str">
        <f>IF(BT49="","",BU16)</f>
        <v/>
      </c>
      <c r="BV49" s="193" t="str">
        <f>IF(BT49="","",BT$4-BW16)</f>
        <v/>
      </c>
      <c r="BW49" s="197" t="str" cm="1">
        <f t="array" ref="BW49">IF(BU49="","",MAX($C$5,IF(BT49=90,IF(OR(BV49=BW$13,BV49=BW$14,BV49=BT$4-BW$14,BV49=BT$4-BW$13),BU$7,IF(OR(BU49=BU$20,BU49=BU$24),BU$8,IF(OR(BU49=BU$21:BU$23),BU$9))),BU$10)))</f>
        <v/>
      </c>
      <c r="BX49" s="288"/>
    </row>
    <row r="50" spans="1:76">
      <c r="A50" s="168" t="s">
        <v>213</v>
      </c>
      <c r="B50" s="182">
        <f>IF(ROW(B50)-ROW(B$49)&lt;=C$18,90,"")</f>
        <v>90</v>
      </c>
      <c r="C50" s="170">
        <f>+C20</f>
        <v>10.5</v>
      </c>
      <c r="D50" s="170">
        <f>+E20</f>
        <v>80</v>
      </c>
      <c r="E50" s="177" cm="1">
        <f t="array" ref="E50">IF(C50="","",MAX($C$5,IF(B50=90,IF(OR(D50=E$13,D50=E$14,D50=B$4-E$14,D50=B$4-E$13),C$7,IF(OR(C50=C$20,C50=C$24),C$8,IF(OR(C50=C$21:C$23),C$9))),C$10)))</f>
        <v>20</v>
      </c>
      <c r="F50" s="168" t="s">
        <v>213</v>
      </c>
      <c r="G50" s="182">
        <f>IF(ROW(G50)-ROW(G$49)&lt;=H$18,90,"")</f>
        <v>90</v>
      </c>
      <c r="H50" s="170">
        <f>+H20</f>
        <v>10.5</v>
      </c>
      <c r="I50" s="170">
        <f>+J20</f>
        <v>80</v>
      </c>
      <c r="J50" s="177" cm="1">
        <f t="array" ref="J50">IF(H50="","",MAX($C$5,IF(G50=90,IF(OR(I50=J$13,I50=J$14,I50=G$4-J$14,I50=G$4-J$13),H$7,IF(OR(H50=H$20,H50=H$24),H$8,IF(OR(H50=H$21:H$23),H$9))),H$10)))</f>
        <v>20</v>
      </c>
      <c r="K50" s="168" t="s">
        <v>213</v>
      </c>
      <c r="L50" s="182">
        <f>IF(ROW(L50)-ROW(L$49)&lt;=M$18,90,"")</f>
        <v>90</v>
      </c>
      <c r="M50" s="170">
        <f>+M20</f>
        <v>10.5</v>
      </c>
      <c r="N50" s="170">
        <f>+O20</f>
        <v>80</v>
      </c>
      <c r="O50" s="177" cm="1">
        <f t="array" ref="O50">IF(M50="","",MAX($C$5,IF(L50=90,IF(OR(N50=O$13,N50=O$14,N50=L$4-O$14,N50=L$4-O$13),M$7,IF(OR(M50=M$20,M50=M$24),M$8,IF(OR(M50=M$21:M$23),M$9))),M$10)))</f>
        <v>20</v>
      </c>
      <c r="P50" s="168" t="s">
        <v>213</v>
      </c>
      <c r="Q50" s="182">
        <f>IF(ROW(Q50)-ROW(Q$49)&lt;=R$18,90,"")</f>
        <v>90</v>
      </c>
      <c r="R50" s="170">
        <f>+R20</f>
        <v>10.5</v>
      </c>
      <c r="S50" s="170">
        <f>+T20</f>
        <v>80</v>
      </c>
      <c r="T50" s="177" cm="1">
        <f t="array" ref="T50">IF(R50="","",MAX($C$5,IF(Q50=90,IF(OR(S50=T$13,S50=T$14,S50=Q$4-T$14,S50=Q$4-T$13),R$7,IF(OR(R50=R$20,R50=R$24),R$8,IF(OR(R50=R$21:R$23),R$9))),R$10)))</f>
        <v>20</v>
      </c>
      <c r="U50" s="168" t="s">
        <v>213</v>
      </c>
      <c r="V50" s="182">
        <f>IF(ROW(V50)-ROW(V$49)&lt;=W$18,90,"")</f>
        <v>90</v>
      </c>
      <c r="W50" s="170">
        <f>+W20</f>
        <v>10.5</v>
      </c>
      <c r="X50" s="170">
        <f>+Y20</f>
        <v>80</v>
      </c>
      <c r="Y50" s="177" cm="1">
        <f t="array" ref="Y50">IF(W50="","",MAX($C$5,IF(V50=90,IF(OR(X50=Y$13,X50=Y$14,X50=V$4-Y$14,X50=V$4-Y$13),W$7,IF(OR(W50=W$20,W50=W$24),W$8,IF(OR(W50=W$21:W$23),W$9))),W$10)))</f>
        <v>20</v>
      </c>
      <c r="Z50" s="168" t="s">
        <v>213</v>
      </c>
      <c r="AA50" s="182">
        <f>IF(ROW(AA50)-ROW(AA$49)&lt;=AB$18,90,"")</f>
        <v>90</v>
      </c>
      <c r="AB50" s="170">
        <f>+AB20</f>
        <v>10.5</v>
      </c>
      <c r="AC50" s="170">
        <f>+AD20</f>
        <v>80</v>
      </c>
      <c r="AD50" s="177" cm="1">
        <f t="array" ref="AD50">IF(AB50="","",MAX($C$5,IF(AA50=90,IF(OR(AC50=AD$13,AC50=AD$14,AC50=AA$4-AD$14,AC50=AA$4-AD$13),AB$7,IF(OR(AB50=AB$20,AB50=AB$24),AB$8,IF(OR(AB50=AB$21:AB$23),AB$9))),AB$10)))</f>
        <v>20</v>
      </c>
      <c r="AE50" s="168" t="s">
        <v>213</v>
      </c>
      <c r="AF50" s="182">
        <f>IF(ROW(AF50)-ROW(AF$49)&lt;=AG$18,90,"")</f>
        <v>90</v>
      </c>
      <c r="AG50" s="170">
        <f>+AG20</f>
        <v>10.5</v>
      </c>
      <c r="AH50" s="170">
        <f>+AI20</f>
        <v>80</v>
      </c>
      <c r="AI50" s="177" cm="1">
        <f t="array" ref="AI50">IF(AG50="","",MAX($C$5,IF(AF50=90,IF(OR(AH50=AI$13,AH50=AI$14,AH50=AF$4-AI$14,AH50=AF$4-AI$13),AG$7,IF(OR(AG50=AG$20,AG50=AG$24),AG$8,IF(OR(AG50=AG$21:AG$23),AG$9))),AG$10)))</f>
        <v>20</v>
      </c>
      <c r="AJ50" s="168" t="s">
        <v>213</v>
      </c>
      <c r="AK50" s="182">
        <f>IF(ROW(AK50)-ROW(AK$49)&lt;=AL$18,90,"")</f>
        <v>90</v>
      </c>
      <c r="AL50" s="170">
        <f>+AL20</f>
        <v>10.5</v>
      </c>
      <c r="AM50" s="170">
        <f>+AN20</f>
        <v>80</v>
      </c>
      <c r="AN50" s="177" cm="1">
        <f t="array" ref="AN50">IF(AL50="","",MAX($C$5,IF(AK50=90,IF(OR(AM50=AN$13,AM50=AN$14,AM50=AK$4-AN$14,AM50=AK$4-AN$13),AL$7,IF(OR(AL50=AL$20,AL50=AL$24),AL$8,IF(OR(AL50=AL$21:AL$23),AL$9))),AL$10)))</f>
        <v>20</v>
      </c>
      <c r="AO50" s="168" t="s">
        <v>213</v>
      </c>
      <c r="AP50" s="204">
        <f t="shared" ref="AP50:AP60" si="14">IF(ROW(AP50)-ROW(AP$49)&lt;=AQ$18,90,"")</f>
        <v>90</v>
      </c>
      <c r="AQ50" s="205">
        <f>+AQ20</f>
        <v>10.5</v>
      </c>
      <c r="AR50" s="205">
        <f>+AS20</f>
        <v>230</v>
      </c>
      <c r="AS50" s="177" cm="1">
        <f t="array" ref="AS50">IF(AQ50="","",MAX($C$5,IF(AP50=90,IF(OR(AR50=AS$13,AR50=AS$14,AR50=AP$4-AS$14,AR50=AP$4-AS$13),AQ$7,IF(OR(AQ50=AQ$20,AQ50=AQ$24),AQ$8,IF(OR(AQ50=AQ$21:AQ$23),AQ$9))),AQ$10)))</f>
        <v>20</v>
      </c>
      <c r="AT50" s="277" t="s">
        <v>213</v>
      </c>
      <c r="AU50" s="182">
        <f>IF(ROW(AU50)-ROW(AU$49)&lt;=AV$18-2,90,"")</f>
        <v>90</v>
      </c>
      <c r="AV50" s="170">
        <f t="shared" ref="AV50:AV60" si="15">IF(AU50="","",AV20)</f>
        <v>10.8</v>
      </c>
      <c r="AW50" s="170">
        <f t="shared" ref="AW50:AW57" si="16">IF(AU50="","",AX20)</f>
        <v>80</v>
      </c>
      <c r="AX50" s="177" cm="1">
        <f t="array" ref="AX50">IF(AV50="","",MAX($C$5,IF(AU50=90,IF(OR(AW50=AX$13,AW50=AX$14,AW50=AU$4-AX$14,AW50=AU$4-AX$13),AV$7,IF(OR(AV50=AV$20,AV50=AV$24),AV$8,IF(OR(AV50=AV$21:AV$23),AV$9))),AV$10)))</f>
        <v>16.5</v>
      </c>
      <c r="AY50" s="168" t="s">
        <v>213</v>
      </c>
      <c r="AZ50" s="182">
        <f>IF(ROW(AZ50)-ROW(AZ$49)&lt;=BA$18-2,90,"")</f>
        <v>90</v>
      </c>
      <c r="BA50" s="170">
        <f t="shared" ref="BA50:BA60" si="17">IF(AZ50="","",BA20)</f>
        <v>10.8</v>
      </c>
      <c r="BB50" s="170">
        <f t="shared" ref="BB50:BB57" si="18">IF(AZ50="","",BC20)</f>
        <v>80</v>
      </c>
      <c r="BC50" s="177" cm="1">
        <f t="array" ref="BC50">IF(BA50="","",MAX($C$5,IF(AZ50=90,IF(OR(BB50=BC$13,BB50=BC$14,BB50=AZ$4-BC$14,BB50=AZ$4-BC$13),BA$7,IF(OR(BA50=BA$20,BA50=BA$24),BA$8,IF(OR(BA50=BA$21:BA$23),BA$9))),BA$10)))</f>
        <v>16.5</v>
      </c>
      <c r="BD50" s="168" t="s">
        <v>213</v>
      </c>
      <c r="BE50" s="182">
        <f>IF(ROW(BE50)-ROW(BE$49)&lt;=BF$18-2,90,"")</f>
        <v>90</v>
      </c>
      <c r="BF50" s="170">
        <f t="shared" ref="BF50:BF60" si="19">IF(BE50="","",BF20)</f>
        <v>10.8</v>
      </c>
      <c r="BG50" s="170">
        <f t="shared" ref="BG50:BG57" si="20">IF(BE50="","",BH20)</f>
        <v>80</v>
      </c>
      <c r="BH50" s="177" cm="1">
        <f t="array" ref="BH50">IF(BF50="","",MAX($C$5,IF(BE50=90,IF(OR(BG50=BH$13,BG50=BH$14,BG50=BE$4-BH$14,BG50=BE$4-BH$13),BF$7,IF(OR(BF50=BF$20,BF50=BF$24),BF$8,IF(OR(BF50=BF$21:BF$23),BF$9))),BF$10)))</f>
        <v>16.5</v>
      </c>
      <c r="BI50" s="277" t="s">
        <v>213</v>
      </c>
      <c r="BJ50" s="182">
        <f>IF(ROW(BJ50)-ROW(BJ$49)&lt;=BK$18-2,90,"")</f>
        <v>90</v>
      </c>
      <c r="BK50" s="170">
        <f>IF(BJ50="","",BK20)</f>
        <v>9.75</v>
      </c>
      <c r="BL50" s="170">
        <f>IF(BJ50="","",BM20)</f>
        <v>60</v>
      </c>
      <c r="BM50" s="177" cm="1">
        <f t="array" ref="BM50">IF(BK50="","",MAX($C$5,IF(BJ50=90,IF(OR(BL50=BM$13,BL50=BM$14,BL50=BJ$4-BM$14,BL50=BJ$4-BM$13),BK$7,IF(OR(BK50=BK$20,BK50=BK$24),BK$8,IF(OR(BK50=BK$21:BK$23),BK$9))),BK$10)))</f>
        <v>16.5</v>
      </c>
      <c r="BN50" s="168" t="s">
        <v>213</v>
      </c>
      <c r="BO50" s="182">
        <f>IF(ROW(BO50)-ROW(BO$49)&lt;=BP$18-2,90,"")</f>
        <v>90</v>
      </c>
      <c r="BP50" s="170">
        <f>IF(BO50="","",BP20)</f>
        <v>9.75</v>
      </c>
      <c r="BQ50" s="170">
        <f>IF(BO50="","",BR20)</f>
        <v>60</v>
      </c>
      <c r="BR50" s="177" cm="1">
        <f t="array" ref="BR50">IF(BP50="","",MAX($C$5,IF(BO50=90,IF(OR(BQ50=BR$13,BQ50=BR$14,BQ50=BO$4-BR$14,BQ50=BO$4-BR$13),BP$7,IF(OR(BP50=BP$20,BP50=BP$24),BP$8,IF(OR(BP50=BP$21:BP$23),BP$9))),BP$10)))</f>
        <v>16.5</v>
      </c>
      <c r="BS50" s="168" t="s">
        <v>213</v>
      </c>
      <c r="BT50" s="182">
        <f>IF(ROW(BT50)-ROW(BT$49)&lt;=BU$18-2,90,"")</f>
        <v>90</v>
      </c>
      <c r="BU50" s="170">
        <f>IF(BT50="","",BU20)</f>
        <v>9.75</v>
      </c>
      <c r="BV50" s="170">
        <f>IF(BT50="","",BW20)</f>
        <v>60</v>
      </c>
      <c r="BW50" s="177" cm="1">
        <f t="array" ref="BW50">IF(BU50="","",MAX($C$5,IF(BT50=90,IF(OR(BV50=BW$13,BV50=BW$14,BV50=BT$4-BW$14,BV50=BT$4-BW$13),BU$7,IF(OR(BU50=BU$20,BU50=BU$24),BU$8,IF(OR(BU50=BU$21:BU$23),BU$9))),BU$10)))</f>
        <v>16.5</v>
      </c>
      <c r="BX50" s="288"/>
    </row>
    <row r="51" spans="1:76">
      <c r="A51" s="168"/>
      <c r="B51" s="183">
        <f t="shared" ref="B51:B60" si="21">IF(ROW(B51)-ROW(B$49)&lt;=C$18,90,"")</f>
        <v>90</v>
      </c>
      <c r="C51" s="171">
        <f>+C21</f>
        <v>32</v>
      </c>
      <c r="D51" s="171">
        <f>+E21</f>
        <v>65</v>
      </c>
      <c r="E51" s="178" cm="1">
        <f t="array" ref="E51">IF(C51="","",MAX($C$5,IF(B51=90,IF(OR(D51=E$13,D51=E$14,D51=B$4-E$14,D51=B$4-E$13),C$7,IF(OR(C51=C$20,C51=C$24),C$8,IF(OR(C51=C$21:C$23),C$9))),C$10)))</f>
        <v>14</v>
      </c>
      <c r="F51" s="168"/>
      <c r="G51" s="183">
        <f t="shared" ref="G51:G60" si="22">IF(ROW(G51)-ROW(G$49)&lt;=H$18,90,"")</f>
        <v>90</v>
      </c>
      <c r="H51" s="171">
        <f>+H21</f>
        <v>32</v>
      </c>
      <c r="I51" s="171">
        <f>+J21</f>
        <v>65</v>
      </c>
      <c r="J51" s="178" cm="1">
        <f t="array" ref="J51">IF(H51="","",MAX($C$5,IF(G51=90,IF(OR(I51=J$13,I51=J$14,I51=G$4-J$14,I51=G$4-J$13),H$7,IF(OR(H51=H$20,H51=H$24),H$8,IF(OR(H51=H$21:H$23),H$9))),H$10)))</f>
        <v>14</v>
      </c>
      <c r="K51" s="168"/>
      <c r="L51" s="183">
        <f t="shared" ref="L51:L60" si="23">IF(ROW(L51)-ROW(L$49)&lt;=M$18,90,"")</f>
        <v>90</v>
      </c>
      <c r="M51" s="171">
        <f>+M21</f>
        <v>32</v>
      </c>
      <c r="N51" s="171">
        <f>+O21</f>
        <v>65</v>
      </c>
      <c r="O51" s="178" cm="1">
        <f t="array" ref="O51">IF(M51="","",MAX($C$5,IF(L51=90,IF(OR(N51=O$13,N51=O$14,N51=L$4-O$14,N51=L$4-O$13),M$7,IF(OR(M51=M$20,M51=M$24),M$8,IF(OR(M51=M$21:M$23),M$9))),M$10)))</f>
        <v>14</v>
      </c>
      <c r="P51" s="168"/>
      <c r="Q51" s="183">
        <f t="shared" ref="Q51:Q60" si="24">IF(ROW(Q51)-ROW(Q$49)&lt;=R$18,90,"")</f>
        <v>90</v>
      </c>
      <c r="R51" s="171">
        <f>+R21</f>
        <v>32</v>
      </c>
      <c r="S51" s="171">
        <f>+T21</f>
        <v>65</v>
      </c>
      <c r="T51" s="178" cm="1">
        <f t="array" ref="T51">IF(R51="","",MAX($C$5,IF(Q51=90,IF(OR(S51=T$13,S51=T$14,S51=Q$4-T$14,S51=Q$4-T$13),R$7,IF(OR(R51=R$20,R51=R$24),R$8,IF(OR(R51=R$21:R$23),R$9))),R$10)))</f>
        <v>14</v>
      </c>
      <c r="U51" s="168"/>
      <c r="V51" s="183">
        <f t="shared" ref="V51:V60" si="25">IF(ROW(V51)-ROW(V$49)&lt;=W$18,90,"")</f>
        <v>90</v>
      </c>
      <c r="W51" s="171">
        <f>+W21</f>
        <v>32</v>
      </c>
      <c r="X51" s="171">
        <f>+Y21</f>
        <v>65</v>
      </c>
      <c r="Y51" s="178" cm="1">
        <f t="array" ref="Y51">IF(W51="","",MAX($C$5,IF(V51=90,IF(OR(X51=Y$13,X51=Y$14,X51=V$4-Y$14,X51=V$4-Y$13),W$7,IF(OR(W51=W$20,W51=W$24),W$8,IF(OR(W51=W$21:W$23),W$9))),W$10)))</f>
        <v>14</v>
      </c>
      <c r="Z51" s="168"/>
      <c r="AA51" s="183">
        <f t="shared" ref="AA51:AA60" si="26">IF(ROW(AA51)-ROW(AA$49)&lt;=AB$18,90,"")</f>
        <v>90</v>
      </c>
      <c r="AB51" s="171">
        <f>+AB21</f>
        <v>32</v>
      </c>
      <c r="AC51" s="171">
        <f>+AD21</f>
        <v>65</v>
      </c>
      <c r="AD51" s="178" cm="1">
        <f t="array" ref="AD51">IF(AB51="","",MAX($C$5,IF(AA51=90,IF(OR(AC51=AD$13,AC51=AD$14,AC51=AA$4-AD$14,AC51=AA$4-AD$13),AB$7,IF(OR(AB51=AB$20,AB51=AB$24),AB$8,IF(OR(AB51=AB$21:AB$23),AB$9))),AB$10)))</f>
        <v>14</v>
      </c>
      <c r="AE51" s="168"/>
      <c r="AF51" s="183">
        <f t="shared" ref="AF51:AF60" si="27">IF(ROW(AF51)-ROW(AF$49)&lt;=AG$18,90,"")</f>
        <v>90</v>
      </c>
      <c r="AG51" s="171">
        <f>+AG21</f>
        <v>32</v>
      </c>
      <c r="AH51" s="171">
        <f>+AI21</f>
        <v>65</v>
      </c>
      <c r="AI51" s="178" cm="1">
        <f t="array" ref="AI51">IF(AG51="","",MAX($C$5,IF(AF51=90,IF(OR(AH51=AI$13,AH51=AI$14,AH51=AF$4-AI$14,AH51=AF$4-AI$13),AG$7,IF(OR(AG51=AG$20,AG51=AG$24),AG$8,IF(OR(AG51=AG$21:AG$23),AG$9))),AG$10)))</f>
        <v>14</v>
      </c>
      <c r="AJ51" s="168"/>
      <c r="AK51" s="183">
        <f t="shared" ref="AK51:AK60" si="28">IF(ROW(AK51)-ROW(AK$49)&lt;=AL$18,90,"")</f>
        <v>90</v>
      </c>
      <c r="AL51" s="171">
        <f>+AL21</f>
        <v>32</v>
      </c>
      <c r="AM51" s="171">
        <f>+AN21</f>
        <v>65</v>
      </c>
      <c r="AN51" s="178" cm="1">
        <f t="array" ref="AN51">IF(AL51="","",MAX($C$5,IF(AK51=90,IF(OR(AM51=AN$13,AM51=AN$14,AM51=AK$4-AN$14,AM51=AK$4-AN$13),AL$7,IF(OR(AL51=AL$20,AL51=AL$24),AL$8,IF(OR(AL51=AL$21:AL$23),AL$9))),AL$10)))</f>
        <v>14</v>
      </c>
      <c r="AO51" s="168"/>
      <c r="AP51" s="201">
        <f t="shared" si="14"/>
        <v>90</v>
      </c>
      <c r="AQ51" s="202">
        <f>+AQ21</f>
        <v>32</v>
      </c>
      <c r="AR51" s="202">
        <f>+AS21</f>
        <v>215</v>
      </c>
      <c r="AS51" s="178" cm="1">
        <f t="array" ref="AS51">IF(AQ51="","",MAX($C$5,IF(AP51=90,IF(OR(AR51=AS$13,AR51=AS$14,AR51=AP$4-AS$14,AR51=AP$4-AS$13),AQ$7,IF(OR(AQ51=AQ$20,AQ51=AQ$24),AQ$8,IF(OR(AQ51=AQ$21:AQ$23),AQ$9))),AQ$10)))</f>
        <v>14</v>
      </c>
      <c r="AT51" s="277"/>
      <c r="AU51" s="183">
        <f>IF(ROW(AU51)-ROW(AU$49)&lt;=AV$18-2,90,"")</f>
        <v>90</v>
      </c>
      <c r="AV51" s="171">
        <f t="shared" si="15"/>
        <v>30</v>
      </c>
      <c r="AW51" s="171">
        <f t="shared" si="16"/>
        <v>65</v>
      </c>
      <c r="AX51" s="178" cm="1">
        <f t="array" ref="AX51">IF(AV51="","",MAX($C$5,IF(AU51=90,IF(OR(AW51=AX$13,AW51=AX$14,AW51=AU$4-AX$14,AW51=AU$4-AX$13),AV$7,IF(OR(AV51=AV$20,AV51=AV$24),AV$8,IF(OR(AV51=AV$21:AV$23),AV$9))),AV$10)))</f>
        <v>14</v>
      </c>
      <c r="AY51" s="168"/>
      <c r="AZ51" s="183">
        <f>IF(ROW(AZ51)-ROW(AZ$49)&lt;=BA$18-2,90,"")</f>
        <v>90</v>
      </c>
      <c r="BA51" s="171">
        <f t="shared" si="17"/>
        <v>30</v>
      </c>
      <c r="BB51" s="171">
        <f t="shared" si="18"/>
        <v>65</v>
      </c>
      <c r="BC51" s="178" cm="1">
        <f t="array" ref="BC51">IF(BA51="","",MAX($C$5,IF(AZ51=90,IF(OR(BB51=BC$13,BB51=BC$14,BB51=AZ$4-BC$14,BB51=AZ$4-BC$13),BA$7,IF(OR(BA51=BA$20,BA51=BA$24),BA$8,IF(OR(BA51=BA$21:BA$23),BA$9))),BA$10)))</f>
        <v>14</v>
      </c>
      <c r="BD51" s="168"/>
      <c r="BE51" s="183">
        <f>IF(ROW(BE51)-ROW(BE$49)&lt;=BF$18-2,90,"")</f>
        <v>90</v>
      </c>
      <c r="BF51" s="171">
        <f t="shared" si="19"/>
        <v>30</v>
      </c>
      <c r="BG51" s="171">
        <f t="shared" si="20"/>
        <v>65</v>
      </c>
      <c r="BH51" s="178" cm="1">
        <f t="array" ref="BH51">IF(BF51="","",MAX($C$5,IF(BE51=90,IF(OR(BG51=BH$13,BG51=BH$14,BG51=BE$4-BH$14,BG51=BE$4-BH$13),BF$7,IF(OR(BF51=BF$20,BF51=BF$24),BF$8,IF(OR(BF51=BF$21:BF$23),BF$9))),BF$10)))</f>
        <v>14</v>
      </c>
      <c r="BI51" s="277"/>
      <c r="BJ51" s="183">
        <f>IF(ROW(BJ51)-ROW(BJ$49)&lt;=BK$18,90,"")</f>
        <v>90</v>
      </c>
      <c r="BK51" s="171">
        <f>IF(BJ51="","",BK21)</f>
        <v>30</v>
      </c>
      <c r="BL51" s="171">
        <f>IF(BJ51="","",BM21)</f>
        <v>70</v>
      </c>
      <c r="BM51" s="178" cm="1">
        <f t="array" ref="BM51">IF(BK51="","",MAX($C$5,IF(BJ51=90,IF(OR(BL51=BM$13,BL51=BM$14,BL51=BJ$4-BM$14,BL51=BJ$4-BM$13),BK$7,IF(OR(BK51=BK$20,BK51=BK$24),BK$8,IF(OR(BK51=BK$21:BK$23),BK$9))),BK$10)))</f>
        <v>14</v>
      </c>
      <c r="BN51" s="168"/>
      <c r="BO51" s="183">
        <f>IF(ROW(BO51)-ROW(BO$49)&lt;=BP$18,90,"")</f>
        <v>90</v>
      </c>
      <c r="BP51" s="171">
        <f>IF(BO51="","",BP21)</f>
        <v>30</v>
      </c>
      <c r="BQ51" s="171">
        <f>IF(BO51="","",BR21)</f>
        <v>70</v>
      </c>
      <c r="BR51" s="178" cm="1">
        <f t="array" ref="BR51">IF(BP51="","",MAX($C$5,IF(BO51=90,IF(OR(BQ51=BR$13,BQ51=BR$14,BQ51=BO$4-BR$14,BQ51=BO$4-BR$13),BP$7,IF(OR(BP51=BP$20,BP51=BP$24),BP$8,IF(OR(BP51=BP$21:BP$23),BP$9))),BP$10)))</f>
        <v>14</v>
      </c>
      <c r="BS51" s="168"/>
      <c r="BT51" s="183">
        <f>IF(ROW(BT51)-ROW(BT$49)&lt;=BU$18,90,"")</f>
        <v>90</v>
      </c>
      <c r="BU51" s="171">
        <f>IF(BT51="","",BU21)</f>
        <v>30</v>
      </c>
      <c r="BV51" s="171">
        <f>IF(BT51="","",BW21)</f>
        <v>70</v>
      </c>
      <c r="BW51" s="178" cm="1">
        <f t="array" ref="BW51">IF(BU51="","",MAX($C$5,IF(BT51=90,IF(OR(BV51=BW$13,BV51=BW$14,BV51=BT$4-BW$14,BV51=BT$4-BW$13),BU$7,IF(OR(BU51=BU$20,BU51=BU$24),BU$8,IF(OR(BU51=BU$21:BU$23),BU$9))),BU$10)))</f>
        <v>14</v>
      </c>
      <c r="BX51" s="288"/>
    </row>
    <row r="52" spans="1:76">
      <c r="A52" s="168"/>
      <c r="B52" s="183">
        <f t="shared" si="21"/>
        <v>90</v>
      </c>
      <c r="C52" s="171">
        <f>+C22</f>
        <v>75</v>
      </c>
      <c r="D52" s="171">
        <f>+E22</f>
        <v>75</v>
      </c>
      <c r="E52" s="178" cm="1">
        <f t="array" ref="E52">IF(C52="","",MAX($C$5,IF(B52=90,IF(OR(D52=E$13,D52=E$14,D52=B$4-E$14,D52=B$4-E$13),C$7,IF(OR(C52=C$20,C52=C$24),C$8,IF(OR(C52=C$21:C$23),C$9))),C$10)))</f>
        <v>14</v>
      </c>
      <c r="F52" s="168"/>
      <c r="G52" s="183">
        <f t="shared" si="22"/>
        <v>90</v>
      </c>
      <c r="H52" s="171">
        <f>+H22</f>
        <v>75</v>
      </c>
      <c r="I52" s="171">
        <f>+J22</f>
        <v>75</v>
      </c>
      <c r="J52" s="178" cm="1">
        <f t="array" ref="J52">IF(H52="","",MAX($C$5,IF(G52=90,IF(OR(I52=J$13,I52=J$14,I52=G$4-J$14,I52=G$4-J$13),H$7,IF(OR(H52=H$20,H52=H$24),H$8,IF(OR(H52=H$21:H$23),H$9))),H$10)))</f>
        <v>14</v>
      </c>
      <c r="K52" s="168"/>
      <c r="L52" s="183">
        <f t="shared" si="23"/>
        <v>90</v>
      </c>
      <c r="M52" s="171">
        <f>+M22</f>
        <v>75</v>
      </c>
      <c r="N52" s="171">
        <f>+O22</f>
        <v>75</v>
      </c>
      <c r="O52" s="178" cm="1">
        <f t="array" ref="O52">IF(M52="","",MAX($C$5,IF(L52=90,IF(OR(N52=O$13,N52=O$14,N52=L$4-O$14,N52=L$4-O$13),M$7,IF(OR(M52=M$20,M52=M$24),M$8,IF(OR(M52=M$21:M$23),M$9))),M$10)))</f>
        <v>14</v>
      </c>
      <c r="P52" s="168"/>
      <c r="Q52" s="183">
        <f t="shared" si="24"/>
        <v>90</v>
      </c>
      <c r="R52" s="171">
        <f>+R22</f>
        <v>75</v>
      </c>
      <c r="S52" s="171">
        <f>+T22</f>
        <v>75</v>
      </c>
      <c r="T52" s="178" cm="1">
        <f t="array" ref="T52">IF(R52="","",MAX($C$5,IF(Q52=90,IF(OR(S52=T$13,S52=T$14,S52=Q$4-T$14,S52=Q$4-T$13),R$7,IF(OR(R52=R$20,R52=R$24),R$8,IF(OR(R52=R$21:R$23),R$9))),R$10)))</f>
        <v>14</v>
      </c>
      <c r="U52" s="168"/>
      <c r="V52" s="183">
        <f t="shared" si="25"/>
        <v>90</v>
      </c>
      <c r="W52" s="171">
        <f>+W22</f>
        <v>75</v>
      </c>
      <c r="X52" s="171">
        <f>+Y22</f>
        <v>75</v>
      </c>
      <c r="Y52" s="178" cm="1">
        <f t="array" ref="Y52">IF(W52="","",MAX($C$5,IF(V52=90,IF(OR(X52=Y$13,X52=Y$14,X52=V$4-Y$14,X52=V$4-Y$13),W$7,IF(OR(W52=W$20,W52=W$24),W$8,IF(OR(W52=W$21:W$23),W$9))),W$10)))</f>
        <v>14</v>
      </c>
      <c r="Z52" s="168"/>
      <c r="AA52" s="183">
        <f t="shared" si="26"/>
        <v>90</v>
      </c>
      <c r="AB52" s="171">
        <f>+AB22</f>
        <v>75</v>
      </c>
      <c r="AC52" s="171">
        <f>+AD22</f>
        <v>75</v>
      </c>
      <c r="AD52" s="178" cm="1">
        <f t="array" ref="AD52">IF(AB52="","",MAX($C$5,IF(AA52=90,IF(OR(AC52=AD$13,AC52=AD$14,AC52=AA$4-AD$14,AC52=AA$4-AD$13),AB$7,IF(OR(AB52=AB$20,AB52=AB$24),AB$8,IF(OR(AB52=AB$21:AB$23),AB$9))),AB$10)))</f>
        <v>14</v>
      </c>
      <c r="AE52" s="168"/>
      <c r="AF52" s="183">
        <f t="shared" si="27"/>
        <v>90</v>
      </c>
      <c r="AG52" s="171">
        <f>+AG22</f>
        <v>75</v>
      </c>
      <c r="AH52" s="171">
        <f>+AI22</f>
        <v>75</v>
      </c>
      <c r="AI52" s="178" cm="1">
        <f t="array" ref="AI52">IF(AG52="","",MAX($C$5,IF(AF52=90,IF(OR(AH52=AI$13,AH52=AI$14,AH52=AF$4-AI$14,AH52=AF$4-AI$13),AG$7,IF(OR(AG52=AG$20,AG52=AG$24),AG$8,IF(OR(AG52=AG$21:AG$23),AG$9))),AG$10)))</f>
        <v>14</v>
      </c>
      <c r="AJ52" s="168"/>
      <c r="AK52" s="183">
        <f t="shared" si="28"/>
        <v>90</v>
      </c>
      <c r="AL52" s="171">
        <f>+AL22</f>
        <v>75</v>
      </c>
      <c r="AM52" s="171">
        <f>+AN22</f>
        <v>75</v>
      </c>
      <c r="AN52" s="178" cm="1">
        <f t="array" ref="AN52">IF(AL52="","",MAX($C$5,IF(AK52=90,IF(OR(AM52=AN$13,AM52=AN$14,AM52=AK$4-AN$14,AM52=AK$4-AN$13),AL$7,IF(OR(AL52=AL$20,AL52=AL$24),AL$8,IF(OR(AL52=AL$21:AL$23),AL$9))),AL$10)))</f>
        <v>14</v>
      </c>
      <c r="AO52" s="168"/>
      <c r="AP52" s="201">
        <f t="shared" si="14"/>
        <v>90</v>
      </c>
      <c r="AQ52" s="202">
        <f>+AQ22</f>
        <v>75</v>
      </c>
      <c r="AR52" s="202">
        <f>+AS22</f>
        <v>225</v>
      </c>
      <c r="AS52" s="178" cm="1">
        <f t="array" ref="AS52">IF(AQ52="","",MAX($C$5,IF(AP52=90,IF(OR(AR52=AS$13,AR52=AS$14,AR52=AP$4-AS$14,AR52=AP$4-AS$13),AQ$7,IF(OR(AQ52=AQ$20,AQ52=AQ$24),AQ$8,IF(OR(AQ52=AQ$21:AQ$23),AQ$9))),AQ$10)))</f>
        <v>14</v>
      </c>
      <c r="AT52" s="277"/>
      <c r="AU52" s="183">
        <f>IF(ROW(AU52)-ROW(AU$49)&lt;=AV$18-2,90,"")</f>
        <v>90</v>
      </c>
      <c r="AV52" s="171">
        <f t="shared" si="15"/>
        <v>70</v>
      </c>
      <c r="AW52" s="171">
        <f t="shared" si="16"/>
        <v>65</v>
      </c>
      <c r="AX52" s="178" cm="1">
        <f t="array" ref="AX52">IF(AV52="","",MAX($C$5,IF(AU52=90,IF(OR(AW52=AX$13,AW52=AX$14,AW52=AU$4-AX$14,AW52=AU$4-AX$13),AV$7,IF(OR(AV52=AV$20,AV52=AV$24),AV$8,IF(OR(AV52=AV$21:AV$23),AV$9))),AV$10)))</f>
        <v>14</v>
      </c>
      <c r="AY52" s="168"/>
      <c r="AZ52" s="183">
        <f>IF(ROW(AZ52)-ROW(AZ$49)&lt;=BA$18-2,90,"")</f>
        <v>90</v>
      </c>
      <c r="BA52" s="171">
        <f t="shared" si="17"/>
        <v>70</v>
      </c>
      <c r="BB52" s="171">
        <f t="shared" si="18"/>
        <v>65</v>
      </c>
      <c r="BC52" s="178" cm="1">
        <f t="array" ref="BC52">IF(BA52="","",MAX($C$5,IF(AZ52=90,IF(OR(BB52=BC$13,BB52=BC$14,BB52=AZ$4-BC$14,BB52=AZ$4-BC$13),BA$7,IF(OR(BA52=BA$20,BA52=BA$24),BA$8,IF(OR(BA52=BA$21:BA$23),BA$9))),BA$10)))</f>
        <v>14</v>
      </c>
      <c r="BD52" s="168"/>
      <c r="BE52" s="183">
        <f>IF(ROW(BE52)-ROW(BE$49)&lt;=BF$18-2,90,"")</f>
        <v>90</v>
      </c>
      <c r="BF52" s="171">
        <f t="shared" si="19"/>
        <v>70</v>
      </c>
      <c r="BG52" s="171">
        <f t="shared" si="20"/>
        <v>65</v>
      </c>
      <c r="BH52" s="178" cm="1">
        <f t="array" ref="BH52">IF(BF52="","",MAX($C$5,IF(BE52=90,IF(OR(BG52=BH$13,BG52=BH$14,BG52=BE$4-BH$14,BG52=BE$4-BH$13),BF$7,IF(OR(BF52=BF$20,BF52=BF$24),BF$8,IF(OR(BF52=BF$21:BF$23),BF$9))),BF$10)))</f>
        <v>14</v>
      </c>
      <c r="BI52" s="277"/>
      <c r="BJ52" s="183">
        <f>IF(ROW(BJ52)-ROW(BJ$49)&lt;=BK$18,90,"")</f>
        <v>90</v>
      </c>
      <c r="BK52" s="171">
        <f>IF(BJ52="","",BK25)</f>
        <v>30</v>
      </c>
      <c r="BL52" s="171">
        <f>IF(BJ52="","",BM25)</f>
        <v>480</v>
      </c>
      <c r="BM52" s="178" cm="1">
        <f t="array" ref="BM52">IF(BK52="","",MAX($C$5,IF(BJ52=90,IF(OR(BL52=BM$13,BL52=BM$14,BL52=BJ$4-BM$14,BL52=BJ$4-BM$13),BK$7,IF(OR(BK52=BK$20,BK52=BK$24),BK$8,IF(OR(BK52=BK$21:BK$23),BK$9))),BK$10)))</f>
        <v>14</v>
      </c>
      <c r="BN52" s="168"/>
      <c r="BO52" s="183">
        <f>IF(ROW(BO52)-ROW(BO$49)&lt;=BP$18,90,"")</f>
        <v>90</v>
      </c>
      <c r="BP52" s="171">
        <f>IF(BO52="","",BP25)</f>
        <v>30</v>
      </c>
      <c r="BQ52" s="171">
        <f>IF(BO52="","",BR25)</f>
        <v>360</v>
      </c>
      <c r="BR52" s="178" cm="1">
        <f t="array" ref="BR52">IF(BP52="","",MAX($C$5,IF(BO52=90,IF(OR(BQ52=BR$13,BQ52=BR$14,BQ52=BO$4-BR$14,BQ52=BO$4-BR$13),BP$7,IF(OR(BP52=BP$20,BP52=BP$24),BP$8,IF(OR(BP52=BP$21:BP$23),BP$9))),BP$10)))</f>
        <v>14</v>
      </c>
      <c r="BS52" s="168"/>
      <c r="BT52" s="183">
        <f t="shared" ref="BT52:BT60" si="29">IF(ROW(BT52)-ROW(BT$49)&lt;=BU$18,90,"")</f>
        <v>90</v>
      </c>
      <c r="BU52" s="171">
        <f>IF(BT52="","",BU25)</f>
        <v>30</v>
      </c>
      <c r="BV52" s="171">
        <f>IF(BT52="","",BW25)</f>
        <v>240</v>
      </c>
      <c r="BW52" s="178" cm="1">
        <f t="array" ref="BW52">IF(BU52="","",MAX($C$5,IF(BT52=90,IF(OR(BV52=BW$13,BV52=BW$14,BV52=BT$4-BW$14,BV52=BT$4-BW$13),BU$7,IF(OR(BU52=BU$20,BU52=BU$24),BU$8,IF(OR(BU52=BU$21:BU$23),BU$9))),BU$10)))</f>
        <v>14</v>
      </c>
      <c r="BX52" s="288"/>
    </row>
    <row r="53" spans="1:76">
      <c r="A53" s="168"/>
      <c r="B53" s="183">
        <f t="shared" si="21"/>
        <v>90</v>
      </c>
      <c r="C53" s="171">
        <f>+C23</f>
        <v>118</v>
      </c>
      <c r="D53" s="171">
        <f>+E23</f>
        <v>65</v>
      </c>
      <c r="E53" s="178" cm="1">
        <f t="array" ref="E53">IF(C53="","",MAX($C$5,IF(B53=90,IF(OR(D53=E$13,D53=E$14,D53=B$4-E$14,D53=B$4-E$13),C$7,IF(OR(C53=C$20,C53=C$24),C$8,IF(OR(C53=C$21:C$23),C$9))),C$10)))</f>
        <v>14</v>
      </c>
      <c r="F53" s="168"/>
      <c r="G53" s="183">
        <f t="shared" si="22"/>
        <v>90</v>
      </c>
      <c r="H53" s="171">
        <f>+H23</f>
        <v>118</v>
      </c>
      <c r="I53" s="171">
        <f>+J23</f>
        <v>65</v>
      </c>
      <c r="J53" s="178" cm="1">
        <f t="array" ref="J53">IF(H53="","",MAX($C$5,IF(G53=90,IF(OR(I53=J$13,I53=J$14,I53=G$4-J$14,I53=G$4-J$13),H$7,IF(OR(H53=H$20,H53=H$24),H$8,IF(OR(H53=H$21:H$23),H$9))),H$10)))</f>
        <v>14</v>
      </c>
      <c r="K53" s="168"/>
      <c r="L53" s="183">
        <f t="shared" si="23"/>
        <v>90</v>
      </c>
      <c r="M53" s="171">
        <f>+M23</f>
        <v>118</v>
      </c>
      <c r="N53" s="171">
        <f>+O23</f>
        <v>65</v>
      </c>
      <c r="O53" s="178" cm="1">
        <f t="array" ref="O53">IF(M53="","",MAX($C$5,IF(L53=90,IF(OR(N53=O$13,N53=O$14,N53=L$4-O$14,N53=L$4-O$13),M$7,IF(OR(M53=M$20,M53=M$24),M$8,IF(OR(M53=M$21:M$23),M$9))),M$10)))</f>
        <v>14</v>
      </c>
      <c r="P53" s="168"/>
      <c r="Q53" s="183">
        <f t="shared" si="24"/>
        <v>90</v>
      </c>
      <c r="R53" s="171">
        <f>+R23</f>
        <v>118</v>
      </c>
      <c r="S53" s="171">
        <f>+T23</f>
        <v>65</v>
      </c>
      <c r="T53" s="178" cm="1">
        <f t="array" ref="T53">IF(R53="","",MAX($C$5,IF(Q53=90,IF(OR(S53=T$13,S53=T$14,S53=Q$4-T$14,S53=Q$4-T$13),R$7,IF(OR(R53=R$20,R53=R$24),R$8,IF(OR(R53=R$21:R$23),R$9))),R$10)))</f>
        <v>14</v>
      </c>
      <c r="U53" s="168"/>
      <c r="V53" s="183">
        <f t="shared" si="25"/>
        <v>90</v>
      </c>
      <c r="W53" s="171">
        <f>+W23</f>
        <v>118</v>
      </c>
      <c r="X53" s="171">
        <f>+Y23</f>
        <v>65</v>
      </c>
      <c r="Y53" s="178" cm="1">
        <f t="array" ref="Y53">IF(W53="","",MAX($C$5,IF(V53=90,IF(OR(X53=Y$13,X53=Y$14,X53=V$4-Y$14,X53=V$4-Y$13),W$7,IF(OR(W53=W$20,W53=W$24),W$8,IF(OR(W53=W$21:W$23),W$9))),W$10)))</f>
        <v>14</v>
      </c>
      <c r="Z53" s="168"/>
      <c r="AA53" s="183">
        <f t="shared" si="26"/>
        <v>90</v>
      </c>
      <c r="AB53" s="171">
        <f>+AB23</f>
        <v>118</v>
      </c>
      <c r="AC53" s="171">
        <f>+AD23</f>
        <v>65</v>
      </c>
      <c r="AD53" s="178" cm="1">
        <f t="array" ref="AD53">IF(AB53="","",MAX($C$5,IF(AA53=90,IF(OR(AC53=AD$13,AC53=AD$14,AC53=AA$4-AD$14,AC53=AA$4-AD$13),AB$7,IF(OR(AB53=AB$20,AB53=AB$24),AB$8,IF(OR(AB53=AB$21:AB$23),AB$9))),AB$10)))</f>
        <v>14</v>
      </c>
      <c r="AE53" s="168"/>
      <c r="AF53" s="183">
        <f t="shared" si="27"/>
        <v>90</v>
      </c>
      <c r="AG53" s="171">
        <f>+AG23</f>
        <v>118</v>
      </c>
      <c r="AH53" s="171">
        <f>+AI23</f>
        <v>65</v>
      </c>
      <c r="AI53" s="178" cm="1">
        <f t="array" ref="AI53">IF(AG53="","",MAX($C$5,IF(AF53=90,IF(OR(AH53=AI$13,AH53=AI$14,AH53=AF$4-AI$14,AH53=AF$4-AI$13),AG$7,IF(OR(AG53=AG$20,AG53=AG$24),AG$8,IF(OR(AG53=AG$21:AG$23),AG$9))),AG$10)))</f>
        <v>14</v>
      </c>
      <c r="AJ53" s="168"/>
      <c r="AK53" s="183">
        <f t="shared" si="28"/>
        <v>90</v>
      </c>
      <c r="AL53" s="171">
        <f>+AL23</f>
        <v>118</v>
      </c>
      <c r="AM53" s="171">
        <f>+AN23</f>
        <v>65</v>
      </c>
      <c r="AN53" s="178" cm="1">
        <f t="array" ref="AN53">IF(AL53="","",MAX($C$5,IF(AK53=90,IF(OR(AM53=AN$13,AM53=AN$14,AM53=AK$4-AN$14,AM53=AK$4-AN$13),AL$7,IF(OR(AL53=AL$20,AL53=AL$24),AL$8,IF(OR(AL53=AL$21:AL$23),AL$9))),AL$10)))</f>
        <v>14</v>
      </c>
      <c r="AO53" s="168"/>
      <c r="AP53" s="201">
        <f t="shared" si="14"/>
        <v>90</v>
      </c>
      <c r="AQ53" s="202">
        <f>+AQ23</f>
        <v>118</v>
      </c>
      <c r="AR53" s="202">
        <f>+AS23</f>
        <v>215</v>
      </c>
      <c r="AS53" s="178" cm="1">
        <f t="array" ref="AS53">IF(AQ53="","",MAX($C$5,IF(AP53=90,IF(OR(AR53=AS$13,AR53=AS$14,AR53=AP$4-AS$14,AR53=AP$4-AS$13),AQ$7,IF(OR(AQ53=AQ$20,AQ53=AQ$24),AQ$8,IF(OR(AQ53=AQ$21:AQ$23),AQ$9))),AQ$10)))</f>
        <v>14</v>
      </c>
      <c r="AT53" s="277"/>
      <c r="AU53" s="183">
        <f>IF(ROW(AU53)-ROW(AU$49)&lt;=AV$18-2,90,"")</f>
        <v>90</v>
      </c>
      <c r="AV53" s="171">
        <f t="shared" si="15"/>
        <v>89.2</v>
      </c>
      <c r="AW53" s="171">
        <f t="shared" si="16"/>
        <v>80</v>
      </c>
      <c r="AX53" s="178" cm="1">
        <f t="array" ref="AX53">IF(AV53="","",MAX($C$5,IF(AU53=90,IF(OR(AW53=AX$13,AW53=AX$14,AW53=AU$4-AX$14,AW53=AU$4-AX$13),AV$7,IF(OR(AV53=AV$20,AV53=AV$24),AV$8,IF(OR(AV53=AV$21:AV$23),AV$9))),AV$10)))</f>
        <v>14</v>
      </c>
      <c r="AY53" s="168"/>
      <c r="AZ53" s="183">
        <f>IF(ROW(AZ53)-ROW(AZ$49)&lt;=BA$18-2,90,"")</f>
        <v>90</v>
      </c>
      <c r="BA53" s="171">
        <f t="shared" si="17"/>
        <v>89.2</v>
      </c>
      <c r="BB53" s="171">
        <f t="shared" si="18"/>
        <v>80</v>
      </c>
      <c r="BC53" s="178" cm="1">
        <f t="array" ref="BC53">IF(BA53="","",MAX($C$5,IF(AZ53=90,IF(OR(BB53=BC$13,BB53=BC$14,BB53=AZ$4-BC$14,BB53=AZ$4-BC$13),BA$7,IF(OR(BA53=BA$20,BA53=BA$24),BA$8,IF(OR(BA53=BA$21:BA$23),BA$9))),BA$10)))</f>
        <v>14</v>
      </c>
      <c r="BD53" s="168"/>
      <c r="BE53" s="183">
        <f>IF(ROW(BE53)-ROW(BE$49)&lt;=BF$18-2,90,"")</f>
        <v>90</v>
      </c>
      <c r="BF53" s="171">
        <f t="shared" si="19"/>
        <v>89.2</v>
      </c>
      <c r="BG53" s="171">
        <f t="shared" si="20"/>
        <v>80</v>
      </c>
      <c r="BH53" s="178" cm="1">
        <f t="array" ref="BH53">IF(BF53="","",MAX($C$5,IF(BE53=90,IF(OR(BG53=BH$13,BG53=BH$14,BG53=BE$4-BH$14,BG53=BE$4-BH$13),BF$7,IF(OR(BF53=BF$20,BF53=BF$24),BF$8,IF(OR(BF53=BF$21:BF$23),BF$9))),BF$10)))</f>
        <v>14</v>
      </c>
      <c r="BI53" s="277"/>
      <c r="BJ53" s="183" t="str">
        <f>IF(ROW(BJ53)-ROW(BJ$49)&lt;=BK$18,90,"")</f>
        <v/>
      </c>
      <c r="BK53" s="171" t="str">
        <f>IF(BJ53="","",BK23)</f>
        <v/>
      </c>
      <c r="BL53" s="171" t="str">
        <f>IF(BJ53="","",BM23)</f>
        <v/>
      </c>
      <c r="BM53" s="178" t="str" cm="1">
        <f t="array" ref="BM53">IF(BK53="","",MAX($C$5,IF(BJ53=90,IF(OR(BL53=BM$13,BL53=BM$14,BL53=BJ$4-BM$14,BL53=BJ$4-BM$13),BK$7,IF(OR(BK53=BK$20,BK53=BK$24),BK$8,IF(OR(BK53=BK$21:BK$23),BK$9))),BK$10)))</f>
        <v/>
      </c>
      <c r="BN53" s="168"/>
      <c r="BO53" s="183" t="str">
        <f>IF(ROW(BO53)-ROW(BO$49)&lt;=BP$18,90,"")</f>
        <v/>
      </c>
      <c r="BP53" s="171" t="str">
        <f>IF(BO53="","",BP23)</f>
        <v/>
      </c>
      <c r="BQ53" s="171" t="str">
        <f>IF(BO53="","",BR23)</f>
        <v/>
      </c>
      <c r="BR53" s="178" t="str" cm="1">
        <f t="array" ref="BR53">IF(BP53="","",MAX($C$5,IF(BO53=90,IF(OR(BQ53=BR$13,BQ53=BR$14,BQ53=BO$4-BR$14,BQ53=BO$4-BR$13),BP$7,IF(OR(BP53=BP$20,BP53=BP$24),BP$8,IF(OR(BP53=BP$21:BP$23),BP$9))),BP$10)))</f>
        <v/>
      </c>
      <c r="BS53" s="168"/>
      <c r="BT53" s="183" t="str">
        <f t="shared" si="29"/>
        <v/>
      </c>
      <c r="BU53" s="171" t="str">
        <f t="shared" ref="BU53:BU60" si="30">IF(BT53="","",BU23)</f>
        <v/>
      </c>
      <c r="BV53" s="171" t="str">
        <f t="shared" ref="BV53:BV60" si="31">IF(BT53="","",BW23)</f>
        <v/>
      </c>
      <c r="BW53" s="178" t="str" cm="1">
        <f t="array" ref="BW53">IF(BU53="","",MAX($C$5,IF(BT53=90,IF(OR(BV53=BW$13,BV53=BW$14,BV53=BT$4-BW$14,BV53=BT$4-BW$13),BU$7,IF(OR(BU53=BU$20,BU53=BU$24),BU$8,IF(OR(BU53=BU$21:BU$23),BU$9))),BU$10)))</f>
        <v/>
      </c>
      <c r="BX53" s="288"/>
    </row>
    <row r="54" spans="1:76">
      <c r="A54" s="168"/>
      <c r="B54" s="184">
        <f t="shared" si="21"/>
        <v>90</v>
      </c>
      <c r="C54" s="172">
        <f>+C24</f>
        <v>139.5</v>
      </c>
      <c r="D54" s="172">
        <f>+E24</f>
        <v>80</v>
      </c>
      <c r="E54" s="179" cm="1">
        <f t="array" ref="E54">IF(C54="","",MAX($C$5,IF(B54=90,IF(OR(D54=E$13,D54=E$14,D54=B$4-E$14,D54=B$4-E$13),C$7,IF(OR(C54=C$20,C54=C$24),C$8,IF(OR(C54=C$21:C$23),C$9))),C$10)))</f>
        <v>20</v>
      </c>
      <c r="F54" s="168"/>
      <c r="G54" s="184">
        <f t="shared" si="22"/>
        <v>90</v>
      </c>
      <c r="H54" s="172">
        <f>+H24</f>
        <v>139.5</v>
      </c>
      <c r="I54" s="172">
        <f>+J24</f>
        <v>80</v>
      </c>
      <c r="J54" s="179" cm="1">
        <f t="array" ref="J54">IF(H54="","",MAX($C$5,IF(G54=90,IF(OR(I54=J$13,I54=J$14,I54=G$4-J$14,I54=G$4-J$13),H$7,IF(OR(H54=H$20,H54=H$24),H$8,IF(OR(H54=H$21:H$23),H$9))),H$10)))</f>
        <v>20</v>
      </c>
      <c r="K54" s="168"/>
      <c r="L54" s="184">
        <f t="shared" si="23"/>
        <v>90</v>
      </c>
      <c r="M54" s="172">
        <f>+M24</f>
        <v>139.5</v>
      </c>
      <c r="N54" s="172">
        <f>+O24</f>
        <v>80</v>
      </c>
      <c r="O54" s="179" cm="1">
        <f t="array" ref="O54">IF(M54="","",MAX($C$5,IF(L54=90,IF(OR(N54=O$13,N54=O$14,N54=L$4-O$14,N54=L$4-O$13),M$7,IF(OR(M54=M$20,M54=M$24),M$8,IF(OR(M54=M$21:M$23),M$9))),M$10)))</f>
        <v>20</v>
      </c>
      <c r="P54" s="168"/>
      <c r="Q54" s="184">
        <f t="shared" si="24"/>
        <v>90</v>
      </c>
      <c r="R54" s="172">
        <f>+R24</f>
        <v>139.5</v>
      </c>
      <c r="S54" s="172">
        <f>+T24</f>
        <v>80</v>
      </c>
      <c r="T54" s="179" cm="1">
        <f t="array" ref="T54">IF(R54="","",MAX($C$5,IF(Q54=90,IF(OR(S54=T$13,S54=T$14,S54=Q$4-T$14,S54=Q$4-T$13),R$7,IF(OR(R54=R$20,R54=R$24),R$8,IF(OR(R54=R$21:R$23),R$9))),R$10)))</f>
        <v>20</v>
      </c>
      <c r="U54" s="168"/>
      <c r="V54" s="184">
        <f t="shared" si="25"/>
        <v>90</v>
      </c>
      <c r="W54" s="172">
        <f>+W24</f>
        <v>139.5</v>
      </c>
      <c r="X54" s="172">
        <f>+Y24</f>
        <v>80</v>
      </c>
      <c r="Y54" s="179" cm="1">
        <f t="array" ref="Y54">IF(W54="","",MAX($C$5,IF(V54=90,IF(OR(X54=Y$13,X54=Y$14,X54=V$4-Y$14,X54=V$4-Y$13),W$7,IF(OR(W54=W$20,W54=W$24),W$8,IF(OR(W54=W$21:W$23),W$9))),W$10)))</f>
        <v>20</v>
      </c>
      <c r="Z54" s="168"/>
      <c r="AA54" s="184">
        <f t="shared" si="26"/>
        <v>90</v>
      </c>
      <c r="AB54" s="172">
        <f>+AB24</f>
        <v>139.5</v>
      </c>
      <c r="AC54" s="172">
        <f>+AD24</f>
        <v>80</v>
      </c>
      <c r="AD54" s="179" cm="1">
        <f t="array" ref="AD54">IF(AB54="","",MAX($C$5,IF(AA54=90,IF(OR(AC54=AD$13,AC54=AD$14,AC54=AA$4-AD$14,AC54=AA$4-AD$13),AB$7,IF(OR(AB54=AB$20,AB54=AB$24),AB$8,IF(OR(AB54=AB$21:AB$23),AB$9))),AB$10)))</f>
        <v>20</v>
      </c>
      <c r="AE54" s="168"/>
      <c r="AF54" s="184">
        <f t="shared" si="27"/>
        <v>90</v>
      </c>
      <c r="AG54" s="172">
        <f>+AG24</f>
        <v>139.5</v>
      </c>
      <c r="AH54" s="172">
        <f>+AI24</f>
        <v>80</v>
      </c>
      <c r="AI54" s="179" cm="1">
        <f t="array" ref="AI54">IF(AG54="","",MAX($C$5,IF(AF54=90,IF(OR(AH54=AI$13,AH54=AI$14,AH54=AF$4-AI$14,AH54=AF$4-AI$13),AG$7,IF(OR(AG54=AG$20,AG54=AG$24),AG$8,IF(OR(AG54=AG$21:AG$23),AG$9))),AG$10)))</f>
        <v>20</v>
      </c>
      <c r="AJ54" s="168"/>
      <c r="AK54" s="184">
        <f t="shared" si="28"/>
        <v>90</v>
      </c>
      <c r="AL54" s="172">
        <f>+AL24</f>
        <v>139.5</v>
      </c>
      <c r="AM54" s="172">
        <f>+AN24</f>
        <v>80</v>
      </c>
      <c r="AN54" s="179" cm="1">
        <f t="array" ref="AN54">IF(AL54="","",MAX($C$5,IF(AK54=90,IF(OR(AM54=AN$13,AM54=AN$14,AM54=AK$4-AN$14,AM54=AK$4-AN$13),AL$7,IF(OR(AL54=AL$20,AL54=AL$24),AL$8,IF(OR(AL54=AL$21:AL$23),AL$9))),AL$10)))</f>
        <v>20</v>
      </c>
      <c r="AO54" s="168"/>
      <c r="AP54" s="207">
        <f t="shared" si="14"/>
        <v>90</v>
      </c>
      <c r="AQ54" s="208">
        <f>+AQ24</f>
        <v>139.5</v>
      </c>
      <c r="AR54" s="208">
        <f>+AS24</f>
        <v>230</v>
      </c>
      <c r="AS54" s="179" cm="1">
        <f t="array" ref="AS54">IF(AQ54="","",MAX($C$5,IF(AP54=90,IF(OR(AR54=AS$13,AR54=AS$14,AR54=AP$4-AS$14,AR54=AP$4-AS$13),AQ$7,IF(OR(AQ54=AQ$20,AQ54=AQ$24),AQ$8,IF(OR(AQ54=AQ$21:AQ$23),AQ$9))),AQ$10)))</f>
        <v>20</v>
      </c>
      <c r="AT54" s="277"/>
      <c r="AU54" s="184" t="str">
        <f>IF(ROW(AU54)-ROW(AU$49)&lt;=AV$18-2,90,"")</f>
        <v/>
      </c>
      <c r="AV54" s="172" t="str">
        <f t="shared" si="15"/>
        <v/>
      </c>
      <c r="AW54" s="172" t="str">
        <f t="shared" si="16"/>
        <v/>
      </c>
      <c r="AX54" s="179" t="str" cm="1">
        <f t="array" ref="AX54">IF(AV54="","",MAX($C$5,IF(AU54=90,IF(OR(AW54=AX$13,AW54=AX$14,AW54=AU$4-AX$14,AW54=AU$4-AX$13),AV$7,IF(OR(AV54=AV$20,AV54=AV$24),AV$8,IF(OR(AV54=AV$21:AV$23),AV$9))),AV$10)))</f>
        <v/>
      </c>
      <c r="AY54" s="168"/>
      <c r="AZ54" s="184" t="str">
        <f>IF(ROW(AZ54)-ROW(AZ$49)&lt;=BA$18-2,90,"")</f>
        <v/>
      </c>
      <c r="BA54" s="172" t="str">
        <f t="shared" si="17"/>
        <v/>
      </c>
      <c r="BB54" s="172" t="str">
        <f t="shared" si="18"/>
        <v/>
      </c>
      <c r="BC54" s="179" t="str" cm="1">
        <f t="array" ref="BC54">IF(BA54="","",MAX($C$5,IF(AZ54=90,IF(OR(BB54=BC$13,BB54=BC$14,BB54=AZ$4-BC$14,BB54=AZ$4-BC$13),BA$7,IF(OR(BA54=BA$20,BA54=BA$24),BA$8,IF(OR(BA54=BA$21:BA$23),BA$9))),BA$10)))</f>
        <v/>
      </c>
      <c r="BD54" s="168"/>
      <c r="BE54" s="184" t="str">
        <f>IF(ROW(BE54)-ROW(BE$49)&lt;=BF$18-2,90,"")</f>
        <v/>
      </c>
      <c r="BF54" s="172" t="str">
        <f t="shared" si="19"/>
        <v/>
      </c>
      <c r="BG54" s="172" t="str">
        <f t="shared" si="20"/>
        <v/>
      </c>
      <c r="BH54" s="179" t="str" cm="1">
        <f t="array" ref="BH54">IF(BF54="","",MAX($C$5,IF(BE54=90,IF(OR(BG54=BH$13,BG54=BH$14,BG54=BE$4-BH$14,BG54=BE$4-BH$13),BF$7,IF(OR(BF54=BF$20,BF54=BF$24),BF$8,IF(OR(BF54=BF$21:BF$23),BF$9))),BF$10)))</f>
        <v/>
      </c>
      <c r="BI54" s="277"/>
      <c r="BJ54" s="184" t="str">
        <f>IF(ROW(BJ54)-ROW(BJ$49)&lt;=BK$18,90,"")</f>
        <v/>
      </c>
      <c r="BK54" s="172" t="str">
        <f>IF(BJ54="","",BK24)</f>
        <v/>
      </c>
      <c r="BL54" s="172" t="str">
        <f>IF(BJ54="","",BM24)</f>
        <v/>
      </c>
      <c r="BM54" s="179" t="str" cm="1">
        <f t="array" ref="BM54">IF(BK54="","",MAX($C$5,IF(BJ54=90,IF(OR(BL54=BM$13,BL54=BM$14,BL54=BJ$4-BM$14,BL54=BJ$4-BM$13),BK$7,IF(OR(BK54=BK$20,BK54=BK$24),BK$8,IF(OR(BK54=BK$21:BK$23),BK$9))),BK$10)))</f>
        <v/>
      </c>
      <c r="BN54" s="168"/>
      <c r="BO54" s="184" t="str">
        <f>IF(ROW(BO54)-ROW(BO$49)&lt;=BP$18,90,"")</f>
        <v/>
      </c>
      <c r="BP54" s="172" t="str">
        <f>IF(BO54="","",BP24)</f>
        <v/>
      </c>
      <c r="BQ54" s="172" t="str">
        <f>IF(BO54="","",BR24)</f>
        <v/>
      </c>
      <c r="BR54" s="179" t="str" cm="1">
        <f t="array" ref="BR54">IF(BP54="","",MAX($C$5,IF(BO54=90,IF(OR(BQ54=BR$13,BQ54=BR$14,BQ54=BO$4-BR$14,BQ54=BO$4-BR$13),BP$7,IF(OR(BP54=BP$20,BP54=BP$24),BP$8,IF(OR(BP54=BP$21:BP$23),BP$9))),BP$10)))</f>
        <v/>
      </c>
      <c r="BS54" s="168"/>
      <c r="BT54" s="184" t="str">
        <f t="shared" si="29"/>
        <v/>
      </c>
      <c r="BU54" s="172" t="str">
        <f t="shared" si="30"/>
        <v/>
      </c>
      <c r="BV54" s="172" t="str">
        <f t="shared" si="31"/>
        <v/>
      </c>
      <c r="BW54" s="179" t="str" cm="1">
        <f t="array" ref="BW54">IF(BU54="","",MAX($C$5,IF(BT54=90,IF(OR(BV54=BW$13,BV54=BW$14,BV54=BT$4-BW$14,BV54=BT$4-BW$13),BU$7,IF(OR(BU54=BU$20,BU54=BU$24),BU$8,IF(OR(BU54=BU$21:BU$23),BU$9))),BU$10)))</f>
        <v/>
      </c>
      <c r="BX54" s="288"/>
    </row>
    <row r="55" spans="1:76">
      <c r="B55" s="204">
        <f t="shared" si="21"/>
        <v>90</v>
      </c>
      <c r="C55" s="205">
        <f t="shared" ref="C55:C60" si="32">C25</f>
        <v>32</v>
      </c>
      <c r="D55" s="205">
        <f t="shared" ref="D55:D60" si="33">E25</f>
        <v>530</v>
      </c>
      <c r="E55" s="206" cm="1">
        <f t="array" ref="E55">IF(C55="","",MAX($C$5,IF(B55=90,IF(OR(D55=E$13,D55=E$14,D55=B$4-E$14,D55=B$4-E$13),C$7,IF(OR(C55=C$20,C55=C$24),C$8,IF(OR(C55=C$21:C$23),C$9))),C$10)))</f>
        <v>14</v>
      </c>
      <c r="G55" s="204">
        <f t="shared" si="22"/>
        <v>90</v>
      </c>
      <c r="H55" s="205">
        <f t="shared" ref="H55:H60" si="34">H25</f>
        <v>32</v>
      </c>
      <c r="I55" s="205">
        <f t="shared" ref="I55:I60" si="35">J25</f>
        <v>420</v>
      </c>
      <c r="J55" s="206" cm="1">
        <f t="array" ref="J55">IF(H55="","",MAX($C$5,IF(G55=90,IF(OR(I55=J$13,I55=J$14,I55=G$4-J$14,I55=G$4-J$13),H$7,IF(OR(H55=H$20,H55=H$24),H$8,IF(OR(H55=H$21:H$23),H$9))),H$10)))</f>
        <v>14</v>
      </c>
      <c r="L55" s="204">
        <f t="shared" si="23"/>
        <v>90</v>
      </c>
      <c r="M55" s="205">
        <f t="shared" ref="M55:M60" si="36">M25</f>
        <v>32</v>
      </c>
      <c r="N55" s="205">
        <f t="shared" ref="N55:N60" si="37">O25</f>
        <v>715</v>
      </c>
      <c r="O55" s="206" cm="1">
        <f t="array" ref="O55">IF(M55="","",MAX($C$5,IF(L55=90,IF(OR(N55=O$13,N55=O$14,N55=L$4-O$14,N55=L$4-O$13),M$7,IF(OR(M55=M$20,M55=M$24),M$8,IF(OR(M55=M$21:M$23),M$9))),M$10)))</f>
        <v>14</v>
      </c>
      <c r="Q55" s="204">
        <f t="shared" si="24"/>
        <v>90</v>
      </c>
      <c r="R55" s="205">
        <f t="shared" ref="R55:R60" si="38">R25</f>
        <v>32</v>
      </c>
      <c r="S55" s="205">
        <f t="shared" ref="S55:S60" si="39">T25</f>
        <v>655</v>
      </c>
      <c r="T55" s="206" cm="1">
        <f t="array" ref="T55">IF(R55="","",MAX($C$5,IF(Q55=90,IF(OR(S55=T$13,S55=T$14,S55=Q$4-T$14,S55=Q$4-T$13),R$7,IF(OR(R55=R$20,R55=R$24),R$8,IF(OR(R55=R$21:R$23),R$9))),R$10)))</f>
        <v>14</v>
      </c>
      <c r="V55" s="204">
        <f t="shared" si="25"/>
        <v>90</v>
      </c>
      <c r="W55" s="205">
        <f t="shared" ref="W55:W60" si="40">W25</f>
        <v>32</v>
      </c>
      <c r="X55" s="205">
        <f t="shared" ref="X55:X60" si="41">Y25</f>
        <v>535</v>
      </c>
      <c r="Y55" s="206" cm="1">
        <f t="array" ref="Y55">IF(W55="","",MAX($C$5,IF(V55=90,IF(OR(X55=Y$13,X55=Y$14,X55=V$4-Y$14,X55=V$4-Y$13),W$7,IF(OR(W55=W$20,W55=W$24),W$8,IF(OR(W55=W$21:W$23),W$9))),W$10)))</f>
        <v>14</v>
      </c>
      <c r="AA55" s="204">
        <f t="shared" si="26"/>
        <v>90</v>
      </c>
      <c r="AB55" s="205">
        <f t="shared" ref="AB55:AB60" si="42">AB25</f>
        <v>32</v>
      </c>
      <c r="AC55" s="205">
        <f t="shared" ref="AC55:AC60" si="43">AD25</f>
        <v>475</v>
      </c>
      <c r="AD55" s="206" cm="1">
        <f t="array" ref="AD55">IF(AB55="","",MAX($C$5,IF(AA55=90,IF(OR(AC55=AD$13,AC55=AD$14,AC55=AA$4-AD$14,AC55=AA$4-AD$13),AB$7,IF(OR(AB55=AB$20,AB55=AB$24),AB$8,IF(OR(AB55=AB$21:AB$23),AB$9))),AB$10)))</f>
        <v>14</v>
      </c>
      <c r="AF55" s="204">
        <f t="shared" si="27"/>
        <v>90</v>
      </c>
      <c r="AG55" s="205">
        <f t="shared" ref="AG55:AG60" si="44">AG25</f>
        <v>32</v>
      </c>
      <c r="AH55" s="205">
        <f t="shared" ref="AH55:AH60" si="45">AI25</f>
        <v>355</v>
      </c>
      <c r="AI55" s="206" cm="1">
        <f t="array" ref="AI55">IF(AG55="","",MAX($C$5,IF(AF55=90,IF(OR(AH55=AI$13,AH55=AI$14,AH55=AF$4-AI$14,AH55=AF$4-AI$13),AG$7,IF(OR(AG55=AG$20,AG55=AG$24),AG$8,IF(OR(AG55=AG$21:AG$23),AG$9))),AG$10)))</f>
        <v>14</v>
      </c>
      <c r="AK55" s="204">
        <f t="shared" si="28"/>
        <v>90</v>
      </c>
      <c r="AL55" s="205">
        <f t="shared" ref="AL55:AL60" si="46">AL25</f>
        <v>32</v>
      </c>
      <c r="AM55" s="205">
        <f t="shared" ref="AM55:AM60" si="47">AN25</f>
        <v>235</v>
      </c>
      <c r="AN55" s="206" cm="1">
        <f t="array" ref="AN55">IF(AL55="","",MAX($C$5,IF(AK55=90,IF(OR(AM55=AN$13,AM55=AN$14,AM55=AK$4-AN$14,AM55=AK$4-AN$13),AL$7,IF(OR(AL55=AL$20,AL55=AL$24),AL$8,IF(OR(AL55=AL$21:AL$23),AL$9))),AL$10)))</f>
        <v>14</v>
      </c>
      <c r="AP55" s="204">
        <f t="shared" si="14"/>
        <v>90</v>
      </c>
      <c r="AQ55" s="205">
        <f t="shared" ref="AQ55:AQ60" si="48">AQ25</f>
        <v>32</v>
      </c>
      <c r="AR55" s="205">
        <f t="shared" ref="AR55:AR60" si="49">AS25</f>
        <v>805</v>
      </c>
      <c r="AS55" s="206" cm="1">
        <f t="array" ref="AS55">IF(AQ55="","",MAX($C$5,IF(AP55=90,IF(OR(AR55=AS$13,AR55=AS$14,AR55=AP$4-AS$14,AR55=AP$4-AS$13),AQ$7,IF(OR(AQ55=AQ$20,AQ55=AQ$24),AQ$8,IF(OR(AQ55=AQ$21:AQ$23),AQ$9))),AQ$10)))</f>
        <v>14</v>
      </c>
      <c r="AT55" s="288"/>
      <c r="AU55" s="204">
        <f>IF(ROW(AU55)-ROW(AU$49)&lt;=AV$18+1,90,"")</f>
        <v>90</v>
      </c>
      <c r="AV55" s="205">
        <f t="shared" si="15"/>
        <v>30</v>
      </c>
      <c r="AW55" s="205">
        <f t="shared" si="16"/>
        <v>475</v>
      </c>
      <c r="AX55" s="206" cm="1">
        <f t="array" ref="AX55">IF(AV55="","",MAX($C$5,IF(AU55=90,IF(OR(AW55=AX$13,AW55=AX$14,AW55=AU$4-AX$14,AW55=AU$4-AX$13),AV$7,IF(OR(AV55=AV$20,AV55=AV$24),AV$8,IF(OR(AV55=AV$21:AV$23),AV$9))),AV$10)))</f>
        <v>14</v>
      </c>
      <c r="AZ55" s="204">
        <f>IF(ROW(AZ55)-ROW(AZ$49)&lt;=BA$18+1,90,"")</f>
        <v>90</v>
      </c>
      <c r="BA55" s="205">
        <f t="shared" si="17"/>
        <v>30</v>
      </c>
      <c r="BB55" s="205">
        <f t="shared" si="18"/>
        <v>355</v>
      </c>
      <c r="BC55" s="206" cm="1">
        <f t="array" ref="BC55">IF(BA55="","",MAX($C$5,IF(AZ55=90,IF(OR(BB55=BC$13,BB55=BC$14,BB55=AZ$4-BC$14,BB55=AZ$4-BC$13),BA$7,IF(OR(BA55=BA$20,BA55=BA$24),BA$8,IF(OR(BA55=BA$21:BA$23),BA$9))),BA$10)))</f>
        <v>14</v>
      </c>
      <c r="BE55" s="204">
        <f>IF(ROW(BE55)-ROW(BE$49)&lt;=BF$18+1,90,"")</f>
        <v>90</v>
      </c>
      <c r="BF55" s="205">
        <f t="shared" si="19"/>
        <v>30</v>
      </c>
      <c r="BG55" s="205">
        <f t="shared" si="20"/>
        <v>235</v>
      </c>
      <c r="BH55" s="206" cm="1">
        <f t="array" ref="BH55">IF(BF55="","",MAX($C$5,IF(BE55=90,IF(OR(BG55=BH$13,BG55=BH$14,BG55=BE$4-BH$14,BG55=BE$4-BH$13),BF$7,IF(OR(BF55=BF$20,BF55=BF$24),BF$8,IF(OR(BF55=BF$21:BF$23),BF$9))),BF$10)))</f>
        <v>14</v>
      </c>
      <c r="BI55" s="288"/>
      <c r="BJ55" s="204" t="str">
        <f t="shared" ref="BJ55:BJ60" si="50">IF(ROW(BJ55)-ROW(BJ$49)&lt;=BK$18,90,"")</f>
        <v/>
      </c>
      <c r="BK55" s="205" t="str">
        <f t="shared" ref="BK55:BK60" si="51">IF(BJ55="","",BK25)</f>
        <v/>
      </c>
      <c r="BL55" s="205" t="str">
        <f t="shared" ref="BL55:BL60" si="52">IF(BJ55="","",BM25)</f>
        <v/>
      </c>
      <c r="BM55" s="206" t="str" cm="1">
        <f t="array" ref="BM55">IF(BK55="","",MAX($C$5,IF(BJ55=90,IF(OR(BL55=BM$13,BL55=BM$14,BL55=BJ$4-BM$14,BL55=BJ$4-BM$13),BK$7,IF(OR(BK55=BK$20,BK55=BK$24),BK$8,IF(OR(BK55=BK$21:BK$23),BK$9))),BK$10)))</f>
        <v/>
      </c>
      <c r="BO55" s="204" t="str">
        <f t="shared" ref="BO55:BO60" si="53">IF(ROW(BO55)-ROW(BO$49)&lt;=BP$18,90,"")</f>
        <v/>
      </c>
      <c r="BP55" s="205" t="str">
        <f t="shared" ref="BP55:BP60" si="54">IF(BO55="","",BP25)</f>
        <v/>
      </c>
      <c r="BQ55" s="205" t="str">
        <f t="shared" ref="BQ55:BQ60" si="55">IF(BO55="","",BR25)</f>
        <v/>
      </c>
      <c r="BR55" s="206" t="str" cm="1">
        <f t="array" ref="BR55">IF(BP55="","",MAX($C$5,IF(BO55=90,IF(OR(BQ55=BR$13,BQ55=BR$14,BQ55=BO$4-BR$14,BQ55=BO$4-BR$13),BP$7,IF(OR(BP55=BP$20,BP55=BP$24),BP$8,IF(OR(BP55=BP$21:BP$23),BP$9))),BP$10)))</f>
        <v/>
      </c>
      <c r="BT55" s="204" t="str">
        <f t="shared" si="29"/>
        <v/>
      </c>
      <c r="BU55" s="205" t="str">
        <f t="shared" si="30"/>
        <v/>
      </c>
      <c r="BV55" s="205" t="str">
        <f t="shared" si="31"/>
        <v/>
      </c>
      <c r="BW55" s="206" t="str" cm="1">
        <f t="array" ref="BW55">IF(BU55="","",MAX($C$5,IF(BT55=90,IF(OR(BV55=BW$13,BV55=BW$14,BV55=BT$4-BW$14,BV55=BT$4-BW$13),BU$7,IF(OR(BU55=BU$20,BU55=BU$24),BU$8,IF(OR(BU55=BU$21:BU$23),BU$9))),BU$10)))</f>
        <v/>
      </c>
      <c r="BX55" s="288"/>
    </row>
    <row r="56" spans="1:76">
      <c r="B56" s="201">
        <f t="shared" si="21"/>
        <v>90</v>
      </c>
      <c r="C56" s="202">
        <f t="shared" si="32"/>
        <v>75</v>
      </c>
      <c r="D56" s="202">
        <f t="shared" si="33"/>
        <v>540</v>
      </c>
      <c r="E56" s="203" cm="1">
        <f t="array" ref="E56">IF(C56="","",MAX($C$5,IF(B56=90,IF(OR(D56=E$13,D56=E$14,D56=B$4-E$14,D56=B$4-E$13),C$7,IF(OR(C56=C$20,C56=C$24),C$8,IF(OR(C56=C$21:C$23),C$9))),C$10)))</f>
        <v>14</v>
      </c>
      <c r="G56" s="201">
        <f t="shared" si="22"/>
        <v>90</v>
      </c>
      <c r="H56" s="202">
        <f t="shared" si="34"/>
        <v>75</v>
      </c>
      <c r="I56" s="202">
        <f t="shared" si="35"/>
        <v>430</v>
      </c>
      <c r="J56" s="203" cm="1">
        <f t="array" ref="J56">IF(H56="","",MAX($C$5,IF(G56=90,IF(OR(I56=J$13,I56=J$14,I56=G$4-J$14,I56=G$4-J$13),H$7,IF(OR(H56=H$20,H56=H$24),H$8,IF(OR(H56=H$21:H$23),H$9))),H$10)))</f>
        <v>14</v>
      </c>
      <c r="L56" s="201">
        <f t="shared" si="23"/>
        <v>90</v>
      </c>
      <c r="M56" s="202">
        <f t="shared" si="36"/>
        <v>75</v>
      </c>
      <c r="N56" s="202">
        <f t="shared" si="37"/>
        <v>725</v>
      </c>
      <c r="O56" s="203" cm="1">
        <f t="array" ref="O56">IF(M56="","",MAX($C$5,IF(L56=90,IF(OR(N56=O$13,N56=O$14,N56=L$4-O$14,N56=L$4-O$13),M$7,IF(OR(M56=M$20,M56=M$24),M$8,IF(OR(M56=M$21:M$23),M$9))),M$10)))</f>
        <v>14</v>
      </c>
      <c r="Q56" s="201">
        <f t="shared" si="24"/>
        <v>90</v>
      </c>
      <c r="R56" s="202">
        <f t="shared" si="38"/>
        <v>75</v>
      </c>
      <c r="S56" s="202">
        <f t="shared" si="39"/>
        <v>665</v>
      </c>
      <c r="T56" s="203" cm="1">
        <f t="array" ref="T56">IF(R56="","",MAX($C$5,IF(Q56=90,IF(OR(S56=T$13,S56=T$14,S56=Q$4-T$14,S56=Q$4-T$13),R$7,IF(OR(R56=R$20,R56=R$24),R$8,IF(OR(R56=R$21:R$23),R$9))),R$10)))</f>
        <v>14</v>
      </c>
      <c r="V56" s="201">
        <f t="shared" si="25"/>
        <v>90</v>
      </c>
      <c r="W56" s="202">
        <f t="shared" si="40"/>
        <v>75</v>
      </c>
      <c r="X56" s="202">
        <f t="shared" si="41"/>
        <v>545</v>
      </c>
      <c r="Y56" s="203" cm="1">
        <f t="array" ref="Y56">IF(W56="","",MAX($C$5,IF(V56=90,IF(OR(X56=Y$13,X56=Y$14,X56=V$4-Y$14,X56=V$4-Y$13),W$7,IF(OR(W56=W$20,W56=W$24),W$8,IF(OR(W56=W$21:W$23),W$9))),W$10)))</f>
        <v>14</v>
      </c>
      <c r="AA56" s="201">
        <f t="shared" si="26"/>
        <v>90</v>
      </c>
      <c r="AB56" s="202">
        <f t="shared" si="42"/>
        <v>75</v>
      </c>
      <c r="AC56" s="202">
        <f t="shared" si="43"/>
        <v>485</v>
      </c>
      <c r="AD56" s="203" cm="1">
        <f t="array" ref="AD56">IF(AB56="","",MAX($C$5,IF(AA56=90,IF(OR(AC56=AD$13,AC56=AD$14,AC56=AA$4-AD$14,AC56=AA$4-AD$13),AB$7,IF(OR(AB56=AB$20,AB56=AB$24),AB$8,IF(OR(AB56=AB$21:AB$23),AB$9))),AB$10)))</f>
        <v>14</v>
      </c>
      <c r="AF56" s="201">
        <f t="shared" si="27"/>
        <v>90</v>
      </c>
      <c r="AG56" s="202">
        <f t="shared" si="44"/>
        <v>75</v>
      </c>
      <c r="AH56" s="202">
        <f t="shared" si="45"/>
        <v>365</v>
      </c>
      <c r="AI56" s="203" cm="1">
        <f t="array" ref="AI56">IF(AG56="","",MAX($C$5,IF(AF56=90,IF(OR(AH56=AI$13,AH56=AI$14,AH56=AF$4-AI$14,AH56=AF$4-AI$13),AG$7,IF(OR(AG56=AG$20,AG56=AG$24),AG$8,IF(OR(AG56=AG$21:AG$23),AG$9))),AG$10)))</f>
        <v>14</v>
      </c>
      <c r="AK56" s="201">
        <f t="shared" si="28"/>
        <v>90</v>
      </c>
      <c r="AL56" s="202">
        <f t="shared" si="46"/>
        <v>75</v>
      </c>
      <c r="AM56" s="202">
        <f t="shared" si="47"/>
        <v>245</v>
      </c>
      <c r="AN56" s="203" cm="1">
        <f t="array" ref="AN56">IF(AL56="","",MAX($C$5,IF(AK56=90,IF(OR(AM56=AN$13,AM56=AN$14,AM56=AK$4-AN$14,AM56=AK$4-AN$13),AL$7,IF(OR(AL56=AL$20,AL56=AL$24),AL$8,IF(OR(AL56=AL$21:AL$23),AL$9))),AL$10)))</f>
        <v>14</v>
      </c>
      <c r="AP56" s="201">
        <f t="shared" si="14"/>
        <v>90</v>
      </c>
      <c r="AQ56" s="202">
        <f t="shared" si="48"/>
        <v>75</v>
      </c>
      <c r="AR56" s="202">
        <f t="shared" si="49"/>
        <v>815</v>
      </c>
      <c r="AS56" s="203" cm="1">
        <f t="array" ref="AS56">IF(AQ56="","",MAX($C$5,IF(AP56=90,IF(OR(AR56=AS$13,AR56=AS$14,AR56=AP$4-AS$14,AR56=AP$4-AS$13),AQ$7,IF(OR(AQ56=AQ$20,AQ56=AQ$24),AQ$8,IF(OR(AQ56=AQ$21:AQ$23),AQ$9))),AQ$10)))</f>
        <v>14</v>
      </c>
      <c r="AT56" s="288"/>
      <c r="AU56" s="201">
        <f>IF(ROW(AU56)-ROW(AU$49)&lt;=AV$18+1,90,"")</f>
        <v>90</v>
      </c>
      <c r="AV56" s="202">
        <f t="shared" si="15"/>
        <v>70</v>
      </c>
      <c r="AW56" s="202">
        <f t="shared" si="16"/>
        <v>475</v>
      </c>
      <c r="AX56" s="203" cm="1">
        <f t="array" ref="AX56">IF(AV56="","",MAX($C$5,IF(AU56=90,IF(OR(AW56=AX$13,AW56=AX$14,AW56=AU$4-AX$14,AW56=AU$4-AX$13),AV$7,IF(OR(AV56=AV$20,AV56=AV$24),AV$8,IF(OR(AV56=AV$21:AV$23),AV$9))),AV$10)))</f>
        <v>14</v>
      </c>
      <c r="AZ56" s="201">
        <f>IF(ROW(AZ56)-ROW(AZ$49)&lt;=BA$18+1,90,"")</f>
        <v>90</v>
      </c>
      <c r="BA56" s="202">
        <f t="shared" si="17"/>
        <v>70</v>
      </c>
      <c r="BB56" s="202">
        <f t="shared" si="18"/>
        <v>355</v>
      </c>
      <c r="BC56" s="203" cm="1">
        <f t="array" ref="BC56">IF(BA56="","",MAX($C$5,IF(AZ56=90,IF(OR(BB56=BC$13,BB56=BC$14,BB56=AZ$4-BC$14,BB56=AZ$4-BC$13),BA$7,IF(OR(BA56=BA$20,BA56=BA$24),BA$8,IF(OR(BA56=BA$21:BA$23),BA$9))),BA$10)))</f>
        <v>14</v>
      </c>
      <c r="BE56" s="201">
        <f>IF(ROW(BE56)-ROW(BE$49)&lt;=BF$18+1,90,"")</f>
        <v>90</v>
      </c>
      <c r="BF56" s="202">
        <f t="shared" si="19"/>
        <v>70</v>
      </c>
      <c r="BG56" s="202">
        <f t="shared" si="20"/>
        <v>235</v>
      </c>
      <c r="BH56" s="203" cm="1">
        <f t="array" ref="BH56">IF(BF56="","",MAX($C$5,IF(BE56=90,IF(OR(BG56=BH$13,BG56=BH$14,BG56=BE$4-BH$14,BG56=BE$4-BH$13),BF$7,IF(OR(BF56=BF$20,BF56=BF$24),BF$8,IF(OR(BF56=BF$21:BF$23),BF$9))),BF$10)))</f>
        <v>14</v>
      </c>
      <c r="BI56" s="288"/>
      <c r="BJ56" s="201" t="str">
        <f t="shared" si="50"/>
        <v/>
      </c>
      <c r="BK56" s="202" t="str">
        <f t="shared" si="51"/>
        <v/>
      </c>
      <c r="BL56" s="202" t="str">
        <f t="shared" si="52"/>
        <v/>
      </c>
      <c r="BM56" s="203" t="str" cm="1">
        <f t="array" ref="BM56">IF(BK56="","",MAX($C$5,IF(BJ56=90,IF(OR(BL56=BM$13,BL56=BM$14,BL56=BJ$4-BM$14,BL56=BJ$4-BM$13),BK$7,IF(OR(BK56=BK$20,BK56=BK$24),BK$8,IF(OR(BK56=BK$21:BK$23),BK$9))),BK$10)))</f>
        <v/>
      </c>
      <c r="BO56" s="201" t="str">
        <f t="shared" si="53"/>
        <v/>
      </c>
      <c r="BP56" s="202" t="str">
        <f t="shared" si="54"/>
        <v/>
      </c>
      <c r="BQ56" s="202" t="str">
        <f t="shared" si="55"/>
        <v/>
      </c>
      <c r="BR56" s="203" t="str" cm="1">
        <f t="array" ref="BR56">IF(BP56="","",MAX($C$5,IF(BO56=90,IF(OR(BQ56=BR$13,BQ56=BR$14,BQ56=BO$4-BR$14,BQ56=BO$4-BR$13),BP$7,IF(OR(BP56=BP$20,BP56=BP$24),BP$8,IF(OR(BP56=BP$21:BP$23),BP$9))),BP$10)))</f>
        <v/>
      </c>
      <c r="BT56" s="201" t="str">
        <f t="shared" si="29"/>
        <v/>
      </c>
      <c r="BU56" s="202" t="str">
        <f t="shared" si="30"/>
        <v/>
      </c>
      <c r="BV56" s="202" t="str">
        <f t="shared" si="31"/>
        <v/>
      </c>
      <c r="BW56" s="203" t="str" cm="1">
        <f t="array" ref="BW56">IF(BU56="","",MAX($C$5,IF(BT56=90,IF(OR(BV56=BW$13,BV56=BW$14,BV56=BT$4-BW$14,BV56=BT$4-BW$13),BU$7,IF(OR(BU56=BU$20,BU56=BU$24),BU$8,IF(OR(BU56=BU$21:BU$23),BU$9))),BU$10)))</f>
        <v/>
      </c>
      <c r="BX56" s="288"/>
    </row>
    <row r="57" spans="1:76">
      <c r="B57" s="207">
        <f t="shared" si="21"/>
        <v>90</v>
      </c>
      <c r="C57" s="208">
        <f t="shared" si="32"/>
        <v>118</v>
      </c>
      <c r="D57" s="208">
        <f t="shared" si="33"/>
        <v>530</v>
      </c>
      <c r="E57" s="209" cm="1">
        <f t="array" ref="E57">IF(C57="","",MAX($C$5,IF(B57=90,IF(OR(D57=E$13,D57=E$14,D57=B$4-E$14,D57=B$4-E$13),C$7,IF(OR(C57=C$20,C57=C$24),C$8,IF(OR(C57=C$21:C$23),C$9))),C$10)))</f>
        <v>14</v>
      </c>
      <c r="G57" s="207">
        <f t="shared" si="22"/>
        <v>90</v>
      </c>
      <c r="H57" s="208">
        <f t="shared" si="34"/>
        <v>118</v>
      </c>
      <c r="I57" s="208">
        <f t="shared" si="35"/>
        <v>420</v>
      </c>
      <c r="J57" s="209" cm="1">
        <f t="array" ref="J57">IF(H57="","",MAX($C$5,IF(G57=90,IF(OR(I57=J$13,I57=J$14,I57=G$4-J$14,I57=G$4-J$13),H$7,IF(OR(H57=H$20,H57=H$24),H$8,IF(OR(H57=H$21:H$23),H$9))),H$10)))</f>
        <v>14</v>
      </c>
      <c r="L57" s="207">
        <f t="shared" si="23"/>
        <v>90</v>
      </c>
      <c r="M57" s="208">
        <f t="shared" si="36"/>
        <v>118</v>
      </c>
      <c r="N57" s="208">
        <f t="shared" si="37"/>
        <v>715</v>
      </c>
      <c r="O57" s="209" cm="1">
        <f t="array" ref="O57">IF(M57="","",MAX($C$5,IF(L57=90,IF(OR(N57=O$13,N57=O$14,N57=L$4-O$14,N57=L$4-O$13),M$7,IF(OR(M57=M$20,M57=M$24),M$8,IF(OR(M57=M$21:M$23),M$9))),M$10)))</f>
        <v>14</v>
      </c>
      <c r="Q57" s="207">
        <f t="shared" si="24"/>
        <v>90</v>
      </c>
      <c r="R57" s="208">
        <f t="shared" si="38"/>
        <v>118</v>
      </c>
      <c r="S57" s="208">
        <f t="shared" si="39"/>
        <v>655</v>
      </c>
      <c r="T57" s="209" cm="1">
        <f t="array" ref="T57">IF(R57="","",MAX($C$5,IF(Q57=90,IF(OR(S57=T$13,S57=T$14,S57=Q$4-T$14,S57=Q$4-T$13),R$7,IF(OR(R57=R$20,R57=R$24),R$8,IF(OR(R57=R$21:R$23),R$9))),R$10)))</f>
        <v>14</v>
      </c>
      <c r="V57" s="207">
        <f t="shared" si="25"/>
        <v>90</v>
      </c>
      <c r="W57" s="208">
        <f t="shared" si="40"/>
        <v>118</v>
      </c>
      <c r="X57" s="208">
        <f t="shared" si="41"/>
        <v>535</v>
      </c>
      <c r="Y57" s="209" cm="1">
        <f t="array" ref="Y57">IF(W57="","",MAX($C$5,IF(V57=90,IF(OR(X57=Y$13,X57=Y$14,X57=V$4-Y$14,X57=V$4-Y$13),W$7,IF(OR(W57=W$20,W57=W$24),W$8,IF(OR(W57=W$21:W$23),W$9))),W$10)))</f>
        <v>14</v>
      </c>
      <c r="AA57" s="207">
        <f t="shared" si="26"/>
        <v>90</v>
      </c>
      <c r="AB57" s="208">
        <f t="shared" si="42"/>
        <v>118</v>
      </c>
      <c r="AC57" s="208">
        <f t="shared" si="43"/>
        <v>475</v>
      </c>
      <c r="AD57" s="209" cm="1">
        <f t="array" ref="AD57">IF(AB57="","",MAX($C$5,IF(AA57=90,IF(OR(AC57=AD$13,AC57=AD$14,AC57=AA$4-AD$14,AC57=AA$4-AD$13),AB$7,IF(OR(AB57=AB$20,AB57=AB$24),AB$8,IF(OR(AB57=AB$21:AB$23),AB$9))),AB$10)))</f>
        <v>14</v>
      </c>
      <c r="AF57" s="207">
        <f t="shared" si="27"/>
        <v>90</v>
      </c>
      <c r="AG57" s="208">
        <f t="shared" si="44"/>
        <v>118</v>
      </c>
      <c r="AH57" s="208">
        <f t="shared" si="45"/>
        <v>355</v>
      </c>
      <c r="AI57" s="209" cm="1">
        <f t="array" ref="AI57">IF(AG57="","",MAX($C$5,IF(AF57=90,IF(OR(AH57=AI$13,AH57=AI$14,AH57=AF$4-AI$14,AH57=AF$4-AI$13),AG$7,IF(OR(AG57=AG$20,AG57=AG$24),AG$8,IF(OR(AG57=AG$21:AG$23),AG$9))),AG$10)))</f>
        <v>14</v>
      </c>
      <c r="AK57" s="207">
        <f t="shared" si="28"/>
        <v>90</v>
      </c>
      <c r="AL57" s="208">
        <f t="shared" si="46"/>
        <v>118</v>
      </c>
      <c r="AM57" s="208">
        <f t="shared" si="47"/>
        <v>235</v>
      </c>
      <c r="AN57" s="209" cm="1">
        <f t="array" ref="AN57">IF(AL57="","",MAX($C$5,IF(AK57=90,IF(OR(AM57=AN$13,AM57=AN$14,AM57=AK$4-AN$14,AM57=AK$4-AN$13),AL$7,IF(OR(AL57=AL$20,AL57=AL$24),AL$8,IF(OR(AL57=AL$21:AL$23),AL$9))),AL$10)))</f>
        <v>14</v>
      </c>
      <c r="AP57" s="207">
        <f t="shared" si="14"/>
        <v>90</v>
      </c>
      <c r="AQ57" s="208">
        <f t="shared" si="48"/>
        <v>118</v>
      </c>
      <c r="AR57" s="208">
        <f t="shared" si="49"/>
        <v>805</v>
      </c>
      <c r="AS57" s="209" cm="1">
        <f t="array" ref="AS57">IF(AQ57="","",MAX($C$5,IF(AP57=90,IF(OR(AR57=AS$13,AR57=AS$14,AR57=AP$4-AS$14,AR57=AP$4-AS$13),AQ$7,IF(OR(AQ57=AQ$20,AQ57=AQ$24),AQ$8,IF(OR(AQ57=AQ$21:AQ$23),AQ$9))),AQ$10)))</f>
        <v>14</v>
      </c>
      <c r="AT57" s="288"/>
      <c r="AU57" s="207" t="str">
        <f>IF(ROW(AU57)-ROW(AU$49)&lt;=AV$18+1,90,"")</f>
        <v/>
      </c>
      <c r="AV57" s="208" t="str">
        <f t="shared" si="15"/>
        <v/>
      </c>
      <c r="AW57" s="208" t="str">
        <f t="shared" si="16"/>
        <v/>
      </c>
      <c r="AX57" s="209" t="str" cm="1">
        <f t="array" ref="AX57">IF(AV57="","",MAX($C$5,IF(AU57=90,IF(OR(AW57=AX$13,AW57=AX$14,AW57=AU$4-AX$14,AW57=AU$4-AX$13),AV$7,IF(OR(AV57=AV$20,AV57=AV$24),AV$8,IF(OR(AV57=AV$21:AV$23),AV$9))),AV$10)))</f>
        <v/>
      </c>
      <c r="AZ57" s="207" t="str">
        <f>IF(ROW(AZ57)-ROW(AZ$49)&lt;=BA$18+1,90,"")</f>
        <v/>
      </c>
      <c r="BA57" s="208" t="str">
        <f t="shared" si="17"/>
        <v/>
      </c>
      <c r="BB57" s="208" t="str">
        <f t="shared" si="18"/>
        <v/>
      </c>
      <c r="BC57" s="209" t="str" cm="1">
        <f t="array" ref="BC57">IF(BA57="","",MAX($C$5,IF(AZ57=90,IF(OR(BB57=BC$13,BB57=BC$14,BB57=AZ$4-BC$14,BB57=AZ$4-BC$13),BA$7,IF(OR(BA57=BA$20,BA57=BA$24),BA$8,IF(OR(BA57=BA$21:BA$23),BA$9))),BA$10)))</f>
        <v/>
      </c>
      <c r="BE57" s="207" t="str">
        <f>IF(ROW(BE57)-ROW(BE$49)&lt;=BF$18+1,90,"")</f>
        <v/>
      </c>
      <c r="BF57" s="208" t="str">
        <f t="shared" si="19"/>
        <v/>
      </c>
      <c r="BG57" s="208" t="str">
        <f t="shared" si="20"/>
        <v/>
      </c>
      <c r="BH57" s="209" t="str" cm="1">
        <f t="array" ref="BH57">IF(BF57="","",MAX($C$5,IF(BE57=90,IF(OR(BG57=BH$13,BG57=BH$14,BG57=BE$4-BH$14,BG57=BE$4-BH$13),BF$7,IF(OR(BF57=BF$20,BF57=BF$24),BF$8,IF(OR(BF57=BF$21:BF$23),BF$9))),BF$10)))</f>
        <v/>
      </c>
      <c r="BI57" s="288"/>
      <c r="BJ57" s="207" t="str">
        <f t="shared" si="50"/>
        <v/>
      </c>
      <c r="BK57" s="208" t="str">
        <f t="shared" si="51"/>
        <v/>
      </c>
      <c r="BL57" s="208" t="str">
        <f t="shared" si="52"/>
        <v/>
      </c>
      <c r="BM57" s="209" t="str" cm="1">
        <f t="array" ref="BM57">IF(BK57="","",MAX($C$5,IF(BJ57=90,IF(OR(BL57=BM$13,BL57=BM$14,BL57=BJ$4-BM$14,BL57=BJ$4-BM$13),BK$7,IF(OR(BK57=BK$20,BK57=BK$24),BK$8,IF(OR(BK57=BK$21:BK$23),BK$9))),BK$10)))</f>
        <v/>
      </c>
      <c r="BO57" s="207" t="str">
        <f t="shared" si="53"/>
        <v/>
      </c>
      <c r="BP57" s="208" t="str">
        <f t="shared" si="54"/>
        <v/>
      </c>
      <c r="BQ57" s="208" t="str">
        <f t="shared" si="55"/>
        <v/>
      </c>
      <c r="BR57" s="209" t="str" cm="1">
        <f t="array" ref="BR57">IF(BP57="","",MAX($C$5,IF(BO57=90,IF(OR(BQ57=BR$13,BQ57=BR$14,BQ57=BO$4-BR$14,BQ57=BO$4-BR$13),BP$7,IF(OR(BP57=BP$20,BP57=BP$24),BP$8,IF(OR(BP57=BP$21:BP$23),BP$9))),BP$10)))</f>
        <v/>
      </c>
      <c r="BT57" s="207" t="str">
        <f t="shared" si="29"/>
        <v/>
      </c>
      <c r="BU57" s="208" t="str">
        <f t="shared" si="30"/>
        <v/>
      </c>
      <c r="BV57" s="208" t="str">
        <f t="shared" si="31"/>
        <v/>
      </c>
      <c r="BW57" s="209" t="str" cm="1">
        <f t="array" ref="BW57">IF(BU57="","",MAX($C$5,IF(BT57=90,IF(OR(BV57=BW$13,BV57=BW$14,BV57=BT$4-BW$14,BV57=BT$4-BW$13),BU$7,IF(OR(BU57=BU$20,BU57=BU$24),BU$8,IF(OR(BU57=BU$21:BU$23),BU$9))),BU$10)))</f>
        <v/>
      </c>
      <c r="BX57" s="288"/>
    </row>
    <row r="58" spans="1:76">
      <c r="B58" s="204">
        <f t="shared" si="21"/>
        <v>90</v>
      </c>
      <c r="C58" s="205">
        <f t="shared" si="32"/>
        <v>32</v>
      </c>
      <c r="D58" s="205">
        <f t="shared" si="33"/>
        <v>1015</v>
      </c>
      <c r="E58" s="206" cm="1">
        <f t="array" ref="E58">IF(C58="","",MAX($C$5,IF(B58=90,IF(OR(D58=E$13,D58=E$14,D58=B$4-E$14,D58=B$4-E$13),C$7,IF(OR(C58=C$20,C58=C$24),C$8,IF(OR(C58=C$21:C$23),C$9))),C$10)))</f>
        <v>14</v>
      </c>
      <c r="G58" s="204">
        <f t="shared" si="22"/>
        <v>90</v>
      </c>
      <c r="H58" s="205">
        <f t="shared" si="34"/>
        <v>32</v>
      </c>
      <c r="I58" s="205">
        <f t="shared" si="35"/>
        <v>775</v>
      </c>
      <c r="J58" s="206" cm="1">
        <f t="array" ref="J58">IF(H58="","",MAX($C$5,IF(G58=90,IF(OR(I58=J$13,I58=J$14,I58=G$4-J$14,I58=G$4-J$13),H$7,IF(OR(H58=H$20,H58=H$24),H$8,IF(OR(H58=H$21:H$23),H$9))),H$10)))</f>
        <v>14</v>
      </c>
      <c r="L58" s="204" t="str">
        <f t="shared" si="23"/>
        <v/>
      </c>
      <c r="M58" s="205" t="str">
        <f t="shared" si="36"/>
        <v/>
      </c>
      <c r="N58" s="205" t="str">
        <f t="shared" si="37"/>
        <v/>
      </c>
      <c r="O58" s="206" t="str" cm="1">
        <f t="array" ref="O58">IF(M58="","",MAX($C$5,IF(L58=90,IF(OR(N58=O$13,N58=O$14,N58=L$4-O$14,N58=L$4-O$13),M$7,IF(OR(M58=M$20,M58=M$24),M$8,IF(OR(M58=M$21:M$23),M$9))),M$10)))</f>
        <v/>
      </c>
      <c r="Q58" s="204" t="str">
        <f t="shared" si="24"/>
        <v/>
      </c>
      <c r="R58" s="205" t="str">
        <f t="shared" si="38"/>
        <v/>
      </c>
      <c r="S58" s="205" t="str">
        <f t="shared" si="39"/>
        <v/>
      </c>
      <c r="T58" s="206" t="str" cm="1">
        <f t="array" ref="T58">IF(R58="","",MAX($C$5,IF(Q58=90,IF(OR(S58=T$13,S58=T$14,S58=Q$4-T$14,S58=Q$4-T$13),R$7,IF(OR(R58=R$20,R58=R$24),R$8,IF(OR(R58=R$21:R$23),R$9))),R$10)))</f>
        <v/>
      </c>
      <c r="V58" s="204" t="str">
        <f t="shared" si="25"/>
        <v/>
      </c>
      <c r="W58" s="205" t="str">
        <f t="shared" si="40"/>
        <v/>
      </c>
      <c r="X58" s="205" t="str">
        <f t="shared" si="41"/>
        <v/>
      </c>
      <c r="Y58" s="206" t="str" cm="1">
        <f t="array" ref="Y58">IF(W58="","",MAX($C$5,IF(V58=90,IF(OR(X58=Y$13,X58=Y$14,X58=V$4-Y$14,X58=V$4-Y$13),W$7,IF(OR(W58=W$20,W58=W$24),W$8,IF(OR(W58=W$21:W$23),W$9))),W$10)))</f>
        <v/>
      </c>
      <c r="AA58" s="204" t="str">
        <f t="shared" si="26"/>
        <v/>
      </c>
      <c r="AB58" s="205" t="str">
        <f t="shared" si="42"/>
        <v/>
      </c>
      <c r="AC58" s="205" t="str">
        <f t="shared" si="43"/>
        <v/>
      </c>
      <c r="AD58" s="206" t="str" cm="1">
        <f t="array" ref="AD58">IF(AB58="","",MAX($C$5,IF(AA58=90,IF(OR(AC58=AD$13,AC58=AD$14,AC58=AA$4-AD$14,AC58=AA$4-AD$13),AB$7,IF(OR(AB58=AB$20,AB58=AB$24),AB$8,IF(OR(AB58=AB$21:AB$23),AB$9))),AB$10)))</f>
        <v/>
      </c>
      <c r="AF58" s="204" t="str">
        <f t="shared" si="27"/>
        <v/>
      </c>
      <c r="AG58" s="205" t="str">
        <f t="shared" si="44"/>
        <v/>
      </c>
      <c r="AH58" s="205" t="str">
        <f t="shared" si="45"/>
        <v/>
      </c>
      <c r="AI58" s="206" t="str" cm="1">
        <f t="array" ref="AI58">IF(AG58="","",MAX($C$5,IF(AF58=90,IF(OR(AH58=AI$13,AH58=AI$14,AH58=AF$4-AI$14,AH58=AF$4-AI$13),AG$7,IF(OR(AG58=AG$20,AG58=AG$24),AG$8,IF(OR(AG58=AG$21:AG$23),AG$9))),AG$10)))</f>
        <v/>
      </c>
      <c r="AK58" s="204" t="str">
        <f t="shared" si="28"/>
        <v/>
      </c>
      <c r="AL58" s="205" t="str">
        <f t="shared" si="46"/>
        <v/>
      </c>
      <c r="AM58" s="205" t="str">
        <f t="shared" si="47"/>
        <v/>
      </c>
      <c r="AN58" s="206" t="str" cm="1">
        <f t="array" ref="AN58">IF(AL58="","",MAX($C$5,IF(AK58=90,IF(OR(AM58=AN$13,AM58=AN$14,AM58=AK$4-AN$14,AM58=AK$4-AN$13),AL$7,IF(OR(AL58=AL$20,AL58=AL$24),AL$8,IF(OR(AL58=AL$21:AL$23),AL$9))),AL$10)))</f>
        <v/>
      </c>
      <c r="AP58" s="204" t="str">
        <f t="shared" si="14"/>
        <v/>
      </c>
      <c r="AQ58" s="205" t="str">
        <f t="shared" si="48"/>
        <v/>
      </c>
      <c r="AR58" s="205" t="str">
        <f t="shared" si="49"/>
        <v/>
      </c>
      <c r="AS58" s="206" t="str" cm="1">
        <f t="array" ref="AS58">IF(AQ58="","",MAX($C$5,IF(AP58=90,IF(OR(AR58=AS$13,AR58=AS$14,AR58=AP$4-AS$14,AR58=AP$4-AS$13),AQ$7,IF(OR(AQ58=AQ$20,AQ58=AQ$24),AQ$8,IF(OR(AQ58=AQ$21:AQ$23),AQ$9))),AQ$10)))</f>
        <v/>
      </c>
      <c r="AT58" s="288"/>
      <c r="AU58" s="204" t="str">
        <f>IF(ROW(AU58)-ROW(AU$49)&lt;=AV$18,90,"")</f>
        <v/>
      </c>
      <c r="AV58" s="205" t="str">
        <f t="shared" si="15"/>
        <v/>
      </c>
      <c r="AW58" s="205" t="str">
        <f>IF(AU53="","",AX28)</f>
        <v/>
      </c>
      <c r="AX58" s="206" t="str" cm="1">
        <f t="array" ref="AX58">IF(AV58="","",MAX($C$5,IF(AU58=90,IF(OR(AW58=AX$13,AW58=AX$14,AW58=AU$4-AX$14,AW58=AU$4-AX$13),AV$7,IF(OR(AV58=AV$20,AV58=AV$24),AV$8,IF(OR(AV58=AV$21:AV$23),AV$9))),AV$10)))</f>
        <v/>
      </c>
      <c r="AZ58" s="204" t="str">
        <f>IF(ROW(AZ58)-ROW(AZ$49)&lt;=BA$18,90,"")</f>
        <v/>
      </c>
      <c r="BA58" s="205" t="str">
        <f t="shared" si="17"/>
        <v/>
      </c>
      <c r="BB58" s="205" t="str">
        <f>IF(AZ53="","",BC28)</f>
        <v/>
      </c>
      <c r="BC58" s="206" t="str" cm="1">
        <f t="array" ref="BC58">IF(BA58="","",MAX($C$5,IF(AZ58=90,IF(OR(BB58=BC$13,BB58=BC$14,BB58=AZ$4-BC$14,BB58=AZ$4-BC$13),BA$7,IF(OR(BA58=BA$20,BA58=BA$24),BA$8,IF(OR(BA58=BA$21:BA$23),BA$9))),BA$10)))</f>
        <v/>
      </c>
      <c r="BE58" s="204" t="str">
        <f>IF(ROW(BE58)-ROW(BE$49)&lt;=BF$18,90,"")</f>
        <v/>
      </c>
      <c r="BF58" s="205" t="str">
        <f t="shared" si="19"/>
        <v/>
      </c>
      <c r="BG58" s="205" t="str">
        <f>IF(BE53="","",BH28)</f>
        <v/>
      </c>
      <c r="BH58" s="206" t="str" cm="1">
        <f t="array" ref="BH58">IF(BF58="","",MAX($C$5,IF(BE58=90,IF(OR(BG58=BH$13,BG58=BH$14,BG58=BE$4-BH$14,BG58=BE$4-BH$13),BF$7,IF(OR(BF58=BF$20,BF58=BF$24),BF$8,IF(OR(BF58=BF$21:BF$23),BF$9))),BF$10)))</f>
        <v/>
      </c>
      <c r="BI58" s="288"/>
      <c r="BJ58" s="204" t="str">
        <f t="shared" si="50"/>
        <v/>
      </c>
      <c r="BK58" s="205" t="str">
        <f t="shared" si="51"/>
        <v/>
      </c>
      <c r="BL58" s="205" t="str">
        <f t="shared" si="52"/>
        <v/>
      </c>
      <c r="BM58" s="206" t="str" cm="1">
        <f t="array" ref="BM58">IF(BK58="","",MAX($C$5,IF(BJ58=90,IF(OR(BL58=BM$13,BL58=BM$14,BL58=BJ$4-BM$14,BL58=BJ$4-BM$13),BK$7,IF(OR(BK58=BK$20,BK58=BK$24),BK$8,IF(OR(BK58=BK$21:BK$23),BK$9))),BK$10)))</f>
        <v/>
      </c>
      <c r="BO58" s="204" t="str">
        <f t="shared" si="53"/>
        <v/>
      </c>
      <c r="BP58" s="205" t="str">
        <f t="shared" si="54"/>
        <v/>
      </c>
      <c r="BQ58" s="205" t="str">
        <f t="shared" si="55"/>
        <v/>
      </c>
      <c r="BR58" s="206" t="str" cm="1">
        <f t="array" ref="BR58">IF(BP58="","",MAX($C$5,IF(BO58=90,IF(OR(BQ58=BR$13,BQ58=BR$14,BQ58=BO$4-BR$14,BQ58=BO$4-BR$13),BP$7,IF(OR(BP58=BP$20,BP58=BP$24),BP$8,IF(OR(BP58=BP$21:BP$23),BP$9))),BP$10)))</f>
        <v/>
      </c>
      <c r="BT58" s="204" t="str">
        <f t="shared" si="29"/>
        <v/>
      </c>
      <c r="BU58" s="205" t="str">
        <f t="shared" si="30"/>
        <v/>
      </c>
      <c r="BV58" s="205" t="str">
        <f t="shared" si="31"/>
        <v/>
      </c>
      <c r="BW58" s="206" t="str" cm="1">
        <f t="array" ref="BW58">IF(BU58="","",MAX($C$5,IF(BT58=90,IF(OR(BV58=BW$13,BV58=BW$14,BV58=BT$4-BW$14,BV58=BT$4-BW$13),BU$7,IF(OR(BU58=BU$20,BU58=BU$24),BU$8,IF(OR(BU58=BU$21:BU$23),BU$9))),BU$10)))</f>
        <v/>
      </c>
      <c r="BX58" s="288"/>
    </row>
    <row r="59" spans="1:76">
      <c r="B59" s="201">
        <f t="shared" si="21"/>
        <v>90</v>
      </c>
      <c r="C59" s="202">
        <f t="shared" si="32"/>
        <v>75</v>
      </c>
      <c r="D59" s="202">
        <f t="shared" si="33"/>
        <v>1025</v>
      </c>
      <c r="E59" s="203" cm="1">
        <f t="array" ref="E59">IF(C59="","",MAX($C$5,IF(B59=90,IF(OR(D59=E$13,D59=E$14,D59=B$4-E$14,D59=B$4-E$13),C$7,IF(OR(C59=C$20,C59=C$24),C$8,IF(OR(C59=C$21:C$23),C$9))),C$10)))</f>
        <v>14</v>
      </c>
      <c r="G59" s="201">
        <f t="shared" si="22"/>
        <v>90</v>
      </c>
      <c r="H59" s="202">
        <f t="shared" si="34"/>
        <v>75</v>
      </c>
      <c r="I59" s="202">
        <f t="shared" si="35"/>
        <v>785</v>
      </c>
      <c r="J59" s="203" cm="1">
        <f t="array" ref="J59">IF(H59="","",MAX($C$5,IF(G59=90,IF(OR(I59=J$13,I59=J$14,I59=G$4-J$14,I59=G$4-J$13),H$7,IF(OR(H59=H$20,H59=H$24),H$8,IF(OR(H59=H$21:H$23),H$9))),H$10)))</f>
        <v>14</v>
      </c>
      <c r="L59" s="201" t="str">
        <f t="shared" si="23"/>
        <v/>
      </c>
      <c r="M59" s="202" t="str">
        <f t="shared" si="36"/>
        <v/>
      </c>
      <c r="N59" s="202" t="str">
        <f t="shared" si="37"/>
        <v/>
      </c>
      <c r="O59" s="203" t="str" cm="1">
        <f t="array" ref="O59">IF(M59="","",MAX($C$5,IF(L59=90,IF(OR(N59=O$13,N59=O$14,N59=L$4-O$14,N59=L$4-O$13),M$7,IF(OR(M59=M$20,M59=M$24),M$8,IF(OR(M59=M$21:M$23),M$9))),M$10)))</f>
        <v/>
      </c>
      <c r="Q59" s="201" t="str">
        <f t="shared" si="24"/>
        <v/>
      </c>
      <c r="R59" s="202" t="str">
        <f t="shared" si="38"/>
        <v/>
      </c>
      <c r="S59" s="202" t="str">
        <f t="shared" si="39"/>
        <v/>
      </c>
      <c r="T59" s="203" t="str" cm="1">
        <f t="array" ref="T59">IF(R59="","",MAX($C$5,IF(Q59=90,IF(OR(S59=T$13,S59=T$14,S59=Q$4-T$14,S59=Q$4-T$13),R$7,IF(OR(R59=R$20,R59=R$24),R$8,IF(OR(R59=R$21:R$23),R$9))),R$10)))</f>
        <v/>
      </c>
      <c r="V59" s="201" t="str">
        <f t="shared" si="25"/>
        <v/>
      </c>
      <c r="W59" s="202" t="str">
        <f t="shared" si="40"/>
        <v/>
      </c>
      <c r="X59" s="202" t="str">
        <f t="shared" si="41"/>
        <v/>
      </c>
      <c r="Y59" s="203" t="str" cm="1">
        <f t="array" ref="Y59">IF(W59="","",MAX($C$5,IF(V59=90,IF(OR(X59=Y$13,X59=Y$14,X59=V$4-Y$14,X59=V$4-Y$13),W$7,IF(OR(W59=W$20,W59=W$24),W$8,IF(OR(W59=W$21:W$23),W$9))),W$10)))</f>
        <v/>
      </c>
      <c r="AA59" s="201" t="str">
        <f t="shared" si="26"/>
        <v/>
      </c>
      <c r="AB59" s="202" t="str">
        <f t="shared" si="42"/>
        <v/>
      </c>
      <c r="AC59" s="202" t="str">
        <f t="shared" si="43"/>
        <v/>
      </c>
      <c r="AD59" s="203" t="str" cm="1">
        <f t="array" ref="AD59">IF(AB59="","",MAX($C$5,IF(AA59=90,IF(OR(AC59=AD$13,AC59=AD$14,AC59=AA$4-AD$14,AC59=AA$4-AD$13),AB$7,IF(OR(AB59=AB$20,AB59=AB$24),AB$8,IF(OR(AB59=AB$21:AB$23),AB$9))),AB$10)))</f>
        <v/>
      </c>
      <c r="AF59" s="201" t="str">
        <f t="shared" si="27"/>
        <v/>
      </c>
      <c r="AG59" s="202" t="str">
        <f t="shared" si="44"/>
        <v/>
      </c>
      <c r="AH59" s="202" t="str">
        <f t="shared" si="45"/>
        <v/>
      </c>
      <c r="AI59" s="203" t="str" cm="1">
        <f t="array" ref="AI59">IF(AG59="","",MAX($C$5,IF(AF59=90,IF(OR(AH59=AI$13,AH59=AI$14,AH59=AF$4-AI$14,AH59=AF$4-AI$13),AG$7,IF(OR(AG59=AG$20,AG59=AG$24),AG$8,IF(OR(AG59=AG$21:AG$23),AG$9))),AG$10)))</f>
        <v/>
      </c>
      <c r="AK59" s="201" t="str">
        <f t="shared" si="28"/>
        <v/>
      </c>
      <c r="AL59" s="202" t="str">
        <f t="shared" si="46"/>
        <v/>
      </c>
      <c r="AM59" s="202" t="str">
        <f t="shared" si="47"/>
        <v/>
      </c>
      <c r="AN59" s="203" t="str" cm="1">
        <f t="array" ref="AN59">IF(AL59="","",MAX($C$5,IF(AK59=90,IF(OR(AM59=AN$13,AM59=AN$14,AM59=AK$4-AN$14,AM59=AK$4-AN$13),AL$7,IF(OR(AL59=AL$20,AL59=AL$24),AL$8,IF(OR(AL59=AL$21:AL$23),AL$9))),AL$10)))</f>
        <v/>
      </c>
      <c r="AP59" s="201" t="str">
        <f t="shared" si="14"/>
        <v/>
      </c>
      <c r="AQ59" s="202" t="str">
        <f t="shared" si="48"/>
        <v/>
      </c>
      <c r="AR59" s="202" t="str">
        <f t="shared" si="49"/>
        <v/>
      </c>
      <c r="AS59" s="203" t="str" cm="1">
        <f t="array" ref="AS59">IF(AQ59="","",MAX($C$5,IF(AP59=90,IF(OR(AR59=AS$13,AR59=AS$14,AR59=AP$4-AS$14,AR59=AP$4-AS$13),AQ$7,IF(OR(AQ59=AQ$20,AQ59=AQ$24),AQ$8,IF(OR(AQ59=AQ$21:AQ$23),AQ$9))),AQ$10)))</f>
        <v/>
      </c>
      <c r="AT59" s="288"/>
      <c r="AU59" s="201" t="str">
        <f>IF(ROW(AU59)-ROW(AU$49)&lt;=AV$18,90,"")</f>
        <v/>
      </c>
      <c r="AV59" s="202" t="str">
        <f t="shared" si="15"/>
        <v/>
      </c>
      <c r="AW59" s="202" t="str">
        <f>IF(AU54="","",AX29)</f>
        <v/>
      </c>
      <c r="AX59" s="203" t="str" cm="1">
        <f t="array" ref="AX59">IF(AV59="","",MAX($C$5,IF(AU59=90,IF(OR(AW59=AX$13,AW59=AX$14,AW59=AU$4-AX$14,AW59=AU$4-AX$13),AV$7,IF(OR(AV59=AV$20,AV59=AV$24),AV$8,IF(OR(AV59=AV$21:AV$23),AV$9))),AV$10)))</f>
        <v/>
      </c>
      <c r="AZ59" s="201" t="str">
        <f>IF(ROW(AZ59)-ROW(AZ$49)&lt;=BA$18,90,"")</f>
        <v/>
      </c>
      <c r="BA59" s="202" t="str">
        <f t="shared" si="17"/>
        <v/>
      </c>
      <c r="BB59" s="202" t="str">
        <f>IF(AZ54="","",BC29)</f>
        <v/>
      </c>
      <c r="BC59" s="203" t="str" cm="1">
        <f t="array" ref="BC59">IF(BA59="","",MAX($C$5,IF(AZ59=90,IF(OR(BB59=BC$13,BB59=BC$14,BB59=AZ$4-BC$14,BB59=AZ$4-BC$13),BA$7,IF(OR(BA59=BA$20,BA59=BA$24),BA$8,IF(OR(BA59=BA$21:BA$23),BA$9))),BA$10)))</f>
        <v/>
      </c>
      <c r="BE59" s="201" t="str">
        <f>IF(ROW(BE59)-ROW(BE$49)&lt;=BF$18,90,"")</f>
        <v/>
      </c>
      <c r="BF59" s="202" t="str">
        <f t="shared" si="19"/>
        <v/>
      </c>
      <c r="BG59" s="202" t="str">
        <f>IF(BE54="","",BH29)</f>
        <v/>
      </c>
      <c r="BH59" s="203" t="str" cm="1">
        <f t="array" ref="BH59">IF(BF59="","",MAX($C$5,IF(BE59=90,IF(OR(BG59=BH$13,BG59=BH$14,BG59=BE$4-BH$14,BG59=BE$4-BH$13),BF$7,IF(OR(BF59=BF$20,BF59=BF$24),BF$8,IF(OR(BF59=BF$21:BF$23),BF$9))),BF$10)))</f>
        <v/>
      </c>
      <c r="BI59" s="288"/>
      <c r="BJ59" s="201" t="str">
        <f t="shared" si="50"/>
        <v/>
      </c>
      <c r="BK59" s="202" t="str">
        <f t="shared" si="51"/>
        <v/>
      </c>
      <c r="BL59" s="202" t="str">
        <f t="shared" si="52"/>
        <v/>
      </c>
      <c r="BM59" s="203" t="str" cm="1">
        <f t="array" ref="BM59">IF(BK59="","",MAX($C$5,IF(BJ59=90,IF(OR(BL59=BM$13,BL59=BM$14,BL59=BJ$4-BM$14,BL59=BJ$4-BM$13),BK$7,IF(OR(BK59=BK$20,BK59=BK$24),BK$8,IF(OR(BK59=BK$21:BK$23),BK$9))),BK$10)))</f>
        <v/>
      </c>
      <c r="BO59" s="201" t="str">
        <f t="shared" si="53"/>
        <v/>
      </c>
      <c r="BP59" s="202" t="str">
        <f t="shared" si="54"/>
        <v/>
      </c>
      <c r="BQ59" s="202" t="str">
        <f t="shared" si="55"/>
        <v/>
      </c>
      <c r="BR59" s="203" t="str" cm="1">
        <f t="array" ref="BR59">IF(BP59="","",MAX($C$5,IF(BO59=90,IF(OR(BQ59=BR$13,BQ59=BR$14,BQ59=BO$4-BR$14,BQ59=BO$4-BR$13),BP$7,IF(OR(BP59=BP$20,BP59=BP$24),BP$8,IF(OR(BP59=BP$21:BP$23),BP$9))),BP$10)))</f>
        <v/>
      </c>
      <c r="BT59" s="201" t="str">
        <f t="shared" si="29"/>
        <v/>
      </c>
      <c r="BU59" s="202" t="str">
        <f t="shared" si="30"/>
        <v/>
      </c>
      <c r="BV59" s="202" t="str">
        <f t="shared" si="31"/>
        <v/>
      </c>
      <c r="BW59" s="203" t="str" cm="1">
        <f t="array" ref="BW59">IF(BU59="","",MAX($C$5,IF(BT59=90,IF(OR(BV59=BW$13,BV59=BW$14,BV59=BT$4-BW$14,BV59=BT$4-BW$13),BU$7,IF(OR(BU59=BU$20,BU59=BU$24),BU$8,IF(OR(BU59=BU$21:BU$23),BU$9))),BU$10)))</f>
        <v/>
      </c>
      <c r="BX59" s="288"/>
    </row>
    <row r="60" spans="1:76">
      <c r="B60" s="207">
        <f t="shared" si="21"/>
        <v>90</v>
      </c>
      <c r="C60" s="208">
        <f t="shared" si="32"/>
        <v>118</v>
      </c>
      <c r="D60" s="208">
        <f t="shared" si="33"/>
        <v>1015</v>
      </c>
      <c r="E60" s="209" cm="1">
        <f t="array" ref="E60">IF(C60="","",MAX($C$5,IF(B60=90,IF(OR(D60=E$13,D60=E$14,D60=B$4-E$14,D60=B$4-E$13),C$7,IF(OR(C60=C$20,C60=C$24),C$8,IF(OR(C60=C$21:C$23),C$9))),C$10)))</f>
        <v>14</v>
      </c>
      <c r="G60" s="207">
        <f t="shared" si="22"/>
        <v>90</v>
      </c>
      <c r="H60" s="208">
        <f t="shared" si="34"/>
        <v>118</v>
      </c>
      <c r="I60" s="208">
        <f t="shared" si="35"/>
        <v>775</v>
      </c>
      <c r="J60" s="209" cm="1">
        <f t="array" ref="J60">IF(H60="","",MAX($C$5,IF(G60=90,IF(OR(I60=J$13,I60=J$14,I60=G$4-J$14,I60=G$4-J$13),H$7,IF(OR(H60=H$20,H60=H$24),H$8,IF(OR(H60=H$21:H$23),H$9))),H$10)))</f>
        <v>14</v>
      </c>
      <c r="L60" s="207" t="str">
        <f t="shared" si="23"/>
        <v/>
      </c>
      <c r="M60" s="208" t="str">
        <f t="shared" si="36"/>
        <v/>
      </c>
      <c r="N60" s="208" t="str">
        <f t="shared" si="37"/>
        <v/>
      </c>
      <c r="O60" s="209" t="str" cm="1">
        <f t="array" ref="O60">IF(M60="","",MAX($C$5,IF(L60=90,IF(OR(N60=O$13,N60=O$14,N60=L$4-O$14,N60=L$4-O$13),M$7,IF(OR(M60=M$20,M60=M$24),M$8,IF(OR(M60=M$21:M$23),M$9))),M$10)))</f>
        <v/>
      </c>
      <c r="Q60" s="207" t="str">
        <f t="shared" si="24"/>
        <v/>
      </c>
      <c r="R60" s="208" t="str">
        <f t="shared" si="38"/>
        <v/>
      </c>
      <c r="S60" s="208" t="str">
        <f t="shared" si="39"/>
        <v/>
      </c>
      <c r="T60" s="209" t="str" cm="1">
        <f t="array" ref="T60">IF(R60="","",MAX($C$5,IF(Q60=90,IF(OR(S60=T$13,S60=T$14,S60=Q$4-T$14,S60=Q$4-T$13),R$7,IF(OR(R60=R$20,R60=R$24),R$8,IF(OR(R60=R$21:R$23),R$9))),R$10)))</f>
        <v/>
      </c>
      <c r="V60" s="207" t="str">
        <f t="shared" si="25"/>
        <v/>
      </c>
      <c r="W60" s="208" t="str">
        <f t="shared" si="40"/>
        <v/>
      </c>
      <c r="X60" s="208" t="str">
        <f t="shared" si="41"/>
        <v/>
      </c>
      <c r="Y60" s="209" t="str" cm="1">
        <f t="array" ref="Y60">IF(W60="","",MAX($C$5,IF(V60=90,IF(OR(X60=Y$13,X60=Y$14,X60=V$4-Y$14,X60=V$4-Y$13),W$7,IF(OR(W60=W$20,W60=W$24),W$8,IF(OR(W60=W$21:W$23),W$9))),W$10)))</f>
        <v/>
      </c>
      <c r="AA60" s="207" t="str">
        <f t="shared" si="26"/>
        <v/>
      </c>
      <c r="AB60" s="208" t="str">
        <f t="shared" si="42"/>
        <v/>
      </c>
      <c r="AC60" s="208" t="str">
        <f t="shared" si="43"/>
        <v/>
      </c>
      <c r="AD60" s="209" t="str" cm="1">
        <f t="array" ref="AD60">IF(AB60="","",MAX($C$5,IF(AA60=90,IF(OR(AC60=AD$13,AC60=AD$14,AC60=AA$4-AD$14,AC60=AA$4-AD$13),AB$7,IF(OR(AB60=AB$20,AB60=AB$24),AB$8,IF(OR(AB60=AB$21:AB$23),AB$9))),AB$10)))</f>
        <v/>
      </c>
      <c r="AF60" s="207" t="str">
        <f t="shared" si="27"/>
        <v/>
      </c>
      <c r="AG60" s="208" t="str">
        <f t="shared" si="44"/>
        <v/>
      </c>
      <c r="AH60" s="208" t="str">
        <f t="shared" si="45"/>
        <v/>
      </c>
      <c r="AI60" s="209" t="str" cm="1">
        <f t="array" ref="AI60">IF(AG60="","",MAX($C$5,IF(AF60=90,IF(OR(AH60=AI$13,AH60=AI$14,AH60=AF$4-AI$14,AH60=AF$4-AI$13),AG$7,IF(OR(AG60=AG$20,AG60=AG$24),AG$8,IF(OR(AG60=AG$21:AG$23),AG$9))),AG$10)))</f>
        <v/>
      </c>
      <c r="AK60" s="207" t="str">
        <f t="shared" si="28"/>
        <v/>
      </c>
      <c r="AL60" s="208" t="str">
        <f t="shared" si="46"/>
        <v/>
      </c>
      <c r="AM60" s="208" t="str">
        <f t="shared" si="47"/>
        <v/>
      </c>
      <c r="AN60" s="209" t="str" cm="1">
        <f t="array" ref="AN60">IF(AL60="","",MAX($C$5,IF(AK60=90,IF(OR(AM60=AN$13,AM60=AN$14,AM60=AK$4-AN$14,AM60=AK$4-AN$13),AL$7,IF(OR(AL60=AL$20,AL60=AL$24),AL$8,IF(OR(AL60=AL$21:AL$23),AL$9))),AL$10)))</f>
        <v/>
      </c>
      <c r="AP60" s="207" t="str">
        <f t="shared" si="14"/>
        <v/>
      </c>
      <c r="AQ60" s="208" t="str">
        <f t="shared" si="48"/>
        <v/>
      </c>
      <c r="AR60" s="208" t="str">
        <f t="shared" si="49"/>
        <v/>
      </c>
      <c r="AS60" s="209" t="str" cm="1">
        <f t="array" ref="AS60">IF(AQ60="","",MAX($C$5,IF(AP60=90,IF(OR(AR60=AS$13,AR60=AS$14,AR60=AP$4-AS$14,AR60=AP$4-AS$13),AQ$7,IF(OR(AQ60=AQ$20,AQ60=AQ$24),AQ$8,IF(OR(AQ60=AQ$21:AQ$23),AQ$9))),AQ$10)))</f>
        <v/>
      </c>
      <c r="AT60" s="288"/>
      <c r="AU60" s="207" t="str">
        <f>IF(ROW(AU60)-ROW(AU$49)&lt;=AV$18,90,"")</f>
        <v/>
      </c>
      <c r="AV60" s="208" t="str">
        <f t="shared" si="15"/>
        <v/>
      </c>
      <c r="AW60" s="208" t="str">
        <f>IF(AU55="","",AX30)</f>
        <v/>
      </c>
      <c r="AX60" s="209" t="str" cm="1">
        <f t="array" ref="AX60">IF(AV60="","",MAX($C$5,IF(AU60=90,IF(OR(AW60=AX$13,AW60=AX$14,AW60=AU$4-AX$14,AW60=AU$4-AX$13),AV$7,IF(OR(AV60=AV$20,AV60=AV$24),AV$8,IF(OR(AV60=AV$21:AV$23),AV$9))),AV$10)))</f>
        <v/>
      </c>
      <c r="AZ60" s="207" t="str">
        <f>IF(ROW(AZ60)-ROW(AZ$49)&lt;=BA$18,90,"")</f>
        <v/>
      </c>
      <c r="BA60" s="208" t="str">
        <f t="shared" si="17"/>
        <v/>
      </c>
      <c r="BB60" s="208" t="str">
        <f>IF(AZ55="","",BC30)</f>
        <v/>
      </c>
      <c r="BC60" s="209" t="str" cm="1">
        <f t="array" ref="BC60">IF(BA60="","",MAX($C$5,IF(AZ60=90,IF(OR(BB60=BC$13,BB60=BC$14,BB60=AZ$4-BC$14,BB60=AZ$4-BC$13),BA$7,IF(OR(BA60=BA$20,BA60=BA$24),BA$8,IF(OR(BA60=BA$21:BA$23),BA$9))),BA$10)))</f>
        <v/>
      </c>
      <c r="BE60" s="207" t="str">
        <f>IF(ROW(BE60)-ROW(BE$49)&lt;=BF$18,90,"")</f>
        <v/>
      </c>
      <c r="BF60" s="208" t="str">
        <f t="shared" si="19"/>
        <v/>
      </c>
      <c r="BG60" s="208" t="str">
        <f>IF(BE55="","",BH30)</f>
        <v/>
      </c>
      <c r="BH60" s="209" t="str" cm="1">
        <f t="array" ref="BH60">IF(BF60="","",MAX($C$5,IF(BE60=90,IF(OR(BG60=BH$13,BG60=BH$14,BG60=BE$4-BH$14,BG60=BE$4-BH$13),BF$7,IF(OR(BF60=BF$20,BF60=BF$24),BF$8,IF(OR(BF60=BF$21:BF$23),BF$9))),BF$10)))</f>
        <v/>
      </c>
      <c r="BI60" s="288"/>
      <c r="BJ60" s="207" t="str">
        <f t="shared" si="50"/>
        <v/>
      </c>
      <c r="BK60" s="208" t="str">
        <f t="shared" si="51"/>
        <v/>
      </c>
      <c r="BL60" s="208" t="str">
        <f t="shared" si="52"/>
        <v/>
      </c>
      <c r="BM60" s="209" t="str" cm="1">
        <f t="array" ref="BM60">IF(BK60="","",MAX($C$5,IF(BJ60=90,IF(OR(BL60=BM$13,BL60=BM$14,BL60=BJ$4-BM$14,BL60=BJ$4-BM$13),BK$7,IF(OR(BK60=BK$20,BK60=BK$24),BK$8,IF(OR(BK60=BK$21:BK$23),BK$9))),BK$10)))</f>
        <v/>
      </c>
      <c r="BO60" s="207" t="str">
        <f t="shared" si="53"/>
        <v/>
      </c>
      <c r="BP60" s="208" t="str">
        <f t="shared" si="54"/>
        <v/>
      </c>
      <c r="BQ60" s="208" t="str">
        <f t="shared" si="55"/>
        <v/>
      </c>
      <c r="BR60" s="209" t="str" cm="1">
        <f t="array" ref="BR60">IF(BP60="","",MAX($C$5,IF(BO60=90,IF(OR(BQ60=BR$13,BQ60=BR$14,BQ60=BO$4-BR$14,BQ60=BO$4-BR$13),BP$7,IF(OR(BP60=BP$20,BP60=BP$24),BP$8,IF(OR(BP60=BP$21:BP$23),BP$9))),BP$10)))</f>
        <v/>
      </c>
      <c r="BT60" s="207" t="str">
        <f t="shared" si="29"/>
        <v/>
      </c>
      <c r="BU60" s="208" t="str">
        <f t="shared" si="30"/>
        <v/>
      </c>
      <c r="BV60" s="208" t="str">
        <f t="shared" si="31"/>
        <v/>
      </c>
      <c r="BW60" s="209" t="str" cm="1">
        <f t="array" ref="BW60">IF(BU60="","",MAX($C$5,IF(BT60=90,IF(OR(BV60=BW$13,BV60=BW$14,BV60=BT$4-BW$14,BV60=BT$4-BW$13),BU$7,IF(OR(BU60=BU$20,BU60=BU$24),BU$8,IF(OR(BU60=BU$21:BU$23),BU$9))),BU$10)))</f>
        <v/>
      </c>
      <c r="BX60" s="288"/>
    </row>
    <row r="61" spans="1:76">
      <c r="A61" s="168"/>
      <c r="B61" s="185">
        <f>IF(ROW(B61)-ROW(B$60)&lt;=(C$31*E$31),45,"")</f>
        <v>45</v>
      </c>
      <c r="C61" s="173">
        <f>IF(B61="","",IF(COUNT(B$61:B61)&lt;=E$31,C$33,IF(COUNT(B$61:B61)&lt;=2*E$31,C$34,IF(COUNT(B$61:B61)&lt;=3*E$31,C$35,IF(COUNT(B$61:B61)&lt;=4*E$31,C$36)))))</f>
        <v>10.5</v>
      </c>
      <c r="D61" s="173">
        <f>IF(B61="","",IF(C61=C$33,E$33+E$32*(COUNT(B$61:B61)-1),IF(C61=C$34,E$34+E$32*(COUNT(B$61:B61)-E$31-1),IF(C61=C$35,E$34+E$32*(COUNT(B$61:B61)-2*E$31-1),IF(C61=C$36,E$33+E$32*(COUNT(B$61:B61)-3*E$31-1))))))</f>
        <v>150</v>
      </c>
      <c r="E61" s="180" cm="1">
        <f t="array" ref="E61">IF(C61="","",MAX($C$5,IF(B61=90,IF(OR(D61=E$13,D61=E$14,D61=B$4-E$14,D61=B$4-E$13),C$7,IF(OR(C61=C$20,C61=C$24),C$8,IF(OR(C61=C$21:C$23),C$9))),C$10)))</f>
        <v>18</v>
      </c>
      <c r="F61" s="168"/>
      <c r="G61" s="185">
        <f>IF(ROW(G61)-ROW(G$60)&lt;=(H$31*J$31),45,"")</f>
        <v>45</v>
      </c>
      <c r="H61" s="173">
        <f>IF(G61="","",IF(COUNT(G$61:G61)&lt;=J$31,H$33,IF(COUNT(G$61:G61)&lt;=2*J$31,H$34,IF(COUNT(G$61:G61)&lt;=3*J$31,H$35,IF(COUNT(G$61:G61)&lt;=4*J$31,H$36)))))</f>
        <v>10.5</v>
      </c>
      <c r="I61" s="173">
        <f>IF(G61="","",IF(H61=H$33,J$33+J$32*(COUNT(G$61:G61)-1),IF(H61=H$34,J$34+J$32*(COUNT(G$61:G61)-J$31-1),IF(H61=H$35,J$34+J$32*(COUNT(G$61:G61)-2*J$31-1),IF(H61=H$36,J$33+J$32*(COUNT(G$61:G61)-3*J$31-1))))))</f>
        <v>150</v>
      </c>
      <c r="J61" s="180" cm="1">
        <f t="array" ref="J61">IF(H61="","",MAX($C$5,IF(G61=90,IF(OR(I61=J$13,I61=J$14,I61=G$4-J$14,I61=G$4-J$13),H$7,IF(OR(H61=H$20,H61=H$24),H$8,IF(OR(H61=H$21:H$23),H$9))),H$10)))</f>
        <v>18</v>
      </c>
      <c r="K61" s="168"/>
      <c r="L61" s="185">
        <f>IF(ROW(L61)-ROW(L$60)&lt;=(M$31*O$31),45,"")</f>
        <v>45</v>
      </c>
      <c r="M61" s="173">
        <f>IF(L61="","",IF(COUNT(L$61:L61)&lt;=O$31,M$33,IF(COUNT(L$61:L61)&lt;=2*O$31,M$34,IF(COUNT(L$61:L61)&lt;=3*O$31,M$35,IF(COUNT(L$61:L61)&lt;=4*O$31,M$36)))))</f>
        <v>10.5</v>
      </c>
      <c r="N61" s="173">
        <f>IF(L61="","",IF(M61=M$33,O$33+O$32*(COUNT(L$61:L61)-1),IF(M61=M$34,O$34+O$32*(COUNT(L$61:L61)-O$31-1),IF(M61=M$35,O$34+O$32*(COUNT(L$61:L61)-2*O$31-1),IF(M61=M$36,O$33+O$32*(COUNT(L$61:L61)-3*O$31-1))))))</f>
        <v>159</v>
      </c>
      <c r="O61" s="180" cm="1">
        <f t="array" ref="O61">IF(M61="","",MAX($C$5,IF(L61=90,IF(OR(N61=O$13,N61=O$14,N61=L$4-O$14,N61=L$4-O$13),M$7,IF(OR(M61=M$20,M61=M$24),M$8,IF(OR(M61=M$21:M$23),M$9))),M$10)))</f>
        <v>18</v>
      </c>
      <c r="P61" s="168"/>
      <c r="Q61" s="185">
        <f>IF(ROW(Q61)-ROW(Q$60)&lt;=(R$31*T$31),45,"")</f>
        <v>45</v>
      </c>
      <c r="R61" s="173">
        <f>IF(Q61="","",IF(COUNT(Q$61:Q61)&lt;=T$31,R$33,IF(COUNT(Q$61:Q61)&lt;=2*T$31,R$34,IF(COUNT(Q$61:Q61)&lt;=3*T$31,R$35,IF(COUNT(Q$61:Q61)&lt;=4*T$31,R$36)))))</f>
        <v>10.5</v>
      </c>
      <c r="S61" s="173">
        <f>IF(Q61="","",IF(R61=R$33,T$33+T$32*(COUNT(Q$61:Q61)-1),IF(R61=R$34,T$34+T$32*(COUNT(Q$61:Q61)-T$31-1),IF(R61=R$35,T$34+T$32*(COUNT(Q$61:Q61)-2*T$31-1),IF(R61=R$36,T$33+T$32*(COUNT(Q$61:Q61)-3*T$31-1))))))</f>
        <v>156</v>
      </c>
      <c r="T61" s="180" cm="1">
        <f t="array" ref="T61">IF(R61="","",MAX($C$5,IF(Q61=90,IF(OR(S61=T$13,S61=T$14,S61=Q$4-T$14,S61=Q$4-T$13),R$7,IF(OR(R61=R$20,R61=R$24),R$8,IF(OR(R61=R$21:R$23),R$9))),R$10)))</f>
        <v>18</v>
      </c>
      <c r="U61" s="168"/>
      <c r="V61" s="185">
        <f>IF(ROW(V61)-ROW(V$60)&lt;=(W$31*Y$31),45,"")</f>
        <v>45</v>
      </c>
      <c r="W61" s="173">
        <f>IF(V61="","",IF(COUNT(V$61:V61)&lt;=Y$31,W$33,IF(COUNT(V$61:V61)&lt;=2*Y$31,W$34,IF(COUNT(V$61:V61)&lt;=3*Y$31,W$35,IF(COUNT(V$61:V61)&lt;=4*Y$31,W$36)))))</f>
        <v>10.5</v>
      </c>
      <c r="X61" s="173">
        <f>IF(V61="","",IF(W61=W$33,Y$33+Y$32*(COUNT(V$61:V61)-1),IF(W61=W$34,Y$34+Y$32*(COUNT(V$61:V61)-Y$31-1),IF(W61=W$35,Y$34+Y$32*(COUNT(V$61:V61)-2*Y$31-1),IF(W61=W$36,Y$33+Y$32*(COUNT(V$61:V61)-3*Y$31-1))))))</f>
        <v>150</v>
      </c>
      <c r="Y61" s="180" cm="1">
        <f t="array" ref="Y61">IF(W61="","",MAX($C$5,IF(V61=90,IF(OR(X61=Y$13,X61=Y$14,X61=V$4-Y$14,X61=V$4-Y$13),W$7,IF(OR(W61=W$20,W61=W$24),W$8,IF(OR(W61=W$21:W$23),W$9))),W$10)))</f>
        <v>18</v>
      </c>
      <c r="Z61" s="168"/>
      <c r="AA61" s="185">
        <f>IF(ROW(AA61)-ROW(AA$60)&lt;=(AB$31*AD$31),45,"")</f>
        <v>45</v>
      </c>
      <c r="AB61" s="173">
        <f>IF(AA61="","",IF(COUNT(AA$61:AA61)&lt;=AD$31,AB$33,IF(COUNT(AA$61:AA61)&lt;=2*AD$31,AB$34,IF(COUNT(AA$61:AA61)&lt;=3*AD$31,AB$35,IF(COUNT(AA$61:AA61)&lt;=4*AD$31,AB$36)))))</f>
        <v>10.5</v>
      </c>
      <c r="AC61" s="173">
        <f>IF(AA61="","",IF(AB61=AB$33,AD$33+AD$32*(COUNT(AA$61:AA61)-1),IF(AB61=AB$34,AD$34+AD$32*(COUNT(AA$61:AA61)-AD$31-1),IF(AB61=AB$35,AD$34+AD$32*(COUNT(AA$61:AA61)-2*AD$31-1),IF(AB61=AB$36,AD$33+AD$32*(COUNT(AA$61:AA61)-3*AD$31-1))))))</f>
        <v>138</v>
      </c>
      <c r="AD61" s="180" cm="1">
        <f t="array" ref="AD61">IF(AB61="","",MAX($C$5,IF(AA61=90,IF(OR(AC61=AD$13,AC61=AD$14,AC61=AA$4-AD$14,AC61=AA$4-AD$13),AB$7,IF(OR(AB61=AB$20,AB61=AB$24),AB$8,IF(OR(AB61=AB$21:AB$23),AB$9))),AB$10)))</f>
        <v>18</v>
      </c>
      <c r="AE61" s="168"/>
      <c r="AF61" s="185">
        <f>IF(ROW(AF61)-ROW(AF$60)&lt;=(AG$31*AI$31),45,"")</f>
        <v>45</v>
      </c>
      <c r="AG61" s="173">
        <f>IF(AF61="","",IF(COUNT(AF$61:AF61)&lt;=AI$31,AG$33,IF(COUNT(AF$61:AF61)&lt;=2*AI$31,AG$34,IF(COUNT(AF$61:AF61)&lt;=3*AI$31,AG$35,IF(COUNT(AF$61:AF61)&lt;=4*AI$31,AG$36)))))</f>
        <v>10.5</v>
      </c>
      <c r="AH61" s="173">
        <f>IF(AF61="","",IF(AG61=AG$33,AI$33+AI$32*(COUNT(AF$61:AF61)-1),IF(AG61=AG$34,AI$34+AI$32*(COUNT(AF$61:AF61)-AI$31-1),IF(AG61=AG$35,AI$34+AI$32*(COUNT(AF$61:AF61)-2*AI$31-1),IF(AG61=AG$36,AI$33+AI$32*(COUNT(AF$61:AF61)-3*AI$31-1))))))</f>
        <v>138</v>
      </c>
      <c r="AI61" s="180" cm="1">
        <f t="array" ref="AI61">IF(AG61="","",MAX($C$5,IF(AF61=90,IF(OR(AH61=AI$13,AH61=AI$14,AH61=AF$4-AI$14,AH61=AF$4-AI$13),AG$7,IF(OR(AG61=AG$20,AG61=AG$24),AG$8,IF(OR(AG61=AG$21:AG$23),AG$9))),AG$10)))</f>
        <v>18</v>
      </c>
      <c r="AJ61" s="168"/>
      <c r="AK61" s="185">
        <f>IF(ROW(AK61)-ROW(AK$60)&lt;=(AL$31*AN$31),45,"")</f>
        <v>45</v>
      </c>
      <c r="AL61" s="173">
        <f>IF(AK61="","",IF(COUNT(AK$61:AK61)&lt;=AN$31,AL$33,IF(COUNT(AK$61:AK61)&lt;=2*AN$31,AL$34,IF(COUNT(AK$61:AK61)&lt;=3*AN$31,AL$35,IF(COUNT(AK$61:AK61)&lt;=4*AN$31,AL$36)))))</f>
        <v>10.5</v>
      </c>
      <c r="AM61" s="173">
        <f>IF(AK61="","",IF(AL61=AL$33,AN$33+AN$32*(COUNT(AK$61:AK61)-1),IF(AL61=AL$34,AN$34+AN$32*(COUNT(AK$61:AK61)-AN$31-1),IF(AL61=AL$35,AN$34+AN$32*(COUNT(AK$61:AK61)-2*AN$31-1),IF(AL61=AL$36,AN$33+AN$32*(COUNT(AK$61:AK61)-3*AN$31-1))))))</f>
        <v>134</v>
      </c>
      <c r="AN61" s="180" cm="1">
        <f t="array" ref="AN61">IF(AL61="","",MAX($C$5,IF(AK61=90,IF(OR(AM61=AN$13,AM61=AN$14,AM61=AK$4-AN$14,AM61=AK$4-AN$13),AL$7,IF(OR(AL61=AL$20,AL61=AL$24),AL$8,IF(OR(AL61=AL$21:AL$23),AL$9))),AL$10)))</f>
        <v>18</v>
      </c>
      <c r="AO61" s="168"/>
      <c r="AP61" s="198">
        <f t="shared" ref="AP61:AP100" si="56">IF(ROW(AP61)-ROW(AP$60)&lt;=(AQ$31*AS$31),45,"")</f>
        <v>45</v>
      </c>
      <c r="AQ61" s="199">
        <f>IF(AP61="","",IF(COUNT(AP$61:AP61)&lt;=AS$31,AQ$33,IF(COUNT(AP$61:AP61)&lt;=2*AS$31,AQ$34,IF(COUNT(AP$61:AP61)&lt;=3*AS$31,AQ$35,IF(COUNT(AP$61:AP61)&lt;=4*AS$31,AQ$36)))))</f>
        <v>10.5</v>
      </c>
      <c r="AR61" s="199">
        <f>IF(AP61="","",IF(AQ61=AQ$33,AS$33+AS$32*(COUNT(AP$61:AP61)-1),IF(AQ61=AQ$34,AS$34+AS$32*(COUNT(AP$61:AP61)-AS$31-1),IF(AQ61=AQ$35,AS$34+AS$32*(COUNT(AP$61:AP61)-2*AS$31-1),IF(AQ61=AQ$36,AS$33+AS$32*(COUNT(AP$61:AP61)-3*AS$31-1))))))</f>
        <v>306</v>
      </c>
      <c r="AS61" s="180" cm="1">
        <f t="array" ref="AS61">IF(AQ61="","",MAX($C$5,IF(AP61=90,IF(OR(AR61=AS$13,AR61=AS$14,AR61=AP$4-AS$14,AR61=AP$4-AS$13),AQ$7,IF(OR(AQ61=AQ$20,AQ61=AQ$24),AQ$8,IF(OR(AQ61=AQ$21:AQ$23),AQ$9))),AQ$10)))</f>
        <v>18</v>
      </c>
      <c r="AT61" s="277"/>
      <c r="AU61" s="185">
        <f t="shared" ref="AU61:AU119" si="57">IF(ROW(AU61)-ROW(AU$60)&lt;=(AV$31*AX$31),45,"")</f>
        <v>45</v>
      </c>
      <c r="AV61" s="173">
        <f>IF(AU61="","",IF(COUNT(AU$61:AU61)&lt;=AX$31,AV$33,IF(COUNT(AU$61:AU61)&lt;=2*AX$31,AV$34,IF(COUNT(AU$61:AU61)&lt;=3*AX$31,AV$35))))</f>
        <v>10.8</v>
      </c>
      <c r="AW61" s="173">
        <f>IF(AU61="","",IF(AV61=AV$33,AX$33+AX$32*(COUNT(AU$61:AU61)-1),IF(AV61=AV$34,AX$34+AX$32*(COUNT(AU$61:AU61)-AX$31-1),IF(AV61=AV$35,AX$33+AX$32*(COUNT(AU$61:AU61)-2*AX$31-1)))))</f>
        <v>138</v>
      </c>
      <c r="AX61" s="180" cm="1">
        <f t="array" ref="AX61">IF(AV61="","",MAX($C$5,IF(AU61=90,IF(OR(AW61=AX$13,AW61=AX$14,AW61=AU$4-AX$14,AW61=AU$4-AX$13),AV$7,IF(OR(AV61=AV$20,AV61=AV$24),AV$8,IF(OR(AV61=AV$21:AV$23),AV$9))),AV$10)))</f>
        <v>17.5</v>
      </c>
      <c r="AY61" s="168"/>
      <c r="AZ61" s="185">
        <f t="shared" ref="AZ61:AZ119" si="58">IF(ROW(AZ61)-ROW(AZ$60)&lt;=(BA$31*BC$31),45,"")</f>
        <v>45</v>
      </c>
      <c r="BA61" s="173">
        <f>IF(AZ61="","",IF(COUNT(AZ$61:AZ61)&lt;=BC$31,BA$33,IF(COUNT(AZ$61:AZ61)&lt;=2*BC$31,BA$34,IF(COUNT(AZ$61:AZ61)&lt;=3*BC$31,BA$35))))</f>
        <v>10.8</v>
      </c>
      <c r="BB61" s="173">
        <f>IF(AZ61="","",IF(BA61=BA$33,BC$33+BC$32*(COUNT(AZ$61:AZ61)-1),IF(BA61=BA$34,BC$34+BC$32*(COUNT(AZ$61:AZ61)-BC$31-1),IF(BA61=BA$35,BC$33+BC$32*(COUNT(AZ$61:AZ61)-2*BC$31-1)))))</f>
        <v>138</v>
      </c>
      <c r="BC61" s="180" cm="1">
        <f t="array" ref="BC61">IF(BA61="","",MAX($C$5,IF(AZ61=90,IF(OR(BB61=BC$13,BB61=BC$14,BB61=AZ$4-BC$14,BB61=AZ$4-BC$13),BA$7,IF(OR(BA61=BA$20,BA61=BA$24),BA$8,IF(OR(BA61=BA$21:BA$23),BA$9))),BA$10)))</f>
        <v>17.5</v>
      </c>
      <c r="BD61" s="168"/>
      <c r="BE61" s="185">
        <f t="shared" ref="BE61:BE119" si="59">IF(ROW(BE61)-ROW(BE$60)&lt;=(BF$31*BH$31),45,"")</f>
        <v>45</v>
      </c>
      <c r="BF61" s="173">
        <f>IF(BE61="","",IF(COUNT(BE$61:BE61)&lt;=BH$31,BF$33,IF(COUNT(BE$61:BE61)&lt;=2*BH$31,BF$34,IF(COUNT(BE$61:BE61)&lt;=3*BH$31,BF$35))))</f>
        <v>10.8</v>
      </c>
      <c r="BG61" s="173">
        <f>IF(BE61="","",IF(BF61=BF$33,BH$33+BH$32*(COUNT(BE$61:BE61)-1),IF(BF61=BF$34,BH$34+BH$32*(COUNT(BE$61:BE61)-BH$31-1),IF(BF61=BF$35,BH$33+BH$32*(COUNT(BE$61:BE61)-2*BH$31-1)))))</f>
        <v>138</v>
      </c>
      <c r="BH61" s="180" cm="1">
        <f t="array" ref="BH61">IF(BF61="","",MAX($C$5,IF(BE61=90,IF(OR(BG61=BH$13,BG61=BH$14,BG61=BE$4-BH$14,BG61=BE$4-BH$13),BF$7,IF(OR(BF61=BF$20,BF61=BF$24),BF$8,IF(OR(BF61=BF$21:BF$23),BF$9))),BF$10)))</f>
        <v>17.5</v>
      </c>
      <c r="BI61" s="277"/>
      <c r="BJ61" s="185">
        <f t="shared" ref="BJ61:BJ119" si="60">IF(ROW(BJ61)-ROW(BJ$60)&lt;=(BK$31*BM$31-1),45,"")</f>
        <v>45</v>
      </c>
      <c r="BK61" s="173">
        <f>IF(BJ61="","",IF(COUNT(BJ$61:BJ61)&lt;=BM$31-1,BK$33,IF(COUNT(BJ$61:BJ61)&lt;=2*BM$31-1,BK$34)))</f>
        <v>9.75</v>
      </c>
      <c r="BL61" s="175">
        <f>IF(BJ61="","",IF(BK61=BK$33,BM$33+BM$32*(COUNT(BJ$61:BJ61)-1),IF(BK61=BK$34,BM$34+BM$32*(COUNT(BJ$61:BJ61)-BM$31))))</f>
        <v>118</v>
      </c>
      <c r="BM61" s="180" cm="1">
        <f t="array" ref="BM61">IF(BK61="","",MAX($C$5,IF(BJ61=90,IF(OR(BL61=BM$13,BL61=BM$14,BL61=BJ$4-BM$14,BL61=BJ$4-BM$13),BK$7,IF(OR(BK61=BK$20,BK61=BK$24),BK$8,IF(OR(BK61=BK$21:BK$23),BK$9))),BK$10)))</f>
        <v>17.5</v>
      </c>
      <c r="BN61" s="168"/>
      <c r="BO61" s="185">
        <f t="shared" ref="BO61:BO119" si="61">IF(ROW(BO61)-ROW(BO$60)&lt;=(BP$31*BR$31-1),45,"")</f>
        <v>45</v>
      </c>
      <c r="BP61" s="173">
        <f>IF(BO61="","",IF(COUNT(BO$61:BO61)&lt;=BR$31-1,BP$33,IF(COUNT(BO$61:BO61)&lt;=2*BR$31-1,BP$34)))</f>
        <v>9.75</v>
      </c>
      <c r="BQ61" s="175">
        <f>IF(BO61="","",IF(BP61=BP$33,BR$33+BR$32*(COUNT(BO$61:BO61)-1),IF(BP61=BP$34,BR$34+BR$32*(COUNT(BO$61:BO61)-BR$31))))</f>
        <v>118</v>
      </c>
      <c r="BR61" s="180" cm="1">
        <f t="array" ref="BR61">IF(BP61="","",MAX($C$5,IF(BO61=90,IF(OR(BQ61=BR$13,BQ61=BR$14,BQ61=BO$4-BR$14,BQ61=BO$4-BR$13),BP$7,IF(OR(BP61=BP$20,BP61=BP$24),BP$8,IF(OR(BP61=BP$21:BP$23),BP$9))),BP$10)))</f>
        <v>17.5</v>
      </c>
      <c r="BS61" s="168"/>
      <c r="BT61" s="185">
        <f t="shared" ref="BT61:BT119" si="62">IF(ROW(BT61)-ROW(BT$60)&lt;=(BU$31*BW$31-1),45,"")</f>
        <v>45</v>
      </c>
      <c r="BU61" s="173">
        <f>IF(BT61="","",IF(COUNT(BT$61:BT61)&lt;=BW$31-1,BU$33,IF(COUNT(BT$61:BT61)&lt;=2*BW$31-1,BU$34)))</f>
        <v>9.75</v>
      </c>
      <c r="BV61" s="175">
        <f>IF(BT61="","",IF(BU61=BU$33,BW$33+BW$32*(COUNT(BT$61:BT61)-1),IF(BU61=BU$34,BW$34+BW$32*(COUNT(BT$61:BT61)-BW$31))))</f>
        <v>118</v>
      </c>
      <c r="BW61" s="180" cm="1">
        <f t="array" ref="BW61">IF(BU61="","",MAX($C$5,IF(BT61=90,IF(OR(BV61=BW$13,BV61=BW$14,BV61=BT$4-BW$14,BV61=BT$4-BW$13),BU$7,IF(OR(BU61=BU$20,BU61=BU$24),BU$8,IF(OR(BU61=BU$21:BU$23),BU$9))),BU$10)))</f>
        <v>17.5</v>
      </c>
      <c r="BX61" s="288"/>
    </row>
    <row r="62" spans="1:76">
      <c r="A62" s="168"/>
      <c r="B62" s="185">
        <f t="shared" ref="B62:B107" si="63">IF(ROW(B62)-ROW(B$60)&lt;=(C$31*E$31),45,"")</f>
        <v>45</v>
      </c>
      <c r="C62" s="173">
        <f>IF(B62="","",IF(COUNT(B$61:B62)&lt;=E$31,C$33,IF(COUNT(B$61:B62)&lt;=2*E$31,C$34,IF(COUNT(B$61:B62)&lt;=3*E$31,C$35,IF(COUNT(B$61:B62)&lt;=4*E$31,C$36)))))</f>
        <v>10.5</v>
      </c>
      <c r="D62" s="173">
        <f>IF(B62="","",IF(C62=C$33,E$33+E$32*(COUNT(B$61:B62)-1),IF(C62=C$34,E$34+E$32*(COUNT(B$61:B62)-E$31-1),IF(C62=C$35,E$34+E$32*(COUNT(B$61:B62)-2*E$31-1),IF(C62=C$36,E$33+E$32*(COUNT(B$61:B62)-3*E$31-1))))))</f>
        <v>207</v>
      </c>
      <c r="E62" s="180" cm="1">
        <f t="array" ref="E62">IF(C62="","",MAX($C$5,IF(B62=90,IF(OR(D62=E$13,D62=E$14,D62=B$4-E$14,D62=B$4-E$13),C$7,IF(OR(C62=C$20,C62=C$24),C$8,IF(OR(C62=C$21:C$23),C$9))),C$10)))</f>
        <v>18</v>
      </c>
      <c r="F62" s="168"/>
      <c r="G62" s="185">
        <f t="shared" ref="G62:G105" si="64">IF(ROW(G62)-ROW(G$60)&lt;=(H$31*J$31),45,"")</f>
        <v>45</v>
      </c>
      <c r="H62" s="173">
        <f>IF(G62="","",IF(COUNT(G$61:G62)&lt;=J$31,H$33,IF(COUNT(G$61:G62)&lt;=2*J$31,H$34,IF(COUNT(G$61:G62)&lt;=3*J$31,H$35,IF(COUNT(G$61:G62)&lt;=4*J$31,H$36)))))</f>
        <v>10.5</v>
      </c>
      <c r="I62" s="173">
        <f>IF(G62="","",IF(H62=H$33,J$33+J$32*(COUNT(G$61:G62)-1),IF(H62=H$34,J$34+J$32*(COUNT(G$61:G62)-J$31-1),IF(H62=H$35,J$34+J$32*(COUNT(G$61:G62)-2*J$31-1),IF(H62=H$36,J$33+J$32*(COUNT(G$61:G62)-3*J$31-1))))))</f>
        <v>207</v>
      </c>
      <c r="J62" s="180" cm="1">
        <f t="array" ref="J62">IF(H62="","",MAX($C$5,IF(G62=90,IF(OR(I62=J$13,I62=J$14,I62=G$4-J$14,I62=G$4-J$13),H$7,IF(OR(H62=H$20,H62=H$24),H$8,IF(OR(H62=H$21:H$23),H$9))),H$10)))</f>
        <v>18</v>
      </c>
      <c r="K62" s="168"/>
      <c r="L62" s="185">
        <f t="shared" ref="L62:L103" si="65">IF(ROW(L62)-ROW(L$60)&lt;=(M$31*O$31),45,"")</f>
        <v>45</v>
      </c>
      <c r="M62" s="173">
        <f>IF(L62="","",IF(COUNT(L$61:L62)&lt;=O$31,M$33,IF(COUNT(L$61:L62)&lt;=2*O$31,M$34,IF(COUNT(L$61:L62)&lt;=3*O$31,M$35,IF(COUNT(L$61:L62)&lt;=4*O$31,M$36)))))</f>
        <v>10.5</v>
      </c>
      <c r="N62" s="173">
        <f>IF(L62="","",IF(M62=M$33,O$33+O$32*(COUNT(L$61:L62)-1),IF(M62=M$34,O$34+O$32*(COUNT(L$61:L62)-O$31-1),IF(M62=M$35,O$34+O$32*(COUNT(L$61:L62)-2*O$31-1),IF(M62=M$36,O$33+O$32*(COUNT(L$61:L62)-3*O$31-1))))))</f>
        <v>216</v>
      </c>
      <c r="O62" s="180" cm="1">
        <f t="array" ref="O62">IF(M62="","",MAX($C$5,IF(L62=90,IF(OR(N62=O$13,N62=O$14,N62=L$4-O$14,N62=L$4-O$13),M$7,IF(OR(M62=M$20,M62=M$24),M$8,IF(OR(M62=M$21:M$23),M$9))),M$10)))</f>
        <v>18</v>
      </c>
      <c r="P62" s="168"/>
      <c r="Q62" s="185">
        <f t="shared" ref="Q62:Q99" si="66">IF(ROW(Q62)-ROW(Q$60)&lt;=(R$31*T$31),45,"")</f>
        <v>45</v>
      </c>
      <c r="R62" s="173">
        <f>IF(Q62="","",IF(COUNT(Q$61:Q62)&lt;=T$31,R$33,IF(COUNT(Q$61:Q62)&lt;=2*T$31,R$34,IF(COUNT(Q$61:Q62)&lt;=3*T$31,R$35,IF(COUNT(Q$61:Q62)&lt;=4*T$31,R$36)))))</f>
        <v>10.5</v>
      </c>
      <c r="S62" s="173">
        <f>IF(Q62="","",IF(R62=R$33,T$33+T$32*(COUNT(Q$61:Q62)-1),IF(R62=R$34,T$34+T$32*(COUNT(Q$61:Q62)-T$31-1),IF(R62=R$35,T$34+T$32*(COUNT(Q$61:Q62)-2*T$31-1),IF(R62=R$36,T$33+T$32*(COUNT(Q$61:Q62)-3*T$31-1))))))</f>
        <v>213</v>
      </c>
      <c r="T62" s="180" cm="1">
        <f t="array" ref="T62">IF(R62="","",MAX($C$5,IF(Q62=90,IF(OR(S62=T$13,S62=T$14,S62=Q$4-T$14,S62=Q$4-T$13),R$7,IF(OR(R62=R$20,R62=R$24),R$8,IF(OR(R62=R$21:R$23),R$9))),R$10)))</f>
        <v>18</v>
      </c>
      <c r="U62" s="168"/>
      <c r="V62" s="185">
        <f t="shared" ref="V62:V119" si="67">IF(ROW(V62)-ROW(V$60)&lt;=(W$31*Y$31),45,"")</f>
        <v>45</v>
      </c>
      <c r="W62" s="173">
        <f>IF(V62="","",IF(COUNT(V$61:V62)&lt;=Y$31,W$33,IF(COUNT(V$61:V62)&lt;=2*Y$31,W$34,IF(COUNT(V$61:V62)&lt;=3*Y$31,W$35,IF(COUNT(V$61:V62)&lt;=4*Y$31,W$36)))))</f>
        <v>10.5</v>
      </c>
      <c r="X62" s="173">
        <f>IF(V62="","",IF(W62=W$33,Y$33+Y$32*(COUNT(V$61:V62)-1),IF(W62=W$34,Y$34+Y$32*(COUNT(V$61:V62)-Y$31-1),IF(W62=W$35,Y$34+Y$32*(COUNT(V$61:V62)-2*Y$31-1),IF(W62=W$36,Y$33+Y$32*(COUNT(V$61:V62)-3*Y$31-1))))))</f>
        <v>207</v>
      </c>
      <c r="Y62" s="180" cm="1">
        <f t="array" ref="Y62">IF(W62="","",MAX($C$5,IF(V62=90,IF(OR(X62=Y$13,X62=Y$14,X62=V$4-Y$14,X62=V$4-Y$13),W$7,IF(OR(W62=W$20,W62=W$24),W$8,IF(OR(W62=W$21:W$23),W$9))),W$10)))</f>
        <v>18</v>
      </c>
      <c r="Z62" s="168"/>
      <c r="AA62" s="185">
        <f t="shared" ref="AA62:AA119" si="68">IF(ROW(AA62)-ROW(AA$60)&lt;=(AB$31*AD$31),45,"")</f>
        <v>45</v>
      </c>
      <c r="AB62" s="173">
        <f>IF(AA62="","",IF(COUNT(AA$61:AA62)&lt;=AD$31,AB$33,IF(COUNT(AA$61:AA62)&lt;=2*AD$31,AB$34,IF(COUNT(AA$61:AA62)&lt;=3*AD$31,AB$35,IF(COUNT(AA$61:AA62)&lt;=4*AD$31,AB$36)))))</f>
        <v>10.5</v>
      </c>
      <c r="AC62" s="173">
        <f>IF(AA62="","",IF(AB62=AB$33,AD$33+AD$32*(COUNT(AA$61:AA62)-1),IF(AB62=AB$34,AD$34+AD$32*(COUNT(AA$61:AA62)-AD$31-1),IF(AB62=AB$35,AD$34+AD$32*(COUNT(AA$61:AA62)-2*AD$31-1),IF(AB62=AB$36,AD$33+AD$32*(COUNT(AA$61:AA62)-3*AD$31-1))))))</f>
        <v>196</v>
      </c>
      <c r="AD62" s="180" cm="1">
        <f t="array" ref="AD62">IF(AB62="","",MAX($C$5,IF(AA62=90,IF(OR(AC62=AD$13,AC62=AD$14,AC62=AA$4-AD$14,AC62=AA$4-AD$13),AB$7,IF(OR(AB62=AB$20,AB62=AB$24),AB$8,IF(OR(AB62=AB$21:AB$23),AB$9))),AB$10)))</f>
        <v>18</v>
      </c>
      <c r="AE62" s="168"/>
      <c r="AF62" s="185">
        <f t="shared" ref="AF62:AF119" si="69">IF(ROW(AF62)-ROW(AF$60)&lt;=(AG$31*AI$31),45,"")</f>
        <v>45</v>
      </c>
      <c r="AG62" s="173">
        <f>IF(AF62="","",IF(COUNT(AF$61:AF62)&lt;=AI$31,AG$33,IF(COUNT(AF$61:AF62)&lt;=2*AI$31,AG$34,IF(COUNT(AF$61:AF62)&lt;=3*AI$31,AG$35,IF(COUNT(AF$61:AF62)&lt;=4*AI$31,AG$36)))))</f>
        <v>10.5</v>
      </c>
      <c r="AH62" s="173">
        <f>IF(AF62="","",IF(AG62=AG$33,AI$33+AI$32*(COUNT(AF$61:AF62)-1),IF(AG62=AG$34,AI$34+AI$32*(COUNT(AF$61:AF62)-AI$31-1),IF(AG62=AG$35,AI$34+AI$32*(COUNT(AF$61:AF62)-2*AI$31-1),IF(AG62=AG$36,AI$33+AI$32*(COUNT(AF$61:AF62)-3*AI$31-1))))))</f>
        <v>196</v>
      </c>
      <c r="AI62" s="180" cm="1">
        <f t="array" ref="AI62">IF(AG62="","",MAX($C$5,IF(AF62=90,IF(OR(AH62=AI$13,AH62=AI$14,AH62=AF$4-AI$14,AH62=AF$4-AI$13),AG$7,IF(OR(AG62=AG$20,AG62=AG$24),AG$8,IF(OR(AG62=AG$21:AG$23),AG$9))),AG$10)))</f>
        <v>18</v>
      </c>
      <c r="AJ62" s="168"/>
      <c r="AK62" s="185">
        <f t="shared" ref="AK62:AK119" si="70">IF(ROW(AK62)-ROW(AK$60)&lt;=(AL$31*AN$31),45,"")</f>
        <v>45</v>
      </c>
      <c r="AL62" s="173">
        <f>IF(AK62="","",IF(COUNT(AK$61:AK62)&lt;=AN$31,AL$33,IF(COUNT(AK$61:AK62)&lt;=2*AN$31,AL$34,IF(COUNT(AK$61:AK62)&lt;=3*AN$31,AL$35,IF(COUNT(AK$61:AK62)&lt;=4*AN$31,AL$36)))))</f>
        <v>10.5</v>
      </c>
      <c r="AM62" s="173">
        <f>IF(AK62="","",IF(AL62=AL$33,AN$33+AN$32*(COUNT(AK$61:AK62)-1),IF(AL62=AL$34,AN$34+AN$32*(COUNT(AK$61:AK62)-AN$31-1),IF(AL62=AL$35,AN$34+AN$32*(COUNT(AK$61:AK62)-2*AN$31-1),IF(AL62=AL$36,AN$33+AN$32*(COUNT(AK$61:AK62)-3*AN$31-1))))))</f>
        <v>192</v>
      </c>
      <c r="AN62" s="180" cm="1">
        <f t="array" ref="AN62">IF(AL62="","",MAX($C$5,IF(AK62=90,IF(OR(AM62=AN$13,AM62=AN$14,AM62=AK$4-AN$14,AM62=AK$4-AN$13),AL$7,IF(OR(AL62=AL$20,AL62=AL$24),AL$8,IF(OR(AL62=AL$21:AL$23),AL$9))),AL$10)))</f>
        <v>18</v>
      </c>
      <c r="AO62" s="168"/>
      <c r="AP62" s="198">
        <f t="shared" si="56"/>
        <v>45</v>
      </c>
      <c r="AQ62" s="199">
        <f>IF(AP62="","",IF(COUNT(AP$61:AP62)&lt;=AS$31,AQ$33,IF(COUNT(AP$61:AP62)&lt;=2*AS$31,AQ$34,IF(COUNT(AP$61:AP62)&lt;=3*AS$31,AQ$35,IF(COUNT(AP$61:AP62)&lt;=4*AS$31,AQ$36)))))</f>
        <v>10.5</v>
      </c>
      <c r="AR62" s="199">
        <f>IF(AP62="","",IF(AQ62=AQ$33,AS$33+AS$32*(COUNT(AP$61:AP62)-1),IF(AQ62=AQ$34,AS$34+AS$32*(COUNT(AP$61:AP62)-AS$31-1),IF(AQ62=AQ$35,AS$34+AS$32*(COUNT(AP$61:AP62)-2*AS$31-1),IF(AQ62=AQ$36,AS$33+AS$32*(COUNT(AP$61:AP62)-3*AS$31-1))))))</f>
        <v>363</v>
      </c>
      <c r="AS62" s="180" cm="1">
        <f t="array" ref="AS62">IF(AQ62="","",MAX($C$5,IF(AP62=90,IF(OR(AR62=AS$13,AR62=AS$14,AR62=AP$4-AS$14,AR62=AP$4-AS$13),AQ$7,IF(OR(AQ62=AQ$20,AQ62=AQ$24),AQ$8,IF(OR(AQ62=AQ$21:AQ$23),AQ$9))),AQ$10)))</f>
        <v>18</v>
      </c>
      <c r="AT62" s="277"/>
      <c r="AU62" s="185">
        <f t="shared" si="57"/>
        <v>45</v>
      </c>
      <c r="AV62" s="173">
        <f>IF(AU62="","",IF(COUNT(AU$61:AU62)&lt;=AX$31,AV$33,IF(COUNT(AU$61:AU62)&lt;=2*AX$31,AV$34,IF(COUNT(AU$61:AU62)&lt;=3*AX$31,AV$35))))</f>
        <v>10.8</v>
      </c>
      <c r="AW62" s="173">
        <f>IF(AU62="","",IF(AV62=AV$33,AX$33+AX$32*(COUNT(AU$61:AU62)-1),IF(AV62=AV$34,AX$34+AX$32*(COUNT(AU$61:AU62)-AX$31-1),IF(AV62=AV$35,AX$33+AX$32*(COUNT(AU$61:AU62)-2*AX$31-1)))))</f>
        <v>196</v>
      </c>
      <c r="AX62" s="180" cm="1">
        <f t="array" ref="AX62">IF(AV62="","",MAX($C$5,IF(AU62=90,IF(OR(AW62=AX$13,AW62=AX$14,AW62=AU$4-AX$14,AW62=AU$4-AX$13),AV$7,IF(OR(AV62=AV$20,AV62=AV$24),AV$8,IF(OR(AV62=AV$21:AV$23),AV$9))),AV$10)))</f>
        <v>17.5</v>
      </c>
      <c r="AY62" s="168"/>
      <c r="AZ62" s="185">
        <f t="shared" si="58"/>
        <v>45</v>
      </c>
      <c r="BA62" s="173">
        <f>IF(AZ62="","",IF(COUNT(AZ$61:AZ62)&lt;=BC$31,BA$33,IF(COUNT(AZ$61:AZ62)&lt;=2*BC$31,BA$34,IF(COUNT(AZ$61:AZ62)&lt;=3*BC$31,BA$35))))</f>
        <v>10.8</v>
      </c>
      <c r="BB62" s="173">
        <f>IF(AZ62="","",IF(BA62=BA$33,BC$33+BC$32*(COUNT(AZ$61:AZ62)-1),IF(BA62=BA$34,BC$34+BC$32*(COUNT(AZ$61:AZ62)-BC$31-1),IF(BA62=BA$35,BC$33+BC$32*(COUNT(AZ$61:AZ62)-2*BC$31-1)))))</f>
        <v>196</v>
      </c>
      <c r="BC62" s="180" cm="1">
        <f t="array" ref="BC62">IF(BA62="","",MAX($C$5,IF(AZ62=90,IF(OR(BB62=BC$13,BB62=BC$14,BB62=AZ$4-BC$14,BB62=AZ$4-BC$13),BA$7,IF(OR(BA62=BA$20,BA62=BA$24),BA$8,IF(OR(BA62=BA$21:BA$23),BA$9))),BA$10)))</f>
        <v>17.5</v>
      </c>
      <c r="BD62" s="168"/>
      <c r="BE62" s="185">
        <f t="shared" si="59"/>
        <v>45</v>
      </c>
      <c r="BF62" s="173">
        <f>IF(BE62="","",IF(COUNT(BE$61:BE62)&lt;=BH$31,BF$33,IF(COUNT(BE$61:BE62)&lt;=2*BH$31,BF$34,IF(COUNT(BE$61:BE62)&lt;=3*BH$31,BF$35))))</f>
        <v>10.8</v>
      </c>
      <c r="BG62" s="173">
        <f>IF(BE62="","",IF(BF62=BF$33,BH$33+BH$32*(COUNT(BE$61:BE62)-1),IF(BF62=BF$34,BH$34+BH$32*(COUNT(BE$61:BE62)-BH$31-1),IF(BF62=BF$35,BH$33+BH$32*(COUNT(BE$61:BE62)-2*BH$31-1)))))</f>
        <v>196</v>
      </c>
      <c r="BH62" s="180" cm="1">
        <f t="array" ref="BH62">IF(BF62="","",MAX($C$5,IF(BE62=90,IF(OR(BG62=BH$13,BG62=BH$14,BG62=BE$4-BH$14,BG62=BE$4-BH$13),BF$7,IF(OR(BF62=BF$20,BF62=BF$24),BF$8,IF(OR(BF62=BF$21:BF$23),BF$9))),BF$10)))</f>
        <v>17.5</v>
      </c>
      <c r="BI62" s="277"/>
      <c r="BJ62" s="185">
        <f t="shared" si="60"/>
        <v>45</v>
      </c>
      <c r="BK62" s="173">
        <f>IF(BJ62="","",IF(COUNT(BJ$61:BJ62)&lt;=BM$31-1,BK$33,IF(COUNT(BJ$61:BJ62)&lt;=2*BM$31-1,BK$34)))</f>
        <v>9.75</v>
      </c>
      <c r="BL62" s="173">
        <f>IF(BJ62="","",IF(BK62=BK$33,BM$33+BM$32*(COUNT(BJ$61:BJ62)-1),IF(BK62=BK$34,BM$34+BM$32*(COUNT(BJ$61:BJ62)-BM$31))))</f>
        <v>176</v>
      </c>
      <c r="BM62" s="180" cm="1">
        <f t="array" ref="BM62">IF(BK62="","",MAX($C$5,IF(BJ62=90,IF(OR(BL62=BM$13,BL62=BM$14,BL62=BJ$4-BM$14,BL62=BJ$4-BM$13),BK$7,IF(OR(BK62=BK$20,BK62=BK$24),BK$8,IF(OR(BK62=BK$21:BK$23),BK$9))),BK$10)))</f>
        <v>17.5</v>
      </c>
      <c r="BN62" s="168"/>
      <c r="BO62" s="185">
        <f t="shared" si="61"/>
        <v>45</v>
      </c>
      <c r="BP62" s="173">
        <f>IF(BO62="","",IF(COUNT(BO$61:BO62)&lt;=BR$31-1,BP$33,IF(COUNT(BO$61:BO62)&lt;=2*BR$31-1,BP$34)))</f>
        <v>9.75</v>
      </c>
      <c r="BQ62" s="173">
        <f>IF(BO62="","",IF(BP62=BP$33,BR$33+BR$32*(COUNT(BO$61:BO62)-1),IF(BP62=BP$34,BR$34+BR$32*(COUNT(BO$61:BO62)-BR$31))))</f>
        <v>176</v>
      </c>
      <c r="BR62" s="180" cm="1">
        <f t="array" ref="BR62">IF(BP62="","",MAX($C$5,IF(BO62=90,IF(OR(BQ62=BR$13,BQ62=BR$14,BQ62=BO$4-BR$14,BQ62=BO$4-BR$13),BP$7,IF(OR(BP62=BP$20,BP62=BP$24),BP$8,IF(OR(BP62=BP$21:BP$23),BP$9))),BP$10)))</f>
        <v>17.5</v>
      </c>
      <c r="BS62" s="168"/>
      <c r="BT62" s="185">
        <f t="shared" si="62"/>
        <v>45</v>
      </c>
      <c r="BU62" s="173">
        <f>IF(BT62="","",IF(COUNT(BT$61:BT62)&lt;=BW$31-1,BU$33,IF(COUNT(BT$61:BT62)&lt;=2*BW$31-1,BU$34)))</f>
        <v>9.75</v>
      </c>
      <c r="BV62" s="173">
        <f>IF(BT62="","",IF(BU62=BU$33,BW$33+BW$32*(COUNT(BT$61:BT62)-1),IF(BU62=BU$34,BW$34+BW$32*(COUNT(BT$61:BT62)-BW$31))))</f>
        <v>176</v>
      </c>
      <c r="BW62" s="180" cm="1">
        <f t="array" ref="BW62">IF(BU62="","",MAX($C$5,IF(BT62=90,IF(OR(BV62=BW$13,BV62=BW$14,BV62=BT$4-BW$14,BV62=BT$4-BW$13),BU$7,IF(OR(BU62=BU$20,BU62=BU$24),BU$8,IF(OR(BU62=BU$21:BU$23),BU$9))),BU$10)))</f>
        <v>17.5</v>
      </c>
      <c r="BX62" s="288"/>
    </row>
    <row r="63" spans="1:76">
      <c r="A63" s="169"/>
      <c r="B63" s="185">
        <f t="shared" si="63"/>
        <v>45</v>
      </c>
      <c r="C63" s="173">
        <f>IF(B63="","",IF(COUNT(B$61:B63)&lt;=E$31,C$33,IF(COUNT(B$61:B63)&lt;=2*E$31,C$34,IF(COUNT(B$61:B63)&lt;=3*E$31,C$35,IF(COUNT(B$61:B63)&lt;=4*E$31,C$36)))))</f>
        <v>10.5</v>
      </c>
      <c r="D63" s="173">
        <f>IF(B63="","",IF(C63=C$33,E$33+E$32*(COUNT(B$61:B63)-1),IF(C63=C$34,E$34+E$32*(COUNT(B$61:B63)-E$31-1),IF(C63=C$35,E$34+E$32*(COUNT(B$61:B63)-2*E$31-1),IF(C63=C$36,E$33+E$32*(COUNT(B$61:B63)-3*E$31-1))))))</f>
        <v>264</v>
      </c>
      <c r="E63" s="180" cm="1">
        <f t="array" ref="E63">IF(C63="","",MAX($C$5,IF(B63=90,IF(OR(D63=E$13,D63=E$14,D63=B$4-E$14,D63=B$4-E$13),C$7,IF(OR(C63=C$20,C63=C$24),C$8,IF(OR(C63=C$21:C$23),C$9))),C$10)))</f>
        <v>18</v>
      </c>
      <c r="F63" s="169"/>
      <c r="G63" s="185">
        <f t="shared" si="64"/>
        <v>45</v>
      </c>
      <c r="H63" s="173">
        <f>IF(G63="","",IF(COUNT(G$61:G63)&lt;=J$31,H$33,IF(COUNT(G$61:G63)&lt;=2*J$31,H$34,IF(COUNT(G$61:G63)&lt;=3*J$31,H$35,IF(COUNT(G$61:G63)&lt;=4*J$31,H$36)))))</f>
        <v>10.5</v>
      </c>
      <c r="I63" s="173">
        <f>IF(G63="","",IF(H63=H$33,J$33+J$32*(COUNT(G$61:G63)-1),IF(H63=H$34,J$34+J$32*(COUNT(G$61:G63)-J$31-1),IF(H63=H$35,J$34+J$32*(COUNT(G$61:G63)-2*J$31-1),IF(H63=H$36,J$33+J$32*(COUNT(G$61:G63)-3*J$31-1))))))</f>
        <v>264</v>
      </c>
      <c r="J63" s="180" cm="1">
        <f t="array" ref="J63">IF(H63="","",MAX($C$5,IF(G63=90,IF(OR(I63=J$13,I63=J$14,I63=G$4-J$14,I63=G$4-J$13),H$7,IF(OR(H63=H$20,H63=H$24),H$8,IF(OR(H63=H$21:H$23),H$9))),H$10)))</f>
        <v>18</v>
      </c>
      <c r="K63" s="169"/>
      <c r="L63" s="185">
        <f t="shared" si="65"/>
        <v>45</v>
      </c>
      <c r="M63" s="173">
        <f>IF(L63="","",IF(COUNT(L$61:L63)&lt;=O$31,M$33,IF(COUNT(L$61:L63)&lt;=2*O$31,M$34,IF(COUNT(L$61:L63)&lt;=3*O$31,M$35,IF(COUNT(L$61:L63)&lt;=4*O$31,M$36)))))</f>
        <v>10.5</v>
      </c>
      <c r="N63" s="173">
        <f>IF(L63="","",IF(M63=M$33,O$33+O$32*(COUNT(L$61:L63)-1),IF(M63=M$34,O$34+O$32*(COUNT(L$61:L63)-O$31-1),IF(M63=M$35,O$34+O$32*(COUNT(L$61:L63)-2*O$31-1),IF(M63=M$36,O$33+O$32*(COUNT(L$61:L63)-3*O$31-1))))))</f>
        <v>273</v>
      </c>
      <c r="O63" s="180" cm="1">
        <f t="array" ref="O63">IF(M63="","",MAX($C$5,IF(L63=90,IF(OR(N63=O$13,N63=O$14,N63=L$4-O$14,N63=L$4-O$13),M$7,IF(OR(M63=M$20,M63=M$24),M$8,IF(OR(M63=M$21:M$23),M$9))),M$10)))</f>
        <v>18</v>
      </c>
      <c r="P63" s="169"/>
      <c r="Q63" s="185">
        <f t="shared" si="66"/>
        <v>45</v>
      </c>
      <c r="R63" s="173">
        <f>IF(Q63="","",IF(COUNT(Q$61:Q63)&lt;=T$31,R$33,IF(COUNT(Q$61:Q63)&lt;=2*T$31,R$34,IF(COUNT(Q$61:Q63)&lt;=3*T$31,R$35,IF(COUNT(Q$61:Q63)&lt;=4*T$31,R$36)))))</f>
        <v>10.5</v>
      </c>
      <c r="S63" s="173">
        <f>IF(Q63="","",IF(R63=R$33,T$33+T$32*(COUNT(Q$61:Q63)-1),IF(R63=R$34,T$34+T$32*(COUNT(Q$61:Q63)-T$31-1),IF(R63=R$35,T$34+T$32*(COUNT(Q$61:Q63)-2*T$31-1),IF(R63=R$36,T$33+T$32*(COUNT(Q$61:Q63)-3*T$31-1))))))</f>
        <v>270</v>
      </c>
      <c r="T63" s="180" cm="1">
        <f t="array" ref="T63">IF(R63="","",MAX($C$5,IF(Q63=90,IF(OR(S63=T$13,S63=T$14,S63=Q$4-T$14,S63=Q$4-T$13),R$7,IF(OR(R63=R$20,R63=R$24),R$8,IF(OR(R63=R$21:R$23),R$9))),R$10)))</f>
        <v>18</v>
      </c>
      <c r="U63" s="169"/>
      <c r="V63" s="185">
        <f t="shared" si="67"/>
        <v>45</v>
      </c>
      <c r="W63" s="173">
        <f>IF(V63="","",IF(COUNT(V$61:V63)&lt;=Y$31,W$33,IF(COUNT(V$61:V63)&lt;=2*Y$31,W$34,IF(COUNT(V$61:V63)&lt;=3*Y$31,W$35,IF(COUNT(V$61:V63)&lt;=4*Y$31,W$36)))))</f>
        <v>10.5</v>
      </c>
      <c r="X63" s="173">
        <f>IF(V63="","",IF(W63=W$33,Y$33+Y$32*(COUNT(V$61:V63)-1),IF(W63=W$34,Y$34+Y$32*(COUNT(V$61:V63)-Y$31-1),IF(W63=W$35,Y$34+Y$32*(COUNT(V$61:V63)-2*Y$31-1),IF(W63=W$36,Y$33+Y$32*(COUNT(V$61:V63)-3*Y$31-1))))))</f>
        <v>264</v>
      </c>
      <c r="Y63" s="180" cm="1">
        <f t="array" ref="Y63">IF(W63="","",MAX($C$5,IF(V63=90,IF(OR(X63=Y$13,X63=Y$14,X63=V$4-Y$14,X63=V$4-Y$13),W$7,IF(OR(W63=W$20,W63=W$24),W$8,IF(OR(W63=W$21:W$23),W$9))),W$10)))</f>
        <v>18</v>
      </c>
      <c r="Z63" s="169"/>
      <c r="AA63" s="185">
        <f t="shared" si="68"/>
        <v>45</v>
      </c>
      <c r="AB63" s="173">
        <f>IF(AA63="","",IF(COUNT(AA$61:AA63)&lt;=AD$31,AB$33,IF(COUNT(AA$61:AA63)&lt;=2*AD$31,AB$34,IF(COUNT(AA$61:AA63)&lt;=3*AD$31,AB$35,IF(COUNT(AA$61:AA63)&lt;=4*AD$31,AB$36)))))</f>
        <v>10.5</v>
      </c>
      <c r="AC63" s="173">
        <f>IF(AA63="","",IF(AB63=AB$33,AD$33+AD$32*(COUNT(AA$61:AA63)-1),IF(AB63=AB$34,AD$34+AD$32*(COUNT(AA$61:AA63)-AD$31-1),IF(AB63=AB$35,AD$34+AD$32*(COUNT(AA$61:AA63)-2*AD$31-1),IF(AB63=AB$36,AD$33+AD$32*(COUNT(AA$61:AA63)-3*AD$31-1))))))</f>
        <v>254</v>
      </c>
      <c r="AD63" s="180" cm="1">
        <f t="array" ref="AD63">IF(AB63="","",MAX($C$5,IF(AA63=90,IF(OR(AC63=AD$13,AC63=AD$14,AC63=AA$4-AD$14,AC63=AA$4-AD$13),AB$7,IF(OR(AB63=AB$20,AB63=AB$24),AB$8,IF(OR(AB63=AB$21:AB$23),AB$9))),AB$10)))</f>
        <v>18</v>
      </c>
      <c r="AE63" s="169"/>
      <c r="AF63" s="185">
        <f t="shared" si="69"/>
        <v>45</v>
      </c>
      <c r="AG63" s="173">
        <f>IF(AF63="","",IF(COUNT(AF$61:AF63)&lt;=AI$31,AG$33,IF(COUNT(AF$61:AF63)&lt;=2*AI$31,AG$34,IF(COUNT(AF$61:AF63)&lt;=3*AI$31,AG$35,IF(COUNT(AF$61:AF63)&lt;=4*AI$31,AG$36)))))</f>
        <v>10.5</v>
      </c>
      <c r="AH63" s="173">
        <f>IF(AF63="","",IF(AG63=AG$33,AI$33+AI$32*(COUNT(AF$61:AF63)-1),IF(AG63=AG$34,AI$34+AI$32*(COUNT(AF$61:AF63)-AI$31-1),IF(AG63=AG$35,AI$34+AI$32*(COUNT(AF$61:AF63)-2*AI$31-1),IF(AG63=AG$36,AI$33+AI$32*(COUNT(AF$61:AF63)-3*AI$31-1))))))</f>
        <v>254</v>
      </c>
      <c r="AI63" s="180" cm="1">
        <f t="array" ref="AI63">IF(AG63="","",MAX($C$5,IF(AF63=90,IF(OR(AH63=AI$13,AH63=AI$14,AH63=AF$4-AI$14,AH63=AF$4-AI$13),AG$7,IF(OR(AG63=AG$20,AG63=AG$24),AG$8,IF(OR(AG63=AG$21:AG$23),AG$9))),AG$10)))</f>
        <v>18</v>
      </c>
      <c r="AJ63" s="169"/>
      <c r="AK63" s="185">
        <f t="shared" si="70"/>
        <v>45</v>
      </c>
      <c r="AL63" s="173">
        <f>IF(AK63="","",IF(COUNT(AK$61:AK63)&lt;=AN$31,AL$33,IF(COUNT(AK$61:AK63)&lt;=2*AN$31,AL$34,IF(COUNT(AK$61:AK63)&lt;=3*AN$31,AL$35,IF(COUNT(AK$61:AK63)&lt;=4*AN$31,AL$36)))))</f>
        <v>10.5</v>
      </c>
      <c r="AM63" s="173">
        <f>IF(AK63="","",IF(AL63=AL$33,AN$33+AN$32*(COUNT(AK$61:AK63)-1),IF(AL63=AL$34,AN$34+AN$32*(COUNT(AK$61:AK63)-AN$31-1),IF(AL63=AL$35,AN$34+AN$32*(COUNT(AK$61:AK63)-2*AN$31-1),IF(AL63=AL$36,AN$33+AN$32*(COUNT(AK$61:AK63)-3*AN$31-1))))))</f>
        <v>250</v>
      </c>
      <c r="AN63" s="180" cm="1">
        <f t="array" ref="AN63">IF(AL63="","",MAX($C$5,IF(AK63=90,IF(OR(AM63=AN$13,AM63=AN$14,AM63=AK$4-AN$14,AM63=AK$4-AN$13),AL$7,IF(OR(AL63=AL$20,AL63=AL$24),AL$8,IF(OR(AL63=AL$21:AL$23),AL$9))),AL$10)))</f>
        <v>18</v>
      </c>
      <c r="AO63" s="169"/>
      <c r="AP63" s="198">
        <f t="shared" si="56"/>
        <v>45</v>
      </c>
      <c r="AQ63" s="199">
        <f>IF(AP63="","",IF(COUNT(AP$61:AP63)&lt;=AS$31,AQ$33,IF(COUNT(AP$61:AP63)&lt;=2*AS$31,AQ$34,IF(COUNT(AP$61:AP63)&lt;=3*AS$31,AQ$35,IF(COUNT(AP$61:AP63)&lt;=4*AS$31,AQ$36)))))</f>
        <v>10.5</v>
      </c>
      <c r="AR63" s="199">
        <f>IF(AP63="","",IF(AQ63=AQ$33,AS$33+AS$32*(COUNT(AP$61:AP63)-1),IF(AQ63=AQ$34,AS$34+AS$32*(COUNT(AP$61:AP63)-AS$31-1),IF(AQ63=AQ$35,AS$34+AS$32*(COUNT(AP$61:AP63)-2*AS$31-1),IF(AQ63=AQ$36,AS$33+AS$32*(COUNT(AP$61:AP63)-3*AS$31-1))))))</f>
        <v>420</v>
      </c>
      <c r="AS63" s="180" cm="1">
        <f t="array" ref="AS63">IF(AQ63="","",MAX($C$5,IF(AP63=90,IF(OR(AR63=AS$13,AR63=AS$14,AR63=AP$4-AS$14,AR63=AP$4-AS$13),AQ$7,IF(OR(AQ63=AQ$20,AQ63=AQ$24),AQ$8,IF(OR(AQ63=AQ$21:AQ$23),AQ$9))),AQ$10)))</f>
        <v>18</v>
      </c>
      <c r="AT63" s="279"/>
      <c r="AU63" s="185">
        <f t="shared" si="57"/>
        <v>45</v>
      </c>
      <c r="AV63" s="173">
        <f>IF(AU63="","",IF(COUNT(AU$61:AU63)&lt;=AX$31,AV$33,IF(COUNT(AU$61:AU63)&lt;=2*AX$31,AV$34,IF(COUNT(AU$61:AU63)&lt;=3*AX$31,AV$35))))</f>
        <v>10.8</v>
      </c>
      <c r="AW63" s="173">
        <f>IF(AU63="","",IF(AV63=AV$33,AX$33+AX$32*(COUNT(AU$61:AU63)-1),IF(AV63=AV$34,AX$34+AX$32*(COUNT(AU$61:AU63)-AX$31-1),IF(AV63=AV$35,AX$33+AX$32*(COUNT(AU$61:AU63)-2*AX$31-1)))))</f>
        <v>254</v>
      </c>
      <c r="AX63" s="180" cm="1">
        <f t="array" ref="AX63">IF(AV63="","",MAX($C$5,IF(AU63=90,IF(OR(AW63=AX$13,AW63=AX$14,AW63=AU$4-AX$14,AW63=AU$4-AX$13),AV$7,IF(OR(AV63=AV$20,AV63=AV$24),AV$8,IF(OR(AV63=AV$21:AV$23),AV$9))),AV$10)))</f>
        <v>17.5</v>
      </c>
      <c r="AY63" s="169"/>
      <c r="AZ63" s="185">
        <f t="shared" si="58"/>
        <v>45</v>
      </c>
      <c r="BA63" s="173">
        <f>IF(AZ63="","",IF(COUNT(AZ$61:AZ63)&lt;=BC$31,BA$33,IF(COUNT(AZ$61:AZ63)&lt;=2*BC$31,BA$34,IF(COUNT(AZ$61:AZ63)&lt;=3*BC$31,BA$35))))</f>
        <v>10.8</v>
      </c>
      <c r="BB63" s="173">
        <f>IF(AZ63="","",IF(BA63=BA$33,BC$33+BC$32*(COUNT(AZ$61:AZ63)-1),IF(BA63=BA$34,BC$34+BC$32*(COUNT(AZ$61:AZ63)-BC$31-1),IF(BA63=BA$35,BC$33+BC$32*(COUNT(AZ$61:AZ63)-2*BC$31-1)))))</f>
        <v>254</v>
      </c>
      <c r="BC63" s="180" cm="1">
        <f t="array" ref="BC63">IF(BA63="","",MAX($C$5,IF(AZ63=90,IF(OR(BB63=BC$13,BB63=BC$14,BB63=AZ$4-BC$14,BB63=AZ$4-BC$13),BA$7,IF(OR(BA63=BA$20,BA63=BA$24),BA$8,IF(OR(BA63=BA$21:BA$23),BA$9))),BA$10)))</f>
        <v>17.5</v>
      </c>
      <c r="BD63" s="169"/>
      <c r="BE63" s="185">
        <f t="shared" si="59"/>
        <v>45</v>
      </c>
      <c r="BF63" s="173">
        <f>IF(BE63="","",IF(COUNT(BE$61:BE63)&lt;=BH$31,BF$33,IF(COUNT(BE$61:BE63)&lt;=2*BH$31,BF$34,IF(COUNT(BE$61:BE63)&lt;=3*BH$31,BF$35))))</f>
        <v>10.8</v>
      </c>
      <c r="BG63" s="173">
        <f>IF(BE63="","",IF(BF63=BF$33,BH$33+BH$32*(COUNT(BE$61:BE63)-1),IF(BF63=BF$34,BH$34+BH$32*(COUNT(BE$61:BE63)-BH$31-1),IF(BF63=BF$35,BH$33+BH$32*(COUNT(BE$61:BE63)-2*BH$31-1)))))</f>
        <v>254</v>
      </c>
      <c r="BH63" s="180" cm="1">
        <f t="array" ref="BH63">IF(BF63="","",MAX($C$5,IF(BE63=90,IF(OR(BG63=BH$13,BG63=BH$14,BG63=BE$4-BH$14,BG63=BE$4-BH$13),BF$7,IF(OR(BF63=BF$20,BF63=BF$24),BF$8,IF(OR(BF63=BF$21:BF$23),BF$9))),BF$10)))</f>
        <v>17.5</v>
      </c>
      <c r="BI63" s="279"/>
      <c r="BJ63" s="185">
        <f t="shared" si="60"/>
        <v>45</v>
      </c>
      <c r="BK63" s="173">
        <f>IF(BJ63="","",IF(COUNT(BJ$61:BJ63)&lt;=BM$31-1,BK$33,IF(COUNT(BJ$61:BJ63)&lt;=2*BM$31-1,BK$34)))</f>
        <v>9.75</v>
      </c>
      <c r="BL63" s="173">
        <f>IF(BJ63="","",IF(BK63=BK$33,BM$33+BM$32*(COUNT(BJ$61:BJ63)-1),IF(BK63=BK$34,BM$34+BM$32*(COUNT(BJ$61:BJ63)-BM$31))))</f>
        <v>234</v>
      </c>
      <c r="BM63" s="180" cm="1">
        <f t="array" ref="BM63">IF(BK63="","",MAX($C$5,IF(BJ63=90,IF(OR(BL63=BM$13,BL63=BM$14,BL63=BJ$4-BM$14,BL63=BJ$4-BM$13),BK$7,IF(OR(BK63=BK$20,BK63=BK$24),BK$8,IF(OR(BK63=BK$21:BK$23),BK$9))),BK$10)))</f>
        <v>17.5</v>
      </c>
      <c r="BN63" s="169"/>
      <c r="BO63" s="185">
        <f t="shared" si="61"/>
        <v>45</v>
      </c>
      <c r="BP63" s="173">
        <f>IF(BO63="","",IF(COUNT(BO$61:BO63)&lt;=BR$31-1,BP$33,IF(COUNT(BO$61:BO63)&lt;=2*BR$31-1,BP$34)))</f>
        <v>9.75</v>
      </c>
      <c r="BQ63" s="173">
        <f>IF(BO63="","",IF(BP63=BP$33,BR$33+BR$32*(COUNT(BO$61:BO63)-1),IF(BP63=BP$34,BR$34+BR$32*(COUNT(BO$61:BO63)-BR$31))))</f>
        <v>234</v>
      </c>
      <c r="BR63" s="180" cm="1">
        <f t="array" ref="BR63">IF(BP63="","",MAX($C$5,IF(BO63=90,IF(OR(BQ63=BR$13,BQ63=BR$14,BQ63=BO$4-BR$14,BQ63=BO$4-BR$13),BP$7,IF(OR(BP63=BP$20,BP63=BP$24),BP$8,IF(OR(BP63=BP$21:BP$23),BP$9))),BP$10)))</f>
        <v>17.5</v>
      </c>
      <c r="BS63" s="169"/>
      <c r="BT63" s="185">
        <f t="shared" si="62"/>
        <v>45</v>
      </c>
      <c r="BU63" s="173">
        <f>IF(BT63="","",IF(COUNT(BT$61:BT63)&lt;=BW$31-1,BU$33,IF(COUNT(BT$61:BT63)&lt;=2*BW$31-1,BU$34)))</f>
        <v>9.75</v>
      </c>
      <c r="BV63" s="173">
        <f>IF(BT63="","",IF(BU63=BU$33,BW$33+BW$32*(COUNT(BT$61:BT63)-1),IF(BU63=BU$34,BW$34+BW$32*(COUNT(BT$61:BT63)-BW$31))))</f>
        <v>234</v>
      </c>
      <c r="BW63" s="180" cm="1">
        <f t="array" ref="BW63">IF(BU63="","",MAX($C$5,IF(BT63=90,IF(OR(BV63=BW$13,BV63=BW$14,BV63=BT$4-BW$14,BV63=BT$4-BW$13),BU$7,IF(OR(BU63=BU$20,BU63=BU$24),BU$8,IF(OR(BU63=BU$21:BU$23),BU$9))),BU$10)))</f>
        <v>17.5</v>
      </c>
      <c r="BX63" s="288"/>
    </row>
    <row r="64" spans="1:76">
      <c r="A64" s="169"/>
      <c r="B64" s="185">
        <f t="shared" si="63"/>
        <v>45</v>
      </c>
      <c r="C64" s="173">
        <f>IF(B64="","",IF(COUNT(B$61:B64)&lt;=E$31,C$33,IF(COUNT(B$61:B64)&lt;=2*E$31,C$34,IF(COUNT(B$61:B64)&lt;=3*E$31,C$35,IF(COUNT(B$61:B64)&lt;=4*E$31,C$36)))))</f>
        <v>10.5</v>
      </c>
      <c r="D64" s="173">
        <f>IF(B64="","",IF(C64=C$33,E$33+E$32*(COUNT(B$61:B64)-1),IF(C64=C$34,E$34+E$32*(COUNT(B$61:B64)-E$31-1),IF(C64=C$35,E$34+E$32*(COUNT(B$61:B64)-2*E$31-1),IF(C64=C$36,E$33+E$32*(COUNT(B$61:B64)-3*E$31-1))))))</f>
        <v>321</v>
      </c>
      <c r="E64" s="180" cm="1">
        <f t="array" ref="E64">IF(C64="","",MAX($C$5,IF(B64=90,IF(OR(D64=E$13,D64=E$14,D64=B$4-E$14,D64=B$4-E$13),C$7,IF(OR(C64=C$20,C64=C$24),C$8,IF(OR(C64=C$21:C$23),C$9))),C$10)))</f>
        <v>18</v>
      </c>
      <c r="F64" s="169"/>
      <c r="G64" s="185">
        <f t="shared" si="64"/>
        <v>45</v>
      </c>
      <c r="H64" s="173">
        <f>IF(G64="","",IF(COUNT(G$61:G64)&lt;=J$31,H$33,IF(COUNT(G$61:G64)&lt;=2*J$31,H$34,IF(COUNT(G$61:G64)&lt;=3*J$31,H$35,IF(COUNT(G$61:G64)&lt;=4*J$31,H$36)))))</f>
        <v>10.5</v>
      </c>
      <c r="I64" s="173">
        <f>IF(G64="","",IF(H64=H$33,J$33+J$32*(COUNT(G$61:G64)-1),IF(H64=H$34,J$34+J$32*(COUNT(G$61:G64)-J$31-1),IF(H64=H$35,J$34+J$32*(COUNT(G$61:G64)-2*J$31-1),IF(H64=H$36,J$33+J$32*(COUNT(G$61:G64)-3*J$31-1))))))</f>
        <v>321</v>
      </c>
      <c r="J64" s="180" cm="1">
        <f t="array" ref="J64">IF(H64="","",MAX($C$5,IF(G64=90,IF(OR(I64=J$13,I64=J$14,I64=G$4-J$14,I64=G$4-J$13),H$7,IF(OR(H64=H$20,H64=H$24),H$8,IF(OR(H64=H$21:H$23),H$9))),H$10)))</f>
        <v>18</v>
      </c>
      <c r="K64" s="169"/>
      <c r="L64" s="185">
        <f t="shared" si="65"/>
        <v>45</v>
      </c>
      <c r="M64" s="173">
        <f>IF(L64="","",IF(COUNT(L$61:L64)&lt;=O$31,M$33,IF(COUNT(L$61:L64)&lt;=2*O$31,M$34,IF(COUNT(L$61:L64)&lt;=3*O$31,M$35,IF(COUNT(L$61:L64)&lt;=4*O$31,M$36)))))</f>
        <v>10.5</v>
      </c>
      <c r="N64" s="173">
        <f>IF(L64="","",IF(M64=M$33,O$33+O$32*(COUNT(L$61:L64)-1),IF(M64=M$34,O$34+O$32*(COUNT(L$61:L64)-O$31-1),IF(M64=M$35,O$34+O$32*(COUNT(L$61:L64)-2*O$31-1),IF(M64=M$36,O$33+O$32*(COUNT(L$61:L64)-3*O$31-1))))))</f>
        <v>330</v>
      </c>
      <c r="O64" s="180" cm="1">
        <f t="array" ref="O64">IF(M64="","",MAX($C$5,IF(L64=90,IF(OR(N64=O$13,N64=O$14,N64=L$4-O$14,N64=L$4-O$13),M$7,IF(OR(M64=M$20,M64=M$24),M$8,IF(OR(M64=M$21:M$23),M$9))),M$10)))</f>
        <v>18</v>
      </c>
      <c r="P64" s="169"/>
      <c r="Q64" s="185">
        <f t="shared" si="66"/>
        <v>45</v>
      </c>
      <c r="R64" s="173">
        <f>IF(Q64="","",IF(COUNT(Q$61:Q64)&lt;=T$31,R$33,IF(COUNT(Q$61:Q64)&lt;=2*T$31,R$34,IF(COUNT(Q$61:Q64)&lt;=3*T$31,R$35,IF(COUNT(Q$61:Q64)&lt;=4*T$31,R$36)))))</f>
        <v>10.5</v>
      </c>
      <c r="S64" s="173">
        <f>IF(Q64="","",IF(R64=R$33,T$33+T$32*(COUNT(Q$61:Q64)-1),IF(R64=R$34,T$34+T$32*(COUNT(Q$61:Q64)-T$31-1),IF(R64=R$35,T$34+T$32*(COUNT(Q$61:Q64)-2*T$31-1),IF(R64=R$36,T$33+T$32*(COUNT(Q$61:Q64)-3*T$31-1))))))</f>
        <v>327</v>
      </c>
      <c r="T64" s="180" cm="1">
        <f t="array" ref="T64">IF(R64="","",MAX($C$5,IF(Q64=90,IF(OR(S64=T$13,S64=T$14,S64=Q$4-T$14,S64=Q$4-T$13),R$7,IF(OR(R64=R$20,R64=R$24),R$8,IF(OR(R64=R$21:R$23),R$9))),R$10)))</f>
        <v>18</v>
      </c>
      <c r="U64" s="169"/>
      <c r="V64" s="185">
        <f t="shared" si="67"/>
        <v>45</v>
      </c>
      <c r="W64" s="173">
        <f>IF(V64="","",IF(COUNT(V$61:V64)&lt;=Y$31,W$33,IF(COUNT(V$61:V64)&lt;=2*Y$31,W$34,IF(COUNT(V$61:V64)&lt;=3*Y$31,W$35,IF(COUNT(V$61:V64)&lt;=4*Y$31,W$36)))))</f>
        <v>10.5</v>
      </c>
      <c r="X64" s="173">
        <f>IF(V64="","",IF(W64=W$33,Y$33+Y$32*(COUNT(V$61:V64)-1),IF(W64=W$34,Y$34+Y$32*(COUNT(V$61:V64)-Y$31-1),IF(W64=W$35,Y$34+Y$32*(COUNT(V$61:V64)-2*Y$31-1),IF(W64=W$36,Y$33+Y$32*(COUNT(V$61:V64)-3*Y$31-1))))))</f>
        <v>321</v>
      </c>
      <c r="Y64" s="180" cm="1">
        <f t="array" ref="Y64">IF(W64="","",MAX($C$5,IF(V64=90,IF(OR(X64=Y$13,X64=Y$14,X64=V$4-Y$14,X64=V$4-Y$13),W$7,IF(OR(W64=W$20,W64=W$24),W$8,IF(OR(W64=W$21:W$23),W$9))),W$10)))</f>
        <v>18</v>
      </c>
      <c r="Z64" s="169"/>
      <c r="AA64" s="185">
        <f t="shared" si="68"/>
        <v>45</v>
      </c>
      <c r="AB64" s="173">
        <f>IF(AA64="","",IF(COUNT(AA$61:AA64)&lt;=AD$31,AB$33,IF(COUNT(AA$61:AA64)&lt;=2*AD$31,AB$34,IF(COUNT(AA$61:AA64)&lt;=3*AD$31,AB$35,IF(COUNT(AA$61:AA64)&lt;=4*AD$31,AB$36)))))</f>
        <v>10.5</v>
      </c>
      <c r="AC64" s="173">
        <f>IF(AA64="","",IF(AB64=AB$33,AD$33+AD$32*(COUNT(AA$61:AA64)-1),IF(AB64=AB$34,AD$34+AD$32*(COUNT(AA$61:AA64)-AD$31-1),IF(AB64=AB$35,AD$34+AD$32*(COUNT(AA$61:AA64)-2*AD$31-1),IF(AB64=AB$36,AD$33+AD$32*(COUNT(AA$61:AA64)-3*AD$31-1))))))</f>
        <v>312</v>
      </c>
      <c r="AD64" s="180" cm="1">
        <f t="array" ref="AD64">IF(AB64="","",MAX($C$5,IF(AA64=90,IF(OR(AC64=AD$13,AC64=AD$14,AC64=AA$4-AD$14,AC64=AA$4-AD$13),AB$7,IF(OR(AB64=AB$20,AB64=AB$24),AB$8,IF(OR(AB64=AB$21:AB$23),AB$9))),AB$10)))</f>
        <v>18</v>
      </c>
      <c r="AE64" s="169"/>
      <c r="AF64" s="185">
        <f t="shared" si="69"/>
        <v>45</v>
      </c>
      <c r="AG64" s="173">
        <f>IF(AF64="","",IF(COUNT(AF$61:AF64)&lt;=AI$31,AG$33,IF(COUNT(AF$61:AF64)&lt;=2*AI$31,AG$34,IF(COUNT(AF$61:AF64)&lt;=3*AI$31,AG$35,IF(COUNT(AF$61:AF64)&lt;=4*AI$31,AG$36)))))</f>
        <v>10.5</v>
      </c>
      <c r="AH64" s="173">
        <f>IF(AF64="","",IF(AG64=AG$33,AI$33+AI$32*(COUNT(AF$61:AF64)-1),IF(AG64=AG$34,AI$34+AI$32*(COUNT(AF$61:AF64)-AI$31-1),IF(AG64=AG$35,AI$34+AI$32*(COUNT(AF$61:AF64)-2*AI$31-1),IF(AG64=AG$36,AI$33+AI$32*(COUNT(AF$61:AF64)-3*AI$31-1))))))</f>
        <v>312</v>
      </c>
      <c r="AI64" s="180" cm="1">
        <f t="array" ref="AI64">IF(AG64="","",MAX($C$5,IF(AF64=90,IF(OR(AH64=AI$13,AH64=AI$14,AH64=AF$4-AI$14,AH64=AF$4-AI$13),AG$7,IF(OR(AG64=AG$20,AG64=AG$24),AG$8,IF(OR(AG64=AG$21:AG$23),AG$9))),AG$10)))</f>
        <v>18</v>
      </c>
      <c r="AJ64" s="169"/>
      <c r="AK64" s="185">
        <f t="shared" si="70"/>
        <v>45</v>
      </c>
      <c r="AL64" s="173">
        <f>IF(AK64="","",IF(COUNT(AK$61:AK64)&lt;=AN$31,AL$33,IF(COUNT(AK$61:AK64)&lt;=2*AN$31,AL$34,IF(COUNT(AK$61:AK64)&lt;=3*AN$31,AL$35,IF(COUNT(AK$61:AK64)&lt;=4*AN$31,AL$36)))))</f>
        <v>53.5</v>
      </c>
      <c r="AM64" s="173">
        <f>IF(AK64="","",IF(AL64=AL$33,AN$33+AN$32*(COUNT(AK$61:AK64)-1),IF(AL64=AL$34,AN$34+AN$32*(COUNT(AK$61:AK64)-AN$31-1),IF(AL64=AL$35,AN$34+AN$32*(COUNT(AK$61:AK64)-2*AN$31-1),IF(AL64=AL$36,AN$33+AN$32*(COUNT(AK$61:AK64)-3*AN$31-1))))))</f>
        <v>110</v>
      </c>
      <c r="AN64" s="180" cm="1">
        <f t="array" ref="AN64">IF(AL64="","",MAX($C$5,IF(AK64=90,IF(OR(AM64=AN$13,AM64=AN$14,AM64=AK$4-AN$14,AM64=AK$4-AN$13),AL$7,IF(OR(AL64=AL$20,AL64=AL$24),AL$8,IF(OR(AL64=AL$21:AL$23),AL$9))),AL$10)))</f>
        <v>18</v>
      </c>
      <c r="AO64" s="169"/>
      <c r="AP64" s="198">
        <f t="shared" si="56"/>
        <v>45</v>
      </c>
      <c r="AQ64" s="199">
        <f>IF(AP64="","",IF(COUNT(AP$61:AP64)&lt;=AS$31,AQ$33,IF(COUNT(AP$61:AP64)&lt;=2*AS$31,AQ$34,IF(COUNT(AP$61:AP64)&lt;=3*AS$31,AQ$35,IF(COUNT(AP$61:AP64)&lt;=4*AS$31,AQ$36)))))</f>
        <v>10.5</v>
      </c>
      <c r="AR64" s="199">
        <f>IF(AP64="","",IF(AQ64=AQ$33,AS$33+AS$32*(COUNT(AP$61:AP64)-1),IF(AQ64=AQ$34,AS$34+AS$32*(COUNT(AP$61:AP64)-AS$31-1),IF(AQ64=AQ$35,AS$34+AS$32*(COUNT(AP$61:AP64)-2*AS$31-1),IF(AQ64=AQ$36,AS$33+AS$32*(COUNT(AP$61:AP64)-3*AS$31-1))))))</f>
        <v>477</v>
      </c>
      <c r="AS64" s="180" cm="1">
        <f t="array" ref="AS64">IF(AQ64="","",MAX($C$5,IF(AP64=90,IF(OR(AR64=AS$13,AR64=AS$14,AR64=AP$4-AS$14,AR64=AP$4-AS$13),AQ$7,IF(OR(AQ64=AQ$20,AQ64=AQ$24),AQ$8,IF(OR(AQ64=AQ$21:AQ$23),AQ$9))),AQ$10)))</f>
        <v>18</v>
      </c>
      <c r="AT64" s="279"/>
      <c r="AU64" s="185">
        <f t="shared" si="57"/>
        <v>45</v>
      </c>
      <c r="AV64" s="173">
        <f>IF(AU64="","",IF(COUNT(AU$61:AU64)&lt;=AX$31,AV$33,IF(COUNT(AU$61:AU64)&lt;=2*AX$31,AV$34,IF(COUNT(AU$61:AU64)&lt;=3*AX$31,AV$35))))</f>
        <v>10.8</v>
      </c>
      <c r="AW64" s="173">
        <f>IF(AU64="","",IF(AV64=AV$33,AX$33+AX$32*(COUNT(AU$61:AU64)-1),IF(AV64=AV$34,AX$34+AX$32*(COUNT(AU$61:AU64)-AX$31-1),IF(AV64=AV$35,AX$33+AX$32*(COUNT(AU$61:AU64)-2*AX$31-1)))))</f>
        <v>312</v>
      </c>
      <c r="AX64" s="180" cm="1">
        <f t="array" ref="AX64">IF(AV64="","",MAX($C$5,IF(AU64=90,IF(OR(AW64=AX$13,AW64=AX$14,AW64=AU$4-AX$14,AW64=AU$4-AX$13),AV$7,IF(OR(AV64=AV$20,AV64=AV$24),AV$8,IF(OR(AV64=AV$21:AV$23),AV$9))),AV$10)))</f>
        <v>17.5</v>
      </c>
      <c r="AY64" s="169"/>
      <c r="AZ64" s="185">
        <f t="shared" si="58"/>
        <v>45</v>
      </c>
      <c r="BA64" s="173">
        <f>IF(AZ64="","",IF(COUNT(AZ$61:AZ64)&lt;=BC$31,BA$33,IF(COUNT(AZ$61:AZ64)&lt;=2*BC$31,BA$34,IF(COUNT(AZ$61:AZ64)&lt;=3*BC$31,BA$35))))</f>
        <v>10.8</v>
      </c>
      <c r="BB64" s="173">
        <f>IF(AZ64="","",IF(BA64=BA$33,BC$33+BC$32*(COUNT(AZ$61:AZ64)-1),IF(BA64=BA$34,BC$34+BC$32*(COUNT(AZ$61:AZ64)-BC$31-1),IF(BA64=BA$35,BC$33+BC$32*(COUNT(AZ$61:AZ64)-2*BC$31-1)))))</f>
        <v>312</v>
      </c>
      <c r="BC64" s="180" cm="1">
        <f t="array" ref="BC64">IF(BA64="","",MAX($C$5,IF(AZ64=90,IF(OR(BB64=BC$13,BB64=BC$14,BB64=AZ$4-BC$14,BB64=AZ$4-BC$13),BA$7,IF(OR(BA64=BA$20,BA64=BA$24),BA$8,IF(OR(BA64=BA$21:BA$23),BA$9))),BA$10)))</f>
        <v>17.5</v>
      </c>
      <c r="BD64" s="169"/>
      <c r="BE64" s="185">
        <f t="shared" si="59"/>
        <v>45</v>
      </c>
      <c r="BF64" s="173">
        <f>IF(BE64="","",IF(COUNT(BE$61:BE64)&lt;=BH$31,BF$33,IF(COUNT(BE$61:BE64)&lt;=2*BH$31,BF$34,IF(COUNT(BE$61:BE64)&lt;=3*BH$31,BF$35))))</f>
        <v>50</v>
      </c>
      <c r="BG64" s="173">
        <f>IF(BE64="","",IF(BF64=BF$33,BH$33+BH$32*(COUNT(BE$61:BE64)-1),IF(BF64=BF$34,BH$34+BH$32*(COUNT(BE$61:BE64)-BH$31-1),IF(BF64=BF$35,BH$33+BH$32*(COUNT(BE$61:BE64)-2*BH$31-1)))))</f>
        <v>110</v>
      </c>
      <c r="BH64" s="180" cm="1">
        <f t="array" ref="BH64">IF(BF64="","",MAX($C$5,IF(BE64=90,IF(OR(BG64=BH$13,BG64=BH$14,BG64=BE$4-BH$14,BG64=BE$4-BH$13),BF$7,IF(OR(BF64=BF$20,BF64=BF$24),BF$8,IF(OR(BF64=BF$21:BF$23),BF$9))),BF$10)))</f>
        <v>17.5</v>
      </c>
      <c r="BI64" s="279"/>
      <c r="BJ64" s="185">
        <f t="shared" si="60"/>
        <v>45</v>
      </c>
      <c r="BK64" s="173">
        <f>IF(BJ64="","",IF(COUNT(BJ$61:BJ64)&lt;=BM$31-1,BK$33,IF(COUNT(BJ$61:BJ64)&lt;=2*BM$31-1,BK$34)))</f>
        <v>9.75</v>
      </c>
      <c r="BL64" s="173">
        <f>IF(BJ64="","",IF(BK64=BK$33,BM$33+BM$32*(COUNT(BJ$61:BJ64)-1),IF(BK64=BK$34,BM$34+BM$32*(COUNT(BJ$61:BJ64)-BM$31))))</f>
        <v>292</v>
      </c>
      <c r="BM64" s="180" cm="1">
        <f t="array" ref="BM64">IF(BK64="","",MAX($C$5,IF(BJ64=90,IF(OR(BL64=BM$13,BL64=BM$14,BL64=BJ$4-BM$14,BL64=BJ$4-BM$13),BK$7,IF(OR(BK64=BK$20,BK64=BK$24),BK$8,IF(OR(BK64=BK$21:BK$23),BK$9))),BK$10)))</f>
        <v>17.5</v>
      </c>
      <c r="BN64" s="169"/>
      <c r="BO64" s="185">
        <f t="shared" si="61"/>
        <v>45</v>
      </c>
      <c r="BP64" s="173">
        <f>IF(BO64="","",IF(COUNT(BO$61:BO64)&lt;=BR$31-1,BP$33,IF(COUNT(BO$61:BO64)&lt;=2*BR$31-1,BP$34)))</f>
        <v>9.75</v>
      </c>
      <c r="BQ64" s="173">
        <f>IF(BO64="","",IF(BP64=BP$33,BR$33+BR$32*(COUNT(BO$61:BO64)-1),IF(BP64=BP$34,BR$34+BR$32*(COUNT(BO$61:BO64)-BR$31))))</f>
        <v>292</v>
      </c>
      <c r="BR64" s="180" cm="1">
        <f t="array" ref="BR64">IF(BP64="","",MAX($C$5,IF(BO64=90,IF(OR(BQ64=BR$13,BQ64=BR$14,BQ64=BO$4-BR$14,BQ64=BO$4-BR$13),BP$7,IF(OR(BP64=BP$20,BP64=BP$24),BP$8,IF(OR(BP64=BP$21:BP$23),BP$9))),BP$10)))</f>
        <v>17.5</v>
      </c>
      <c r="BS64" s="169"/>
      <c r="BT64" s="185">
        <f t="shared" si="62"/>
        <v>45</v>
      </c>
      <c r="BU64" s="173">
        <f>IF(BT64="","",IF(COUNT(BT$61:BT64)&lt;=BW$31-1,BU$33,IF(COUNT(BT$61:BT64)&lt;=2*BW$31-1,BU$34)))</f>
        <v>50.25</v>
      </c>
      <c r="BV64" s="173">
        <f>IF(BT64="","",IF(BU64=BU$33,BW$33+BW$32*(COUNT(BT$61:BT64)-1),IF(BU64=BU$34,BW$34+BW$32*(COUNT(BT$61:BT64)-BW$31))))</f>
        <v>80</v>
      </c>
      <c r="BW64" s="180" cm="1">
        <f t="array" ref="BW64">IF(BU64="","",MAX($C$5,IF(BT64=90,IF(OR(BV64=BW$13,BV64=BW$14,BV64=BT$4-BW$14,BV64=BT$4-BW$13),BU$7,IF(OR(BU64=BU$20,BU64=BU$24),BU$8,IF(OR(BU64=BU$21:BU$23),BU$9))),BU$10)))</f>
        <v>17.5</v>
      </c>
      <c r="BX64" s="288"/>
    </row>
    <row r="65" spans="1:76">
      <c r="A65" s="169"/>
      <c r="B65" s="185">
        <f t="shared" si="63"/>
        <v>45</v>
      </c>
      <c r="C65" s="173">
        <f>IF(B65="","",IF(COUNT(B$61:B65)&lt;=E$31,C$33,IF(COUNT(B$61:B65)&lt;=2*E$31,C$34,IF(COUNT(B$61:B65)&lt;=3*E$31,C$35,IF(COUNT(B$61:B65)&lt;=4*E$31,C$36)))))</f>
        <v>10.5</v>
      </c>
      <c r="D65" s="173">
        <f>IF(B65="","",IF(C65=C$33,E$33+E$32*(COUNT(B$61:B65)-1),IF(C65=C$34,E$34+E$32*(COUNT(B$61:B65)-E$31-1),IF(C65=C$35,E$34+E$32*(COUNT(B$61:B65)-2*E$31-1),IF(C65=C$36,E$33+E$32*(COUNT(B$61:B65)-3*E$31-1))))))</f>
        <v>378</v>
      </c>
      <c r="E65" s="180" cm="1">
        <f t="array" ref="E65">IF(C65="","",MAX($C$5,IF(B65=90,IF(OR(D65=E$13,D65=E$14,D65=B$4-E$14,D65=B$4-E$13),C$7,IF(OR(C65=C$20,C65=C$24),C$8,IF(OR(C65=C$21:C$23),C$9))),C$10)))</f>
        <v>18</v>
      </c>
      <c r="F65" s="169"/>
      <c r="G65" s="185">
        <f t="shared" si="64"/>
        <v>45</v>
      </c>
      <c r="H65" s="173">
        <f>IF(G65="","",IF(COUNT(G$61:G65)&lt;=J$31,H$33,IF(COUNT(G$61:G65)&lt;=2*J$31,H$34,IF(COUNT(G$61:G65)&lt;=3*J$31,H$35,IF(COUNT(G$61:G65)&lt;=4*J$31,H$36)))))</f>
        <v>10.5</v>
      </c>
      <c r="I65" s="173">
        <f>IF(G65="","",IF(H65=H$33,J$33+J$32*(COUNT(G$61:G65)-1),IF(H65=H$34,J$34+J$32*(COUNT(G$61:G65)-J$31-1),IF(H65=H$35,J$34+J$32*(COUNT(G$61:G65)-2*J$31-1),IF(H65=H$36,J$33+J$32*(COUNT(G$61:G65)-3*J$31-1))))))</f>
        <v>378</v>
      </c>
      <c r="J65" s="180" cm="1">
        <f t="array" ref="J65">IF(H65="","",MAX($C$5,IF(G65=90,IF(OR(I65=J$13,I65=J$14,I65=G$4-J$14,I65=G$4-J$13),H$7,IF(OR(H65=H$20,H65=H$24),H$8,IF(OR(H65=H$21:H$23),H$9))),H$10)))</f>
        <v>18</v>
      </c>
      <c r="K65" s="169"/>
      <c r="L65" s="185">
        <f t="shared" si="65"/>
        <v>45</v>
      </c>
      <c r="M65" s="173">
        <f>IF(L65="","",IF(COUNT(L$61:L65)&lt;=O$31,M$33,IF(COUNT(L$61:L65)&lt;=2*O$31,M$34,IF(COUNT(L$61:L65)&lt;=3*O$31,M$35,IF(COUNT(L$61:L65)&lt;=4*O$31,M$36)))))</f>
        <v>10.5</v>
      </c>
      <c r="N65" s="173">
        <f>IF(L65="","",IF(M65=M$33,O$33+O$32*(COUNT(L$61:L65)-1),IF(M65=M$34,O$34+O$32*(COUNT(L$61:L65)-O$31-1),IF(M65=M$35,O$34+O$32*(COUNT(L$61:L65)-2*O$31-1),IF(M65=M$36,O$33+O$32*(COUNT(L$61:L65)-3*O$31-1))))))</f>
        <v>387</v>
      </c>
      <c r="O65" s="180" cm="1">
        <f t="array" ref="O65">IF(M65="","",MAX($C$5,IF(L65=90,IF(OR(N65=O$13,N65=O$14,N65=L$4-O$14,N65=L$4-O$13),M$7,IF(OR(M65=M$20,M65=M$24),M$8,IF(OR(M65=M$21:M$23),M$9))),M$10)))</f>
        <v>18</v>
      </c>
      <c r="P65" s="169"/>
      <c r="Q65" s="185">
        <f t="shared" si="66"/>
        <v>45</v>
      </c>
      <c r="R65" s="173">
        <f>IF(Q65="","",IF(COUNT(Q$61:Q65)&lt;=T$31,R$33,IF(COUNT(Q$61:Q65)&lt;=2*T$31,R$34,IF(COUNT(Q$61:Q65)&lt;=3*T$31,R$35,IF(COUNT(Q$61:Q65)&lt;=4*T$31,R$36)))))</f>
        <v>10.5</v>
      </c>
      <c r="S65" s="173">
        <f>IF(Q65="","",IF(R65=R$33,T$33+T$32*(COUNT(Q$61:Q65)-1),IF(R65=R$34,T$34+T$32*(COUNT(Q$61:Q65)-T$31-1),IF(R65=R$35,T$34+T$32*(COUNT(Q$61:Q65)-2*T$31-1),IF(R65=R$36,T$33+T$32*(COUNT(Q$61:Q65)-3*T$31-1))))))</f>
        <v>384</v>
      </c>
      <c r="T65" s="180" cm="1">
        <f t="array" ref="T65">IF(R65="","",MAX($C$5,IF(Q65=90,IF(OR(S65=T$13,S65=T$14,S65=Q$4-T$14,S65=Q$4-T$13),R$7,IF(OR(R65=R$20,R65=R$24),R$8,IF(OR(R65=R$21:R$23),R$9))),R$10)))</f>
        <v>18</v>
      </c>
      <c r="U65" s="169"/>
      <c r="V65" s="185">
        <f t="shared" si="67"/>
        <v>45</v>
      </c>
      <c r="W65" s="173">
        <f>IF(V65="","",IF(COUNT(V$61:V65)&lt;=Y$31,W$33,IF(COUNT(V$61:V65)&lt;=2*Y$31,W$34,IF(COUNT(V$61:V65)&lt;=3*Y$31,W$35,IF(COUNT(V$61:V65)&lt;=4*Y$31,W$36)))))</f>
        <v>10.5</v>
      </c>
      <c r="X65" s="173">
        <f>IF(V65="","",IF(W65=W$33,Y$33+Y$32*(COUNT(V$61:V65)-1),IF(W65=W$34,Y$34+Y$32*(COUNT(V$61:V65)-Y$31-1),IF(W65=W$35,Y$34+Y$32*(COUNT(V$61:V65)-2*Y$31-1),IF(W65=W$36,Y$33+Y$32*(COUNT(V$61:V65)-3*Y$31-1))))))</f>
        <v>378</v>
      </c>
      <c r="Y65" s="180" cm="1">
        <f t="array" ref="Y65">IF(W65="","",MAX($C$5,IF(V65=90,IF(OR(X65=Y$13,X65=Y$14,X65=V$4-Y$14,X65=V$4-Y$13),W$7,IF(OR(W65=W$20,W65=W$24),W$8,IF(OR(W65=W$21:W$23),W$9))),W$10)))</f>
        <v>18</v>
      </c>
      <c r="Z65" s="169"/>
      <c r="AA65" s="185">
        <f t="shared" si="68"/>
        <v>45</v>
      </c>
      <c r="AB65" s="173">
        <f>IF(AA65="","",IF(COUNT(AA$61:AA65)&lt;=AD$31,AB$33,IF(COUNT(AA$61:AA65)&lt;=2*AD$31,AB$34,IF(COUNT(AA$61:AA65)&lt;=3*AD$31,AB$35,IF(COUNT(AA$61:AA65)&lt;=4*AD$31,AB$36)))))</f>
        <v>10.5</v>
      </c>
      <c r="AC65" s="173">
        <f>IF(AA65="","",IF(AB65=AB$33,AD$33+AD$32*(COUNT(AA$61:AA65)-1),IF(AB65=AB$34,AD$34+AD$32*(COUNT(AA$61:AA65)-AD$31-1),IF(AB65=AB$35,AD$34+AD$32*(COUNT(AA$61:AA65)-2*AD$31-1),IF(AB65=AB$36,AD$33+AD$32*(COUNT(AA$61:AA65)-3*AD$31-1))))))</f>
        <v>370</v>
      </c>
      <c r="AD65" s="180" cm="1">
        <f t="array" ref="AD65">IF(AB65="","",MAX($C$5,IF(AA65=90,IF(OR(AC65=AD$13,AC65=AD$14,AC65=AA$4-AD$14,AC65=AA$4-AD$13),AB$7,IF(OR(AB65=AB$20,AB65=AB$24),AB$8,IF(OR(AB65=AB$21:AB$23),AB$9))),AB$10)))</f>
        <v>18</v>
      </c>
      <c r="AE65" s="169"/>
      <c r="AF65" s="185">
        <f t="shared" si="69"/>
        <v>45</v>
      </c>
      <c r="AG65" s="173">
        <f>IF(AF65="","",IF(COUNT(AF$61:AF65)&lt;=AI$31,AG$33,IF(COUNT(AF$61:AF65)&lt;=2*AI$31,AG$34,IF(COUNT(AF$61:AF65)&lt;=3*AI$31,AG$35,IF(COUNT(AF$61:AF65)&lt;=4*AI$31,AG$36)))))</f>
        <v>10.5</v>
      </c>
      <c r="AH65" s="173">
        <f>IF(AF65="","",IF(AG65=AG$33,AI$33+AI$32*(COUNT(AF$61:AF65)-1),IF(AG65=AG$34,AI$34+AI$32*(COUNT(AF$61:AF65)-AI$31-1),IF(AG65=AG$35,AI$34+AI$32*(COUNT(AF$61:AF65)-2*AI$31-1),IF(AG65=AG$36,AI$33+AI$32*(COUNT(AF$61:AF65)-3*AI$31-1))))))</f>
        <v>370</v>
      </c>
      <c r="AI65" s="180" cm="1">
        <f t="array" ref="AI65">IF(AG65="","",MAX($C$5,IF(AF65=90,IF(OR(AH65=AI$13,AH65=AI$14,AH65=AF$4-AI$14,AH65=AF$4-AI$13),AG$7,IF(OR(AG65=AG$20,AG65=AG$24),AG$8,IF(OR(AG65=AG$21:AG$23),AG$9))),AG$10)))</f>
        <v>18</v>
      </c>
      <c r="AJ65" s="169"/>
      <c r="AK65" s="185">
        <f t="shared" si="70"/>
        <v>45</v>
      </c>
      <c r="AL65" s="173">
        <f>IF(AK65="","",IF(COUNT(AK$61:AK65)&lt;=AN$31,AL$33,IF(COUNT(AK$61:AK65)&lt;=2*AN$31,AL$34,IF(COUNT(AK$61:AK65)&lt;=3*AN$31,AL$35,IF(COUNT(AK$61:AK65)&lt;=4*AN$31,AL$36)))))</f>
        <v>53.5</v>
      </c>
      <c r="AM65" s="173">
        <f>IF(AK65="","",IF(AL65=AL$33,AN$33+AN$32*(COUNT(AK$61:AK65)-1),IF(AL65=AL$34,AN$34+AN$32*(COUNT(AK$61:AK65)-AN$31-1),IF(AL65=AL$35,AN$34+AN$32*(COUNT(AK$61:AK65)-2*AN$31-1),IF(AL65=AL$36,AN$33+AN$32*(COUNT(AK$61:AK65)-3*AN$31-1))))))</f>
        <v>168</v>
      </c>
      <c r="AN65" s="180" cm="1">
        <f t="array" ref="AN65">IF(AL65="","",MAX($C$5,IF(AK65=90,IF(OR(AM65=AN$13,AM65=AN$14,AM65=AK$4-AN$14,AM65=AK$4-AN$13),AL$7,IF(OR(AL65=AL$20,AL65=AL$24),AL$8,IF(OR(AL65=AL$21:AL$23),AL$9))),AL$10)))</f>
        <v>18</v>
      </c>
      <c r="AO65" s="169"/>
      <c r="AP65" s="198">
        <f t="shared" si="56"/>
        <v>45</v>
      </c>
      <c r="AQ65" s="199">
        <f>IF(AP65="","",IF(COUNT(AP$61:AP65)&lt;=AS$31,AQ$33,IF(COUNT(AP$61:AP65)&lt;=2*AS$31,AQ$34,IF(COUNT(AP$61:AP65)&lt;=3*AS$31,AQ$35,IF(COUNT(AP$61:AP65)&lt;=4*AS$31,AQ$36)))))</f>
        <v>10.5</v>
      </c>
      <c r="AR65" s="199">
        <f>IF(AP65="","",IF(AQ65=AQ$33,AS$33+AS$32*(COUNT(AP$61:AP65)-1),IF(AQ65=AQ$34,AS$34+AS$32*(COUNT(AP$61:AP65)-AS$31-1),IF(AQ65=AQ$35,AS$34+AS$32*(COUNT(AP$61:AP65)-2*AS$31-1),IF(AQ65=AQ$36,AS$33+AS$32*(COUNT(AP$61:AP65)-3*AS$31-1))))))</f>
        <v>534</v>
      </c>
      <c r="AS65" s="180" cm="1">
        <f t="array" ref="AS65">IF(AQ65="","",MAX($C$5,IF(AP65=90,IF(OR(AR65=AS$13,AR65=AS$14,AR65=AP$4-AS$14,AR65=AP$4-AS$13),AQ$7,IF(OR(AQ65=AQ$20,AQ65=AQ$24),AQ$8,IF(OR(AQ65=AQ$21:AQ$23),AQ$9))),AQ$10)))</f>
        <v>18</v>
      </c>
      <c r="AT65" s="279"/>
      <c r="AU65" s="185">
        <f t="shared" si="57"/>
        <v>45</v>
      </c>
      <c r="AV65" s="173">
        <f>IF(AU65="","",IF(COUNT(AU$61:AU65)&lt;=AX$31,AV$33,IF(COUNT(AU$61:AU65)&lt;=2*AX$31,AV$34,IF(COUNT(AU$61:AU65)&lt;=3*AX$31,AV$35))))</f>
        <v>10.8</v>
      </c>
      <c r="AW65" s="173">
        <f>IF(AU65="","",IF(AV65=AV$33,AX$33+AX$32*(COUNT(AU$61:AU65)-1),IF(AV65=AV$34,AX$34+AX$32*(COUNT(AU$61:AU65)-AX$31-1),IF(AV65=AV$35,AX$33+AX$32*(COUNT(AU$61:AU65)-2*AX$31-1)))))</f>
        <v>370</v>
      </c>
      <c r="AX65" s="180" cm="1">
        <f t="array" ref="AX65">IF(AV65="","",MAX($C$5,IF(AU65=90,IF(OR(AW65=AX$13,AW65=AX$14,AW65=AU$4-AX$14,AW65=AU$4-AX$13),AV$7,IF(OR(AV65=AV$20,AV65=AV$24),AV$8,IF(OR(AV65=AV$21:AV$23),AV$9))),AV$10)))</f>
        <v>17.5</v>
      </c>
      <c r="AY65" s="169"/>
      <c r="AZ65" s="185">
        <f t="shared" si="58"/>
        <v>45</v>
      </c>
      <c r="BA65" s="173">
        <f>IF(AZ65="","",IF(COUNT(AZ$61:AZ65)&lt;=BC$31,BA$33,IF(COUNT(AZ$61:AZ65)&lt;=2*BC$31,BA$34,IF(COUNT(AZ$61:AZ65)&lt;=3*BC$31,BA$35))))</f>
        <v>10.8</v>
      </c>
      <c r="BB65" s="173">
        <f>IF(AZ65="","",IF(BA65=BA$33,BC$33+BC$32*(COUNT(AZ$61:AZ65)-1),IF(BA65=BA$34,BC$34+BC$32*(COUNT(AZ$61:AZ65)-BC$31-1),IF(BA65=BA$35,BC$33+BC$32*(COUNT(AZ$61:AZ65)-2*BC$31-1)))))</f>
        <v>370</v>
      </c>
      <c r="BC65" s="180" cm="1">
        <f t="array" ref="BC65">IF(BA65="","",MAX($C$5,IF(AZ65=90,IF(OR(BB65=BC$13,BB65=BC$14,BB65=AZ$4-BC$14,BB65=AZ$4-BC$13),BA$7,IF(OR(BA65=BA$20,BA65=BA$24),BA$8,IF(OR(BA65=BA$21:BA$23),BA$9))),BA$10)))</f>
        <v>17.5</v>
      </c>
      <c r="BD65" s="169"/>
      <c r="BE65" s="185">
        <f t="shared" si="59"/>
        <v>45</v>
      </c>
      <c r="BF65" s="173">
        <f>IF(BE65="","",IF(COUNT(BE$61:BE65)&lt;=BH$31,BF$33,IF(COUNT(BE$61:BE65)&lt;=2*BH$31,BF$34,IF(COUNT(BE$61:BE65)&lt;=3*BH$31,BF$35))))</f>
        <v>50</v>
      </c>
      <c r="BG65" s="173">
        <f>IF(BE65="","",IF(BF65=BF$33,BH$33+BH$32*(COUNT(BE$61:BE65)-1),IF(BF65=BF$34,BH$34+BH$32*(COUNT(BE$61:BE65)-BH$31-1),IF(BF65=BF$35,BH$33+BH$32*(COUNT(BE$61:BE65)-2*BH$31-1)))))</f>
        <v>168</v>
      </c>
      <c r="BH65" s="180" cm="1">
        <f t="array" ref="BH65">IF(BF65="","",MAX($C$5,IF(BE65=90,IF(OR(BG65=BH$13,BG65=BH$14,BG65=BE$4-BH$14,BG65=BE$4-BH$13),BF$7,IF(OR(BF65=BF$20,BF65=BF$24),BF$8,IF(OR(BF65=BF$21:BF$23),BF$9))),BF$10)))</f>
        <v>17.5</v>
      </c>
      <c r="BI65" s="279"/>
      <c r="BJ65" s="185">
        <f t="shared" si="60"/>
        <v>45</v>
      </c>
      <c r="BK65" s="173">
        <f>IF(BJ65="","",IF(COUNT(BJ$61:BJ65)&lt;=BM$31-1,BK$33,IF(COUNT(BJ$61:BJ65)&lt;=2*BM$31-1,BK$34)))</f>
        <v>9.75</v>
      </c>
      <c r="BL65" s="173">
        <f>IF(BJ65="","",IF(BK65=BK$33,BM$33+BM$32*(COUNT(BJ$61:BJ65)-1),IF(BK65=BK$34,BM$34+BM$32*(COUNT(BJ$61:BJ65)-BM$31))))</f>
        <v>350</v>
      </c>
      <c r="BM65" s="180" cm="1">
        <f t="array" ref="BM65">IF(BK65="","",MAX($C$5,IF(BJ65=90,IF(OR(BL65=BM$13,BL65=BM$14,BL65=BJ$4-BM$14,BL65=BJ$4-BM$13),BK$7,IF(OR(BK65=BK$20,BK65=BK$24),BK$8,IF(OR(BK65=BK$21:BK$23),BK$9))),BK$10)))</f>
        <v>17.5</v>
      </c>
      <c r="BN65" s="169"/>
      <c r="BO65" s="185">
        <f t="shared" si="61"/>
        <v>45</v>
      </c>
      <c r="BP65" s="173">
        <f>IF(BO65="","",IF(COUNT(BO$61:BO65)&lt;=BR$31-1,BP$33,IF(COUNT(BO$61:BO65)&lt;=2*BR$31-1,BP$34)))</f>
        <v>9.75</v>
      </c>
      <c r="BQ65" s="173">
        <f>IF(BO65="","",IF(BP65=BP$33,BR$33+BR$32*(COUNT(BO$61:BO65)-1),IF(BP65=BP$34,BR$34+BR$32*(COUNT(BO$61:BO65)-BR$31))))</f>
        <v>350</v>
      </c>
      <c r="BR65" s="180" cm="1">
        <f t="array" ref="BR65">IF(BP65="","",MAX($C$5,IF(BO65=90,IF(OR(BQ65=BR$13,BQ65=BR$14,BQ65=BO$4-BR$14,BQ65=BO$4-BR$13),BP$7,IF(OR(BP65=BP$20,BP65=BP$24),BP$8,IF(OR(BP65=BP$21:BP$23),BP$9))),BP$10)))</f>
        <v>17.5</v>
      </c>
      <c r="BS65" s="169"/>
      <c r="BT65" s="185">
        <f t="shared" si="62"/>
        <v>45</v>
      </c>
      <c r="BU65" s="173">
        <f>IF(BT65="","",IF(COUNT(BT$61:BT65)&lt;=BW$31-1,BU$33,IF(COUNT(BT$61:BT65)&lt;=2*BW$31-1,BU$34)))</f>
        <v>50.25</v>
      </c>
      <c r="BV65" s="173">
        <f>IF(BT65="","",IF(BU65=BU$33,BW$33+BW$32*(COUNT(BT$61:BT65)-1),IF(BU65=BU$34,BW$34+BW$32*(COUNT(BT$61:BT65)-BW$31))))</f>
        <v>138</v>
      </c>
      <c r="BW65" s="180" cm="1">
        <f t="array" ref="BW65">IF(BU65="","",MAX($C$5,IF(BT65=90,IF(OR(BV65=BW$13,BV65=BW$14,BV65=BT$4-BW$14,BV65=BT$4-BW$13),BU$7,IF(OR(BU65=BU$20,BU65=BU$24),BU$8,IF(OR(BU65=BU$21:BU$23),BU$9))),BU$10)))</f>
        <v>17.5</v>
      </c>
      <c r="BX65" s="288"/>
    </row>
    <row r="66" spans="1:76">
      <c r="A66" s="169"/>
      <c r="B66" s="185">
        <f t="shared" si="63"/>
        <v>45</v>
      </c>
      <c r="C66" s="173">
        <f>IF(B66="","",IF(COUNT(B$61:B66)&lt;=E$31,C$33,IF(COUNT(B$61:B66)&lt;=2*E$31,C$34,IF(COUNT(B$61:B66)&lt;=3*E$31,C$35,IF(COUNT(B$61:B66)&lt;=4*E$31,C$36)))))</f>
        <v>10.5</v>
      </c>
      <c r="D66" s="173">
        <f>IF(B66="","",IF(C66=C$33,E$33+E$32*(COUNT(B$61:B66)-1),IF(C66=C$34,E$34+E$32*(COUNT(B$61:B66)-E$31-1),IF(C66=C$35,E$34+E$32*(COUNT(B$61:B66)-2*E$31-1),IF(C66=C$36,E$33+E$32*(COUNT(B$61:B66)-3*E$31-1))))))</f>
        <v>435</v>
      </c>
      <c r="E66" s="180" cm="1">
        <f t="array" ref="E66">IF(C66="","",MAX($C$5,IF(B66=90,IF(OR(D66=E$13,D66=E$14,D66=B$4-E$14,D66=B$4-E$13),C$7,IF(OR(C66=C$20,C66=C$24),C$8,IF(OR(C66=C$21:C$23),C$9))),C$10)))</f>
        <v>18</v>
      </c>
      <c r="F66" s="169"/>
      <c r="G66" s="185">
        <f t="shared" si="64"/>
        <v>45</v>
      </c>
      <c r="H66" s="173">
        <f>IF(G66="","",IF(COUNT(G$61:G66)&lt;=J$31,H$33,IF(COUNT(G$61:G66)&lt;=2*J$31,H$34,IF(COUNT(G$61:G66)&lt;=3*J$31,H$35,IF(COUNT(G$61:G66)&lt;=4*J$31,H$36)))))</f>
        <v>10.5</v>
      </c>
      <c r="I66" s="173">
        <f>IF(G66="","",IF(H66=H$33,J$33+J$32*(COUNT(G$61:G66)-1),IF(H66=H$34,J$34+J$32*(COUNT(G$61:G66)-J$31-1),IF(H66=H$35,J$34+J$32*(COUNT(G$61:G66)-2*J$31-1),IF(H66=H$36,J$33+J$32*(COUNT(G$61:G66)-3*J$31-1))))))</f>
        <v>435</v>
      </c>
      <c r="J66" s="180" cm="1">
        <f t="array" ref="J66">IF(H66="","",MAX($C$5,IF(G66=90,IF(OR(I66=J$13,I66=J$14,I66=G$4-J$14,I66=G$4-J$13),H$7,IF(OR(H66=H$20,H66=H$24),H$8,IF(OR(H66=H$21:H$23),H$9))),H$10)))</f>
        <v>18</v>
      </c>
      <c r="K66" s="169"/>
      <c r="L66" s="185">
        <f t="shared" si="65"/>
        <v>45</v>
      </c>
      <c r="M66" s="173">
        <f>IF(L66="","",IF(COUNT(L$61:L66)&lt;=O$31,M$33,IF(COUNT(L$61:L66)&lt;=2*O$31,M$34,IF(COUNT(L$61:L66)&lt;=3*O$31,M$35,IF(COUNT(L$61:L66)&lt;=4*O$31,M$36)))))</f>
        <v>10.5</v>
      </c>
      <c r="N66" s="173">
        <f>IF(L66="","",IF(M66=M$33,O$33+O$32*(COUNT(L$61:L66)-1),IF(M66=M$34,O$34+O$32*(COUNT(L$61:L66)-O$31-1),IF(M66=M$35,O$34+O$32*(COUNT(L$61:L66)-2*O$31-1),IF(M66=M$36,O$33+O$32*(COUNT(L$61:L66)-3*O$31-1))))))</f>
        <v>444</v>
      </c>
      <c r="O66" s="180" cm="1">
        <f t="array" ref="O66">IF(M66="","",MAX($C$5,IF(L66=90,IF(OR(N66=O$13,N66=O$14,N66=L$4-O$14,N66=L$4-O$13),M$7,IF(OR(M66=M$20,M66=M$24),M$8,IF(OR(M66=M$21:M$23),M$9))),M$10)))</f>
        <v>18</v>
      </c>
      <c r="P66" s="169"/>
      <c r="Q66" s="185">
        <f t="shared" si="66"/>
        <v>45</v>
      </c>
      <c r="R66" s="173">
        <f>IF(Q66="","",IF(COUNT(Q$61:Q66)&lt;=T$31,R$33,IF(COUNT(Q$61:Q66)&lt;=2*T$31,R$34,IF(COUNT(Q$61:Q66)&lt;=3*T$31,R$35,IF(COUNT(Q$61:Q66)&lt;=4*T$31,R$36)))))</f>
        <v>10.5</v>
      </c>
      <c r="S66" s="173">
        <f>IF(Q66="","",IF(R66=R$33,T$33+T$32*(COUNT(Q$61:Q66)-1),IF(R66=R$34,T$34+T$32*(COUNT(Q$61:Q66)-T$31-1),IF(R66=R$35,T$34+T$32*(COUNT(Q$61:Q66)-2*T$31-1),IF(R66=R$36,T$33+T$32*(COUNT(Q$61:Q66)-3*T$31-1))))))</f>
        <v>441</v>
      </c>
      <c r="T66" s="180" cm="1">
        <f t="array" ref="T66">IF(R66="","",MAX($C$5,IF(Q66=90,IF(OR(S66=T$13,S66=T$14,S66=Q$4-T$14,S66=Q$4-T$13),R$7,IF(OR(R66=R$20,R66=R$24),R$8,IF(OR(R66=R$21:R$23),R$9))),R$10)))</f>
        <v>18</v>
      </c>
      <c r="U66" s="169"/>
      <c r="V66" s="185">
        <f t="shared" si="67"/>
        <v>45</v>
      </c>
      <c r="W66" s="173">
        <f>IF(V66="","",IF(COUNT(V$61:V66)&lt;=Y$31,W$33,IF(COUNT(V$61:V66)&lt;=2*Y$31,W$34,IF(COUNT(V$61:V66)&lt;=3*Y$31,W$35,IF(COUNT(V$61:V66)&lt;=4*Y$31,W$36)))))</f>
        <v>10.5</v>
      </c>
      <c r="X66" s="173">
        <f>IF(V66="","",IF(W66=W$33,Y$33+Y$32*(COUNT(V$61:V66)-1),IF(W66=W$34,Y$34+Y$32*(COUNT(V$61:V66)-Y$31-1),IF(W66=W$35,Y$34+Y$32*(COUNT(V$61:V66)-2*Y$31-1),IF(W66=W$36,Y$33+Y$32*(COUNT(V$61:V66)-3*Y$31-1))))))</f>
        <v>435</v>
      </c>
      <c r="Y66" s="180" cm="1">
        <f t="array" ref="Y66">IF(W66="","",MAX($C$5,IF(V66=90,IF(OR(X66=Y$13,X66=Y$14,X66=V$4-Y$14,X66=V$4-Y$13),W$7,IF(OR(W66=W$20,W66=W$24),W$8,IF(OR(W66=W$21:W$23),W$9))),W$10)))</f>
        <v>18</v>
      </c>
      <c r="Z66" s="169"/>
      <c r="AA66" s="185">
        <f t="shared" si="68"/>
        <v>45</v>
      </c>
      <c r="AB66" s="173">
        <f>IF(AA66="","",IF(COUNT(AA$61:AA66)&lt;=AD$31,AB$33,IF(COUNT(AA$61:AA66)&lt;=2*AD$31,AB$34,IF(COUNT(AA$61:AA66)&lt;=3*AD$31,AB$35,IF(COUNT(AA$61:AA66)&lt;=4*AD$31,AB$36)))))</f>
        <v>10.5</v>
      </c>
      <c r="AC66" s="173">
        <f>IF(AA66="","",IF(AB66=AB$33,AD$33+AD$32*(COUNT(AA$61:AA66)-1),IF(AB66=AB$34,AD$34+AD$32*(COUNT(AA$61:AA66)-AD$31-1),IF(AB66=AB$35,AD$34+AD$32*(COUNT(AA$61:AA66)-2*AD$31-1),IF(AB66=AB$36,AD$33+AD$32*(COUNT(AA$61:AA66)-3*AD$31-1))))))</f>
        <v>428</v>
      </c>
      <c r="AD66" s="180" cm="1">
        <f t="array" ref="AD66">IF(AB66="","",MAX($C$5,IF(AA66=90,IF(OR(AC66=AD$13,AC66=AD$14,AC66=AA$4-AD$14,AC66=AA$4-AD$13),AB$7,IF(OR(AB66=AB$20,AB66=AB$24),AB$8,IF(OR(AB66=AB$21:AB$23),AB$9))),AB$10)))</f>
        <v>18</v>
      </c>
      <c r="AE66" s="169"/>
      <c r="AF66" s="185">
        <f t="shared" si="69"/>
        <v>45</v>
      </c>
      <c r="AG66" s="173">
        <f>IF(AF66="","",IF(COUNT(AF$61:AF66)&lt;=AI$31,AG$33,IF(COUNT(AF$61:AF66)&lt;=2*AI$31,AG$34,IF(COUNT(AF$61:AF66)&lt;=3*AI$31,AG$35,IF(COUNT(AF$61:AF66)&lt;=4*AI$31,AG$36)))))</f>
        <v>53.5</v>
      </c>
      <c r="AH66" s="173">
        <f>IF(AF66="","",IF(AG66=AG$33,AI$33+AI$32*(COUNT(AF$61:AF66)-1),IF(AG66=AG$34,AI$34+AI$32*(COUNT(AF$61:AF66)-AI$31-1),IF(AG66=AG$35,AI$34+AI$32*(COUNT(AF$61:AF66)-2*AI$31-1),IF(AG66=AG$36,AI$33+AI$32*(COUNT(AF$61:AF66)-3*AI$31-1))))))</f>
        <v>110</v>
      </c>
      <c r="AI66" s="180" cm="1">
        <f t="array" ref="AI66">IF(AG66="","",MAX($C$5,IF(AF66=90,IF(OR(AH66=AI$13,AH66=AI$14,AH66=AF$4-AI$14,AH66=AF$4-AI$13),AG$7,IF(OR(AG66=AG$20,AG66=AG$24),AG$8,IF(OR(AG66=AG$21:AG$23),AG$9))),AG$10)))</f>
        <v>18</v>
      </c>
      <c r="AJ66" s="169"/>
      <c r="AK66" s="185">
        <f t="shared" si="70"/>
        <v>45</v>
      </c>
      <c r="AL66" s="173">
        <f>IF(AK66="","",IF(COUNT(AK$61:AK66)&lt;=AN$31,AL$33,IF(COUNT(AK$61:AK66)&lt;=2*AN$31,AL$34,IF(COUNT(AK$61:AK66)&lt;=3*AN$31,AL$35,IF(COUNT(AK$61:AK66)&lt;=4*AN$31,AL$36)))))</f>
        <v>53.5</v>
      </c>
      <c r="AM66" s="173">
        <f>IF(AK66="","",IF(AL66=AL$33,AN$33+AN$32*(COUNT(AK$61:AK66)-1),IF(AL66=AL$34,AN$34+AN$32*(COUNT(AK$61:AK66)-AN$31-1),IF(AL66=AL$35,AN$34+AN$32*(COUNT(AK$61:AK66)-2*AN$31-1),IF(AL66=AL$36,AN$33+AN$32*(COUNT(AK$61:AK66)-3*AN$31-1))))))</f>
        <v>226</v>
      </c>
      <c r="AN66" s="180" cm="1">
        <f t="array" ref="AN66">IF(AL66="","",MAX($C$5,IF(AK66=90,IF(OR(AM66=AN$13,AM66=AN$14,AM66=AK$4-AN$14,AM66=AK$4-AN$13),AL$7,IF(OR(AL66=AL$20,AL66=AL$24),AL$8,IF(OR(AL66=AL$21:AL$23),AL$9))),AL$10)))</f>
        <v>18</v>
      </c>
      <c r="AO66" s="169"/>
      <c r="AP66" s="198">
        <f t="shared" si="56"/>
        <v>45</v>
      </c>
      <c r="AQ66" s="199">
        <f>IF(AP66="","",IF(COUNT(AP$61:AP66)&lt;=AS$31,AQ$33,IF(COUNT(AP$61:AP66)&lt;=2*AS$31,AQ$34,IF(COUNT(AP$61:AP66)&lt;=3*AS$31,AQ$35,IF(COUNT(AP$61:AP66)&lt;=4*AS$31,AQ$36)))))</f>
        <v>10.5</v>
      </c>
      <c r="AR66" s="199">
        <f>IF(AP66="","",IF(AQ66=AQ$33,AS$33+AS$32*(COUNT(AP$61:AP66)-1),IF(AQ66=AQ$34,AS$34+AS$32*(COUNT(AP$61:AP66)-AS$31-1),IF(AQ66=AQ$35,AS$34+AS$32*(COUNT(AP$61:AP66)-2*AS$31-1),IF(AQ66=AQ$36,AS$33+AS$32*(COUNT(AP$61:AP66)-3*AS$31-1))))))</f>
        <v>591</v>
      </c>
      <c r="AS66" s="180" cm="1">
        <f t="array" ref="AS66">IF(AQ66="","",MAX($C$5,IF(AP66=90,IF(OR(AR66=AS$13,AR66=AS$14,AR66=AP$4-AS$14,AR66=AP$4-AS$13),AQ$7,IF(OR(AQ66=AQ$20,AQ66=AQ$24),AQ$8,IF(OR(AQ66=AQ$21:AQ$23),AQ$9))),AQ$10)))</f>
        <v>18</v>
      </c>
      <c r="AT66" s="279"/>
      <c r="AU66" s="185">
        <f t="shared" si="57"/>
        <v>45</v>
      </c>
      <c r="AV66" s="173">
        <f>IF(AU66="","",IF(COUNT(AU$61:AU66)&lt;=AX$31,AV$33,IF(COUNT(AU$61:AU66)&lt;=2*AX$31,AV$34,IF(COUNT(AU$61:AU66)&lt;=3*AX$31,AV$35))))</f>
        <v>10.8</v>
      </c>
      <c r="AW66" s="173">
        <f>IF(AU66="","",IF(AV66=AV$33,AX$33+AX$32*(COUNT(AU$61:AU66)-1),IF(AV66=AV$34,AX$34+AX$32*(COUNT(AU$61:AU66)-AX$31-1),IF(AV66=AV$35,AX$33+AX$32*(COUNT(AU$61:AU66)-2*AX$31-1)))))</f>
        <v>428</v>
      </c>
      <c r="AX66" s="180" cm="1">
        <f t="array" ref="AX66">IF(AV66="","",MAX($C$5,IF(AU66=90,IF(OR(AW66=AX$13,AW66=AX$14,AW66=AU$4-AX$14,AW66=AU$4-AX$13),AV$7,IF(OR(AV66=AV$20,AV66=AV$24),AV$8,IF(OR(AV66=AV$21:AV$23),AV$9))),AV$10)))</f>
        <v>17.5</v>
      </c>
      <c r="AY66" s="169"/>
      <c r="AZ66" s="185">
        <f t="shared" si="58"/>
        <v>45</v>
      </c>
      <c r="BA66" s="173">
        <f>IF(AZ66="","",IF(COUNT(AZ$61:AZ66)&lt;=BC$31,BA$33,IF(COUNT(AZ$61:AZ66)&lt;=2*BC$31,BA$34,IF(COUNT(AZ$61:AZ66)&lt;=3*BC$31,BA$35))))</f>
        <v>50</v>
      </c>
      <c r="BB66" s="173">
        <f>IF(AZ66="","",IF(BA66=BA$33,BC$33+BC$32*(COUNT(AZ$61:AZ66)-1),IF(BA66=BA$34,BC$34+BC$32*(COUNT(AZ$61:AZ66)-BC$31-1),IF(BA66=BA$35,BC$33+BC$32*(COUNT(AZ$61:AZ66)-2*BC$31-1)))))</f>
        <v>110</v>
      </c>
      <c r="BC66" s="180" cm="1">
        <f t="array" ref="BC66">IF(BA66="","",MAX($C$5,IF(AZ66=90,IF(OR(BB66=BC$13,BB66=BC$14,BB66=AZ$4-BC$14,BB66=AZ$4-BC$13),BA$7,IF(OR(BA66=BA$20,BA66=BA$24),BA$8,IF(OR(BA66=BA$21:BA$23),BA$9))),BA$10)))</f>
        <v>17.5</v>
      </c>
      <c r="BD66" s="169"/>
      <c r="BE66" s="185">
        <f t="shared" si="59"/>
        <v>45</v>
      </c>
      <c r="BF66" s="173">
        <f>IF(BE66="","",IF(COUNT(BE$61:BE66)&lt;=BH$31,BF$33,IF(COUNT(BE$61:BE66)&lt;=2*BH$31,BF$34,IF(COUNT(BE$61:BE66)&lt;=3*BH$31,BF$35))))</f>
        <v>50</v>
      </c>
      <c r="BG66" s="173">
        <f>IF(BE66="","",IF(BF66=BF$33,BH$33+BH$32*(COUNT(BE$61:BE66)-1),IF(BF66=BF$34,BH$34+BH$32*(COUNT(BE$61:BE66)-BH$31-1),IF(BF66=BF$35,BH$33+BH$32*(COUNT(BE$61:BE66)-2*BH$31-1)))))</f>
        <v>226</v>
      </c>
      <c r="BH66" s="180" cm="1">
        <f t="array" ref="BH66">IF(BF66="","",MAX($C$5,IF(BE66=90,IF(OR(BG66=BH$13,BG66=BH$14,BG66=BE$4-BH$14,BG66=BE$4-BH$13),BF$7,IF(OR(BF66=BF$20,BF66=BF$24),BF$8,IF(OR(BF66=BF$21:BF$23),BF$9))),BF$10)))</f>
        <v>17.5</v>
      </c>
      <c r="BI66" s="279"/>
      <c r="BJ66" s="185">
        <f t="shared" si="60"/>
        <v>45</v>
      </c>
      <c r="BK66" s="173">
        <f>IF(BJ66="","",IF(COUNT(BJ$61:BJ66)&lt;=BM$31-1,BK$33,IF(COUNT(BJ$61:BJ66)&lt;=2*BM$31-1,BK$34)))</f>
        <v>9.75</v>
      </c>
      <c r="BL66" s="173">
        <f>IF(BJ66="","",IF(BK66=BK$33,BM$33+BM$32*(COUNT(BJ$61:BJ66)-1),IF(BK66=BK$34,BM$34+BM$32*(COUNT(BJ$61:BJ66)-BM$31))))</f>
        <v>408</v>
      </c>
      <c r="BM66" s="180" cm="1">
        <f t="array" ref="BM66">IF(BK66="","",MAX($C$5,IF(BJ66=90,IF(OR(BL66=BM$13,BL66=BM$14,BL66=BJ$4-BM$14,BL66=BJ$4-BM$13),BK$7,IF(OR(BK66=BK$20,BK66=BK$24),BK$8,IF(OR(BK66=BK$21:BK$23),BK$9))),BK$10)))</f>
        <v>17.5</v>
      </c>
      <c r="BN66" s="169"/>
      <c r="BO66" s="185">
        <f t="shared" si="61"/>
        <v>45</v>
      </c>
      <c r="BP66" s="173">
        <f>IF(BO66="","",IF(COUNT(BO$61:BO66)&lt;=BR$31-1,BP$33,IF(COUNT(BO$61:BO66)&lt;=2*BR$31-1,BP$34)))</f>
        <v>50.25</v>
      </c>
      <c r="BQ66" s="173">
        <f>IF(BO66="","",IF(BP66=BP$33,BR$33+BR$32*(COUNT(BO$61:BO66)-1),IF(BP66=BP$34,BR$34+BR$32*(COUNT(BO$61:BO66)-BR$31))))</f>
        <v>80</v>
      </c>
      <c r="BR66" s="180" cm="1">
        <f t="array" ref="BR66">IF(BP66="","",MAX($C$5,IF(BO66=90,IF(OR(BQ66=BR$13,BQ66=BR$14,BQ66=BO$4-BR$14,BQ66=BO$4-BR$13),BP$7,IF(OR(BP66=BP$20,BP66=BP$24),BP$8,IF(OR(BP66=BP$21:BP$23),BP$9))),BP$10)))</f>
        <v>17.5</v>
      </c>
      <c r="BS66" s="169"/>
      <c r="BT66" s="185">
        <f t="shared" si="62"/>
        <v>45</v>
      </c>
      <c r="BU66" s="173">
        <f>IF(BT66="","",IF(COUNT(BT$61:BT66)&lt;=BW$31-1,BU$33,IF(COUNT(BT$61:BT66)&lt;=2*BW$31-1,BU$34)))</f>
        <v>50.25</v>
      </c>
      <c r="BV66" s="173">
        <f>IF(BT66="","",IF(BU66=BU$33,BW$33+BW$32*(COUNT(BT$61:BT66)-1),IF(BU66=BU$34,BW$34+BW$32*(COUNT(BT$61:BT66)-BW$31))))</f>
        <v>196</v>
      </c>
      <c r="BW66" s="180" cm="1">
        <f t="array" ref="BW66">IF(BU66="","",MAX($C$5,IF(BT66=90,IF(OR(BV66=BW$13,BV66=BW$14,BV66=BT$4-BW$14,BV66=BT$4-BW$13),BU$7,IF(OR(BU66=BU$20,BU66=BU$24),BU$8,IF(OR(BU66=BU$21:BU$23),BU$9))),BU$10)))</f>
        <v>17.5</v>
      </c>
      <c r="BX66" s="288"/>
    </row>
    <row r="67" spans="1:76">
      <c r="A67" s="169"/>
      <c r="B67" s="185">
        <f t="shared" si="63"/>
        <v>45</v>
      </c>
      <c r="C67" s="173">
        <f>IF(B67="","",IF(COUNT(B$61:B67)&lt;=E$31,C$33,IF(COUNT(B$61:B67)&lt;=2*E$31,C$34,IF(COUNT(B$61:B67)&lt;=3*E$31,C$35,IF(COUNT(B$61:B67)&lt;=4*E$31,C$36)))))</f>
        <v>10.5</v>
      </c>
      <c r="D67" s="173">
        <f>IF(B67="","",IF(C67=C$33,E$33+E$32*(COUNT(B$61:B67)-1),IF(C67=C$34,E$34+E$32*(COUNT(B$61:B67)-E$31-1),IF(C67=C$35,E$34+E$32*(COUNT(B$61:B67)-2*E$31-1),IF(C67=C$36,E$33+E$32*(COUNT(B$61:B67)-3*E$31-1))))))</f>
        <v>492</v>
      </c>
      <c r="E67" s="180" cm="1">
        <f t="array" ref="E67">IF(C67="","",MAX($C$5,IF(B67=90,IF(OR(D67=E$13,D67=E$14,D67=B$4-E$14,D67=B$4-E$13),C$7,IF(OR(C67=C$20,C67=C$24),C$8,IF(OR(C67=C$21:C$23),C$9))),C$10)))</f>
        <v>18</v>
      </c>
      <c r="F67" s="169"/>
      <c r="G67" s="185">
        <f t="shared" si="64"/>
        <v>45</v>
      </c>
      <c r="H67" s="173">
        <f>IF(G67="","",IF(COUNT(G$61:G67)&lt;=J$31,H$33,IF(COUNT(G$61:G67)&lt;=2*J$31,H$34,IF(COUNT(G$61:G67)&lt;=3*J$31,H$35,IF(COUNT(G$61:G67)&lt;=4*J$31,H$36)))))</f>
        <v>10.5</v>
      </c>
      <c r="I67" s="173">
        <f>IF(G67="","",IF(H67=H$33,J$33+J$32*(COUNT(G$61:G67)-1),IF(H67=H$34,J$34+J$32*(COUNT(G$61:G67)-J$31-1),IF(H67=H$35,J$34+J$32*(COUNT(G$61:G67)-2*J$31-1),IF(H67=H$36,J$33+J$32*(COUNT(G$61:G67)-3*J$31-1))))))</f>
        <v>492</v>
      </c>
      <c r="J67" s="180" cm="1">
        <f t="array" ref="J67">IF(H67="","",MAX($C$5,IF(G67=90,IF(OR(I67=J$13,I67=J$14,I67=G$4-J$14,I67=G$4-J$13),H$7,IF(OR(H67=H$20,H67=H$24),H$8,IF(OR(H67=H$21:H$23),H$9))),H$10)))</f>
        <v>18</v>
      </c>
      <c r="K67" s="169"/>
      <c r="L67" s="185">
        <f t="shared" si="65"/>
        <v>45</v>
      </c>
      <c r="M67" s="173">
        <f>IF(L67="","",IF(COUNT(L$61:L67)&lt;=O$31,M$33,IF(COUNT(L$61:L67)&lt;=2*O$31,M$34,IF(COUNT(L$61:L67)&lt;=3*O$31,M$35,IF(COUNT(L$61:L67)&lt;=4*O$31,M$36)))))</f>
        <v>10.5</v>
      </c>
      <c r="N67" s="173">
        <f>IF(L67="","",IF(M67=M$33,O$33+O$32*(COUNT(L$61:L67)-1),IF(M67=M$34,O$34+O$32*(COUNT(L$61:L67)-O$31-1),IF(M67=M$35,O$34+O$32*(COUNT(L$61:L67)-2*O$31-1),IF(M67=M$36,O$33+O$32*(COUNT(L$61:L67)-3*O$31-1))))))</f>
        <v>501</v>
      </c>
      <c r="O67" s="180" cm="1">
        <f t="array" ref="O67">IF(M67="","",MAX($C$5,IF(L67=90,IF(OR(N67=O$13,N67=O$14,N67=L$4-O$14,N67=L$4-O$13),M$7,IF(OR(M67=M$20,M67=M$24),M$8,IF(OR(M67=M$21:M$23),M$9))),M$10)))</f>
        <v>18</v>
      </c>
      <c r="P67" s="169"/>
      <c r="Q67" s="185">
        <f t="shared" si="66"/>
        <v>45</v>
      </c>
      <c r="R67" s="173">
        <f>IF(Q67="","",IF(COUNT(Q$61:Q67)&lt;=T$31,R$33,IF(COUNT(Q$61:Q67)&lt;=2*T$31,R$34,IF(COUNT(Q$61:Q67)&lt;=3*T$31,R$35,IF(COUNT(Q$61:Q67)&lt;=4*T$31,R$36)))))</f>
        <v>10.5</v>
      </c>
      <c r="S67" s="173">
        <f>IF(Q67="","",IF(R67=R$33,T$33+T$32*(COUNT(Q$61:Q67)-1),IF(R67=R$34,T$34+T$32*(COUNT(Q$61:Q67)-T$31-1),IF(R67=R$35,T$34+T$32*(COUNT(Q$61:Q67)-2*T$31-1),IF(R67=R$36,T$33+T$32*(COUNT(Q$61:Q67)-3*T$31-1))))))</f>
        <v>498</v>
      </c>
      <c r="T67" s="180" cm="1">
        <f t="array" ref="T67">IF(R67="","",MAX($C$5,IF(Q67=90,IF(OR(S67=T$13,S67=T$14,S67=Q$4-T$14,S67=Q$4-T$13),R$7,IF(OR(R67=R$20,R67=R$24),R$8,IF(OR(R67=R$21:R$23),R$9))),R$10)))</f>
        <v>18</v>
      </c>
      <c r="U67" s="169"/>
      <c r="V67" s="185">
        <f t="shared" si="67"/>
        <v>45</v>
      </c>
      <c r="W67" s="173">
        <f>IF(V67="","",IF(COUNT(V$61:V67)&lt;=Y$31,W$33,IF(COUNT(V$61:V67)&lt;=2*Y$31,W$34,IF(COUNT(V$61:V67)&lt;=3*Y$31,W$35,IF(COUNT(V$61:V67)&lt;=4*Y$31,W$36)))))</f>
        <v>10.5</v>
      </c>
      <c r="X67" s="173">
        <f>IF(V67="","",IF(W67=W$33,Y$33+Y$32*(COUNT(V$61:V67)-1),IF(W67=W$34,Y$34+Y$32*(COUNT(V$61:V67)-Y$31-1),IF(W67=W$35,Y$34+Y$32*(COUNT(V$61:V67)-2*Y$31-1),IF(W67=W$36,Y$33+Y$32*(COUNT(V$61:V67)-3*Y$31-1))))))</f>
        <v>492</v>
      </c>
      <c r="Y67" s="180" cm="1">
        <f t="array" ref="Y67">IF(W67="","",MAX($C$5,IF(V67=90,IF(OR(X67=Y$13,X67=Y$14,X67=V$4-Y$14,X67=V$4-Y$13),W$7,IF(OR(W67=W$20,W67=W$24),W$8,IF(OR(W67=W$21:W$23),W$9))),W$10)))</f>
        <v>18</v>
      </c>
      <c r="Z67" s="169"/>
      <c r="AA67" s="185">
        <f t="shared" si="68"/>
        <v>45</v>
      </c>
      <c r="AB67" s="173">
        <f>IF(AA67="","",IF(COUNT(AA$61:AA67)&lt;=AD$31,AB$33,IF(COUNT(AA$61:AA67)&lt;=2*AD$31,AB$34,IF(COUNT(AA$61:AA67)&lt;=3*AD$31,AB$35,IF(COUNT(AA$61:AA67)&lt;=4*AD$31,AB$36)))))</f>
        <v>10.5</v>
      </c>
      <c r="AC67" s="173">
        <f>IF(AA67="","",IF(AB67=AB$33,AD$33+AD$32*(COUNT(AA$61:AA67)-1),IF(AB67=AB$34,AD$34+AD$32*(COUNT(AA$61:AA67)-AD$31-1),IF(AB67=AB$35,AD$34+AD$32*(COUNT(AA$61:AA67)-2*AD$31-1),IF(AB67=AB$36,AD$33+AD$32*(COUNT(AA$61:AA67)-3*AD$31-1))))))</f>
        <v>486</v>
      </c>
      <c r="AD67" s="180" cm="1">
        <f t="array" ref="AD67">IF(AB67="","",MAX($C$5,IF(AA67=90,IF(OR(AC67=AD$13,AC67=AD$14,AC67=AA$4-AD$14,AC67=AA$4-AD$13),AB$7,IF(OR(AB67=AB$20,AB67=AB$24),AB$8,IF(OR(AB67=AB$21:AB$23),AB$9))),AB$10)))</f>
        <v>18</v>
      </c>
      <c r="AE67" s="169"/>
      <c r="AF67" s="185">
        <f t="shared" si="69"/>
        <v>45</v>
      </c>
      <c r="AG67" s="173">
        <f>IF(AF67="","",IF(COUNT(AF$61:AF67)&lt;=AI$31,AG$33,IF(COUNT(AF$61:AF67)&lt;=2*AI$31,AG$34,IF(COUNT(AF$61:AF67)&lt;=3*AI$31,AG$35,IF(COUNT(AF$61:AF67)&lt;=4*AI$31,AG$36)))))</f>
        <v>53.5</v>
      </c>
      <c r="AH67" s="173">
        <f>IF(AF67="","",IF(AG67=AG$33,AI$33+AI$32*(COUNT(AF$61:AF67)-1),IF(AG67=AG$34,AI$34+AI$32*(COUNT(AF$61:AF67)-AI$31-1),IF(AG67=AG$35,AI$34+AI$32*(COUNT(AF$61:AF67)-2*AI$31-1),IF(AG67=AG$36,AI$33+AI$32*(COUNT(AF$61:AF67)-3*AI$31-1))))))</f>
        <v>168</v>
      </c>
      <c r="AI67" s="180" cm="1">
        <f t="array" ref="AI67">IF(AG67="","",MAX($C$5,IF(AF67=90,IF(OR(AH67=AI$13,AH67=AI$14,AH67=AF$4-AI$14,AH67=AF$4-AI$13),AG$7,IF(OR(AG67=AG$20,AG67=AG$24),AG$8,IF(OR(AG67=AG$21:AG$23),AG$9))),AG$10)))</f>
        <v>18</v>
      </c>
      <c r="AJ67" s="169"/>
      <c r="AK67" s="185">
        <f t="shared" si="70"/>
        <v>45</v>
      </c>
      <c r="AL67" s="173">
        <f>IF(AK67="","",IF(COUNT(AK$61:AK67)&lt;=AN$31,AL$33,IF(COUNT(AK$61:AK67)&lt;=2*AN$31,AL$34,IF(COUNT(AK$61:AK67)&lt;=3*AN$31,AL$35,IF(COUNT(AK$61:AK67)&lt;=4*AN$31,AL$36)))))</f>
        <v>96.5</v>
      </c>
      <c r="AM67" s="173">
        <f>IF(AK67="","",IF(AL67=AL$33,AN$33+AN$32*(COUNT(AK$61:AK67)-1),IF(AL67=AL$34,AN$34+AN$32*(COUNT(AK$61:AK67)-AN$31-1),IF(AL67=AL$35,AN$34+AN$32*(COUNT(AK$61:AK67)-2*AN$31-1),IF(AL67=AL$36,AN$33+AN$32*(COUNT(AK$61:AK67)-3*AN$31-1))))))</f>
        <v>110</v>
      </c>
      <c r="AN67" s="180" cm="1">
        <f t="array" ref="AN67">IF(AL67="","",MAX($C$5,IF(AK67=90,IF(OR(AM67=AN$13,AM67=AN$14,AM67=AK$4-AN$14,AM67=AK$4-AN$13),AL$7,IF(OR(AL67=AL$20,AL67=AL$24),AL$8,IF(OR(AL67=AL$21:AL$23),AL$9))),AL$10)))</f>
        <v>18</v>
      </c>
      <c r="AO67" s="169"/>
      <c r="AP67" s="198">
        <f t="shared" si="56"/>
        <v>45</v>
      </c>
      <c r="AQ67" s="199">
        <f>IF(AP67="","",IF(COUNT(AP$61:AP67)&lt;=AS$31,AQ$33,IF(COUNT(AP$61:AP67)&lt;=2*AS$31,AQ$34,IF(COUNT(AP$61:AP67)&lt;=3*AS$31,AQ$35,IF(COUNT(AP$61:AP67)&lt;=4*AS$31,AQ$36)))))</f>
        <v>10.5</v>
      </c>
      <c r="AR67" s="199">
        <f>IF(AP67="","",IF(AQ67=AQ$33,AS$33+AS$32*(COUNT(AP$61:AP67)-1),IF(AQ67=AQ$34,AS$34+AS$32*(COUNT(AP$61:AP67)-AS$31-1),IF(AQ67=AQ$35,AS$34+AS$32*(COUNT(AP$61:AP67)-2*AS$31-1),IF(AQ67=AQ$36,AS$33+AS$32*(COUNT(AP$61:AP67)-3*AS$31-1))))))</f>
        <v>648</v>
      </c>
      <c r="AS67" s="180" cm="1">
        <f t="array" ref="AS67">IF(AQ67="","",MAX($C$5,IF(AP67=90,IF(OR(AR67=AS$13,AR67=AS$14,AR67=AP$4-AS$14,AR67=AP$4-AS$13),AQ$7,IF(OR(AQ67=AQ$20,AQ67=AQ$24),AQ$8,IF(OR(AQ67=AQ$21:AQ$23),AQ$9))),AQ$10)))</f>
        <v>18</v>
      </c>
      <c r="AT67" s="279"/>
      <c r="AU67" s="185">
        <f t="shared" si="57"/>
        <v>45</v>
      </c>
      <c r="AV67" s="173">
        <f>IF(AU67="","",IF(COUNT(AU$61:AU67)&lt;=AX$31,AV$33,IF(COUNT(AU$61:AU67)&lt;=2*AX$31,AV$34,IF(COUNT(AU$61:AU67)&lt;=3*AX$31,AV$35))))</f>
        <v>10.8</v>
      </c>
      <c r="AW67" s="173">
        <f>IF(AU67="","",IF(AV67=AV$33,AX$33+AX$32*(COUNT(AU$61:AU67)-1),IF(AV67=AV$34,AX$34+AX$32*(COUNT(AU$61:AU67)-AX$31-1),IF(AV67=AV$35,AX$33+AX$32*(COUNT(AU$61:AU67)-2*AX$31-1)))))</f>
        <v>486</v>
      </c>
      <c r="AX67" s="180" cm="1">
        <f t="array" ref="AX67">IF(AV67="","",MAX($C$5,IF(AU67=90,IF(OR(AW67=AX$13,AW67=AX$14,AW67=AU$4-AX$14,AW67=AU$4-AX$13),AV$7,IF(OR(AV67=AV$20,AV67=AV$24),AV$8,IF(OR(AV67=AV$21:AV$23),AV$9))),AV$10)))</f>
        <v>17.5</v>
      </c>
      <c r="AY67" s="169"/>
      <c r="AZ67" s="185">
        <f t="shared" si="58"/>
        <v>45</v>
      </c>
      <c r="BA67" s="173">
        <f>IF(AZ67="","",IF(COUNT(AZ$61:AZ67)&lt;=BC$31,BA$33,IF(COUNT(AZ$61:AZ67)&lt;=2*BC$31,BA$34,IF(COUNT(AZ$61:AZ67)&lt;=3*BC$31,BA$35))))</f>
        <v>50</v>
      </c>
      <c r="BB67" s="173">
        <f>IF(AZ67="","",IF(BA67=BA$33,BC$33+BC$32*(COUNT(AZ$61:AZ67)-1),IF(BA67=BA$34,BC$34+BC$32*(COUNT(AZ$61:AZ67)-BC$31-1),IF(BA67=BA$35,BC$33+BC$32*(COUNT(AZ$61:AZ67)-2*BC$31-1)))))</f>
        <v>168</v>
      </c>
      <c r="BC67" s="180" cm="1">
        <f t="array" ref="BC67">IF(BA67="","",MAX($C$5,IF(AZ67=90,IF(OR(BB67=BC$13,BB67=BC$14,BB67=AZ$4-BC$14,BB67=AZ$4-BC$13),BA$7,IF(OR(BA67=BA$20,BA67=BA$24),BA$8,IF(OR(BA67=BA$21:BA$23),BA$9))),BA$10)))</f>
        <v>17.5</v>
      </c>
      <c r="BD67" s="169"/>
      <c r="BE67" s="185">
        <f t="shared" si="59"/>
        <v>45</v>
      </c>
      <c r="BF67" s="173">
        <f>IF(BE67="","",IF(COUNT(BE$61:BE67)&lt;=BH$31,BF$33,IF(COUNT(BE$61:BE67)&lt;=2*BH$31,BF$34,IF(COUNT(BE$61:BE67)&lt;=3*BH$31,BF$35))))</f>
        <v>89.2</v>
      </c>
      <c r="BG67" s="173">
        <f>IF(BE67="","",IF(BF67=BF$33,BH$33+BH$32*(COUNT(BE$61:BE67)-1),IF(BF67=BF$34,BH$34+BH$32*(COUNT(BE$61:BE67)-BH$31-1),IF(BF67=BF$35,BH$33+BH$32*(COUNT(BE$61:BE67)-2*BH$31-1)))))</f>
        <v>138</v>
      </c>
      <c r="BH67" s="180" cm="1">
        <f t="array" ref="BH67">IF(BF67="","",MAX($C$5,IF(BE67=90,IF(OR(BG67=BH$13,BG67=BH$14,BG67=BE$4-BH$14,BG67=BE$4-BH$13),BF$7,IF(OR(BF67=BF$20,BF67=BF$24),BF$8,IF(OR(BF67=BF$21:BF$23),BF$9))),BF$10)))</f>
        <v>17.5</v>
      </c>
      <c r="BI67" s="279"/>
      <c r="BJ67" s="185">
        <f t="shared" si="60"/>
        <v>45</v>
      </c>
      <c r="BK67" s="173">
        <f>IF(BJ67="","",IF(COUNT(BJ$61:BJ67)&lt;=BM$31-1,BK$33,IF(COUNT(BJ$61:BJ67)&lt;=2*BM$31-1,BK$34)))</f>
        <v>9.75</v>
      </c>
      <c r="BL67" s="173">
        <f>IF(BJ67="","",IF(BK67=BK$33,BM$33+BM$32*(COUNT(BJ$61:BJ67)-1),IF(BK67=BK$34,BM$34+BM$32*(COUNT(BJ$61:BJ67)-BM$31))))</f>
        <v>466</v>
      </c>
      <c r="BM67" s="180" cm="1">
        <f t="array" ref="BM67">IF(BK67="","",MAX($C$5,IF(BJ67=90,IF(OR(BL67=BM$13,BL67=BM$14,BL67=BJ$4-BM$14,BL67=BJ$4-BM$13),BK$7,IF(OR(BK67=BK$20,BK67=BK$24),BK$8,IF(OR(BK67=BK$21:BK$23),BK$9))),BK$10)))</f>
        <v>17.5</v>
      </c>
      <c r="BN67" s="169"/>
      <c r="BO67" s="185">
        <f t="shared" si="61"/>
        <v>45</v>
      </c>
      <c r="BP67" s="173">
        <f>IF(BO67="","",IF(COUNT(BO$61:BO67)&lt;=BR$31-1,BP$33,IF(COUNT(BO$61:BO67)&lt;=2*BR$31-1,BP$34)))</f>
        <v>50.25</v>
      </c>
      <c r="BQ67" s="173">
        <f>IF(BO67="","",IF(BP67=BP$33,BR$33+BR$32*(COUNT(BO$61:BO67)-1),IF(BP67=BP$34,BR$34+BR$32*(COUNT(BO$61:BO67)-BR$31))))</f>
        <v>138</v>
      </c>
      <c r="BR67" s="180" cm="1">
        <f t="array" ref="BR67">IF(BP67="","",MAX($C$5,IF(BO67=90,IF(OR(BQ67=BR$13,BQ67=BR$14,BQ67=BO$4-BR$14,BQ67=BO$4-BR$13),BP$7,IF(OR(BP67=BP$20,BP67=BP$24),BP$8,IF(OR(BP67=BP$21:BP$23),BP$9))),BP$10)))</f>
        <v>17.5</v>
      </c>
      <c r="BS67" s="169"/>
      <c r="BT67" s="185">
        <f t="shared" si="62"/>
        <v>45</v>
      </c>
      <c r="BU67" s="173">
        <f>IF(BT67="","",IF(COUNT(BT$61:BT67)&lt;=BW$31-1,BU$33,IF(COUNT(BT$61:BT67)&lt;=2*BW$31-1,BU$34)))</f>
        <v>50.25</v>
      </c>
      <c r="BV67" s="173">
        <f>IF(BT67="","",IF(BU67=BU$33,BW$33+BW$32*(COUNT(BT$61:BT67)-1),IF(BU67=BU$34,BW$34+BW$32*(COUNT(BT$61:BT67)-BW$31))))</f>
        <v>254</v>
      </c>
      <c r="BW67" s="180" cm="1">
        <f t="array" ref="BW67">IF(BU67="","",MAX($C$5,IF(BT67=90,IF(OR(BV67=BW$13,BV67=BW$14,BV67=BT$4-BW$14,BV67=BT$4-BW$13),BU$7,IF(OR(BU67=BU$20,BU67=BU$24),BU$8,IF(OR(BU67=BU$21:BU$23),BU$9))),BU$10)))</f>
        <v>17.5</v>
      </c>
      <c r="BX67" s="288"/>
    </row>
    <row r="68" spans="1:76">
      <c r="A68" s="169"/>
      <c r="B68" s="185">
        <f t="shared" si="63"/>
        <v>45</v>
      </c>
      <c r="C68" s="173">
        <f>IF(B68="","",IF(COUNT(B$61:B68)&lt;=E$31,C$33,IF(COUNT(B$61:B68)&lt;=2*E$31,C$34,IF(COUNT(B$61:B68)&lt;=3*E$31,C$35,IF(COUNT(B$61:B68)&lt;=4*E$31,C$36)))))</f>
        <v>10.5</v>
      </c>
      <c r="D68" s="173">
        <f>IF(B68="","",IF(C68=C$33,E$33+E$32*(COUNT(B$61:B68)-1),IF(C68=C$34,E$34+E$32*(COUNT(B$61:B68)-E$31-1),IF(C68=C$35,E$34+E$32*(COUNT(B$61:B68)-2*E$31-1),IF(C68=C$36,E$33+E$32*(COUNT(B$61:B68)-3*E$31-1))))))</f>
        <v>549</v>
      </c>
      <c r="E68" s="180" cm="1">
        <f t="array" ref="E68">IF(C68="","",MAX($C$5,IF(B68=90,IF(OR(D68=E$13,D68=E$14,D68=B$4-E$14,D68=B$4-E$13),C$7,IF(OR(C68=C$20,C68=C$24),C$8,IF(OR(C68=C$21:C$23),C$9))),C$10)))</f>
        <v>18</v>
      </c>
      <c r="F68" s="169"/>
      <c r="G68" s="185">
        <f t="shared" si="64"/>
        <v>45</v>
      </c>
      <c r="H68" s="173">
        <f>IF(G68="","",IF(COUNT(G$61:G68)&lt;=J$31,H$33,IF(COUNT(G$61:G68)&lt;=2*J$31,H$34,IF(COUNT(G$61:G68)&lt;=3*J$31,H$35,IF(COUNT(G$61:G68)&lt;=4*J$31,H$36)))))</f>
        <v>10.5</v>
      </c>
      <c r="I68" s="173">
        <f>IF(G68="","",IF(H68=H$33,J$33+J$32*(COUNT(G$61:G68)-1),IF(H68=H$34,J$34+J$32*(COUNT(G$61:G68)-J$31-1),IF(H68=H$35,J$34+J$32*(COUNT(G$61:G68)-2*J$31-1),IF(H68=H$36,J$33+J$32*(COUNT(G$61:G68)-3*J$31-1))))))</f>
        <v>549</v>
      </c>
      <c r="J68" s="180" cm="1">
        <f t="array" ref="J68">IF(H68="","",MAX($C$5,IF(G68=90,IF(OR(I68=J$13,I68=J$14,I68=G$4-J$14,I68=G$4-J$13),H$7,IF(OR(H68=H$20,H68=H$24),H$8,IF(OR(H68=H$21:H$23),H$9))),H$10)))</f>
        <v>18</v>
      </c>
      <c r="K68" s="169"/>
      <c r="L68" s="185">
        <f t="shared" si="65"/>
        <v>45</v>
      </c>
      <c r="M68" s="173">
        <f>IF(L68="","",IF(COUNT(L$61:L68)&lt;=O$31,M$33,IF(COUNT(L$61:L68)&lt;=2*O$31,M$34,IF(COUNT(L$61:L68)&lt;=3*O$31,M$35,IF(COUNT(L$61:L68)&lt;=4*O$31,M$36)))))</f>
        <v>10.5</v>
      </c>
      <c r="N68" s="173">
        <f>IF(L68="","",IF(M68=M$33,O$33+O$32*(COUNT(L$61:L68)-1),IF(M68=M$34,O$34+O$32*(COUNT(L$61:L68)-O$31-1),IF(M68=M$35,O$34+O$32*(COUNT(L$61:L68)-2*O$31-1),IF(M68=M$36,O$33+O$32*(COUNT(L$61:L68)-3*O$31-1))))))</f>
        <v>558</v>
      </c>
      <c r="O68" s="180" cm="1">
        <f t="array" ref="O68">IF(M68="","",MAX($C$5,IF(L68=90,IF(OR(N68=O$13,N68=O$14,N68=L$4-O$14,N68=L$4-O$13),M$7,IF(OR(M68=M$20,M68=M$24),M$8,IF(OR(M68=M$21:M$23),M$9))),M$10)))</f>
        <v>18</v>
      </c>
      <c r="P68" s="169"/>
      <c r="Q68" s="185">
        <f t="shared" si="66"/>
        <v>45</v>
      </c>
      <c r="R68" s="173">
        <f>IF(Q68="","",IF(COUNT(Q$61:Q68)&lt;=T$31,R$33,IF(COUNT(Q$61:Q68)&lt;=2*T$31,R$34,IF(COUNT(Q$61:Q68)&lt;=3*T$31,R$35,IF(COUNT(Q$61:Q68)&lt;=4*T$31,R$36)))))</f>
        <v>10.5</v>
      </c>
      <c r="S68" s="173">
        <f>IF(Q68="","",IF(R68=R$33,T$33+T$32*(COUNT(Q$61:Q68)-1),IF(R68=R$34,T$34+T$32*(COUNT(Q$61:Q68)-T$31-1),IF(R68=R$35,T$34+T$32*(COUNT(Q$61:Q68)-2*T$31-1),IF(R68=R$36,T$33+T$32*(COUNT(Q$61:Q68)-3*T$31-1))))))</f>
        <v>555</v>
      </c>
      <c r="T68" s="180" cm="1">
        <f t="array" ref="T68">IF(R68="","",MAX($C$5,IF(Q68=90,IF(OR(S68=T$13,S68=T$14,S68=Q$4-T$14,S68=Q$4-T$13),R$7,IF(OR(R68=R$20,R68=R$24),R$8,IF(OR(R68=R$21:R$23),R$9))),R$10)))</f>
        <v>18</v>
      </c>
      <c r="U68" s="169"/>
      <c r="V68" s="185">
        <f t="shared" si="67"/>
        <v>45</v>
      </c>
      <c r="W68" s="173">
        <f>IF(V68="","",IF(COUNT(V$61:V68)&lt;=Y$31,W$33,IF(COUNT(V$61:V68)&lt;=2*Y$31,W$34,IF(COUNT(V$61:V68)&lt;=3*Y$31,W$35,IF(COUNT(V$61:V68)&lt;=4*Y$31,W$36)))))</f>
        <v>10.5</v>
      </c>
      <c r="X68" s="173">
        <f>IF(V68="","",IF(W68=W$33,Y$33+Y$32*(COUNT(V$61:V68)-1),IF(W68=W$34,Y$34+Y$32*(COUNT(V$61:V68)-Y$31-1),IF(W68=W$35,Y$34+Y$32*(COUNT(V$61:V68)-2*Y$31-1),IF(W68=W$36,Y$33+Y$32*(COUNT(V$61:V68)-3*Y$31-1))))))</f>
        <v>549</v>
      </c>
      <c r="Y68" s="180" cm="1">
        <f t="array" ref="Y68">IF(W68="","",MAX($C$5,IF(V68=90,IF(OR(X68=Y$13,X68=Y$14,X68=V$4-Y$14,X68=V$4-Y$13),W$7,IF(OR(W68=W$20,W68=W$24),W$8,IF(OR(W68=W$21:W$23),W$9))),W$10)))</f>
        <v>18</v>
      </c>
      <c r="Z68" s="169"/>
      <c r="AA68" s="185">
        <f t="shared" si="68"/>
        <v>45</v>
      </c>
      <c r="AB68" s="173">
        <f>IF(AA68="","",IF(COUNT(AA$61:AA68)&lt;=AD$31,AB$33,IF(COUNT(AA$61:AA68)&lt;=2*AD$31,AB$34,IF(COUNT(AA$61:AA68)&lt;=3*AD$31,AB$35,IF(COUNT(AA$61:AA68)&lt;=4*AD$31,AB$36)))))</f>
        <v>53.5</v>
      </c>
      <c r="AC68" s="173">
        <f>IF(AA68="","",IF(AB68=AB$33,AD$33+AD$32*(COUNT(AA$61:AA68)-1),IF(AB68=AB$34,AD$34+AD$32*(COUNT(AA$61:AA68)-AD$31-1),IF(AB68=AB$35,AD$34+AD$32*(COUNT(AA$61:AA68)-2*AD$31-1),IF(AB68=AB$36,AD$33+AD$32*(COUNT(AA$61:AA68)-3*AD$31-1))))))</f>
        <v>110</v>
      </c>
      <c r="AD68" s="180" cm="1">
        <f t="array" ref="AD68">IF(AB68="","",MAX($C$5,IF(AA68=90,IF(OR(AC68=AD$13,AC68=AD$14,AC68=AA$4-AD$14,AC68=AA$4-AD$13),AB$7,IF(OR(AB68=AB$20,AB68=AB$24),AB$8,IF(OR(AB68=AB$21:AB$23),AB$9))),AB$10)))</f>
        <v>18</v>
      </c>
      <c r="AE68" s="169"/>
      <c r="AF68" s="185">
        <f t="shared" si="69"/>
        <v>45</v>
      </c>
      <c r="AG68" s="173">
        <f>IF(AF68="","",IF(COUNT(AF$61:AF68)&lt;=AI$31,AG$33,IF(COUNT(AF$61:AF68)&lt;=2*AI$31,AG$34,IF(COUNT(AF$61:AF68)&lt;=3*AI$31,AG$35,IF(COUNT(AF$61:AF68)&lt;=4*AI$31,AG$36)))))</f>
        <v>53.5</v>
      </c>
      <c r="AH68" s="173">
        <f>IF(AF68="","",IF(AG68=AG$33,AI$33+AI$32*(COUNT(AF$61:AF68)-1),IF(AG68=AG$34,AI$34+AI$32*(COUNT(AF$61:AF68)-AI$31-1),IF(AG68=AG$35,AI$34+AI$32*(COUNT(AF$61:AF68)-2*AI$31-1),IF(AG68=AG$36,AI$33+AI$32*(COUNT(AF$61:AF68)-3*AI$31-1))))))</f>
        <v>226</v>
      </c>
      <c r="AI68" s="180" cm="1">
        <f t="array" ref="AI68">IF(AG68="","",MAX($C$5,IF(AF68=90,IF(OR(AH68=AI$13,AH68=AI$14,AH68=AF$4-AI$14,AH68=AF$4-AI$13),AG$7,IF(OR(AG68=AG$20,AG68=AG$24),AG$8,IF(OR(AG68=AG$21:AG$23),AG$9))),AG$10)))</f>
        <v>18</v>
      </c>
      <c r="AJ68" s="169"/>
      <c r="AK68" s="185">
        <f t="shared" si="70"/>
        <v>45</v>
      </c>
      <c r="AL68" s="173">
        <f>IF(AK68="","",IF(COUNT(AK$61:AK68)&lt;=AN$31,AL$33,IF(COUNT(AK$61:AK68)&lt;=2*AN$31,AL$34,IF(COUNT(AK$61:AK68)&lt;=3*AN$31,AL$35,IF(COUNT(AK$61:AK68)&lt;=4*AN$31,AL$36)))))</f>
        <v>96.5</v>
      </c>
      <c r="AM68" s="173">
        <f>IF(AK68="","",IF(AL68=AL$33,AN$33+AN$32*(COUNT(AK$61:AK68)-1),IF(AL68=AL$34,AN$34+AN$32*(COUNT(AK$61:AK68)-AN$31-1),IF(AL68=AL$35,AN$34+AN$32*(COUNT(AK$61:AK68)-2*AN$31-1),IF(AL68=AL$36,AN$33+AN$32*(COUNT(AK$61:AK68)-3*AN$31-1))))))</f>
        <v>168</v>
      </c>
      <c r="AN68" s="180" cm="1">
        <f t="array" ref="AN68">IF(AL68="","",MAX($C$5,IF(AK68=90,IF(OR(AM68=AN$13,AM68=AN$14,AM68=AK$4-AN$14,AM68=AK$4-AN$13),AL$7,IF(OR(AL68=AL$20,AL68=AL$24),AL$8,IF(OR(AL68=AL$21:AL$23),AL$9))),AL$10)))</f>
        <v>18</v>
      </c>
      <c r="AO68" s="169"/>
      <c r="AP68" s="198">
        <f t="shared" si="56"/>
        <v>45</v>
      </c>
      <c r="AQ68" s="199">
        <f>IF(AP68="","",IF(COUNT(AP$61:AP68)&lt;=AS$31,AQ$33,IF(COUNT(AP$61:AP68)&lt;=2*AS$31,AQ$34,IF(COUNT(AP$61:AP68)&lt;=3*AS$31,AQ$35,IF(COUNT(AP$61:AP68)&lt;=4*AS$31,AQ$36)))))</f>
        <v>10.5</v>
      </c>
      <c r="AR68" s="199">
        <f>IF(AP68="","",IF(AQ68=AQ$33,AS$33+AS$32*(COUNT(AP$61:AP68)-1),IF(AQ68=AQ$34,AS$34+AS$32*(COUNT(AP$61:AP68)-AS$31-1),IF(AQ68=AQ$35,AS$34+AS$32*(COUNT(AP$61:AP68)-2*AS$31-1),IF(AQ68=AQ$36,AS$33+AS$32*(COUNT(AP$61:AP68)-3*AS$31-1))))))</f>
        <v>705</v>
      </c>
      <c r="AS68" s="180" cm="1">
        <f t="array" ref="AS68">IF(AQ68="","",MAX($C$5,IF(AP68=90,IF(OR(AR68=AS$13,AR68=AS$14,AR68=AP$4-AS$14,AR68=AP$4-AS$13),AQ$7,IF(OR(AQ68=AQ$20,AQ68=AQ$24),AQ$8,IF(OR(AQ68=AQ$21:AQ$23),AQ$9))),AQ$10)))</f>
        <v>18</v>
      </c>
      <c r="AT68" s="279"/>
      <c r="AU68" s="185">
        <f t="shared" si="57"/>
        <v>45</v>
      </c>
      <c r="AV68" s="173">
        <f>IF(AU68="","",IF(COUNT(AU$61:AU68)&lt;=AX$31,AV$33,IF(COUNT(AU$61:AU68)&lt;=2*AX$31,AV$34,IF(COUNT(AU$61:AU68)&lt;=3*AX$31,AV$35))))</f>
        <v>50</v>
      </c>
      <c r="AW68" s="173">
        <f>IF(AU68="","",IF(AV68=AV$33,AX$33+AX$32*(COUNT(AU$61:AU68)-1),IF(AV68=AV$34,AX$34+AX$32*(COUNT(AU$61:AU68)-AX$31-1),IF(AV68=AV$35,AX$33+AX$32*(COUNT(AU$61:AU68)-2*AX$31-1)))))</f>
        <v>110</v>
      </c>
      <c r="AX68" s="180" cm="1">
        <f t="array" ref="AX68">IF(AV68="","",MAX($C$5,IF(AU68=90,IF(OR(AW68=AX$13,AW68=AX$14,AW68=AU$4-AX$14,AW68=AU$4-AX$13),AV$7,IF(OR(AV68=AV$20,AV68=AV$24),AV$8,IF(OR(AV68=AV$21:AV$23),AV$9))),AV$10)))</f>
        <v>17.5</v>
      </c>
      <c r="AY68" s="169"/>
      <c r="AZ68" s="185">
        <f t="shared" si="58"/>
        <v>45</v>
      </c>
      <c r="BA68" s="173">
        <f>IF(AZ68="","",IF(COUNT(AZ$61:AZ68)&lt;=BC$31,BA$33,IF(COUNT(AZ$61:AZ68)&lt;=2*BC$31,BA$34,IF(COUNT(AZ$61:AZ68)&lt;=3*BC$31,BA$35))))</f>
        <v>50</v>
      </c>
      <c r="BB68" s="173">
        <f>IF(AZ68="","",IF(BA68=BA$33,BC$33+BC$32*(COUNT(AZ$61:AZ68)-1),IF(BA68=BA$34,BC$34+BC$32*(COUNT(AZ$61:AZ68)-BC$31-1),IF(BA68=BA$35,BC$33+BC$32*(COUNT(AZ$61:AZ68)-2*BC$31-1)))))</f>
        <v>226</v>
      </c>
      <c r="BC68" s="180" cm="1">
        <f t="array" ref="BC68">IF(BA68="","",MAX($C$5,IF(AZ68=90,IF(OR(BB68=BC$13,BB68=BC$14,BB68=AZ$4-BC$14,BB68=AZ$4-BC$13),BA$7,IF(OR(BA68=BA$20,BA68=BA$24),BA$8,IF(OR(BA68=BA$21:BA$23),BA$9))),BA$10)))</f>
        <v>17.5</v>
      </c>
      <c r="BD68" s="169"/>
      <c r="BE68" s="185">
        <f t="shared" si="59"/>
        <v>45</v>
      </c>
      <c r="BF68" s="173">
        <f>IF(BE68="","",IF(COUNT(BE$61:BE68)&lt;=BH$31,BF$33,IF(COUNT(BE$61:BE68)&lt;=2*BH$31,BF$34,IF(COUNT(BE$61:BE68)&lt;=3*BH$31,BF$35))))</f>
        <v>89.2</v>
      </c>
      <c r="BG68" s="173">
        <f>IF(BE68="","",IF(BF68=BF$33,BH$33+BH$32*(COUNT(BE$61:BE68)-1),IF(BF68=BF$34,BH$34+BH$32*(COUNT(BE$61:BE68)-BH$31-1),IF(BF68=BF$35,BH$33+BH$32*(COUNT(BE$61:BE68)-2*BH$31-1)))))</f>
        <v>196</v>
      </c>
      <c r="BH68" s="180" cm="1">
        <f t="array" ref="BH68">IF(BF68="","",MAX($C$5,IF(BE68=90,IF(OR(BG68=BH$13,BG68=BH$14,BG68=BE$4-BH$14,BG68=BE$4-BH$13),BF$7,IF(OR(BF68=BF$20,BF68=BF$24),BF$8,IF(OR(BF68=BF$21:BF$23),BF$9))),BF$10)))</f>
        <v>17.5</v>
      </c>
      <c r="BI68" s="279"/>
      <c r="BJ68" s="185">
        <f t="shared" si="60"/>
        <v>45</v>
      </c>
      <c r="BK68" s="173">
        <f>IF(BJ68="","",IF(COUNT(BJ$61:BJ68)&lt;=BM$31-1,BK$33,IF(COUNT(BJ$61:BJ68)&lt;=2*BM$31-1,BK$34)))</f>
        <v>50.25</v>
      </c>
      <c r="BL68" s="173">
        <f>IF(BJ68="","",IF(BK68=BK$33,BM$33+BM$32*(COUNT(BJ$61:BJ68)-1),IF(BK68=BK$34,BM$34+BM$32*(COUNT(BJ$61:BJ68)-BM$31))))</f>
        <v>80</v>
      </c>
      <c r="BM68" s="180" cm="1">
        <f t="array" ref="BM68">IF(BK68="","",MAX($C$5,IF(BJ68=90,IF(OR(BL68=BM$13,BL68=BM$14,BL68=BJ$4-BM$14,BL68=BJ$4-BM$13),BK$7,IF(OR(BK68=BK$20,BK68=BK$24),BK$8,IF(OR(BK68=BK$21:BK$23),BK$9))),BK$10)))</f>
        <v>17.5</v>
      </c>
      <c r="BN68" s="169"/>
      <c r="BO68" s="185">
        <f t="shared" si="61"/>
        <v>45</v>
      </c>
      <c r="BP68" s="173">
        <f>IF(BO68="","",IF(COUNT(BO$61:BO68)&lt;=BR$31-1,BP$33,IF(COUNT(BO$61:BO68)&lt;=2*BR$31-1,BP$34)))</f>
        <v>50.25</v>
      </c>
      <c r="BQ68" s="173">
        <f>IF(BO68="","",IF(BP68=BP$33,BR$33+BR$32*(COUNT(BO$61:BO68)-1),IF(BP68=BP$34,BR$34+BR$32*(COUNT(BO$61:BO68)-BR$31))))</f>
        <v>196</v>
      </c>
      <c r="BR68" s="180" cm="1">
        <f t="array" ref="BR68">IF(BP68="","",MAX($C$5,IF(BO68=90,IF(OR(BQ68=BR$13,BQ68=BR$14,BQ68=BO$4-BR$14,BQ68=BO$4-BR$13),BP$7,IF(OR(BP68=BP$20,BP68=BP$24),BP$8,IF(OR(BP68=BP$21:BP$23),BP$9))),BP$10)))</f>
        <v>17.5</v>
      </c>
      <c r="BS68" s="169"/>
      <c r="BT68" s="185" t="str">
        <f t="shared" si="62"/>
        <v/>
      </c>
      <c r="BU68" s="173" t="str">
        <f>IF(BT68="","",IF(COUNT(BT$61:BT68)&lt;=BW$31-1,BU$33,IF(COUNT(BT$61:BT68)&lt;=2*BW$31-1,BU$34)))</f>
        <v/>
      </c>
      <c r="BV68" s="173" t="str">
        <f>IF(BT68="","",IF(BU68=BU$33,BW$33+BW$32*(COUNT(BT$61:BT68)-1),IF(BU68=BU$34,BW$34+BW$32*(COUNT(BT$61:BT68)-BW$31))))</f>
        <v/>
      </c>
      <c r="BW68" s="180" t="str" cm="1">
        <f t="array" ref="BW68">IF(BU68="","",MAX($C$5,IF(BT68=90,IF(OR(BV68=BW$13,BV68=BW$14,BV68=BT$4-BW$14,BV68=BT$4-BW$13),BU$7,IF(OR(BU68=BU$20,BU68=BU$24),BU$8,IF(OR(BU68=BU$21:BU$23),BU$9))),BU$10)))</f>
        <v/>
      </c>
      <c r="BX68" s="288"/>
    </row>
    <row r="69" spans="1:76">
      <c r="A69" s="168"/>
      <c r="B69" s="185">
        <f t="shared" si="63"/>
        <v>45</v>
      </c>
      <c r="C69" s="173">
        <f>IF(B69="","",IF(COUNT(B$61:B69)&lt;=E$31,C$33,IF(COUNT(B$61:B69)&lt;=2*E$31,C$34,IF(COUNT(B$61:B69)&lt;=3*E$31,C$35,IF(COUNT(B$61:B69)&lt;=4*E$31,C$36)))))</f>
        <v>10.5</v>
      </c>
      <c r="D69" s="173">
        <f>IF(B69="","",IF(C69=C$33,E$33+E$32*(COUNT(B$61:B69)-1),IF(C69=C$34,E$34+E$32*(COUNT(B$61:B69)-E$31-1),IF(C69=C$35,E$34+E$32*(COUNT(B$61:B69)-2*E$31-1),IF(C69=C$36,E$33+E$32*(COUNT(B$61:B69)-3*E$31-1))))))</f>
        <v>606</v>
      </c>
      <c r="E69" s="180" cm="1">
        <f t="array" ref="E69">IF(C69="","",MAX($C$5,IF(B69=90,IF(OR(D69=E$13,D69=E$14,D69=B$4-E$14,D69=B$4-E$13),C$7,IF(OR(C69=C$20,C69=C$24),C$8,IF(OR(C69=C$21:C$23),C$9))),C$10)))</f>
        <v>18</v>
      </c>
      <c r="F69" s="168"/>
      <c r="G69" s="185">
        <f t="shared" si="64"/>
        <v>45</v>
      </c>
      <c r="H69" s="173">
        <f>IF(G69="","",IF(COUNT(G$61:G69)&lt;=J$31,H$33,IF(COUNT(G$61:G69)&lt;=2*J$31,H$34,IF(COUNT(G$61:G69)&lt;=3*J$31,H$35,IF(COUNT(G$61:G69)&lt;=4*J$31,H$36)))))</f>
        <v>10.5</v>
      </c>
      <c r="I69" s="173">
        <f>IF(G69="","",IF(H69=H$33,J$33+J$32*(COUNT(G$61:G69)-1),IF(H69=H$34,J$34+J$32*(COUNT(G$61:G69)-J$31-1),IF(H69=H$35,J$34+J$32*(COUNT(G$61:G69)-2*J$31-1),IF(H69=H$36,J$33+J$32*(COUNT(G$61:G69)-3*J$31-1))))))</f>
        <v>606</v>
      </c>
      <c r="J69" s="180" cm="1">
        <f t="array" ref="J69">IF(H69="","",MAX($C$5,IF(G69=90,IF(OR(I69=J$13,I69=J$14,I69=G$4-J$14,I69=G$4-J$13),H$7,IF(OR(H69=H$20,H69=H$24),H$8,IF(OR(H69=H$21:H$23),H$9))),H$10)))</f>
        <v>18</v>
      </c>
      <c r="K69" s="168"/>
      <c r="L69" s="185">
        <f t="shared" si="65"/>
        <v>45</v>
      </c>
      <c r="M69" s="173">
        <f>IF(L69="","",IF(COUNT(L$61:L69)&lt;=O$31,M$33,IF(COUNT(L$61:L69)&lt;=2*O$31,M$34,IF(COUNT(L$61:L69)&lt;=3*O$31,M$35,IF(COUNT(L$61:L69)&lt;=4*O$31,M$36)))))</f>
        <v>10.5</v>
      </c>
      <c r="N69" s="173">
        <f>IF(L69="","",IF(M69=M$33,O$33+O$32*(COUNT(L$61:L69)-1),IF(M69=M$34,O$34+O$32*(COUNT(L$61:L69)-O$31-1),IF(M69=M$35,O$34+O$32*(COUNT(L$61:L69)-2*O$31-1),IF(M69=M$36,O$33+O$32*(COUNT(L$61:L69)-3*O$31-1))))))</f>
        <v>615</v>
      </c>
      <c r="O69" s="180" cm="1">
        <f t="array" ref="O69">IF(M69="","",MAX($C$5,IF(L69=90,IF(OR(N69=O$13,N69=O$14,N69=L$4-O$14,N69=L$4-O$13),M$7,IF(OR(M69=M$20,M69=M$24),M$8,IF(OR(M69=M$21:M$23),M$9))),M$10)))</f>
        <v>18</v>
      </c>
      <c r="P69" s="168"/>
      <c r="Q69" s="185">
        <f t="shared" si="66"/>
        <v>45</v>
      </c>
      <c r="R69" s="173">
        <f>IF(Q69="","",IF(COUNT(Q$61:Q69)&lt;=T$31,R$33,IF(COUNT(Q$61:Q69)&lt;=2*T$31,R$34,IF(COUNT(Q$61:Q69)&lt;=3*T$31,R$35,IF(COUNT(Q$61:Q69)&lt;=4*T$31,R$36)))))</f>
        <v>10.5</v>
      </c>
      <c r="S69" s="173">
        <f>IF(Q69="","",IF(R69=R$33,T$33+T$32*(COUNT(Q$61:Q69)-1),IF(R69=R$34,T$34+T$32*(COUNT(Q$61:Q69)-T$31-1),IF(R69=R$35,T$34+T$32*(COUNT(Q$61:Q69)-2*T$31-1),IF(R69=R$36,T$33+T$32*(COUNT(Q$61:Q69)-3*T$31-1))))))</f>
        <v>612</v>
      </c>
      <c r="T69" s="180" cm="1">
        <f t="array" ref="T69">IF(R69="","",MAX($C$5,IF(Q69=90,IF(OR(S69=T$13,S69=T$14,S69=Q$4-T$14,S69=Q$4-T$13),R$7,IF(OR(R69=R$20,R69=R$24),R$8,IF(OR(R69=R$21:R$23),R$9))),R$10)))</f>
        <v>18</v>
      </c>
      <c r="U69" s="168"/>
      <c r="V69" s="185">
        <f t="shared" si="67"/>
        <v>45</v>
      </c>
      <c r="W69" s="173">
        <f>IF(V69="","",IF(COUNT(V$61:V69)&lt;=Y$31,W$33,IF(COUNT(V$61:V69)&lt;=2*Y$31,W$34,IF(COUNT(V$61:V69)&lt;=3*Y$31,W$35,IF(COUNT(V$61:V69)&lt;=4*Y$31,W$36)))))</f>
        <v>53.5</v>
      </c>
      <c r="X69" s="173">
        <f>IF(V69="","",IF(W69=W$33,Y$33+Y$32*(COUNT(V$61:V69)-1),IF(W69=W$34,Y$34+Y$32*(COUNT(V$61:V69)-Y$31-1),IF(W69=W$35,Y$34+Y$32*(COUNT(V$61:V69)-2*Y$31-1),IF(W69=W$36,Y$33+Y$32*(COUNT(V$61:V69)-3*Y$31-1))))))</f>
        <v>121.5</v>
      </c>
      <c r="Y69" s="180" cm="1">
        <f t="array" ref="Y69">IF(W69="","",MAX($C$5,IF(V69=90,IF(OR(X69=Y$13,X69=Y$14,X69=V$4-Y$14,X69=V$4-Y$13),W$7,IF(OR(W69=W$20,W69=W$24),W$8,IF(OR(W69=W$21:W$23),W$9))),W$10)))</f>
        <v>18</v>
      </c>
      <c r="Z69" s="168"/>
      <c r="AA69" s="185">
        <f t="shared" si="68"/>
        <v>45</v>
      </c>
      <c r="AB69" s="173">
        <f>IF(AA69="","",IF(COUNT(AA$61:AA69)&lt;=AD$31,AB$33,IF(COUNT(AA$61:AA69)&lt;=2*AD$31,AB$34,IF(COUNT(AA$61:AA69)&lt;=3*AD$31,AB$35,IF(COUNT(AA$61:AA69)&lt;=4*AD$31,AB$36)))))</f>
        <v>53.5</v>
      </c>
      <c r="AC69" s="173">
        <f>IF(AA69="","",IF(AB69=AB$33,AD$33+AD$32*(COUNT(AA$61:AA69)-1),IF(AB69=AB$34,AD$34+AD$32*(COUNT(AA$61:AA69)-AD$31-1),IF(AB69=AB$35,AD$34+AD$32*(COUNT(AA$61:AA69)-2*AD$31-1),IF(AB69=AB$36,AD$33+AD$32*(COUNT(AA$61:AA69)-3*AD$31-1))))))</f>
        <v>168</v>
      </c>
      <c r="AD69" s="180" cm="1">
        <f t="array" ref="AD69">IF(AB69="","",MAX($C$5,IF(AA69=90,IF(OR(AC69=AD$13,AC69=AD$14,AC69=AA$4-AD$14,AC69=AA$4-AD$13),AB$7,IF(OR(AB69=AB$20,AB69=AB$24),AB$8,IF(OR(AB69=AB$21:AB$23),AB$9))),AB$10)))</f>
        <v>18</v>
      </c>
      <c r="AE69" s="168"/>
      <c r="AF69" s="185">
        <f t="shared" si="69"/>
        <v>45</v>
      </c>
      <c r="AG69" s="173">
        <f>IF(AF69="","",IF(COUNT(AF$61:AF69)&lt;=AI$31,AG$33,IF(COUNT(AF$61:AF69)&lt;=2*AI$31,AG$34,IF(COUNT(AF$61:AF69)&lt;=3*AI$31,AG$35,IF(COUNT(AF$61:AF69)&lt;=4*AI$31,AG$36)))))</f>
        <v>53.5</v>
      </c>
      <c r="AH69" s="173">
        <f>IF(AF69="","",IF(AG69=AG$33,AI$33+AI$32*(COUNT(AF$61:AF69)-1),IF(AG69=AG$34,AI$34+AI$32*(COUNT(AF$61:AF69)-AI$31-1),IF(AG69=AG$35,AI$34+AI$32*(COUNT(AF$61:AF69)-2*AI$31-1),IF(AG69=AG$36,AI$33+AI$32*(COUNT(AF$61:AF69)-3*AI$31-1))))))</f>
        <v>284</v>
      </c>
      <c r="AI69" s="180" cm="1">
        <f t="array" ref="AI69">IF(AG69="","",MAX($C$5,IF(AF69=90,IF(OR(AH69=AI$13,AH69=AI$14,AH69=AF$4-AI$14,AH69=AF$4-AI$13),AG$7,IF(OR(AG69=AG$20,AG69=AG$24),AG$8,IF(OR(AG69=AG$21:AG$23),AG$9))),AG$10)))</f>
        <v>18</v>
      </c>
      <c r="AJ69" s="168"/>
      <c r="AK69" s="185">
        <f t="shared" si="70"/>
        <v>45</v>
      </c>
      <c r="AL69" s="173">
        <f>IF(AK69="","",IF(COUNT(AK$61:AK69)&lt;=AN$31,AL$33,IF(COUNT(AK$61:AK69)&lt;=2*AN$31,AL$34,IF(COUNT(AK$61:AK69)&lt;=3*AN$31,AL$35,IF(COUNT(AK$61:AK69)&lt;=4*AN$31,AL$36)))))</f>
        <v>96.5</v>
      </c>
      <c r="AM69" s="173">
        <f>IF(AK69="","",IF(AL69=AL$33,AN$33+AN$32*(COUNT(AK$61:AK69)-1),IF(AL69=AL$34,AN$34+AN$32*(COUNT(AK$61:AK69)-AN$31-1),IF(AL69=AL$35,AN$34+AN$32*(COUNT(AK$61:AK69)-2*AN$31-1),IF(AL69=AL$36,AN$33+AN$32*(COUNT(AK$61:AK69)-3*AN$31-1))))))</f>
        <v>226</v>
      </c>
      <c r="AN69" s="180" cm="1">
        <f t="array" ref="AN69">IF(AL69="","",MAX($C$5,IF(AK69=90,IF(OR(AM69=AN$13,AM69=AN$14,AM69=AK$4-AN$14,AM69=AK$4-AN$13),AL$7,IF(OR(AL69=AL$20,AL69=AL$24),AL$8,IF(OR(AL69=AL$21:AL$23),AL$9))),AL$10)))</f>
        <v>18</v>
      </c>
      <c r="AO69" s="168"/>
      <c r="AP69" s="198">
        <f t="shared" si="56"/>
        <v>45</v>
      </c>
      <c r="AQ69" s="199">
        <f>IF(AP69="","",IF(COUNT(AP$61:AP69)&lt;=AS$31,AQ$33,IF(COUNT(AP$61:AP69)&lt;=2*AS$31,AQ$34,IF(COUNT(AP$61:AP69)&lt;=3*AS$31,AQ$35,IF(COUNT(AP$61:AP69)&lt;=4*AS$31,AQ$36)))))</f>
        <v>10.5</v>
      </c>
      <c r="AR69" s="199">
        <f>IF(AP69="","",IF(AQ69=AQ$33,AS$33+AS$32*(COUNT(AP$61:AP69)-1),IF(AQ69=AQ$34,AS$34+AS$32*(COUNT(AP$61:AP69)-AS$31-1),IF(AQ69=AQ$35,AS$34+AS$32*(COUNT(AP$61:AP69)-2*AS$31-1),IF(AQ69=AQ$36,AS$33+AS$32*(COUNT(AP$61:AP69)-3*AS$31-1))))))</f>
        <v>762</v>
      </c>
      <c r="AS69" s="180" cm="1">
        <f t="array" ref="AS69">IF(AQ69="","",MAX($C$5,IF(AP69=90,IF(OR(AR69=AS$13,AR69=AS$14,AR69=AP$4-AS$14,AR69=AP$4-AS$13),AQ$7,IF(OR(AQ69=AQ$20,AQ69=AQ$24),AQ$8,IF(OR(AQ69=AQ$21:AQ$23),AQ$9))),AQ$10)))</f>
        <v>18</v>
      </c>
      <c r="AT69" s="277"/>
      <c r="AU69" s="185">
        <f t="shared" si="57"/>
        <v>45</v>
      </c>
      <c r="AV69" s="173">
        <f>IF(AU69="","",IF(COUNT(AU$61:AU69)&lt;=AX$31,AV$33,IF(COUNT(AU$61:AU69)&lt;=2*AX$31,AV$34,IF(COUNT(AU$61:AU69)&lt;=3*AX$31,AV$35))))</f>
        <v>50</v>
      </c>
      <c r="AW69" s="173">
        <f>IF(AU69="","",IF(AV69=AV$33,AX$33+AX$32*(COUNT(AU$61:AU69)-1),IF(AV69=AV$34,AX$34+AX$32*(COUNT(AU$61:AU69)-AX$31-1),IF(AV69=AV$35,AX$33+AX$32*(COUNT(AU$61:AU69)-2*AX$31-1)))))</f>
        <v>168</v>
      </c>
      <c r="AX69" s="180" cm="1">
        <f t="array" ref="AX69">IF(AV69="","",MAX($C$5,IF(AU69=90,IF(OR(AW69=AX$13,AW69=AX$14,AW69=AU$4-AX$14,AW69=AU$4-AX$13),AV$7,IF(OR(AV69=AV$20,AV69=AV$24),AV$8,IF(OR(AV69=AV$21:AV$23),AV$9))),AV$10)))</f>
        <v>17.5</v>
      </c>
      <c r="AY69" s="168"/>
      <c r="AZ69" s="185">
        <f t="shared" si="58"/>
        <v>45</v>
      </c>
      <c r="BA69" s="173">
        <f>IF(AZ69="","",IF(COUNT(AZ$61:AZ69)&lt;=BC$31,BA$33,IF(COUNT(AZ$61:AZ69)&lt;=2*BC$31,BA$34,IF(COUNT(AZ$61:AZ69)&lt;=3*BC$31,BA$35))))</f>
        <v>50</v>
      </c>
      <c r="BB69" s="173">
        <f>IF(AZ69="","",IF(BA69=BA$33,BC$33+BC$32*(COUNT(AZ$61:AZ69)-1),IF(BA69=BA$34,BC$34+BC$32*(COUNT(AZ$61:AZ69)-BC$31-1),IF(BA69=BA$35,BC$33+BC$32*(COUNT(AZ$61:AZ69)-2*BC$31-1)))))</f>
        <v>284</v>
      </c>
      <c r="BC69" s="180" cm="1">
        <f t="array" ref="BC69">IF(BA69="","",MAX($C$5,IF(AZ69=90,IF(OR(BB69=BC$13,BB69=BC$14,BB69=AZ$4-BC$14,BB69=AZ$4-BC$13),BA$7,IF(OR(BA69=BA$20,BA69=BA$24),BA$8,IF(OR(BA69=BA$21:BA$23),BA$9))),BA$10)))</f>
        <v>17.5</v>
      </c>
      <c r="BD69" s="168"/>
      <c r="BE69" s="185">
        <f t="shared" si="59"/>
        <v>45</v>
      </c>
      <c r="BF69" s="173">
        <f>IF(BE69="","",IF(COUNT(BE$61:BE69)&lt;=BH$31,BF$33,IF(COUNT(BE$61:BE69)&lt;=2*BH$31,BF$34,IF(COUNT(BE$61:BE69)&lt;=3*BH$31,BF$35))))</f>
        <v>89.2</v>
      </c>
      <c r="BG69" s="173">
        <f>IF(BE69="","",IF(BF69=BF$33,BH$33+BH$32*(COUNT(BE$61:BE69)-1),IF(BF69=BF$34,BH$34+BH$32*(COUNT(BE$61:BE69)-BH$31-1),IF(BF69=BF$35,BH$33+BH$32*(COUNT(BE$61:BE69)-2*BH$31-1)))))</f>
        <v>254</v>
      </c>
      <c r="BH69" s="180" cm="1">
        <f t="array" ref="BH69">IF(BF69="","",MAX($C$5,IF(BE69=90,IF(OR(BG69=BH$13,BG69=BH$14,BG69=BE$4-BH$14,BG69=BE$4-BH$13),BF$7,IF(OR(BF69=BF$20,BF69=BF$24),BF$8,IF(OR(BF69=BF$21:BF$23),BF$9))),BF$10)))</f>
        <v>17.5</v>
      </c>
      <c r="BI69" s="277"/>
      <c r="BJ69" s="185">
        <f t="shared" si="60"/>
        <v>45</v>
      </c>
      <c r="BK69" s="173">
        <f>IF(BJ69="","",IF(COUNT(BJ$61:BJ69)&lt;=BM$31-1,BK$33,IF(COUNT(BJ$61:BJ69)&lt;=2*BM$31-1,BK$34)))</f>
        <v>50.25</v>
      </c>
      <c r="BL69" s="173">
        <f>IF(BJ69="","",IF(BK69=BK$33,BM$33+BM$32*(COUNT(BJ$61:BJ69)-1),IF(BK69=BK$34,BM$34+BM$32*(COUNT(BJ$61:BJ69)-BM$31))))</f>
        <v>138</v>
      </c>
      <c r="BM69" s="180" cm="1">
        <f t="array" ref="BM69">IF(BK69="","",MAX($C$5,IF(BJ69=90,IF(OR(BL69=BM$13,BL69=BM$14,BL69=BJ$4-BM$14,BL69=BJ$4-BM$13),BK$7,IF(OR(BK69=BK$20,BK69=BK$24),BK$8,IF(OR(BK69=BK$21:BK$23),BK$9))),BK$10)))</f>
        <v>17.5</v>
      </c>
      <c r="BN69" s="168"/>
      <c r="BO69" s="185">
        <f t="shared" si="61"/>
        <v>45</v>
      </c>
      <c r="BP69" s="173">
        <f>IF(BO69="","",IF(COUNT(BO$61:BO69)&lt;=BR$31-1,BP$33,IF(COUNT(BO$61:BO69)&lt;=2*BR$31-1,BP$34)))</f>
        <v>50.25</v>
      </c>
      <c r="BQ69" s="173">
        <f>IF(BO69="","",IF(BP69=BP$33,BR$33+BR$32*(COUNT(BO$61:BO69)-1),IF(BP69=BP$34,BR$34+BR$32*(COUNT(BO$61:BO69)-BR$31))))</f>
        <v>254</v>
      </c>
      <c r="BR69" s="180" cm="1">
        <f t="array" ref="BR69">IF(BP69="","",MAX($C$5,IF(BO69=90,IF(OR(BQ69=BR$13,BQ69=BR$14,BQ69=BO$4-BR$14,BQ69=BO$4-BR$13),BP$7,IF(OR(BP69=BP$20,BP69=BP$24),BP$8,IF(OR(BP69=BP$21:BP$23),BP$9))),BP$10)))</f>
        <v>17.5</v>
      </c>
      <c r="BS69" s="168"/>
      <c r="BT69" s="185" t="str">
        <f t="shared" si="62"/>
        <v/>
      </c>
      <c r="BU69" s="173" t="str">
        <f>IF(BT69="","",IF(COUNT(BT$61:BT69)&lt;=BW$31-1,BU$33,IF(COUNT(BT$61:BT69)&lt;=2*BW$31-1,BU$34)))</f>
        <v/>
      </c>
      <c r="BV69" s="173" t="str">
        <f>IF(BT69="","",IF(BU69=BU$33,BW$33+BW$32*(COUNT(BT$61:BT69)-1),IF(BU69=BU$34,BW$34+BW$32*(COUNT(BT$61:BT69)-BW$31))))</f>
        <v/>
      </c>
      <c r="BW69" s="180" t="str" cm="1">
        <f t="array" ref="BW69">IF(BU69="","",MAX($C$5,IF(BT69=90,IF(OR(BV69=BW$13,BV69=BW$14,BV69=BT$4-BW$14,BV69=BT$4-BW$13),BU$7,IF(OR(BU69=BU$20,BU69=BU$24),BU$8,IF(OR(BU69=BU$21:BU$23),BU$9))),BU$10)))</f>
        <v/>
      </c>
      <c r="BX69" s="288"/>
    </row>
    <row r="70" spans="1:76">
      <c r="A70" s="168"/>
      <c r="B70" s="185">
        <f t="shared" si="63"/>
        <v>45</v>
      </c>
      <c r="C70" s="173">
        <f>IF(B70="","",IF(COUNT(B$61:B70)&lt;=E$31,C$33,IF(COUNT(B$61:B70)&lt;=2*E$31,C$34,IF(COUNT(B$61:B70)&lt;=3*E$31,C$35,IF(COUNT(B$61:B70)&lt;=4*E$31,C$36)))))</f>
        <v>10.5</v>
      </c>
      <c r="D70" s="173">
        <f>IF(B70="","",IF(C70=C$33,E$33+E$32*(COUNT(B$61:B70)-1),IF(C70=C$34,E$34+E$32*(COUNT(B$61:B70)-E$31-1),IF(C70=C$35,E$34+E$32*(COUNT(B$61:B70)-2*E$31-1),IF(C70=C$36,E$33+E$32*(COUNT(B$61:B70)-3*E$31-1))))))</f>
        <v>663</v>
      </c>
      <c r="E70" s="180" cm="1">
        <f t="array" ref="E70">IF(C70="","",MAX($C$5,IF(B70=90,IF(OR(D70=E$13,D70=E$14,D70=B$4-E$14,D70=B$4-E$13),C$7,IF(OR(C70=C$20,C70=C$24),C$8,IF(OR(C70=C$21:C$23),C$9))),C$10)))</f>
        <v>18</v>
      </c>
      <c r="F70" s="168"/>
      <c r="G70" s="185">
        <f t="shared" si="64"/>
        <v>45</v>
      </c>
      <c r="H70" s="173">
        <f>IF(G70="","",IF(COUNT(G$61:G70)&lt;=J$31,H$33,IF(COUNT(G$61:G70)&lt;=2*J$31,H$34,IF(COUNT(G$61:G70)&lt;=3*J$31,H$35,IF(COUNT(G$61:G70)&lt;=4*J$31,H$36)))))</f>
        <v>10.5</v>
      </c>
      <c r="I70" s="173">
        <f>IF(G70="","",IF(H70=H$33,J$33+J$32*(COUNT(G$61:G70)-1),IF(H70=H$34,J$34+J$32*(COUNT(G$61:G70)-J$31-1),IF(H70=H$35,J$34+J$32*(COUNT(G$61:G70)-2*J$31-1),IF(H70=H$36,J$33+J$32*(COUNT(G$61:G70)-3*J$31-1))))))</f>
        <v>663</v>
      </c>
      <c r="J70" s="180" cm="1">
        <f t="array" ref="J70">IF(H70="","",MAX($C$5,IF(G70=90,IF(OR(I70=J$13,I70=J$14,I70=G$4-J$14,I70=G$4-J$13),H$7,IF(OR(H70=H$20,H70=H$24),H$8,IF(OR(H70=H$21:H$23),H$9))),H$10)))</f>
        <v>18</v>
      </c>
      <c r="K70" s="168"/>
      <c r="L70" s="185">
        <f t="shared" si="65"/>
        <v>45</v>
      </c>
      <c r="M70" s="173">
        <f>IF(L70="","",IF(COUNT(L$61:L70)&lt;=O$31,M$33,IF(COUNT(L$61:L70)&lt;=2*O$31,M$34,IF(COUNT(L$61:L70)&lt;=3*O$31,M$35,IF(COUNT(L$61:L70)&lt;=4*O$31,M$36)))))</f>
        <v>10.5</v>
      </c>
      <c r="N70" s="173">
        <f>IF(L70="","",IF(M70=M$33,O$33+O$32*(COUNT(L$61:L70)-1),IF(M70=M$34,O$34+O$32*(COUNT(L$61:L70)-O$31-1),IF(M70=M$35,O$34+O$32*(COUNT(L$61:L70)-2*O$31-1),IF(M70=M$36,O$33+O$32*(COUNT(L$61:L70)-3*O$31-1))))))</f>
        <v>672</v>
      </c>
      <c r="O70" s="180" cm="1">
        <f t="array" ref="O70">IF(M70="","",MAX($C$5,IF(L70=90,IF(OR(N70=O$13,N70=O$14,N70=L$4-O$14,N70=L$4-O$13),M$7,IF(OR(M70=M$20,M70=M$24),M$8,IF(OR(M70=M$21:M$23),M$9))),M$10)))</f>
        <v>18</v>
      </c>
      <c r="P70" s="168"/>
      <c r="Q70" s="185">
        <f t="shared" si="66"/>
        <v>45</v>
      </c>
      <c r="R70" s="173">
        <f>IF(Q70="","",IF(COUNT(Q$61:Q70)&lt;=T$31,R$33,IF(COUNT(Q$61:Q70)&lt;=2*T$31,R$34,IF(COUNT(Q$61:Q70)&lt;=3*T$31,R$35,IF(COUNT(Q$61:Q70)&lt;=4*T$31,R$36)))))</f>
        <v>10.5</v>
      </c>
      <c r="S70" s="173">
        <f>IF(Q70="","",IF(R70=R$33,T$33+T$32*(COUNT(Q$61:Q70)-1),IF(R70=R$34,T$34+T$32*(COUNT(Q$61:Q70)-T$31-1),IF(R70=R$35,T$34+T$32*(COUNT(Q$61:Q70)-2*T$31-1),IF(R70=R$36,T$33+T$32*(COUNT(Q$61:Q70)-3*T$31-1))))))</f>
        <v>669</v>
      </c>
      <c r="T70" s="180" cm="1">
        <f t="array" ref="T70">IF(R70="","",MAX($C$5,IF(Q70=90,IF(OR(S70=T$13,S70=T$14,S70=Q$4-T$14,S70=Q$4-T$13),R$7,IF(OR(R70=R$20,R70=R$24),R$8,IF(OR(R70=R$21:R$23),R$9))),R$10)))</f>
        <v>18</v>
      </c>
      <c r="U70" s="168"/>
      <c r="V70" s="185">
        <f t="shared" si="67"/>
        <v>45</v>
      </c>
      <c r="W70" s="173">
        <f>IF(V70="","",IF(COUNT(V$61:V70)&lt;=Y$31,W$33,IF(COUNT(V$61:V70)&lt;=2*Y$31,W$34,IF(COUNT(V$61:V70)&lt;=3*Y$31,W$35,IF(COUNT(V$61:V70)&lt;=4*Y$31,W$36)))))</f>
        <v>53.5</v>
      </c>
      <c r="X70" s="173">
        <f>IF(V70="","",IF(W70=W$33,Y$33+Y$32*(COUNT(V$61:V70)-1),IF(W70=W$34,Y$34+Y$32*(COUNT(V$61:V70)-Y$31-1),IF(W70=W$35,Y$34+Y$32*(COUNT(V$61:V70)-2*Y$31-1),IF(W70=W$36,Y$33+Y$32*(COUNT(V$61:V70)-3*Y$31-1))))))</f>
        <v>178.5</v>
      </c>
      <c r="Y70" s="180" cm="1">
        <f t="array" ref="Y70">IF(W70="","",MAX($C$5,IF(V70=90,IF(OR(X70=Y$13,X70=Y$14,X70=V$4-Y$14,X70=V$4-Y$13),W$7,IF(OR(W70=W$20,W70=W$24),W$8,IF(OR(W70=W$21:W$23),W$9))),W$10)))</f>
        <v>18</v>
      </c>
      <c r="Z70" s="168"/>
      <c r="AA70" s="185">
        <f t="shared" si="68"/>
        <v>45</v>
      </c>
      <c r="AB70" s="173">
        <f>IF(AA70="","",IF(COUNT(AA$61:AA70)&lt;=AD$31,AB$33,IF(COUNT(AA$61:AA70)&lt;=2*AD$31,AB$34,IF(COUNT(AA$61:AA70)&lt;=3*AD$31,AB$35,IF(COUNT(AA$61:AA70)&lt;=4*AD$31,AB$36)))))</f>
        <v>53.5</v>
      </c>
      <c r="AC70" s="173">
        <f>IF(AA70="","",IF(AB70=AB$33,AD$33+AD$32*(COUNT(AA$61:AA70)-1),IF(AB70=AB$34,AD$34+AD$32*(COUNT(AA$61:AA70)-AD$31-1),IF(AB70=AB$35,AD$34+AD$32*(COUNT(AA$61:AA70)-2*AD$31-1),IF(AB70=AB$36,AD$33+AD$32*(COUNT(AA$61:AA70)-3*AD$31-1))))))</f>
        <v>226</v>
      </c>
      <c r="AD70" s="180" cm="1">
        <f t="array" ref="AD70">IF(AB70="","",MAX($C$5,IF(AA70=90,IF(OR(AC70=AD$13,AC70=AD$14,AC70=AA$4-AD$14,AC70=AA$4-AD$13),AB$7,IF(OR(AB70=AB$20,AB70=AB$24),AB$8,IF(OR(AB70=AB$21:AB$23),AB$9))),AB$10)))</f>
        <v>18</v>
      </c>
      <c r="AE70" s="168"/>
      <c r="AF70" s="185">
        <f t="shared" si="69"/>
        <v>45</v>
      </c>
      <c r="AG70" s="173">
        <f>IF(AF70="","",IF(COUNT(AF$61:AF70)&lt;=AI$31,AG$33,IF(COUNT(AF$61:AF70)&lt;=2*AI$31,AG$34,IF(COUNT(AF$61:AF70)&lt;=3*AI$31,AG$35,IF(COUNT(AF$61:AF70)&lt;=4*AI$31,AG$36)))))</f>
        <v>53.5</v>
      </c>
      <c r="AH70" s="173">
        <f>IF(AF70="","",IF(AG70=AG$33,AI$33+AI$32*(COUNT(AF$61:AF70)-1),IF(AG70=AG$34,AI$34+AI$32*(COUNT(AF$61:AF70)-AI$31-1),IF(AG70=AG$35,AI$34+AI$32*(COUNT(AF$61:AF70)-2*AI$31-1),IF(AG70=AG$36,AI$33+AI$32*(COUNT(AF$61:AF70)-3*AI$31-1))))))</f>
        <v>342</v>
      </c>
      <c r="AI70" s="180" cm="1">
        <f t="array" ref="AI70">IF(AG70="","",MAX($C$5,IF(AF70=90,IF(OR(AH70=AI$13,AH70=AI$14,AH70=AF$4-AI$14,AH70=AF$4-AI$13),AG$7,IF(OR(AG70=AG$20,AG70=AG$24),AG$8,IF(OR(AG70=AG$21:AG$23),AG$9))),AG$10)))</f>
        <v>18</v>
      </c>
      <c r="AJ70" s="168"/>
      <c r="AK70" s="185">
        <f t="shared" si="70"/>
        <v>45</v>
      </c>
      <c r="AL70" s="173">
        <f>IF(AK70="","",IF(COUNT(AK$61:AK70)&lt;=AN$31,AL$33,IF(COUNT(AK$61:AK70)&lt;=2*AN$31,AL$34,IF(COUNT(AK$61:AK70)&lt;=3*AN$31,AL$35,IF(COUNT(AK$61:AK70)&lt;=4*AN$31,AL$36)))))</f>
        <v>139.5</v>
      </c>
      <c r="AM70" s="173">
        <f>IF(AK70="","",IF(AL70=AL$33,AN$33+AN$32*(COUNT(AK$61:AK70)-1),IF(AL70=AL$34,AN$34+AN$32*(COUNT(AK$61:AK70)-AN$31-1),IF(AL70=AL$35,AN$34+AN$32*(COUNT(AK$61:AK70)-2*AN$31-1),IF(AL70=AL$36,AN$33+AN$32*(COUNT(AK$61:AK70)-3*AN$31-1))))))</f>
        <v>134</v>
      </c>
      <c r="AN70" s="180" cm="1">
        <f t="array" ref="AN70">IF(AL70="","",MAX($C$5,IF(AK70=90,IF(OR(AM70=AN$13,AM70=AN$14,AM70=AK$4-AN$14,AM70=AK$4-AN$13),AL$7,IF(OR(AL70=AL$20,AL70=AL$24),AL$8,IF(OR(AL70=AL$21:AL$23),AL$9))),AL$10)))</f>
        <v>18</v>
      </c>
      <c r="AO70" s="168"/>
      <c r="AP70" s="198">
        <f t="shared" si="56"/>
        <v>45</v>
      </c>
      <c r="AQ70" s="199">
        <f>IF(AP70="","",IF(COUNT(AP$61:AP70)&lt;=AS$31,AQ$33,IF(COUNT(AP$61:AP70)&lt;=2*AS$31,AQ$34,IF(COUNT(AP$61:AP70)&lt;=3*AS$31,AQ$35,IF(COUNT(AP$61:AP70)&lt;=4*AS$31,AQ$36)))))</f>
        <v>10.5</v>
      </c>
      <c r="AR70" s="199">
        <f>IF(AP70="","",IF(AQ70=AQ$33,AS$33+AS$32*(COUNT(AP$61:AP70)-1),IF(AQ70=AQ$34,AS$34+AS$32*(COUNT(AP$61:AP70)-AS$31-1),IF(AQ70=AQ$35,AS$34+AS$32*(COUNT(AP$61:AP70)-2*AS$31-1),IF(AQ70=AQ$36,AS$33+AS$32*(COUNT(AP$61:AP70)-3*AS$31-1))))))</f>
        <v>819</v>
      </c>
      <c r="AS70" s="180" cm="1">
        <f t="array" ref="AS70">IF(AQ70="","",MAX($C$5,IF(AP70=90,IF(OR(AR70=AS$13,AR70=AS$14,AR70=AP$4-AS$14,AR70=AP$4-AS$13),AQ$7,IF(OR(AQ70=AQ$20,AQ70=AQ$24),AQ$8,IF(OR(AQ70=AQ$21:AQ$23),AQ$9))),AQ$10)))</f>
        <v>18</v>
      </c>
      <c r="AT70" s="277"/>
      <c r="AU70" s="185">
        <f t="shared" si="57"/>
        <v>45</v>
      </c>
      <c r="AV70" s="173">
        <f>IF(AU70="","",IF(COUNT(AU$61:AU70)&lt;=AX$31,AV$33,IF(COUNT(AU$61:AU70)&lt;=2*AX$31,AV$34,IF(COUNT(AU$61:AU70)&lt;=3*AX$31,AV$35))))</f>
        <v>50</v>
      </c>
      <c r="AW70" s="173">
        <f>IF(AU70="","",IF(AV70=AV$33,AX$33+AX$32*(COUNT(AU$61:AU70)-1),IF(AV70=AV$34,AX$34+AX$32*(COUNT(AU$61:AU70)-AX$31-1),IF(AV70=AV$35,AX$33+AX$32*(COUNT(AU$61:AU70)-2*AX$31-1)))))</f>
        <v>226</v>
      </c>
      <c r="AX70" s="180" cm="1">
        <f t="array" ref="AX70">IF(AV70="","",MAX($C$5,IF(AU70=90,IF(OR(AW70=AX$13,AW70=AX$14,AW70=AU$4-AX$14,AW70=AU$4-AX$13),AV$7,IF(OR(AV70=AV$20,AV70=AV$24),AV$8,IF(OR(AV70=AV$21:AV$23),AV$9))),AV$10)))</f>
        <v>17.5</v>
      </c>
      <c r="AY70" s="168"/>
      <c r="AZ70" s="185">
        <f t="shared" si="58"/>
        <v>45</v>
      </c>
      <c r="BA70" s="173">
        <f>IF(AZ70="","",IF(COUNT(AZ$61:AZ70)&lt;=BC$31,BA$33,IF(COUNT(AZ$61:AZ70)&lt;=2*BC$31,BA$34,IF(COUNT(AZ$61:AZ70)&lt;=3*BC$31,BA$35))))</f>
        <v>50</v>
      </c>
      <c r="BB70" s="173">
        <f>IF(AZ70="","",IF(BA70=BA$33,BC$33+BC$32*(COUNT(AZ$61:AZ70)-1),IF(BA70=BA$34,BC$34+BC$32*(COUNT(AZ$61:AZ70)-BC$31-1),IF(BA70=BA$35,BC$33+BC$32*(COUNT(AZ$61:AZ70)-2*BC$31-1)))))</f>
        <v>342</v>
      </c>
      <c r="BC70" s="180" cm="1">
        <f t="array" ref="BC70">IF(BA70="","",MAX($C$5,IF(AZ70=90,IF(OR(BB70=BC$13,BB70=BC$14,BB70=AZ$4-BC$14,BB70=AZ$4-BC$13),BA$7,IF(OR(BA70=BA$20,BA70=BA$24),BA$8,IF(OR(BA70=BA$21:BA$23),BA$9))),BA$10)))</f>
        <v>17.5</v>
      </c>
      <c r="BD70" s="168"/>
      <c r="BE70" s="185" t="str">
        <f t="shared" si="59"/>
        <v/>
      </c>
      <c r="BF70" s="173" t="str">
        <f>IF(BE70="","",IF(COUNT(BE$61:BE70)&lt;=BH$31,BF$33,IF(COUNT(BE$61:BE70)&lt;=2*BH$31,BF$34,IF(COUNT(BE$61:BE70)&lt;=3*BH$31,BF$35))))</f>
        <v/>
      </c>
      <c r="BG70" s="173" t="str">
        <f>IF(BE70="","",IF(BF70=BF$33,BH$33+BH$32*(COUNT(BE$61:BE70)-1),IF(BF70=BF$34,BH$34+BH$32*(COUNT(BE$61:BE70)-BH$31-1),IF(BF70=BF$35,BH$33+BH$32*(COUNT(BE$61:BE70)-2*BH$31-1)))))</f>
        <v/>
      </c>
      <c r="BH70" s="180" t="str" cm="1">
        <f t="array" ref="BH70">IF(BF70="","",MAX($C$5,IF(BE70=90,IF(OR(BG70=BH$13,BG70=BH$14,BG70=BE$4-BH$14,BG70=BE$4-BH$13),BF$7,IF(OR(BF70=BF$20,BF70=BF$24),BF$8,IF(OR(BF70=BF$21:BF$23),BF$9))),BF$10)))</f>
        <v/>
      </c>
      <c r="BI70" s="277"/>
      <c r="BJ70" s="185">
        <f t="shared" si="60"/>
        <v>45</v>
      </c>
      <c r="BK70" s="173">
        <f>IF(BJ70="","",IF(COUNT(BJ$61:BJ70)&lt;=BM$31-1,BK$33,IF(COUNT(BJ$61:BJ70)&lt;=2*BM$31-1,BK$34)))</f>
        <v>50.25</v>
      </c>
      <c r="BL70" s="173">
        <f>IF(BJ70="","",IF(BK70=BK$33,BM$33+BM$32*(COUNT(BJ$61:BJ70)-1),IF(BK70=BK$34,BM$34+BM$32*(COUNT(BJ$61:BJ70)-BM$31))))</f>
        <v>196</v>
      </c>
      <c r="BM70" s="180" cm="1">
        <f t="array" ref="BM70">IF(BK70="","",MAX($C$5,IF(BJ70=90,IF(OR(BL70=BM$13,BL70=BM$14,BL70=BJ$4-BM$14,BL70=BJ$4-BM$13),BK$7,IF(OR(BK70=BK$20,BK70=BK$24),BK$8,IF(OR(BK70=BK$21:BK$23),BK$9))),BK$10)))</f>
        <v>17.5</v>
      </c>
      <c r="BN70" s="168"/>
      <c r="BO70" s="185">
        <f t="shared" si="61"/>
        <v>45</v>
      </c>
      <c r="BP70" s="173">
        <f>IF(BO70="","",IF(COUNT(BO$61:BO70)&lt;=BR$31-1,BP$33,IF(COUNT(BO$61:BO70)&lt;=2*BR$31-1,BP$34)))</f>
        <v>50.25</v>
      </c>
      <c r="BQ70" s="173">
        <f>IF(BO70="","",IF(BP70=BP$33,BR$33+BR$32*(COUNT(BO$61:BO70)-1),IF(BP70=BP$34,BR$34+BR$32*(COUNT(BO$61:BO70)-BR$31))))</f>
        <v>312</v>
      </c>
      <c r="BR70" s="180" cm="1">
        <f t="array" ref="BR70">IF(BP70="","",MAX($C$5,IF(BO70=90,IF(OR(BQ70=BR$13,BQ70=BR$14,BQ70=BO$4-BR$14,BQ70=BO$4-BR$13),BP$7,IF(OR(BP70=BP$20,BP70=BP$24),BP$8,IF(OR(BP70=BP$21:BP$23),BP$9))),BP$10)))</f>
        <v>17.5</v>
      </c>
      <c r="BS70" s="168"/>
      <c r="BT70" s="185" t="str">
        <f t="shared" si="62"/>
        <v/>
      </c>
      <c r="BU70" s="173" t="str">
        <f>IF(BT70="","",IF(COUNT(BT$61:BT70)&lt;=BW$31-1,BU$33,IF(COUNT(BT$61:BT70)&lt;=2*BW$31-1,BU$34)))</f>
        <v/>
      </c>
      <c r="BV70" s="173" t="str">
        <f>IF(BT70="","",IF(BU70=BU$33,BW$33+BW$32*(COUNT(BT$61:BT70)-1),IF(BU70=BU$34,BW$34+BW$32*(COUNT(BT$61:BT70)-BW$31))))</f>
        <v/>
      </c>
      <c r="BW70" s="180" t="str" cm="1">
        <f t="array" ref="BW70">IF(BU70="","",MAX($C$5,IF(BT70=90,IF(OR(BV70=BW$13,BV70=BW$14,BV70=BT$4-BW$14,BV70=BT$4-BW$13),BU$7,IF(OR(BU70=BU$20,BU70=BU$24),BU$8,IF(OR(BU70=BU$21:BU$23),BU$9))),BU$10)))</f>
        <v/>
      </c>
      <c r="BX70" s="288"/>
    </row>
    <row r="71" spans="1:76">
      <c r="A71" s="168"/>
      <c r="B71" s="185">
        <f t="shared" si="63"/>
        <v>45</v>
      </c>
      <c r="C71" s="173">
        <f>IF(B71="","",IF(COUNT(B$61:B71)&lt;=E$31,C$33,IF(COUNT(B$61:B71)&lt;=2*E$31,C$34,IF(COUNT(B$61:B71)&lt;=3*E$31,C$35,IF(COUNT(B$61:B71)&lt;=4*E$31,C$36)))))</f>
        <v>10.5</v>
      </c>
      <c r="D71" s="173">
        <f>IF(B71="","",IF(C71=C$33,E$33+E$32*(COUNT(B$61:B71)-1),IF(C71=C$34,E$34+E$32*(COUNT(B$61:B71)-E$31-1),IF(C71=C$35,E$34+E$32*(COUNT(B$61:B71)-2*E$31-1),IF(C71=C$36,E$33+E$32*(COUNT(B$61:B71)-3*E$31-1))))))</f>
        <v>720</v>
      </c>
      <c r="E71" s="180" cm="1">
        <f t="array" ref="E71">IF(C71="","",MAX($C$5,IF(B71=90,IF(OR(D71=E$13,D71=E$14,D71=B$4-E$14,D71=B$4-E$13),C$7,IF(OR(C71=C$20,C71=C$24),C$8,IF(OR(C71=C$21:C$23),C$9))),C$10)))</f>
        <v>18</v>
      </c>
      <c r="F71" s="168"/>
      <c r="G71" s="185">
        <f t="shared" si="64"/>
        <v>45</v>
      </c>
      <c r="H71" s="173">
        <f>IF(G71="","",IF(COUNT(G$61:G71)&lt;=J$31,H$33,IF(COUNT(G$61:G71)&lt;=2*J$31,H$34,IF(COUNT(G$61:G71)&lt;=3*J$31,H$35,IF(COUNT(G$61:G71)&lt;=4*J$31,H$36)))))</f>
        <v>10.5</v>
      </c>
      <c r="I71" s="173">
        <f>IF(G71="","",IF(H71=H$33,J$33+J$32*(COUNT(G$61:G71)-1),IF(H71=H$34,J$34+J$32*(COUNT(G$61:G71)-J$31-1),IF(H71=H$35,J$34+J$32*(COUNT(G$61:G71)-2*J$31-1),IF(H71=H$36,J$33+J$32*(COUNT(G$61:G71)-3*J$31-1))))))</f>
        <v>720</v>
      </c>
      <c r="J71" s="180" cm="1">
        <f t="array" ref="J71">IF(H71="","",MAX($C$5,IF(G71=90,IF(OR(I71=J$13,I71=J$14,I71=G$4-J$14,I71=G$4-J$13),H$7,IF(OR(H71=H$20,H71=H$24),H$8,IF(OR(H71=H$21:H$23),H$9))),H$10)))</f>
        <v>18</v>
      </c>
      <c r="K71" s="168"/>
      <c r="L71" s="185">
        <f t="shared" si="65"/>
        <v>45</v>
      </c>
      <c r="M71" s="173">
        <f>IF(L71="","",IF(COUNT(L$61:L71)&lt;=O$31,M$33,IF(COUNT(L$61:L71)&lt;=2*O$31,M$34,IF(COUNT(L$61:L71)&lt;=3*O$31,M$35,IF(COUNT(L$61:L71)&lt;=4*O$31,M$36)))))</f>
        <v>10.5</v>
      </c>
      <c r="N71" s="173">
        <f>IF(L71="","",IF(M71=M$33,O$33+O$32*(COUNT(L$61:L71)-1),IF(M71=M$34,O$34+O$32*(COUNT(L$61:L71)-O$31-1),IF(M71=M$35,O$34+O$32*(COUNT(L$61:L71)-2*O$31-1),IF(M71=M$36,O$33+O$32*(COUNT(L$61:L71)-3*O$31-1))))))</f>
        <v>729</v>
      </c>
      <c r="O71" s="180" cm="1">
        <f t="array" ref="O71">IF(M71="","",MAX($C$5,IF(L71=90,IF(OR(N71=O$13,N71=O$14,N71=L$4-O$14,N71=L$4-O$13),M$7,IF(OR(M71=M$20,M71=M$24),M$8,IF(OR(M71=M$21:M$23),M$9))),M$10)))</f>
        <v>18</v>
      </c>
      <c r="P71" s="168"/>
      <c r="Q71" s="185">
        <f t="shared" si="66"/>
        <v>45</v>
      </c>
      <c r="R71" s="173">
        <f>IF(Q71="","",IF(COUNT(Q$61:Q71)&lt;=T$31,R$33,IF(COUNT(Q$61:Q71)&lt;=2*T$31,R$34,IF(COUNT(Q$61:Q71)&lt;=3*T$31,R$35,IF(COUNT(Q$61:Q71)&lt;=4*T$31,R$36)))))</f>
        <v>53.5</v>
      </c>
      <c r="S71" s="173">
        <f>IF(Q71="","",IF(R71=R$33,T$33+T$32*(COUNT(Q$61:Q71)-1),IF(R71=R$34,T$34+T$32*(COUNT(Q$61:Q71)-T$31-1),IF(R71=R$35,T$34+T$32*(COUNT(Q$61:Q71)-2*T$31-1),IF(R71=R$36,T$33+T$32*(COUNT(Q$61:Q71)-3*T$31-1))))))</f>
        <v>127</v>
      </c>
      <c r="T71" s="180" cm="1">
        <f t="array" ref="T71">IF(R71="","",MAX($C$5,IF(Q71=90,IF(OR(S71=T$13,S71=T$14,S71=Q$4-T$14,S71=Q$4-T$13),R$7,IF(OR(R71=R$20,R71=R$24),R$8,IF(OR(R71=R$21:R$23),R$9))),R$10)))</f>
        <v>18</v>
      </c>
      <c r="U71" s="168"/>
      <c r="V71" s="185">
        <f t="shared" si="67"/>
        <v>45</v>
      </c>
      <c r="W71" s="173">
        <f>IF(V71="","",IF(COUNT(V$61:V71)&lt;=Y$31,W$33,IF(COUNT(V$61:V71)&lt;=2*Y$31,W$34,IF(COUNT(V$61:V71)&lt;=3*Y$31,W$35,IF(COUNT(V$61:V71)&lt;=4*Y$31,W$36)))))</f>
        <v>53.5</v>
      </c>
      <c r="X71" s="173">
        <f>IF(V71="","",IF(W71=W$33,Y$33+Y$32*(COUNT(V$61:V71)-1),IF(W71=W$34,Y$34+Y$32*(COUNT(V$61:V71)-Y$31-1),IF(W71=W$35,Y$34+Y$32*(COUNT(V$61:V71)-2*Y$31-1),IF(W71=W$36,Y$33+Y$32*(COUNT(V$61:V71)-3*Y$31-1))))))</f>
        <v>235.5</v>
      </c>
      <c r="Y71" s="180" cm="1">
        <f t="array" ref="Y71">IF(W71="","",MAX($C$5,IF(V71=90,IF(OR(X71=Y$13,X71=Y$14,X71=V$4-Y$14,X71=V$4-Y$13),W$7,IF(OR(W71=W$20,W71=W$24),W$8,IF(OR(W71=W$21:W$23),W$9))),W$10)))</f>
        <v>18</v>
      </c>
      <c r="Z71" s="168"/>
      <c r="AA71" s="185">
        <f t="shared" si="68"/>
        <v>45</v>
      </c>
      <c r="AB71" s="173">
        <f>IF(AA71="","",IF(COUNT(AA$61:AA71)&lt;=AD$31,AB$33,IF(COUNT(AA$61:AA71)&lt;=2*AD$31,AB$34,IF(COUNT(AA$61:AA71)&lt;=3*AD$31,AB$35,IF(COUNT(AA$61:AA71)&lt;=4*AD$31,AB$36)))))</f>
        <v>53.5</v>
      </c>
      <c r="AC71" s="173">
        <f>IF(AA71="","",IF(AB71=AB$33,AD$33+AD$32*(COUNT(AA$61:AA71)-1),IF(AB71=AB$34,AD$34+AD$32*(COUNT(AA$61:AA71)-AD$31-1),IF(AB71=AB$35,AD$34+AD$32*(COUNT(AA$61:AA71)-2*AD$31-1),IF(AB71=AB$36,AD$33+AD$32*(COUNT(AA$61:AA71)-3*AD$31-1))))))</f>
        <v>284</v>
      </c>
      <c r="AD71" s="180" cm="1">
        <f t="array" ref="AD71">IF(AB71="","",MAX($C$5,IF(AA71=90,IF(OR(AC71=AD$13,AC71=AD$14,AC71=AA$4-AD$14,AC71=AA$4-AD$13),AB$7,IF(OR(AB71=AB$20,AB71=AB$24),AB$8,IF(OR(AB71=AB$21:AB$23),AB$9))),AB$10)))</f>
        <v>18</v>
      </c>
      <c r="AE71" s="168"/>
      <c r="AF71" s="185">
        <f t="shared" si="69"/>
        <v>45</v>
      </c>
      <c r="AG71" s="173">
        <f>IF(AF71="","",IF(COUNT(AF$61:AF71)&lt;=AI$31,AG$33,IF(COUNT(AF$61:AF71)&lt;=2*AI$31,AG$34,IF(COUNT(AF$61:AF71)&lt;=3*AI$31,AG$35,IF(COUNT(AF$61:AF71)&lt;=4*AI$31,AG$36)))))</f>
        <v>96.5</v>
      </c>
      <c r="AH71" s="173">
        <f>IF(AF71="","",IF(AG71=AG$33,AI$33+AI$32*(COUNT(AF$61:AF71)-1),IF(AG71=AG$34,AI$34+AI$32*(COUNT(AF$61:AF71)-AI$31-1),IF(AG71=AG$35,AI$34+AI$32*(COUNT(AF$61:AF71)-2*AI$31-1),IF(AG71=AG$36,AI$33+AI$32*(COUNT(AF$61:AF71)-3*AI$31-1))))))</f>
        <v>110</v>
      </c>
      <c r="AI71" s="180" cm="1">
        <f t="array" ref="AI71">IF(AG71="","",MAX($C$5,IF(AF71=90,IF(OR(AH71=AI$13,AH71=AI$14,AH71=AF$4-AI$14,AH71=AF$4-AI$13),AG$7,IF(OR(AG71=AG$20,AG71=AG$24),AG$8,IF(OR(AG71=AG$21:AG$23),AG$9))),AG$10)))</f>
        <v>18</v>
      </c>
      <c r="AJ71" s="168"/>
      <c r="AK71" s="185">
        <f t="shared" si="70"/>
        <v>45</v>
      </c>
      <c r="AL71" s="173">
        <f>IF(AK71="","",IF(COUNT(AK$61:AK71)&lt;=AN$31,AL$33,IF(COUNT(AK$61:AK71)&lt;=2*AN$31,AL$34,IF(COUNT(AK$61:AK71)&lt;=3*AN$31,AL$35,IF(COUNT(AK$61:AK71)&lt;=4*AN$31,AL$36)))))</f>
        <v>139.5</v>
      </c>
      <c r="AM71" s="173">
        <f>IF(AK71="","",IF(AL71=AL$33,AN$33+AN$32*(COUNT(AK$61:AK71)-1),IF(AL71=AL$34,AN$34+AN$32*(COUNT(AK$61:AK71)-AN$31-1),IF(AL71=AL$35,AN$34+AN$32*(COUNT(AK$61:AK71)-2*AN$31-1),IF(AL71=AL$36,AN$33+AN$32*(COUNT(AK$61:AK71)-3*AN$31-1))))))</f>
        <v>192</v>
      </c>
      <c r="AN71" s="180" cm="1">
        <f t="array" ref="AN71">IF(AL71="","",MAX($C$5,IF(AK71=90,IF(OR(AM71=AN$13,AM71=AN$14,AM71=AK$4-AN$14,AM71=AK$4-AN$13),AL$7,IF(OR(AL71=AL$20,AL71=AL$24),AL$8,IF(OR(AL71=AL$21:AL$23),AL$9))),AL$10)))</f>
        <v>18</v>
      </c>
      <c r="AO71" s="168"/>
      <c r="AP71" s="198">
        <f t="shared" si="56"/>
        <v>45</v>
      </c>
      <c r="AQ71" s="199">
        <f>IF(AP71="","",IF(COUNT(AP$61:AP71)&lt;=AS$31,AQ$33,IF(COUNT(AP$61:AP71)&lt;=2*AS$31,AQ$34,IF(COUNT(AP$61:AP71)&lt;=3*AS$31,AQ$35,IF(COUNT(AP$61:AP71)&lt;=4*AS$31,AQ$36)))))</f>
        <v>53.5</v>
      </c>
      <c r="AR71" s="199">
        <f>IF(AP71="","",IF(AQ71=AQ$33,AS$33+AS$32*(COUNT(AP$61:AP71)-1),IF(AQ71=AQ$34,AS$34+AS$32*(COUNT(AP$61:AP71)-AS$31-1),IF(AQ71=AQ$35,AS$34+AS$32*(COUNT(AP$61:AP71)-2*AS$31-1),IF(AQ71=AQ$36,AS$33+AS$32*(COUNT(AP$61:AP71)-3*AS$31-1))))))</f>
        <v>277</v>
      </c>
      <c r="AS71" s="180" cm="1">
        <f t="array" ref="AS71">IF(AQ71="","",MAX($C$5,IF(AP71=90,IF(OR(AR71=AS$13,AR71=AS$14,AR71=AP$4-AS$14,AR71=AP$4-AS$13),AQ$7,IF(OR(AQ71=AQ$20,AQ71=AQ$24),AQ$8,IF(OR(AQ71=AQ$21:AQ$23),AQ$9))),AQ$10)))</f>
        <v>18</v>
      </c>
      <c r="AT71" s="277"/>
      <c r="AU71" s="185">
        <f t="shared" si="57"/>
        <v>45</v>
      </c>
      <c r="AV71" s="173">
        <f>IF(AU71="","",IF(COUNT(AU$61:AU71)&lt;=AX$31,AV$33,IF(COUNT(AU$61:AU71)&lt;=2*AX$31,AV$34,IF(COUNT(AU$61:AU71)&lt;=3*AX$31,AV$35))))</f>
        <v>50</v>
      </c>
      <c r="AW71" s="173">
        <f>IF(AU71="","",IF(AV71=AV$33,AX$33+AX$32*(COUNT(AU$61:AU71)-1),IF(AV71=AV$34,AX$34+AX$32*(COUNT(AU$61:AU71)-AX$31-1),IF(AV71=AV$35,AX$33+AX$32*(COUNT(AU$61:AU71)-2*AX$31-1)))))</f>
        <v>284</v>
      </c>
      <c r="AX71" s="180" cm="1">
        <f t="array" ref="AX71">IF(AV71="","",MAX($C$5,IF(AU71=90,IF(OR(AW71=AX$13,AW71=AX$14,AW71=AU$4-AX$14,AW71=AU$4-AX$13),AV$7,IF(OR(AV71=AV$20,AV71=AV$24),AV$8,IF(OR(AV71=AV$21:AV$23),AV$9))),AV$10)))</f>
        <v>17.5</v>
      </c>
      <c r="AY71" s="168"/>
      <c r="AZ71" s="185">
        <f t="shared" si="58"/>
        <v>45</v>
      </c>
      <c r="BA71" s="173">
        <f>IF(AZ71="","",IF(COUNT(AZ$61:AZ71)&lt;=BC$31,BA$33,IF(COUNT(AZ$61:AZ71)&lt;=2*BC$31,BA$34,IF(COUNT(AZ$61:AZ71)&lt;=3*BC$31,BA$35))))</f>
        <v>89.2</v>
      </c>
      <c r="BB71" s="173">
        <f>IF(AZ71="","",IF(BA71=BA$33,BC$33+BC$32*(COUNT(AZ$61:AZ71)-1),IF(BA71=BA$34,BC$34+BC$32*(COUNT(AZ$61:AZ71)-BC$31-1),IF(BA71=BA$35,BC$33+BC$32*(COUNT(AZ$61:AZ71)-2*BC$31-1)))))</f>
        <v>138</v>
      </c>
      <c r="BC71" s="180" cm="1">
        <f t="array" ref="BC71">IF(BA71="","",MAX($C$5,IF(AZ71=90,IF(OR(BB71=BC$13,BB71=BC$14,BB71=AZ$4-BC$14,BB71=AZ$4-BC$13),BA$7,IF(OR(BA71=BA$20,BA71=BA$24),BA$8,IF(OR(BA71=BA$21:BA$23),BA$9))),BA$10)))</f>
        <v>17.5</v>
      </c>
      <c r="BD71" s="168"/>
      <c r="BE71" s="185" t="str">
        <f t="shared" si="59"/>
        <v/>
      </c>
      <c r="BF71" s="173" t="str">
        <f>IF(BE71="","",IF(COUNT(BE$61:BE71)&lt;=BH$31,BF$33,IF(COUNT(BE$61:BE71)&lt;=2*BH$31,BF$34,IF(COUNT(BE$61:BE71)&lt;=3*BH$31,BF$35))))</f>
        <v/>
      </c>
      <c r="BG71" s="173" t="str">
        <f>IF(BE71="","",IF(BF71=BF$33,BH$33+BH$32*(COUNT(BE$61:BE71)-1),IF(BF71=BF$34,BH$34+BH$32*(COUNT(BE$61:BE71)-BH$31-1),IF(BF71=BF$35,BH$33+BH$32*(COUNT(BE$61:BE71)-2*BH$31-1)))))</f>
        <v/>
      </c>
      <c r="BH71" s="180" t="str" cm="1">
        <f t="array" ref="BH71">IF(BF71="","",MAX($C$5,IF(BE71=90,IF(OR(BG71=BH$13,BG71=BH$14,BG71=BE$4-BH$14,BG71=BE$4-BH$13),BF$7,IF(OR(BF71=BF$20,BF71=BF$24),BF$8,IF(OR(BF71=BF$21:BF$23),BF$9))),BF$10)))</f>
        <v/>
      </c>
      <c r="BI71" s="277"/>
      <c r="BJ71" s="185">
        <f t="shared" si="60"/>
        <v>45</v>
      </c>
      <c r="BK71" s="173">
        <f>IF(BJ71="","",IF(COUNT(BJ$61:BJ71)&lt;=BM$31-1,BK$33,IF(COUNT(BJ$61:BJ71)&lt;=2*BM$31-1,BK$34)))</f>
        <v>50.25</v>
      </c>
      <c r="BL71" s="173">
        <f>IF(BJ71="","",IF(BK71=BK$33,BM$33+BM$32*(COUNT(BJ$61:BJ71)-1),IF(BK71=BK$34,BM$34+BM$32*(COUNT(BJ$61:BJ71)-BM$31))))</f>
        <v>254</v>
      </c>
      <c r="BM71" s="180" cm="1">
        <f t="array" ref="BM71">IF(BK71="","",MAX($C$5,IF(BJ71=90,IF(OR(BL71=BM$13,BL71=BM$14,BL71=BJ$4-BM$14,BL71=BJ$4-BM$13),BK$7,IF(OR(BK71=BK$20,BK71=BK$24),BK$8,IF(OR(BK71=BK$21:BK$23),BK$9))),BK$10)))</f>
        <v>17.5</v>
      </c>
      <c r="BN71" s="168"/>
      <c r="BO71" s="185">
        <f t="shared" si="61"/>
        <v>45</v>
      </c>
      <c r="BP71" s="173">
        <f>IF(BO71="","",IF(COUNT(BO$61:BO71)&lt;=BR$31-1,BP$33,IF(COUNT(BO$61:BO71)&lt;=2*BR$31-1,BP$34)))</f>
        <v>50.25</v>
      </c>
      <c r="BQ71" s="173">
        <f>IF(BO71="","",IF(BP71=BP$33,BR$33+BR$32*(COUNT(BO$61:BO71)-1),IF(BP71=BP$34,BR$34+BR$32*(COUNT(BO$61:BO71)-BR$31))))</f>
        <v>370</v>
      </c>
      <c r="BR71" s="180" cm="1">
        <f t="array" ref="BR71">IF(BP71="","",MAX($C$5,IF(BO71=90,IF(OR(BQ71=BR$13,BQ71=BR$14,BQ71=BO$4-BR$14,BQ71=BO$4-BR$13),BP$7,IF(OR(BP71=BP$20,BP71=BP$24),BP$8,IF(OR(BP71=BP$21:BP$23),BP$9))),BP$10)))</f>
        <v>17.5</v>
      </c>
      <c r="BS71" s="168"/>
      <c r="BT71" s="185" t="str">
        <f t="shared" si="62"/>
        <v/>
      </c>
      <c r="BU71" s="173" t="str">
        <f>IF(BT71="","",IF(COUNT(BT$61:BT71)&lt;=BW$31-1,BU$33,IF(COUNT(BT$61:BT71)&lt;=2*BW$31-1,BU$34)))</f>
        <v/>
      </c>
      <c r="BV71" s="173" t="str">
        <f>IF(BT71="","",IF(BU71=BU$33,BW$33+BW$32*(COUNT(BT$61:BT71)-1),IF(BU71=BU$34,BW$34+BW$32*(COUNT(BT$61:BT71)-BW$31))))</f>
        <v/>
      </c>
      <c r="BW71" s="180" t="str" cm="1">
        <f t="array" ref="BW71">IF(BU71="","",MAX($C$5,IF(BT71=90,IF(OR(BV71=BW$13,BV71=BW$14,BV71=BT$4-BW$14,BV71=BT$4-BW$13),BU$7,IF(OR(BU71=BU$20,BU71=BU$24),BU$8,IF(OR(BU71=BU$21:BU$23),BU$9))),BU$10)))</f>
        <v/>
      </c>
      <c r="BX71" s="288"/>
    </row>
    <row r="72" spans="1:76">
      <c r="A72" s="168"/>
      <c r="B72" s="185">
        <f t="shared" si="63"/>
        <v>45</v>
      </c>
      <c r="C72" s="173">
        <f>IF(B72="","",IF(COUNT(B$61:B72)&lt;=E$31,C$33,IF(COUNT(B$61:B72)&lt;=2*E$31,C$34,IF(COUNT(B$61:B72)&lt;=3*E$31,C$35,IF(COUNT(B$61:B72)&lt;=4*E$31,C$36)))))</f>
        <v>10.5</v>
      </c>
      <c r="D72" s="173">
        <f>IF(B72="","",IF(C72=C$33,E$33+E$32*(COUNT(B$61:B72)-1),IF(C72=C$34,E$34+E$32*(COUNT(B$61:B72)-E$31-1),IF(C72=C$35,E$34+E$32*(COUNT(B$61:B72)-2*E$31-1),IF(C72=C$36,E$33+E$32*(COUNT(B$61:B72)-3*E$31-1))))))</f>
        <v>777</v>
      </c>
      <c r="E72" s="180" cm="1">
        <f t="array" ref="E72">IF(C72="","",MAX($C$5,IF(B72=90,IF(OR(D72=E$13,D72=E$14,D72=B$4-E$14,D72=B$4-E$13),C$7,IF(OR(C72=C$20,C72=C$24),C$8,IF(OR(C72=C$21:C$23),C$9))),C$10)))</f>
        <v>18</v>
      </c>
      <c r="F72" s="168"/>
      <c r="G72" s="185">
        <f t="shared" si="64"/>
        <v>45</v>
      </c>
      <c r="H72" s="173">
        <f>IF(G72="","",IF(COUNT(G$61:G72)&lt;=J$31,H$33,IF(COUNT(G$61:G72)&lt;=2*J$31,H$34,IF(COUNT(G$61:G72)&lt;=3*J$31,H$35,IF(COUNT(G$61:G72)&lt;=4*J$31,H$36)))))</f>
        <v>10.5</v>
      </c>
      <c r="I72" s="173">
        <f>IF(G72="","",IF(H72=H$33,J$33+J$32*(COUNT(G$61:G72)-1),IF(H72=H$34,J$34+J$32*(COUNT(G$61:G72)-J$31-1),IF(H72=H$35,J$34+J$32*(COUNT(G$61:G72)-2*J$31-1),IF(H72=H$36,J$33+J$32*(COUNT(G$61:G72)-3*J$31-1))))))</f>
        <v>777</v>
      </c>
      <c r="J72" s="180" cm="1">
        <f t="array" ref="J72">IF(H72="","",MAX($C$5,IF(G72=90,IF(OR(I72=J$13,I72=J$14,I72=G$4-J$14,I72=G$4-J$13),H$7,IF(OR(H72=H$20,H72=H$24),H$8,IF(OR(H72=H$21:H$23),H$9))),H$10)))</f>
        <v>18</v>
      </c>
      <c r="K72" s="168"/>
      <c r="L72" s="185">
        <f t="shared" si="65"/>
        <v>45</v>
      </c>
      <c r="M72" s="173">
        <f>IF(L72="","",IF(COUNT(L$61:L72)&lt;=O$31,M$33,IF(COUNT(L$61:L72)&lt;=2*O$31,M$34,IF(COUNT(L$61:L72)&lt;=3*O$31,M$35,IF(COUNT(L$61:L72)&lt;=4*O$31,M$36)))))</f>
        <v>53.5</v>
      </c>
      <c r="N72" s="173">
        <f>IF(L72="","",IF(M72=M$33,O$33+O$32*(COUNT(L$61:L72)-1),IF(M72=M$34,O$34+O$32*(COUNT(L$61:L72)-O$31-1),IF(M72=M$35,O$34+O$32*(COUNT(L$61:L72)-2*O$31-1),IF(M72=M$36,O$33+O$32*(COUNT(L$61:L72)-3*O$31-1))))))</f>
        <v>130</v>
      </c>
      <c r="O72" s="180" cm="1">
        <f t="array" ref="O72">IF(M72="","",MAX($C$5,IF(L72=90,IF(OR(N72=O$13,N72=O$14,N72=L$4-O$14,N72=L$4-O$13),M$7,IF(OR(M72=M$20,M72=M$24),M$8,IF(OR(M72=M$21:M$23),M$9))),M$10)))</f>
        <v>18</v>
      </c>
      <c r="P72" s="168"/>
      <c r="Q72" s="185">
        <f t="shared" si="66"/>
        <v>45</v>
      </c>
      <c r="R72" s="173">
        <f>IF(Q72="","",IF(COUNT(Q$61:Q72)&lt;=T$31,R$33,IF(COUNT(Q$61:Q72)&lt;=2*T$31,R$34,IF(COUNT(Q$61:Q72)&lt;=3*T$31,R$35,IF(COUNT(Q$61:Q72)&lt;=4*T$31,R$36)))))</f>
        <v>53.5</v>
      </c>
      <c r="S72" s="173">
        <f>IF(Q72="","",IF(R72=R$33,T$33+T$32*(COUNT(Q$61:Q72)-1),IF(R72=R$34,T$34+T$32*(COUNT(Q$61:Q72)-T$31-1),IF(R72=R$35,T$34+T$32*(COUNT(Q$61:Q72)-2*T$31-1),IF(R72=R$36,T$33+T$32*(COUNT(Q$61:Q72)-3*T$31-1))))))</f>
        <v>184</v>
      </c>
      <c r="T72" s="180" cm="1">
        <f t="array" ref="T72">IF(R72="","",MAX($C$5,IF(Q72=90,IF(OR(S72=T$13,S72=T$14,S72=Q$4-T$14,S72=Q$4-T$13),R$7,IF(OR(R72=R$20,R72=R$24),R$8,IF(OR(R72=R$21:R$23),R$9))),R$10)))</f>
        <v>18</v>
      </c>
      <c r="U72" s="168"/>
      <c r="V72" s="185">
        <f t="shared" si="67"/>
        <v>45</v>
      </c>
      <c r="W72" s="173">
        <f>IF(V72="","",IF(COUNT(V$61:V72)&lt;=Y$31,W$33,IF(COUNT(V$61:V72)&lt;=2*Y$31,W$34,IF(COUNT(V$61:V72)&lt;=3*Y$31,W$35,IF(COUNT(V$61:V72)&lt;=4*Y$31,W$36)))))</f>
        <v>53.5</v>
      </c>
      <c r="X72" s="173">
        <f>IF(V72="","",IF(W72=W$33,Y$33+Y$32*(COUNT(V$61:V72)-1),IF(W72=W$34,Y$34+Y$32*(COUNT(V$61:V72)-Y$31-1),IF(W72=W$35,Y$34+Y$32*(COUNT(V$61:V72)-2*Y$31-1),IF(W72=W$36,Y$33+Y$32*(COUNT(V$61:V72)-3*Y$31-1))))))</f>
        <v>292.5</v>
      </c>
      <c r="Y72" s="180" cm="1">
        <f t="array" ref="Y72">IF(W72="","",MAX($C$5,IF(V72=90,IF(OR(X72=Y$13,X72=Y$14,X72=V$4-Y$14,X72=V$4-Y$13),W$7,IF(OR(W72=W$20,W72=W$24),W$8,IF(OR(W72=W$21:W$23),W$9))),W$10)))</f>
        <v>18</v>
      </c>
      <c r="Z72" s="168"/>
      <c r="AA72" s="185">
        <f t="shared" si="68"/>
        <v>45</v>
      </c>
      <c r="AB72" s="173">
        <f>IF(AA72="","",IF(COUNT(AA$61:AA72)&lt;=AD$31,AB$33,IF(COUNT(AA$61:AA72)&lt;=2*AD$31,AB$34,IF(COUNT(AA$61:AA72)&lt;=3*AD$31,AB$35,IF(COUNT(AA$61:AA72)&lt;=4*AD$31,AB$36)))))</f>
        <v>53.5</v>
      </c>
      <c r="AC72" s="173">
        <f>IF(AA72="","",IF(AB72=AB$33,AD$33+AD$32*(COUNT(AA$61:AA72)-1),IF(AB72=AB$34,AD$34+AD$32*(COUNT(AA$61:AA72)-AD$31-1),IF(AB72=AB$35,AD$34+AD$32*(COUNT(AA$61:AA72)-2*AD$31-1),IF(AB72=AB$36,AD$33+AD$32*(COUNT(AA$61:AA72)-3*AD$31-1))))))</f>
        <v>342</v>
      </c>
      <c r="AD72" s="180" cm="1">
        <f t="array" ref="AD72">IF(AB72="","",MAX($C$5,IF(AA72=90,IF(OR(AC72=AD$13,AC72=AD$14,AC72=AA$4-AD$14,AC72=AA$4-AD$13),AB$7,IF(OR(AB72=AB$20,AB72=AB$24),AB$8,IF(OR(AB72=AB$21:AB$23),AB$9))),AB$10)))</f>
        <v>18</v>
      </c>
      <c r="AE72" s="168"/>
      <c r="AF72" s="185">
        <f t="shared" si="69"/>
        <v>45</v>
      </c>
      <c r="AG72" s="173">
        <f>IF(AF72="","",IF(COUNT(AF$61:AF72)&lt;=AI$31,AG$33,IF(COUNT(AF$61:AF72)&lt;=2*AI$31,AG$34,IF(COUNT(AF$61:AF72)&lt;=3*AI$31,AG$35,IF(COUNT(AF$61:AF72)&lt;=4*AI$31,AG$36)))))</f>
        <v>96.5</v>
      </c>
      <c r="AH72" s="173">
        <f>IF(AF72="","",IF(AG72=AG$33,AI$33+AI$32*(COUNT(AF$61:AF72)-1),IF(AG72=AG$34,AI$34+AI$32*(COUNT(AF$61:AF72)-AI$31-1),IF(AG72=AG$35,AI$34+AI$32*(COUNT(AF$61:AF72)-2*AI$31-1),IF(AG72=AG$36,AI$33+AI$32*(COUNT(AF$61:AF72)-3*AI$31-1))))))</f>
        <v>168</v>
      </c>
      <c r="AI72" s="180" cm="1">
        <f t="array" ref="AI72">IF(AG72="","",MAX($C$5,IF(AF72=90,IF(OR(AH72=AI$13,AH72=AI$14,AH72=AF$4-AI$14,AH72=AF$4-AI$13),AG$7,IF(OR(AG72=AG$20,AG72=AG$24),AG$8,IF(OR(AG72=AG$21:AG$23),AG$9))),AG$10)))</f>
        <v>18</v>
      </c>
      <c r="AJ72" s="168"/>
      <c r="AK72" s="185">
        <f t="shared" si="70"/>
        <v>45</v>
      </c>
      <c r="AL72" s="173">
        <f>IF(AK72="","",IF(COUNT(AK$61:AK72)&lt;=AN$31,AL$33,IF(COUNT(AK$61:AK72)&lt;=2*AN$31,AL$34,IF(COUNT(AK$61:AK72)&lt;=3*AN$31,AL$35,IF(COUNT(AK$61:AK72)&lt;=4*AN$31,AL$36)))))</f>
        <v>139.5</v>
      </c>
      <c r="AM72" s="173">
        <f>IF(AK72="","",IF(AL72=AL$33,AN$33+AN$32*(COUNT(AK$61:AK72)-1),IF(AL72=AL$34,AN$34+AN$32*(COUNT(AK$61:AK72)-AN$31-1),IF(AL72=AL$35,AN$34+AN$32*(COUNT(AK$61:AK72)-2*AN$31-1),IF(AL72=AL$36,AN$33+AN$32*(COUNT(AK$61:AK72)-3*AN$31-1))))))</f>
        <v>250</v>
      </c>
      <c r="AN72" s="180" cm="1">
        <f t="array" ref="AN72">IF(AL72="","",MAX($C$5,IF(AK72=90,IF(OR(AM72=AN$13,AM72=AN$14,AM72=AK$4-AN$14,AM72=AK$4-AN$13),AL$7,IF(OR(AL72=AL$20,AL72=AL$24),AL$8,IF(OR(AL72=AL$21:AL$23),AL$9))),AL$10)))</f>
        <v>18</v>
      </c>
      <c r="AO72" s="168"/>
      <c r="AP72" s="198">
        <f t="shared" si="56"/>
        <v>45</v>
      </c>
      <c r="AQ72" s="199">
        <f>IF(AP72="","",IF(COUNT(AP$61:AP72)&lt;=AS$31,AQ$33,IF(COUNT(AP$61:AP72)&lt;=2*AS$31,AQ$34,IF(COUNT(AP$61:AP72)&lt;=3*AS$31,AQ$35,IF(COUNT(AP$61:AP72)&lt;=4*AS$31,AQ$36)))))</f>
        <v>53.5</v>
      </c>
      <c r="AR72" s="199">
        <f>IF(AP72="","",IF(AQ72=AQ$33,AS$33+AS$32*(COUNT(AP$61:AP72)-1),IF(AQ72=AQ$34,AS$34+AS$32*(COUNT(AP$61:AP72)-AS$31-1),IF(AQ72=AQ$35,AS$34+AS$32*(COUNT(AP$61:AP72)-2*AS$31-1),IF(AQ72=AQ$36,AS$33+AS$32*(COUNT(AP$61:AP72)-3*AS$31-1))))))</f>
        <v>334</v>
      </c>
      <c r="AS72" s="180" cm="1">
        <f t="array" ref="AS72">IF(AQ72="","",MAX($C$5,IF(AP72=90,IF(OR(AR72=AS$13,AR72=AS$14,AR72=AP$4-AS$14,AR72=AP$4-AS$13),AQ$7,IF(OR(AQ72=AQ$20,AQ72=AQ$24),AQ$8,IF(OR(AQ72=AQ$21:AQ$23),AQ$9))),AQ$10)))</f>
        <v>18</v>
      </c>
      <c r="AT72" s="277"/>
      <c r="AU72" s="185">
        <f t="shared" si="57"/>
        <v>45</v>
      </c>
      <c r="AV72" s="173">
        <f>IF(AU72="","",IF(COUNT(AU$61:AU72)&lt;=AX$31,AV$33,IF(COUNT(AU$61:AU72)&lt;=2*AX$31,AV$34,IF(COUNT(AU$61:AU72)&lt;=3*AX$31,AV$35))))</f>
        <v>50</v>
      </c>
      <c r="AW72" s="173">
        <f>IF(AU72="","",IF(AV72=AV$33,AX$33+AX$32*(COUNT(AU$61:AU72)-1),IF(AV72=AV$34,AX$34+AX$32*(COUNT(AU$61:AU72)-AX$31-1),IF(AV72=AV$35,AX$33+AX$32*(COUNT(AU$61:AU72)-2*AX$31-1)))))</f>
        <v>342</v>
      </c>
      <c r="AX72" s="180" cm="1">
        <f t="array" ref="AX72">IF(AV72="","",MAX($C$5,IF(AU72=90,IF(OR(AW72=AX$13,AW72=AX$14,AW72=AU$4-AX$14,AW72=AU$4-AX$13),AV$7,IF(OR(AV72=AV$20,AV72=AV$24),AV$8,IF(OR(AV72=AV$21:AV$23),AV$9))),AV$10)))</f>
        <v>17.5</v>
      </c>
      <c r="AY72" s="168"/>
      <c r="AZ72" s="185">
        <f t="shared" si="58"/>
        <v>45</v>
      </c>
      <c r="BA72" s="173">
        <f>IF(AZ72="","",IF(COUNT(AZ$61:AZ72)&lt;=BC$31,BA$33,IF(COUNT(AZ$61:AZ72)&lt;=2*BC$31,BA$34,IF(COUNT(AZ$61:AZ72)&lt;=3*BC$31,BA$35))))</f>
        <v>89.2</v>
      </c>
      <c r="BB72" s="173">
        <f>IF(AZ72="","",IF(BA72=BA$33,BC$33+BC$32*(COUNT(AZ$61:AZ72)-1),IF(BA72=BA$34,BC$34+BC$32*(COUNT(AZ$61:AZ72)-BC$31-1),IF(BA72=BA$35,BC$33+BC$32*(COUNT(AZ$61:AZ72)-2*BC$31-1)))))</f>
        <v>196</v>
      </c>
      <c r="BC72" s="180" cm="1">
        <f t="array" ref="BC72">IF(BA72="","",MAX($C$5,IF(AZ72=90,IF(OR(BB72=BC$13,BB72=BC$14,BB72=AZ$4-BC$14,BB72=AZ$4-BC$13),BA$7,IF(OR(BA72=BA$20,BA72=BA$24),BA$8,IF(OR(BA72=BA$21:BA$23),BA$9))),BA$10)))</f>
        <v>17.5</v>
      </c>
      <c r="BD72" s="168"/>
      <c r="BE72" s="185" t="str">
        <f t="shared" si="59"/>
        <v/>
      </c>
      <c r="BF72" s="173" t="str">
        <f>IF(BE72="","",IF(COUNT(BE$61:BE72)&lt;=BH$31,BF$33,IF(COUNT(BE$61:BE72)&lt;=2*BH$31,BF$34,IF(COUNT(BE$61:BE72)&lt;=3*BH$31,BF$35))))</f>
        <v/>
      </c>
      <c r="BG72" s="173" t="str">
        <f>IF(BE72="","",IF(BF72=BF$33,BH$33+BH$32*(COUNT(BE$61:BE72)-1),IF(BF72=BF$34,BH$34+BH$32*(COUNT(BE$61:BE72)-BH$31-1),IF(BF72=BF$35,BH$33+BH$32*(COUNT(BE$61:BE72)-2*BH$31-1)))))</f>
        <v/>
      </c>
      <c r="BH72" s="180" t="str" cm="1">
        <f t="array" ref="BH72">IF(BF72="","",MAX($C$5,IF(BE72=90,IF(OR(BG72=BH$13,BG72=BH$14,BG72=BE$4-BH$14,BG72=BE$4-BH$13),BF$7,IF(OR(BF72=BF$20,BF72=BF$24),BF$8,IF(OR(BF72=BF$21:BF$23),BF$9))),BF$10)))</f>
        <v/>
      </c>
      <c r="BI72" s="277"/>
      <c r="BJ72" s="185">
        <f t="shared" si="60"/>
        <v>45</v>
      </c>
      <c r="BK72" s="173">
        <f>IF(BJ72="","",IF(COUNT(BJ$61:BJ72)&lt;=BM$31-1,BK$33,IF(COUNT(BJ$61:BJ72)&lt;=2*BM$31-1,BK$34)))</f>
        <v>50.25</v>
      </c>
      <c r="BL72" s="173">
        <f>IF(BJ72="","",IF(BK72=BK$33,BM$33+BM$32*(COUNT(BJ$61:BJ72)-1),IF(BK72=BK$34,BM$34+BM$32*(COUNT(BJ$61:BJ72)-BM$31))))</f>
        <v>312</v>
      </c>
      <c r="BM72" s="180" cm="1">
        <f t="array" ref="BM72">IF(BK72="","",MAX($C$5,IF(BJ72=90,IF(OR(BL72=BM$13,BL72=BM$14,BL72=BJ$4-BM$14,BL72=BJ$4-BM$13),BK$7,IF(OR(BK72=BK$20,BK72=BK$24),BK$8,IF(OR(BK72=BK$21:BK$23),BK$9))),BK$10)))</f>
        <v>17.5</v>
      </c>
      <c r="BN72" s="168"/>
      <c r="BO72" s="185" t="str">
        <f t="shared" si="61"/>
        <v/>
      </c>
      <c r="BP72" s="173" t="str">
        <f>IF(BO72="","",IF(COUNT(BO$61:BO72)&lt;=BR$31-1,BP$33,IF(COUNT(BO$61:BO72)&lt;=2*BR$31-1,BP$34)))</f>
        <v/>
      </c>
      <c r="BQ72" s="173" t="str">
        <f>IF(BO72="","",IF(BP72=BP$33,BR$33+BR$32*(COUNT(BO$61:BO72)-1),IF(BP72=BP$34,BR$34+BR$32*(COUNT(BO$61:BO72)-BR$31))))</f>
        <v/>
      </c>
      <c r="BR72" s="180" t="str" cm="1">
        <f t="array" ref="BR72">IF(BP72="","",MAX($C$5,IF(BO72=90,IF(OR(BQ72=BR$13,BQ72=BR$14,BQ72=BO$4-BR$14,BQ72=BO$4-BR$13),BP$7,IF(OR(BP72=BP$20,BP72=BP$24),BP$8,IF(OR(BP72=BP$21:BP$23),BP$9))),BP$10)))</f>
        <v/>
      </c>
      <c r="BS72" s="168"/>
      <c r="BT72" s="185" t="str">
        <f t="shared" si="62"/>
        <v/>
      </c>
      <c r="BU72" s="173" t="str">
        <f>IF(BT72="","",IF(COUNT(BT$61:BT72)&lt;=BW$31-1,BU$33,IF(COUNT(BT$61:BT72)&lt;=2*BW$31-1,BU$34)))</f>
        <v/>
      </c>
      <c r="BV72" s="173" t="str">
        <f>IF(BT72="","",IF(BU72=BU$33,BW$33+BW$32*(COUNT(BT$61:BT72)-1),IF(BU72=BU$34,BW$34+BW$32*(COUNT(BT$61:BT72)-BW$31))))</f>
        <v/>
      </c>
      <c r="BW72" s="180" t="str" cm="1">
        <f t="array" ref="BW72">IF(BU72="","",MAX($C$5,IF(BT72=90,IF(OR(BV72=BW$13,BV72=BW$14,BV72=BT$4-BW$14,BV72=BT$4-BW$13),BU$7,IF(OR(BU72=BU$20,BU72=BU$24),BU$8,IF(OR(BU72=BU$21:BU$23),BU$9))),BU$10)))</f>
        <v/>
      </c>
      <c r="BX72" s="288"/>
    </row>
    <row r="73" spans="1:76">
      <c r="A73" s="168"/>
      <c r="B73" s="185">
        <f t="shared" si="63"/>
        <v>45</v>
      </c>
      <c r="C73" s="173">
        <f>IF(B73="","",IF(COUNT(B$61:B73)&lt;=E$31,C$33,IF(COUNT(B$61:B73)&lt;=2*E$31,C$34,IF(COUNT(B$61:B73)&lt;=3*E$31,C$35,IF(COUNT(B$61:B73)&lt;=4*E$31,C$36)))))</f>
        <v>53.5</v>
      </c>
      <c r="D73" s="173">
        <f>IF(B73="","",IF(C73=C$33,E$33+E$32*(COUNT(B$61:B73)-1),IF(C73=C$34,E$34+E$32*(COUNT(B$61:B73)-E$31-1),IF(C73=C$35,E$34+E$32*(COUNT(B$61:B73)-2*E$31-1),IF(C73=C$36,E$33+E$32*(COUNT(B$61:B73)-3*E$31-1))))))</f>
        <v>121</v>
      </c>
      <c r="E73" s="180" cm="1">
        <f t="array" ref="E73">IF(C73="","",MAX($C$5,IF(B73=90,IF(OR(D73=E$13,D73=E$14,D73=B$4-E$14,D73=B$4-E$13),C$7,IF(OR(C73=C$20,C73=C$24),C$8,IF(OR(C73=C$21:C$23),C$9))),C$10)))</f>
        <v>18</v>
      </c>
      <c r="F73" s="168"/>
      <c r="G73" s="185">
        <f t="shared" si="64"/>
        <v>45</v>
      </c>
      <c r="H73" s="173">
        <f>IF(G73="","",IF(COUNT(G$61:G73)&lt;=J$31,H$33,IF(COUNT(G$61:G73)&lt;=2*J$31,H$34,IF(COUNT(G$61:G73)&lt;=3*J$31,H$35,IF(COUNT(G$61:G73)&lt;=4*J$31,H$36)))))</f>
        <v>53.5</v>
      </c>
      <c r="I73" s="173">
        <f>IF(G73="","",IF(H73=H$33,J$33+J$32*(COUNT(G$61:G73)-1),IF(H73=H$34,J$34+J$32*(COUNT(G$61:G73)-J$31-1),IF(H73=H$35,J$34+J$32*(COUNT(G$61:G73)-2*J$31-1),IF(H73=H$36,J$33+J$32*(COUNT(G$61:G73)-3*J$31-1))))))</f>
        <v>121</v>
      </c>
      <c r="J73" s="180" cm="1">
        <f t="array" ref="J73">IF(H73="","",MAX($C$5,IF(G73=90,IF(OR(I73=J$13,I73=J$14,I73=G$4-J$14,I73=G$4-J$13),H$7,IF(OR(H73=H$20,H73=H$24),H$8,IF(OR(H73=H$21:H$23),H$9))),H$10)))</f>
        <v>18</v>
      </c>
      <c r="K73" s="168"/>
      <c r="L73" s="185">
        <f t="shared" si="65"/>
        <v>45</v>
      </c>
      <c r="M73" s="173">
        <f>IF(L73="","",IF(COUNT(L$61:L73)&lt;=O$31,M$33,IF(COUNT(L$61:L73)&lt;=2*O$31,M$34,IF(COUNT(L$61:L73)&lt;=3*O$31,M$35,IF(COUNT(L$61:L73)&lt;=4*O$31,M$36)))))</f>
        <v>53.5</v>
      </c>
      <c r="N73" s="173">
        <f>IF(L73="","",IF(M73=M$33,O$33+O$32*(COUNT(L$61:L73)-1),IF(M73=M$34,O$34+O$32*(COUNT(L$61:L73)-O$31-1),IF(M73=M$35,O$34+O$32*(COUNT(L$61:L73)-2*O$31-1),IF(M73=M$36,O$33+O$32*(COUNT(L$61:L73)-3*O$31-1))))))</f>
        <v>187</v>
      </c>
      <c r="O73" s="180" cm="1">
        <f t="array" ref="O73">IF(M73="","",MAX($C$5,IF(L73=90,IF(OR(N73=O$13,N73=O$14,N73=L$4-O$14,N73=L$4-O$13),M$7,IF(OR(M73=M$20,M73=M$24),M$8,IF(OR(M73=M$21:M$23),M$9))),M$10)))</f>
        <v>18</v>
      </c>
      <c r="P73" s="168"/>
      <c r="Q73" s="185">
        <f t="shared" si="66"/>
        <v>45</v>
      </c>
      <c r="R73" s="173">
        <f>IF(Q73="","",IF(COUNT(Q$61:Q73)&lt;=T$31,R$33,IF(COUNT(Q$61:Q73)&lt;=2*T$31,R$34,IF(COUNT(Q$61:Q73)&lt;=3*T$31,R$35,IF(COUNT(Q$61:Q73)&lt;=4*T$31,R$36)))))</f>
        <v>53.5</v>
      </c>
      <c r="S73" s="173">
        <f>IF(Q73="","",IF(R73=R$33,T$33+T$32*(COUNT(Q$61:Q73)-1),IF(R73=R$34,T$34+T$32*(COUNT(Q$61:Q73)-T$31-1),IF(R73=R$35,T$34+T$32*(COUNT(Q$61:Q73)-2*T$31-1),IF(R73=R$36,T$33+T$32*(COUNT(Q$61:Q73)-3*T$31-1))))))</f>
        <v>241</v>
      </c>
      <c r="T73" s="180" cm="1">
        <f t="array" ref="T73">IF(R73="","",MAX($C$5,IF(Q73=90,IF(OR(S73=T$13,S73=T$14,S73=Q$4-T$14,S73=Q$4-T$13),R$7,IF(OR(R73=R$20,R73=R$24),R$8,IF(OR(R73=R$21:R$23),R$9))),R$10)))</f>
        <v>18</v>
      </c>
      <c r="U73" s="168"/>
      <c r="V73" s="185">
        <f t="shared" si="67"/>
        <v>45</v>
      </c>
      <c r="W73" s="173">
        <f>IF(V73="","",IF(COUNT(V$61:V73)&lt;=Y$31,W$33,IF(COUNT(V$61:V73)&lt;=2*Y$31,W$34,IF(COUNT(V$61:V73)&lt;=3*Y$31,W$35,IF(COUNT(V$61:V73)&lt;=4*Y$31,W$36)))))</f>
        <v>53.5</v>
      </c>
      <c r="X73" s="173">
        <f>IF(V73="","",IF(W73=W$33,Y$33+Y$32*(COUNT(V$61:V73)-1),IF(W73=W$34,Y$34+Y$32*(COUNT(V$61:V73)-Y$31-1),IF(W73=W$35,Y$34+Y$32*(COUNT(V$61:V73)-2*Y$31-1),IF(W73=W$36,Y$33+Y$32*(COUNT(V$61:V73)-3*Y$31-1))))))</f>
        <v>349.5</v>
      </c>
      <c r="Y73" s="180" cm="1">
        <f t="array" ref="Y73">IF(W73="","",MAX($C$5,IF(V73=90,IF(OR(X73=Y$13,X73=Y$14,X73=V$4-Y$14,X73=V$4-Y$13),W$7,IF(OR(W73=W$20,W73=W$24),W$8,IF(OR(W73=W$21:W$23),W$9))),W$10)))</f>
        <v>18</v>
      </c>
      <c r="Z73" s="168"/>
      <c r="AA73" s="185">
        <f t="shared" si="68"/>
        <v>45</v>
      </c>
      <c r="AB73" s="173">
        <f>IF(AA73="","",IF(COUNT(AA$61:AA73)&lt;=AD$31,AB$33,IF(COUNT(AA$61:AA73)&lt;=2*AD$31,AB$34,IF(COUNT(AA$61:AA73)&lt;=3*AD$31,AB$35,IF(COUNT(AA$61:AA73)&lt;=4*AD$31,AB$36)))))</f>
        <v>53.5</v>
      </c>
      <c r="AC73" s="173">
        <f>IF(AA73="","",IF(AB73=AB$33,AD$33+AD$32*(COUNT(AA$61:AA73)-1),IF(AB73=AB$34,AD$34+AD$32*(COUNT(AA$61:AA73)-AD$31-1),IF(AB73=AB$35,AD$34+AD$32*(COUNT(AA$61:AA73)-2*AD$31-1),IF(AB73=AB$36,AD$33+AD$32*(COUNT(AA$61:AA73)-3*AD$31-1))))))</f>
        <v>400</v>
      </c>
      <c r="AD73" s="180" cm="1">
        <f t="array" ref="AD73">IF(AB73="","",MAX($C$5,IF(AA73=90,IF(OR(AC73=AD$13,AC73=AD$14,AC73=AA$4-AD$14,AC73=AA$4-AD$13),AB$7,IF(OR(AB73=AB$20,AB73=AB$24),AB$8,IF(OR(AB73=AB$21:AB$23),AB$9))),AB$10)))</f>
        <v>18</v>
      </c>
      <c r="AE73" s="168"/>
      <c r="AF73" s="185">
        <f t="shared" si="69"/>
        <v>45</v>
      </c>
      <c r="AG73" s="173">
        <f>IF(AF73="","",IF(COUNT(AF$61:AF73)&lt;=AI$31,AG$33,IF(COUNT(AF$61:AF73)&lt;=2*AI$31,AG$34,IF(COUNT(AF$61:AF73)&lt;=3*AI$31,AG$35,IF(COUNT(AF$61:AF73)&lt;=4*AI$31,AG$36)))))</f>
        <v>96.5</v>
      </c>
      <c r="AH73" s="173">
        <f>IF(AF73="","",IF(AG73=AG$33,AI$33+AI$32*(COUNT(AF$61:AF73)-1),IF(AG73=AG$34,AI$34+AI$32*(COUNT(AF$61:AF73)-AI$31-1),IF(AG73=AG$35,AI$34+AI$32*(COUNT(AF$61:AF73)-2*AI$31-1),IF(AG73=AG$36,AI$33+AI$32*(COUNT(AF$61:AF73)-3*AI$31-1))))))</f>
        <v>226</v>
      </c>
      <c r="AI73" s="180" cm="1">
        <f t="array" ref="AI73">IF(AG73="","",MAX($C$5,IF(AF73=90,IF(OR(AH73=AI$13,AH73=AI$14,AH73=AF$4-AI$14,AH73=AF$4-AI$13),AG$7,IF(OR(AG73=AG$20,AG73=AG$24),AG$8,IF(OR(AG73=AG$21:AG$23),AG$9))),AG$10)))</f>
        <v>18</v>
      </c>
      <c r="AJ73" s="168"/>
      <c r="AK73" s="185" t="str">
        <f t="shared" si="70"/>
        <v/>
      </c>
      <c r="AL73" s="173" t="str">
        <f>IF(AK73="","",IF(COUNT(AK$61:AK73)&lt;=AN$31,AL$33,IF(COUNT(AK$61:AK73)&lt;=2*AN$31,AL$34,IF(COUNT(AK$61:AK73)&lt;=3*AN$31,AL$35,IF(COUNT(AK$61:AK73)&lt;=4*AN$31,AL$36)))))</f>
        <v/>
      </c>
      <c r="AM73" s="173" t="str">
        <f>IF(AK73="","",IF(AL73=AL$33,AN$33+AN$32*(COUNT(AK$61:AK73)-1),IF(AL73=AL$34,AN$34+AN$32*(COUNT(AK$61:AK73)-AN$31-1),IF(AL73=AL$35,AN$34+AN$32*(COUNT(AK$61:AK73)-2*AN$31-1),IF(AL73=AL$36,AN$33+AN$32*(COUNT(AK$61:AK73)-3*AN$31-1))))))</f>
        <v/>
      </c>
      <c r="AN73" s="180" t="str" cm="1">
        <f t="array" ref="AN73">IF(AL73="","",MAX($C$5,IF(AK73=90,IF(OR(AM73=AN$13,AM73=AN$14,AM73=AK$4-AN$14,AM73=AK$4-AN$13),AL$7,IF(OR(AL73=AL$20,AL73=AL$24),AL$8,IF(OR(AL73=AL$21:AL$23),AL$9))),AL$10)))</f>
        <v/>
      </c>
      <c r="AO73" s="168"/>
      <c r="AP73" s="198">
        <f t="shared" si="56"/>
        <v>45</v>
      </c>
      <c r="AQ73" s="199">
        <f>IF(AP73="","",IF(COUNT(AP$61:AP73)&lt;=AS$31,AQ$33,IF(COUNT(AP$61:AP73)&lt;=2*AS$31,AQ$34,IF(COUNT(AP$61:AP73)&lt;=3*AS$31,AQ$35,IF(COUNT(AP$61:AP73)&lt;=4*AS$31,AQ$36)))))</f>
        <v>53.5</v>
      </c>
      <c r="AR73" s="199">
        <f>IF(AP73="","",IF(AQ73=AQ$33,AS$33+AS$32*(COUNT(AP$61:AP73)-1),IF(AQ73=AQ$34,AS$34+AS$32*(COUNT(AP$61:AP73)-AS$31-1),IF(AQ73=AQ$35,AS$34+AS$32*(COUNT(AP$61:AP73)-2*AS$31-1),IF(AQ73=AQ$36,AS$33+AS$32*(COUNT(AP$61:AP73)-3*AS$31-1))))))</f>
        <v>391</v>
      </c>
      <c r="AS73" s="180" cm="1">
        <f t="array" ref="AS73">IF(AQ73="","",MAX($C$5,IF(AP73=90,IF(OR(AR73=AS$13,AR73=AS$14,AR73=AP$4-AS$14,AR73=AP$4-AS$13),AQ$7,IF(OR(AQ73=AQ$20,AQ73=AQ$24),AQ$8,IF(OR(AQ73=AQ$21:AQ$23),AQ$9))),AQ$10)))</f>
        <v>18</v>
      </c>
      <c r="AT73" s="277"/>
      <c r="AU73" s="185">
        <f t="shared" si="57"/>
        <v>45</v>
      </c>
      <c r="AV73" s="173">
        <f>IF(AU73="","",IF(COUNT(AU$61:AU73)&lt;=AX$31,AV$33,IF(COUNT(AU$61:AU73)&lt;=2*AX$31,AV$34,IF(COUNT(AU$61:AU73)&lt;=3*AX$31,AV$35))))</f>
        <v>50</v>
      </c>
      <c r="AW73" s="173">
        <f>IF(AU73="","",IF(AV73=AV$33,AX$33+AX$32*(COUNT(AU$61:AU73)-1),IF(AV73=AV$34,AX$34+AX$32*(COUNT(AU$61:AU73)-AX$31-1),IF(AV73=AV$35,AX$33+AX$32*(COUNT(AU$61:AU73)-2*AX$31-1)))))</f>
        <v>400</v>
      </c>
      <c r="AX73" s="180" cm="1">
        <f t="array" ref="AX73">IF(AV73="","",MAX($C$5,IF(AU73=90,IF(OR(AW73=AX$13,AW73=AX$14,AW73=AU$4-AX$14,AW73=AU$4-AX$13),AV$7,IF(OR(AV73=AV$20,AV73=AV$24),AV$8,IF(OR(AV73=AV$21:AV$23),AV$9))),AV$10)))</f>
        <v>17.5</v>
      </c>
      <c r="AY73" s="168"/>
      <c r="AZ73" s="185">
        <f t="shared" si="58"/>
        <v>45</v>
      </c>
      <c r="BA73" s="173">
        <f>IF(AZ73="","",IF(COUNT(AZ$61:AZ73)&lt;=BC$31,BA$33,IF(COUNT(AZ$61:AZ73)&lt;=2*BC$31,BA$34,IF(COUNT(AZ$61:AZ73)&lt;=3*BC$31,BA$35))))</f>
        <v>89.2</v>
      </c>
      <c r="BB73" s="173">
        <f>IF(AZ73="","",IF(BA73=BA$33,BC$33+BC$32*(COUNT(AZ$61:AZ73)-1),IF(BA73=BA$34,BC$34+BC$32*(COUNT(AZ$61:AZ73)-BC$31-1),IF(BA73=BA$35,BC$33+BC$32*(COUNT(AZ$61:AZ73)-2*BC$31-1)))))</f>
        <v>254</v>
      </c>
      <c r="BC73" s="180" cm="1">
        <f t="array" ref="BC73">IF(BA73="","",MAX($C$5,IF(AZ73=90,IF(OR(BB73=BC$13,BB73=BC$14,BB73=AZ$4-BC$14,BB73=AZ$4-BC$13),BA$7,IF(OR(BA73=BA$20,BA73=BA$24),BA$8,IF(OR(BA73=BA$21:BA$23),BA$9))),BA$10)))</f>
        <v>17.5</v>
      </c>
      <c r="BD73" s="168"/>
      <c r="BE73" s="185" t="str">
        <f t="shared" si="59"/>
        <v/>
      </c>
      <c r="BF73" s="173" t="str">
        <f>IF(BE73="","",IF(COUNT(BE$61:BE73)&lt;=BH$31,BF$33,IF(COUNT(BE$61:BE73)&lt;=2*BH$31,BF$34,IF(COUNT(BE$61:BE73)&lt;=3*BH$31,BF$35))))</f>
        <v/>
      </c>
      <c r="BG73" s="173" t="str">
        <f>IF(BE73="","",IF(BF73=BF$33,BH$33+BH$32*(COUNT(BE$61:BE73)-1),IF(BF73=BF$34,BH$34+BH$32*(COUNT(BE$61:BE73)-BH$31-1),IF(BF73=BF$35,BH$33+BH$32*(COUNT(BE$61:BE73)-2*BH$31-1)))))</f>
        <v/>
      </c>
      <c r="BH73" s="180" t="str" cm="1">
        <f t="array" ref="BH73">IF(BF73="","",MAX($C$5,IF(BE73=90,IF(OR(BG73=BH$13,BG73=BH$14,BG73=BE$4-BH$14,BG73=BE$4-BH$13),BF$7,IF(OR(BF73=BF$20,BF73=BF$24),BF$8,IF(OR(BF73=BF$21:BF$23),BF$9))),BF$10)))</f>
        <v/>
      </c>
      <c r="BI73" s="277"/>
      <c r="BJ73" s="185">
        <f t="shared" si="60"/>
        <v>45</v>
      </c>
      <c r="BK73" s="173">
        <f>IF(BJ73="","",IF(COUNT(BJ$61:BJ73)&lt;=BM$31-1,BK$33,IF(COUNT(BJ$61:BJ73)&lt;=2*BM$31-1,BK$34)))</f>
        <v>50.25</v>
      </c>
      <c r="BL73" s="173">
        <f>IF(BJ73="","",IF(BK73=BK$33,BM$33+BM$32*(COUNT(BJ$61:BJ73)-1),IF(BK73=BK$34,BM$34+BM$32*(COUNT(BJ$61:BJ73)-BM$31))))</f>
        <v>370</v>
      </c>
      <c r="BM73" s="180" cm="1">
        <f t="array" ref="BM73">IF(BK73="","",MAX($C$5,IF(BJ73=90,IF(OR(BL73=BM$13,BL73=BM$14,BL73=BJ$4-BM$14,BL73=BJ$4-BM$13),BK$7,IF(OR(BK73=BK$20,BK73=BK$24),BK$8,IF(OR(BK73=BK$21:BK$23),BK$9))),BK$10)))</f>
        <v>17.5</v>
      </c>
      <c r="BN73" s="168"/>
      <c r="BO73" s="185" t="str">
        <f t="shared" si="61"/>
        <v/>
      </c>
      <c r="BP73" s="173" t="str">
        <f>IF(BO73="","",IF(COUNT(BO$61:BO73)&lt;=BR$31-1,BP$33,IF(COUNT(BO$61:BO73)&lt;=2*BR$31-1,BP$34)))</f>
        <v/>
      </c>
      <c r="BQ73" s="173" t="str">
        <f>IF(BO73="","",IF(BP73=BP$33,BR$33+BR$32*(COUNT(BO$61:BO73)-1),IF(BP73=BP$34,BR$34+BR$32*(COUNT(BO$61:BO73)-BR$31))))</f>
        <v/>
      </c>
      <c r="BR73" s="180" t="str" cm="1">
        <f t="array" ref="BR73">IF(BP73="","",MAX($C$5,IF(BO73=90,IF(OR(BQ73=BR$13,BQ73=BR$14,BQ73=BO$4-BR$14,BQ73=BO$4-BR$13),BP$7,IF(OR(BP73=BP$20,BP73=BP$24),BP$8,IF(OR(BP73=BP$21:BP$23),BP$9))),BP$10)))</f>
        <v/>
      </c>
      <c r="BS73" s="168"/>
      <c r="BT73" s="185" t="str">
        <f t="shared" si="62"/>
        <v/>
      </c>
      <c r="BU73" s="173" t="str">
        <f>IF(BT73="","",IF(COUNT(BT$61:BT73)&lt;=BW$31-1,BU$33,IF(COUNT(BT$61:BT73)&lt;=2*BW$31-1,BU$34)))</f>
        <v/>
      </c>
      <c r="BV73" s="173" t="str">
        <f>IF(BT73="","",IF(BU73=BU$33,BW$33+BW$32*(COUNT(BT$61:BT73)-1),IF(BU73=BU$34,BW$34+BW$32*(COUNT(BT$61:BT73)-BW$31))))</f>
        <v/>
      </c>
      <c r="BW73" s="180" t="str" cm="1">
        <f t="array" ref="BW73">IF(BU73="","",MAX($C$5,IF(BT73=90,IF(OR(BV73=BW$13,BV73=BW$14,BV73=BT$4-BW$14,BV73=BT$4-BW$13),BU$7,IF(OR(BU73=BU$20,BU73=BU$24),BU$8,IF(OR(BU73=BU$21:BU$23),BU$9))),BU$10)))</f>
        <v/>
      </c>
      <c r="BX73" s="288"/>
    </row>
    <row r="74" spans="1:76">
      <c r="A74" s="168"/>
      <c r="B74" s="185">
        <f t="shared" si="63"/>
        <v>45</v>
      </c>
      <c r="C74" s="173">
        <f>IF(B74="","",IF(COUNT(B$61:B74)&lt;=E$31,C$33,IF(COUNT(B$61:B74)&lt;=2*E$31,C$34,IF(COUNT(B$61:B74)&lt;=3*E$31,C$35,IF(COUNT(B$61:B74)&lt;=4*E$31,C$36)))))</f>
        <v>53.5</v>
      </c>
      <c r="D74" s="173">
        <f>IF(B74="","",IF(C74=C$33,E$33+E$32*(COUNT(B$61:B74)-1),IF(C74=C$34,E$34+E$32*(COUNT(B$61:B74)-E$31-1),IF(C74=C$35,E$34+E$32*(COUNT(B$61:B74)-2*E$31-1),IF(C74=C$36,E$33+E$32*(COUNT(B$61:B74)-3*E$31-1))))))</f>
        <v>178</v>
      </c>
      <c r="E74" s="180" cm="1">
        <f t="array" ref="E74">IF(C74="","",MAX($C$5,IF(B74=90,IF(OR(D74=E$13,D74=E$14,D74=B$4-E$14,D74=B$4-E$13),C$7,IF(OR(C74=C$20,C74=C$24),C$8,IF(OR(C74=C$21:C$23),C$9))),C$10)))</f>
        <v>18</v>
      </c>
      <c r="F74" s="168"/>
      <c r="G74" s="185">
        <f t="shared" si="64"/>
        <v>45</v>
      </c>
      <c r="H74" s="173">
        <f>IF(G74="","",IF(COUNT(G$61:G74)&lt;=J$31,H$33,IF(COUNT(G$61:G74)&lt;=2*J$31,H$34,IF(COUNT(G$61:G74)&lt;=3*J$31,H$35,IF(COUNT(G$61:G74)&lt;=4*J$31,H$36)))))</f>
        <v>53.5</v>
      </c>
      <c r="I74" s="173">
        <f>IF(G74="","",IF(H74=H$33,J$33+J$32*(COUNT(G$61:G74)-1),IF(H74=H$34,J$34+J$32*(COUNT(G$61:G74)-J$31-1),IF(H74=H$35,J$34+J$32*(COUNT(G$61:G74)-2*J$31-1),IF(H74=H$36,J$33+J$32*(COUNT(G$61:G74)-3*J$31-1))))))</f>
        <v>178</v>
      </c>
      <c r="J74" s="180" cm="1">
        <f t="array" ref="J74">IF(H74="","",MAX($C$5,IF(G74=90,IF(OR(I74=J$13,I74=J$14,I74=G$4-J$14,I74=G$4-J$13),H$7,IF(OR(H74=H$20,H74=H$24),H$8,IF(OR(H74=H$21:H$23),H$9))),H$10)))</f>
        <v>18</v>
      </c>
      <c r="K74" s="168"/>
      <c r="L74" s="185">
        <f t="shared" si="65"/>
        <v>45</v>
      </c>
      <c r="M74" s="173">
        <f>IF(L74="","",IF(COUNT(L$61:L74)&lt;=O$31,M$33,IF(COUNT(L$61:L74)&lt;=2*O$31,M$34,IF(COUNT(L$61:L74)&lt;=3*O$31,M$35,IF(COUNT(L$61:L74)&lt;=4*O$31,M$36)))))</f>
        <v>53.5</v>
      </c>
      <c r="N74" s="173">
        <f>IF(L74="","",IF(M74=M$33,O$33+O$32*(COUNT(L$61:L74)-1),IF(M74=M$34,O$34+O$32*(COUNT(L$61:L74)-O$31-1),IF(M74=M$35,O$34+O$32*(COUNT(L$61:L74)-2*O$31-1),IF(M74=M$36,O$33+O$32*(COUNT(L$61:L74)-3*O$31-1))))))</f>
        <v>244</v>
      </c>
      <c r="O74" s="180" cm="1">
        <f t="array" ref="O74">IF(M74="","",MAX($C$5,IF(L74=90,IF(OR(N74=O$13,N74=O$14,N74=L$4-O$14,N74=L$4-O$13),M$7,IF(OR(M74=M$20,M74=M$24),M$8,IF(OR(M74=M$21:M$23),M$9))),M$10)))</f>
        <v>18</v>
      </c>
      <c r="P74" s="168"/>
      <c r="Q74" s="185">
        <f t="shared" si="66"/>
        <v>45</v>
      </c>
      <c r="R74" s="173">
        <f>IF(Q74="","",IF(COUNT(Q$61:Q74)&lt;=T$31,R$33,IF(COUNT(Q$61:Q74)&lt;=2*T$31,R$34,IF(COUNT(Q$61:Q74)&lt;=3*T$31,R$35,IF(COUNT(Q$61:Q74)&lt;=4*T$31,R$36)))))</f>
        <v>53.5</v>
      </c>
      <c r="S74" s="173">
        <f>IF(Q74="","",IF(R74=R$33,T$33+T$32*(COUNT(Q$61:Q74)-1),IF(R74=R$34,T$34+T$32*(COUNT(Q$61:Q74)-T$31-1),IF(R74=R$35,T$34+T$32*(COUNT(Q$61:Q74)-2*T$31-1),IF(R74=R$36,T$33+T$32*(COUNT(Q$61:Q74)-3*T$31-1))))))</f>
        <v>298</v>
      </c>
      <c r="T74" s="180" cm="1">
        <f t="array" ref="T74">IF(R74="","",MAX($C$5,IF(Q74=90,IF(OR(S74=T$13,S74=T$14,S74=Q$4-T$14,S74=Q$4-T$13),R$7,IF(OR(R74=R$20,R74=R$24),R$8,IF(OR(R74=R$21:R$23),R$9))),R$10)))</f>
        <v>18</v>
      </c>
      <c r="U74" s="168"/>
      <c r="V74" s="185">
        <f t="shared" si="67"/>
        <v>45</v>
      </c>
      <c r="W74" s="173">
        <f>IF(V74="","",IF(COUNT(V$61:V74)&lt;=Y$31,W$33,IF(COUNT(V$61:V74)&lt;=2*Y$31,W$34,IF(COUNT(V$61:V74)&lt;=3*Y$31,W$35,IF(COUNT(V$61:V74)&lt;=4*Y$31,W$36)))))</f>
        <v>53.5</v>
      </c>
      <c r="X74" s="173">
        <f>IF(V74="","",IF(W74=W$33,Y$33+Y$32*(COUNT(V$61:V74)-1),IF(W74=W$34,Y$34+Y$32*(COUNT(V$61:V74)-Y$31-1),IF(W74=W$35,Y$34+Y$32*(COUNT(V$61:V74)-2*Y$31-1),IF(W74=W$36,Y$33+Y$32*(COUNT(V$61:V74)-3*Y$31-1))))))</f>
        <v>406.5</v>
      </c>
      <c r="Y74" s="180" cm="1">
        <f t="array" ref="Y74">IF(W74="","",MAX($C$5,IF(V74=90,IF(OR(X74=Y$13,X74=Y$14,X74=V$4-Y$14,X74=V$4-Y$13),W$7,IF(OR(W74=W$20,W74=W$24),W$8,IF(OR(W74=W$21:W$23),W$9))),W$10)))</f>
        <v>18</v>
      </c>
      <c r="Z74" s="168"/>
      <c r="AA74" s="185">
        <f t="shared" si="68"/>
        <v>45</v>
      </c>
      <c r="AB74" s="173">
        <f>IF(AA74="","",IF(COUNT(AA$61:AA74)&lt;=AD$31,AB$33,IF(COUNT(AA$61:AA74)&lt;=2*AD$31,AB$34,IF(COUNT(AA$61:AA74)&lt;=3*AD$31,AB$35,IF(COUNT(AA$61:AA74)&lt;=4*AD$31,AB$36)))))</f>
        <v>53.5</v>
      </c>
      <c r="AC74" s="173">
        <f>IF(AA74="","",IF(AB74=AB$33,AD$33+AD$32*(COUNT(AA$61:AA74)-1),IF(AB74=AB$34,AD$34+AD$32*(COUNT(AA$61:AA74)-AD$31-1),IF(AB74=AB$35,AD$34+AD$32*(COUNT(AA$61:AA74)-2*AD$31-1),IF(AB74=AB$36,AD$33+AD$32*(COUNT(AA$61:AA74)-3*AD$31-1))))))</f>
        <v>458</v>
      </c>
      <c r="AD74" s="180" cm="1">
        <f t="array" ref="AD74">IF(AB74="","",MAX($C$5,IF(AA74=90,IF(OR(AC74=AD$13,AC74=AD$14,AC74=AA$4-AD$14,AC74=AA$4-AD$13),AB$7,IF(OR(AB74=AB$20,AB74=AB$24),AB$8,IF(OR(AB74=AB$21:AB$23),AB$9))),AB$10)))</f>
        <v>18</v>
      </c>
      <c r="AE74" s="168"/>
      <c r="AF74" s="185">
        <f t="shared" si="69"/>
        <v>45</v>
      </c>
      <c r="AG74" s="173">
        <f>IF(AF74="","",IF(COUNT(AF$61:AF74)&lt;=AI$31,AG$33,IF(COUNT(AF$61:AF74)&lt;=2*AI$31,AG$34,IF(COUNT(AF$61:AF74)&lt;=3*AI$31,AG$35,IF(COUNT(AF$61:AF74)&lt;=4*AI$31,AG$36)))))</f>
        <v>96.5</v>
      </c>
      <c r="AH74" s="173">
        <f>IF(AF74="","",IF(AG74=AG$33,AI$33+AI$32*(COUNT(AF$61:AF74)-1),IF(AG74=AG$34,AI$34+AI$32*(COUNT(AF$61:AF74)-AI$31-1),IF(AG74=AG$35,AI$34+AI$32*(COUNT(AF$61:AF74)-2*AI$31-1),IF(AG74=AG$36,AI$33+AI$32*(COUNT(AF$61:AF74)-3*AI$31-1))))))</f>
        <v>284</v>
      </c>
      <c r="AI74" s="180" cm="1">
        <f t="array" ref="AI74">IF(AG74="","",MAX($C$5,IF(AF74=90,IF(OR(AH74=AI$13,AH74=AI$14,AH74=AF$4-AI$14,AH74=AF$4-AI$13),AG$7,IF(OR(AG74=AG$20,AG74=AG$24),AG$8,IF(OR(AG74=AG$21:AG$23),AG$9))),AG$10)))</f>
        <v>18</v>
      </c>
      <c r="AJ74" s="168"/>
      <c r="AK74" s="185" t="str">
        <f t="shared" si="70"/>
        <v/>
      </c>
      <c r="AL74" s="173" t="str">
        <f>IF(AK74="","",IF(COUNT(AK$61:AK74)&lt;=AN$31,AL$33,IF(COUNT(AK$61:AK74)&lt;=2*AN$31,AL$34,IF(COUNT(AK$61:AK74)&lt;=3*AN$31,AL$35,IF(COUNT(AK$61:AK74)&lt;=4*AN$31,AL$36)))))</f>
        <v/>
      </c>
      <c r="AM74" s="173" t="str">
        <f>IF(AK74="","",IF(AL74=AL$33,AN$33+AN$32*(COUNT(AK$61:AK74)-1),IF(AL74=AL$34,AN$34+AN$32*(COUNT(AK$61:AK74)-AN$31-1),IF(AL74=AL$35,AN$34+AN$32*(COUNT(AK$61:AK74)-2*AN$31-1),IF(AL74=AL$36,AN$33+AN$32*(COUNT(AK$61:AK74)-3*AN$31-1))))))</f>
        <v/>
      </c>
      <c r="AN74" s="180" t="str" cm="1">
        <f t="array" ref="AN74">IF(AL74="","",MAX($C$5,IF(AK74=90,IF(OR(AM74=AN$13,AM74=AN$14,AM74=AK$4-AN$14,AM74=AK$4-AN$13),AL$7,IF(OR(AL74=AL$20,AL74=AL$24),AL$8,IF(OR(AL74=AL$21:AL$23),AL$9))),AL$10)))</f>
        <v/>
      </c>
      <c r="AO74" s="168"/>
      <c r="AP74" s="198">
        <f t="shared" si="56"/>
        <v>45</v>
      </c>
      <c r="AQ74" s="199">
        <f>IF(AP74="","",IF(COUNT(AP$61:AP74)&lt;=AS$31,AQ$33,IF(COUNT(AP$61:AP74)&lt;=2*AS$31,AQ$34,IF(COUNT(AP$61:AP74)&lt;=3*AS$31,AQ$35,IF(COUNT(AP$61:AP74)&lt;=4*AS$31,AQ$36)))))</f>
        <v>53.5</v>
      </c>
      <c r="AR74" s="199">
        <f>IF(AP74="","",IF(AQ74=AQ$33,AS$33+AS$32*(COUNT(AP$61:AP74)-1),IF(AQ74=AQ$34,AS$34+AS$32*(COUNT(AP$61:AP74)-AS$31-1),IF(AQ74=AQ$35,AS$34+AS$32*(COUNT(AP$61:AP74)-2*AS$31-1),IF(AQ74=AQ$36,AS$33+AS$32*(COUNT(AP$61:AP74)-3*AS$31-1))))))</f>
        <v>448</v>
      </c>
      <c r="AS74" s="180" cm="1">
        <f t="array" ref="AS74">IF(AQ74="","",MAX($C$5,IF(AP74=90,IF(OR(AR74=AS$13,AR74=AS$14,AR74=AP$4-AS$14,AR74=AP$4-AS$13),AQ$7,IF(OR(AQ74=AQ$20,AQ74=AQ$24),AQ$8,IF(OR(AQ74=AQ$21:AQ$23),AQ$9))),AQ$10)))</f>
        <v>18</v>
      </c>
      <c r="AT74" s="277"/>
      <c r="AU74" s="185">
        <f t="shared" si="57"/>
        <v>45</v>
      </c>
      <c r="AV74" s="173">
        <f>IF(AU74="","",IF(COUNT(AU$61:AU74)&lt;=AX$31,AV$33,IF(COUNT(AU$61:AU74)&lt;=2*AX$31,AV$34,IF(COUNT(AU$61:AU74)&lt;=3*AX$31,AV$35))))</f>
        <v>50</v>
      </c>
      <c r="AW74" s="173">
        <f>IF(AU74="","",IF(AV74=AV$33,AX$33+AX$32*(COUNT(AU$61:AU74)-1),IF(AV74=AV$34,AX$34+AX$32*(COUNT(AU$61:AU74)-AX$31-1),IF(AV74=AV$35,AX$33+AX$32*(COUNT(AU$61:AU74)-2*AX$31-1)))))</f>
        <v>458</v>
      </c>
      <c r="AX74" s="180" cm="1">
        <f t="array" ref="AX74">IF(AV74="","",MAX($C$5,IF(AU74=90,IF(OR(AW74=AX$13,AW74=AX$14,AW74=AU$4-AX$14,AW74=AU$4-AX$13),AV$7,IF(OR(AV74=AV$20,AV74=AV$24),AV$8,IF(OR(AV74=AV$21:AV$23),AV$9))),AV$10)))</f>
        <v>17.5</v>
      </c>
      <c r="AY74" s="168"/>
      <c r="AZ74" s="185">
        <f t="shared" si="58"/>
        <v>45</v>
      </c>
      <c r="BA74" s="173">
        <f>IF(AZ74="","",IF(COUNT(AZ$61:AZ74)&lt;=BC$31,BA$33,IF(COUNT(AZ$61:AZ74)&lt;=2*BC$31,BA$34,IF(COUNT(AZ$61:AZ74)&lt;=3*BC$31,BA$35))))</f>
        <v>89.2</v>
      </c>
      <c r="BB74" s="173">
        <f>IF(AZ74="","",IF(BA74=BA$33,BC$33+BC$32*(COUNT(AZ$61:AZ74)-1),IF(BA74=BA$34,BC$34+BC$32*(COUNT(AZ$61:AZ74)-BC$31-1),IF(BA74=BA$35,BC$33+BC$32*(COUNT(AZ$61:AZ74)-2*BC$31-1)))))</f>
        <v>312</v>
      </c>
      <c r="BC74" s="180" cm="1">
        <f t="array" ref="BC74">IF(BA74="","",MAX($C$5,IF(AZ74=90,IF(OR(BB74=BC$13,BB74=BC$14,BB74=AZ$4-BC$14,BB74=AZ$4-BC$13),BA$7,IF(OR(BA74=BA$20,BA74=BA$24),BA$8,IF(OR(BA74=BA$21:BA$23),BA$9))),BA$10)))</f>
        <v>17.5</v>
      </c>
      <c r="BD74" s="168"/>
      <c r="BE74" s="185" t="str">
        <f t="shared" si="59"/>
        <v/>
      </c>
      <c r="BF74" s="173" t="str">
        <f>IF(BE74="","",IF(COUNT(BE$61:BE74)&lt;=BH$31,BF$33,IF(COUNT(BE$61:BE74)&lt;=2*BH$31,BF$34,IF(COUNT(BE$61:BE74)&lt;=3*BH$31,BF$35))))</f>
        <v/>
      </c>
      <c r="BG74" s="173" t="str">
        <f>IF(BE74="","",IF(BF74=BF$33,BH$33+BH$32*(COUNT(BE$61:BE74)-1),IF(BF74=BF$34,BH$34+BH$32*(COUNT(BE$61:BE74)-BH$31-1),IF(BF74=BF$35,BH$33+BH$32*(COUNT(BE$61:BE74)-2*BH$31-1)))))</f>
        <v/>
      </c>
      <c r="BH74" s="180" t="str" cm="1">
        <f t="array" ref="BH74">IF(BF74="","",MAX($C$5,IF(BE74=90,IF(OR(BG74=BH$13,BG74=BH$14,BG74=BE$4-BH$14,BG74=BE$4-BH$13),BF$7,IF(OR(BF74=BF$20,BF74=BF$24),BF$8,IF(OR(BF74=BF$21:BF$23),BF$9))),BF$10)))</f>
        <v/>
      </c>
      <c r="BI74" s="277"/>
      <c r="BJ74" s="185">
        <f t="shared" si="60"/>
        <v>45</v>
      </c>
      <c r="BK74" s="173">
        <f>IF(BJ74="","",IF(COUNT(BJ$61:BJ74)&lt;=BM$31-1,BK$33,IF(COUNT(BJ$61:BJ74)&lt;=2*BM$31-1,BK$34)))</f>
        <v>50.25</v>
      </c>
      <c r="BL74" s="173">
        <f>IF(BJ74="","",IF(BK74=BK$33,BM$33+BM$32*(COUNT(BJ$61:BJ74)-1),IF(BK74=BK$34,BM$34+BM$32*(COUNT(BJ$61:BJ74)-BM$31))))</f>
        <v>428</v>
      </c>
      <c r="BM74" s="180" cm="1">
        <f t="array" ref="BM74">IF(BK74="","",MAX($C$5,IF(BJ74=90,IF(OR(BL74=BM$13,BL74=BM$14,BL74=BJ$4-BM$14,BL74=BJ$4-BM$13),BK$7,IF(OR(BK74=BK$20,BK74=BK$24),BK$8,IF(OR(BK74=BK$21:BK$23),BK$9))),BK$10)))</f>
        <v>17.5</v>
      </c>
      <c r="BN74" s="168"/>
      <c r="BO74" s="185" t="str">
        <f t="shared" si="61"/>
        <v/>
      </c>
      <c r="BP74" s="173" t="str">
        <f>IF(BO74="","",IF(COUNT(BO$61:BO74)&lt;=BR$31-1,BP$33,IF(COUNT(BO$61:BO74)&lt;=2*BR$31-1,BP$34)))</f>
        <v/>
      </c>
      <c r="BQ74" s="173" t="str">
        <f>IF(BO74="","",IF(BP74=BP$33,BR$33+BR$32*(COUNT(BO$61:BO74)-1),IF(BP74=BP$34,BR$34+BR$32*(COUNT(BO$61:BO74)-BR$31))))</f>
        <v/>
      </c>
      <c r="BR74" s="180" t="str" cm="1">
        <f t="array" ref="BR74">IF(BP74="","",MAX($C$5,IF(BO74=90,IF(OR(BQ74=BR$13,BQ74=BR$14,BQ74=BO$4-BR$14,BQ74=BO$4-BR$13),BP$7,IF(OR(BP74=BP$20,BP74=BP$24),BP$8,IF(OR(BP74=BP$21:BP$23),BP$9))),BP$10)))</f>
        <v/>
      </c>
      <c r="BS74" s="168"/>
      <c r="BT74" s="185" t="str">
        <f t="shared" si="62"/>
        <v/>
      </c>
      <c r="BU74" s="173" t="str">
        <f>IF(BT74="","",IF(COUNT(BT$61:BT74)&lt;=BW$31-1,BU$33,IF(COUNT(BT$61:BT74)&lt;=2*BW$31-1,BU$34)))</f>
        <v/>
      </c>
      <c r="BV74" s="173" t="str">
        <f>IF(BT74="","",IF(BU74=BU$33,BW$33+BW$32*(COUNT(BT$61:BT74)-1),IF(BU74=BU$34,BW$34+BW$32*(COUNT(BT$61:BT74)-BW$31))))</f>
        <v/>
      </c>
      <c r="BW74" s="180" t="str" cm="1">
        <f t="array" ref="BW74">IF(BU74="","",MAX($C$5,IF(BT74=90,IF(OR(BV74=BW$13,BV74=BW$14,BV74=BT$4-BW$14,BV74=BT$4-BW$13),BU$7,IF(OR(BU74=BU$20,BU74=BU$24),BU$8,IF(OR(BU74=BU$21:BU$23),BU$9))),BU$10)))</f>
        <v/>
      </c>
      <c r="BX74" s="288"/>
    </row>
    <row r="75" spans="1:76">
      <c r="A75" s="168"/>
      <c r="B75" s="185">
        <f t="shared" si="63"/>
        <v>45</v>
      </c>
      <c r="C75" s="173">
        <f>IF(B75="","",IF(COUNT(B$61:B75)&lt;=E$31,C$33,IF(COUNT(B$61:B75)&lt;=2*E$31,C$34,IF(COUNT(B$61:B75)&lt;=3*E$31,C$35,IF(COUNT(B$61:B75)&lt;=4*E$31,C$36)))))</f>
        <v>53.5</v>
      </c>
      <c r="D75" s="173">
        <f>IF(B75="","",IF(C75=C$33,E$33+E$32*(COUNT(B$61:B75)-1),IF(C75=C$34,E$34+E$32*(COUNT(B$61:B75)-E$31-1),IF(C75=C$35,E$34+E$32*(COUNT(B$61:B75)-2*E$31-1),IF(C75=C$36,E$33+E$32*(COUNT(B$61:B75)-3*E$31-1))))))</f>
        <v>235</v>
      </c>
      <c r="E75" s="180" cm="1">
        <f t="array" ref="E75">IF(C75="","",MAX($C$5,IF(B75=90,IF(OR(D75=E$13,D75=E$14,D75=B$4-E$14,D75=B$4-E$13),C$7,IF(OR(C75=C$20,C75=C$24),C$8,IF(OR(C75=C$21:C$23),C$9))),C$10)))</f>
        <v>18</v>
      </c>
      <c r="F75" s="168"/>
      <c r="G75" s="185">
        <f t="shared" si="64"/>
        <v>45</v>
      </c>
      <c r="H75" s="173">
        <f>IF(G75="","",IF(COUNT(G$61:G75)&lt;=J$31,H$33,IF(COUNT(G$61:G75)&lt;=2*J$31,H$34,IF(COUNT(G$61:G75)&lt;=3*J$31,H$35,IF(COUNT(G$61:G75)&lt;=4*J$31,H$36)))))</f>
        <v>53.5</v>
      </c>
      <c r="I75" s="173">
        <f>IF(G75="","",IF(H75=H$33,J$33+J$32*(COUNT(G$61:G75)-1),IF(H75=H$34,J$34+J$32*(COUNT(G$61:G75)-J$31-1),IF(H75=H$35,J$34+J$32*(COUNT(G$61:G75)-2*J$31-1),IF(H75=H$36,J$33+J$32*(COUNT(G$61:G75)-3*J$31-1))))))</f>
        <v>235</v>
      </c>
      <c r="J75" s="180" cm="1">
        <f t="array" ref="J75">IF(H75="","",MAX($C$5,IF(G75=90,IF(OR(I75=J$13,I75=J$14,I75=G$4-J$14,I75=G$4-J$13),H$7,IF(OR(H75=H$20,H75=H$24),H$8,IF(OR(H75=H$21:H$23),H$9))),H$10)))</f>
        <v>18</v>
      </c>
      <c r="K75" s="168"/>
      <c r="L75" s="185">
        <f t="shared" si="65"/>
        <v>45</v>
      </c>
      <c r="M75" s="173">
        <f>IF(L75="","",IF(COUNT(L$61:L75)&lt;=O$31,M$33,IF(COUNT(L$61:L75)&lt;=2*O$31,M$34,IF(COUNT(L$61:L75)&lt;=3*O$31,M$35,IF(COUNT(L$61:L75)&lt;=4*O$31,M$36)))))</f>
        <v>53.5</v>
      </c>
      <c r="N75" s="173">
        <f>IF(L75="","",IF(M75=M$33,O$33+O$32*(COUNT(L$61:L75)-1),IF(M75=M$34,O$34+O$32*(COUNT(L$61:L75)-O$31-1),IF(M75=M$35,O$34+O$32*(COUNT(L$61:L75)-2*O$31-1),IF(M75=M$36,O$33+O$32*(COUNT(L$61:L75)-3*O$31-1))))))</f>
        <v>301</v>
      </c>
      <c r="O75" s="180" cm="1">
        <f t="array" ref="O75">IF(M75="","",MAX($C$5,IF(L75=90,IF(OR(N75=O$13,N75=O$14,N75=L$4-O$14,N75=L$4-O$13),M$7,IF(OR(M75=M$20,M75=M$24),M$8,IF(OR(M75=M$21:M$23),M$9))),M$10)))</f>
        <v>18</v>
      </c>
      <c r="P75" s="168"/>
      <c r="Q75" s="185">
        <f t="shared" si="66"/>
        <v>45</v>
      </c>
      <c r="R75" s="173">
        <f>IF(Q75="","",IF(COUNT(Q$61:Q75)&lt;=T$31,R$33,IF(COUNT(Q$61:Q75)&lt;=2*T$31,R$34,IF(COUNT(Q$61:Q75)&lt;=3*T$31,R$35,IF(COUNT(Q$61:Q75)&lt;=4*T$31,R$36)))))</f>
        <v>53.5</v>
      </c>
      <c r="S75" s="173">
        <f>IF(Q75="","",IF(R75=R$33,T$33+T$32*(COUNT(Q$61:Q75)-1),IF(R75=R$34,T$34+T$32*(COUNT(Q$61:Q75)-T$31-1),IF(R75=R$35,T$34+T$32*(COUNT(Q$61:Q75)-2*T$31-1),IF(R75=R$36,T$33+T$32*(COUNT(Q$61:Q75)-3*T$31-1))))))</f>
        <v>355</v>
      </c>
      <c r="T75" s="180" cm="1">
        <f t="array" ref="T75">IF(R75="","",MAX($C$5,IF(Q75=90,IF(OR(S75=T$13,S75=T$14,S75=Q$4-T$14,S75=Q$4-T$13),R$7,IF(OR(R75=R$20,R75=R$24),R$8,IF(OR(R75=R$21:R$23),R$9))),R$10)))</f>
        <v>18</v>
      </c>
      <c r="U75" s="168"/>
      <c r="V75" s="185">
        <f t="shared" si="67"/>
        <v>45</v>
      </c>
      <c r="W75" s="173">
        <f>IF(V75="","",IF(COUNT(V$61:V75)&lt;=Y$31,W$33,IF(COUNT(V$61:V75)&lt;=2*Y$31,W$34,IF(COUNT(V$61:V75)&lt;=3*Y$31,W$35,IF(COUNT(V$61:V75)&lt;=4*Y$31,W$36)))))</f>
        <v>53.5</v>
      </c>
      <c r="X75" s="173">
        <f>IF(V75="","",IF(W75=W$33,Y$33+Y$32*(COUNT(V$61:V75)-1),IF(W75=W$34,Y$34+Y$32*(COUNT(V$61:V75)-Y$31-1),IF(W75=W$35,Y$34+Y$32*(COUNT(V$61:V75)-2*Y$31-1),IF(W75=W$36,Y$33+Y$32*(COUNT(V$61:V75)-3*Y$31-1))))))</f>
        <v>463.5</v>
      </c>
      <c r="Y75" s="180" cm="1">
        <f t="array" ref="Y75">IF(W75="","",MAX($C$5,IF(V75=90,IF(OR(X75=Y$13,X75=Y$14,X75=V$4-Y$14,X75=V$4-Y$13),W$7,IF(OR(W75=W$20,W75=W$24),W$8,IF(OR(W75=W$21:W$23),W$9))),W$10)))</f>
        <v>18</v>
      </c>
      <c r="Z75" s="168"/>
      <c r="AA75" s="185">
        <f t="shared" si="68"/>
        <v>45</v>
      </c>
      <c r="AB75" s="173">
        <f>IF(AA75="","",IF(COUNT(AA$61:AA75)&lt;=AD$31,AB$33,IF(COUNT(AA$61:AA75)&lt;=2*AD$31,AB$34,IF(COUNT(AA$61:AA75)&lt;=3*AD$31,AB$35,IF(COUNT(AA$61:AA75)&lt;=4*AD$31,AB$36)))))</f>
        <v>96.5</v>
      </c>
      <c r="AC75" s="173">
        <f>IF(AA75="","",IF(AB75=AB$33,AD$33+AD$32*(COUNT(AA$61:AA75)-1),IF(AB75=AB$34,AD$34+AD$32*(COUNT(AA$61:AA75)-AD$31-1),IF(AB75=AB$35,AD$34+AD$32*(COUNT(AA$61:AA75)-2*AD$31-1),IF(AB75=AB$36,AD$33+AD$32*(COUNT(AA$61:AA75)-3*AD$31-1))))))</f>
        <v>110</v>
      </c>
      <c r="AD75" s="180" cm="1">
        <f t="array" ref="AD75">IF(AB75="","",MAX($C$5,IF(AA75=90,IF(OR(AC75=AD$13,AC75=AD$14,AC75=AA$4-AD$14,AC75=AA$4-AD$13),AB$7,IF(OR(AB75=AB$20,AB75=AB$24),AB$8,IF(OR(AB75=AB$21:AB$23),AB$9))),AB$10)))</f>
        <v>18</v>
      </c>
      <c r="AE75" s="168"/>
      <c r="AF75" s="185">
        <f t="shared" si="69"/>
        <v>45</v>
      </c>
      <c r="AG75" s="173">
        <f>IF(AF75="","",IF(COUNT(AF$61:AF75)&lt;=AI$31,AG$33,IF(COUNT(AF$61:AF75)&lt;=2*AI$31,AG$34,IF(COUNT(AF$61:AF75)&lt;=3*AI$31,AG$35,IF(COUNT(AF$61:AF75)&lt;=4*AI$31,AG$36)))))</f>
        <v>96.5</v>
      </c>
      <c r="AH75" s="173">
        <f>IF(AF75="","",IF(AG75=AG$33,AI$33+AI$32*(COUNT(AF$61:AF75)-1),IF(AG75=AG$34,AI$34+AI$32*(COUNT(AF$61:AF75)-AI$31-1),IF(AG75=AG$35,AI$34+AI$32*(COUNT(AF$61:AF75)-2*AI$31-1),IF(AG75=AG$36,AI$33+AI$32*(COUNT(AF$61:AF75)-3*AI$31-1))))))</f>
        <v>342</v>
      </c>
      <c r="AI75" s="180" cm="1">
        <f t="array" ref="AI75">IF(AG75="","",MAX($C$5,IF(AF75=90,IF(OR(AH75=AI$13,AH75=AI$14,AH75=AF$4-AI$14,AH75=AF$4-AI$13),AG$7,IF(OR(AG75=AG$20,AG75=AG$24),AG$8,IF(OR(AG75=AG$21:AG$23),AG$9))),AG$10)))</f>
        <v>18</v>
      </c>
      <c r="AJ75" s="168"/>
      <c r="AK75" s="185" t="str">
        <f t="shared" si="70"/>
        <v/>
      </c>
      <c r="AL75" s="173" t="str">
        <f>IF(AK75="","",IF(COUNT(AK$61:AK75)&lt;=AN$31,AL$33,IF(COUNT(AK$61:AK75)&lt;=2*AN$31,AL$34,IF(COUNT(AK$61:AK75)&lt;=3*AN$31,AL$35,IF(COUNT(AK$61:AK75)&lt;=4*AN$31,AL$36)))))</f>
        <v/>
      </c>
      <c r="AM75" s="173" t="str">
        <f>IF(AK75="","",IF(AL75=AL$33,AN$33+AN$32*(COUNT(AK$61:AK75)-1),IF(AL75=AL$34,AN$34+AN$32*(COUNT(AK$61:AK75)-AN$31-1),IF(AL75=AL$35,AN$34+AN$32*(COUNT(AK$61:AK75)-2*AN$31-1),IF(AL75=AL$36,AN$33+AN$32*(COUNT(AK$61:AK75)-3*AN$31-1))))))</f>
        <v/>
      </c>
      <c r="AN75" s="180" t="str" cm="1">
        <f t="array" ref="AN75">IF(AL75="","",MAX($C$5,IF(AK75=90,IF(OR(AM75=AN$13,AM75=AN$14,AM75=AK$4-AN$14,AM75=AK$4-AN$13),AL$7,IF(OR(AL75=AL$20,AL75=AL$24),AL$8,IF(OR(AL75=AL$21:AL$23),AL$9))),AL$10)))</f>
        <v/>
      </c>
      <c r="AO75" s="168"/>
      <c r="AP75" s="198">
        <f t="shared" si="56"/>
        <v>45</v>
      </c>
      <c r="AQ75" s="199">
        <f>IF(AP75="","",IF(COUNT(AP$61:AP75)&lt;=AS$31,AQ$33,IF(COUNT(AP$61:AP75)&lt;=2*AS$31,AQ$34,IF(COUNT(AP$61:AP75)&lt;=3*AS$31,AQ$35,IF(COUNT(AP$61:AP75)&lt;=4*AS$31,AQ$36)))))</f>
        <v>53.5</v>
      </c>
      <c r="AR75" s="199">
        <f>IF(AP75="","",IF(AQ75=AQ$33,AS$33+AS$32*(COUNT(AP$61:AP75)-1),IF(AQ75=AQ$34,AS$34+AS$32*(COUNT(AP$61:AP75)-AS$31-1),IF(AQ75=AQ$35,AS$34+AS$32*(COUNT(AP$61:AP75)-2*AS$31-1),IF(AQ75=AQ$36,AS$33+AS$32*(COUNT(AP$61:AP75)-3*AS$31-1))))))</f>
        <v>505</v>
      </c>
      <c r="AS75" s="180" cm="1">
        <f t="array" ref="AS75">IF(AQ75="","",MAX($C$5,IF(AP75=90,IF(OR(AR75=AS$13,AR75=AS$14,AR75=AP$4-AS$14,AR75=AP$4-AS$13),AQ$7,IF(OR(AQ75=AQ$20,AQ75=AQ$24),AQ$8,IF(OR(AQ75=AQ$21:AQ$23),AQ$9))),AQ$10)))</f>
        <v>18</v>
      </c>
      <c r="AT75" s="277"/>
      <c r="AU75" s="185">
        <f t="shared" si="57"/>
        <v>45</v>
      </c>
      <c r="AV75" s="173">
        <f>IF(AU75="","",IF(COUNT(AU$61:AU75)&lt;=AX$31,AV$33,IF(COUNT(AU$61:AU75)&lt;=2*AX$31,AV$34,IF(COUNT(AU$61:AU75)&lt;=3*AX$31,AV$35))))</f>
        <v>89.2</v>
      </c>
      <c r="AW75" s="173">
        <f>IF(AU75="","",IF(AV75=AV$33,AX$33+AX$32*(COUNT(AU$61:AU75)-1),IF(AV75=AV$34,AX$34+AX$32*(COUNT(AU$61:AU75)-AX$31-1),IF(AV75=AV$35,AX$33+AX$32*(COUNT(AU$61:AU75)-2*AX$31-1)))))</f>
        <v>138</v>
      </c>
      <c r="AX75" s="180" cm="1">
        <f t="array" ref="AX75">IF(AV75="","",MAX($C$5,IF(AU75=90,IF(OR(AW75=AX$13,AW75=AX$14,AW75=AU$4-AX$14,AW75=AU$4-AX$13),AV$7,IF(OR(AV75=AV$20,AV75=AV$24),AV$8,IF(OR(AV75=AV$21:AV$23),AV$9))),AV$10)))</f>
        <v>17.5</v>
      </c>
      <c r="AY75" s="168"/>
      <c r="AZ75" s="185">
        <f t="shared" si="58"/>
        <v>45</v>
      </c>
      <c r="BA75" s="173">
        <f>IF(AZ75="","",IF(COUNT(AZ$61:AZ75)&lt;=BC$31,BA$33,IF(COUNT(AZ$61:AZ75)&lt;=2*BC$31,BA$34,IF(COUNT(AZ$61:AZ75)&lt;=3*BC$31,BA$35))))</f>
        <v>89.2</v>
      </c>
      <c r="BB75" s="173">
        <f>IF(AZ75="","",IF(BA75=BA$33,BC$33+BC$32*(COUNT(AZ$61:AZ75)-1),IF(BA75=BA$34,BC$34+BC$32*(COUNT(AZ$61:AZ75)-BC$31-1),IF(BA75=BA$35,BC$33+BC$32*(COUNT(AZ$61:AZ75)-2*BC$31-1)))))</f>
        <v>370</v>
      </c>
      <c r="BC75" s="180" cm="1">
        <f t="array" ref="BC75">IF(BA75="","",MAX($C$5,IF(AZ75=90,IF(OR(BB75=BC$13,BB75=BC$14,BB75=AZ$4-BC$14,BB75=AZ$4-BC$13),BA$7,IF(OR(BA75=BA$20,BA75=BA$24),BA$8,IF(OR(BA75=BA$21:BA$23),BA$9))),BA$10)))</f>
        <v>17.5</v>
      </c>
      <c r="BD75" s="168"/>
      <c r="BE75" s="185" t="str">
        <f t="shared" si="59"/>
        <v/>
      </c>
      <c r="BF75" s="173" t="str">
        <f>IF(BE75="","",IF(COUNT(BE$61:BE75)&lt;=BH$31,BF$33,IF(COUNT(BE$61:BE75)&lt;=2*BH$31,BF$34,IF(COUNT(BE$61:BE75)&lt;=3*BH$31,BF$35))))</f>
        <v/>
      </c>
      <c r="BG75" s="173" t="str">
        <f>IF(BE75="","",IF(BF75=BF$33,BH$33+BH$32*(COUNT(BE$61:BE75)-1),IF(BF75=BF$34,BH$34+BH$32*(COUNT(BE$61:BE75)-BH$31-1),IF(BF75=BF$35,BH$33+BH$32*(COUNT(BE$61:BE75)-2*BH$31-1)))))</f>
        <v/>
      </c>
      <c r="BH75" s="180" t="str" cm="1">
        <f t="array" ref="BH75">IF(BF75="","",MAX($C$5,IF(BE75=90,IF(OR(BG75=BH$13,BG75=BH$14,BG75=BE$4-BH$14,BG75=BE$4-BH$13),BF$7,IF(OR(BF75=BF$20,BF75=BF$24),BF$8,IF(OR(BF75=BF$21:BF$23),BF$9))),BF$10)))</f>
        <v/>
      </c>
      <c r="BI75" s="277"/>
      <c r="BJ75" s="185">
        <f t="shared" si="60"/>
        <v>45</v>
      </c>
      <c r="BK75" s="173">
        <f>IF(BJ75="","",IF(COUNT(BJ$61:BJ75)&lt;=BM$31-1,BK$33,IF(COUNT(BJ$61:BJ75)&lt;=2*BM$31-1,BK$34)))</f>
        <v>50.25</v>
      </c>
      <c r="BL75" s="173">
        <f>IF(BJ75="","",IF(BK75=BK$33,BM$33+BM$32*(COUNT(BJ$61:BJ75)-1),IF(BK75=BK$34,BM$34+BM$32*(COUNT(BJ$61:BJ75)-BM$31))))</f>
        <v>486</v>
      </c>
      <c r="BM75" s="180" cm="1">
        <f t="array" ref="BM75">IF(BK75="","",MAX($C$5,IF(BJ75=90,IF(OR(BL75=BM$13,BL75=BM$14,BL75=BJ$4-BM$14,BL75=BJ$4-BM$13),BK$7,IF(OR(BK75=BK$20,BK75=BK$24),BK$8,IF(OR(BK75=BK$21:BK$23),BK$9))),BK$10)))</f>
        <v>17.5</v>
      </c>
      <c r="BN75" s="168"/>
      <c r="BO75" s="185" t="str">
        <f t="shared" si="61"/>
        <v/>
      </c>
      <c r="BP75" s="173" t="str">
        <f>IF(BO75="","",IF(COUNT(BO$61:BO75)&lt;=BR$31-1,BP$33,IF(COUNT(BO$61:BO75)&lt;=2*BR$31-1,BP$34)))</f>
        <v/>
      </c>
      <c r="BQ75" s="173" t="str">
        <f>IF(BO75="","",IF(BP75=BP$33,BR$33+BR$32*(COUNT(BO$61:BO75)-1),IF(BP75=BP$34,BR$34+BR$32*(COUNT(BO$61:BO75)-BR$31))))</f>
        <v/>
      </c>
      <c r="BR75" s="180" t="str" cm="1">
        <f t="array" ref="BR75">IF(BP75="","",MAX($C$5,IF(BO75=90,IF(OR(BQ75=BR$13,BQ75=BR$14,BQ75=BO$4-BR$14,BQ75=BO$4-BR$13),BP$7,IF(OR(BP75=BP$20,BP75=BP$24),BP$8,IF(OR(BP75=BP$21:BP$23),BP$9))),BP$10)))</f>
        <v/>
      </c>
      <c r="BS75" s="168"/>
      <c r="BT75" s="185" t="str">
        <f t="shared" si="62"/>
        <v/>
      </c>
      <c r="BU75" s="173" t="str">
        <f>IF(BT75="","",IF(COUNT(BT$61:BT75)&lt;=BW$31-1,BU$33,IF(COUNT(BT$61:BT75)&lt;=2*BW$31-1,BU$34)))</f>
        <v/>
      </c>
      <c r="BV75" s="173" t="str">
        <f>IF(BT75="","",IF(BU75=BU$33,BW$33+BW$32*(COUNT(BT$61:BT75)-1),IF(BU75=BU$34,BW$34+BW$32*(COUNT(BT$61:BT75)-BW$31))))</f>
        <v/>
      </c>
      <c r="BW75" s="180" t="str" cm="1">
        <f t="array" ref="BW75">IF(BU75="","",MAX($C$5,IF(BT75=90,IF(OR(BV75=BW$13,BV75=BW$14,BV75=BT$4-BW$14,BV75=BT$4-BW$13),BU$7,IF(OR(BU75=BU$20,BU75=BU$24),BU$8,IF(OR(BU75=BU$21:BU$23),BU$9))),BU$10)))</f>
        <v/>
      </c>
      <c r="BX75" s="288"/>
    </row>
    <row r="76" spans="1:76">
      <c r="A76" s="168"/>
      <c r="B76" s="185">
        <f t="shared" si="63"/>
        <v>45</v>
      </c>
      <c r="C76" s="173">
        <f>IF(B76="","",IF(COUNT(B$61:B76)&lt;=E$31,C$33,IF(COUNT(B$61:B76)&lt;=2*E$31,C$34,IF(COUNT(B$61:B76)&lt;=3*E$31,C$35,IF(COUNT(B$61:B76)&lt;=4*E$31,C$36)))))</f>
        <v>53.5</v>
      </c>
      <c r="D76" s="173">
        <f>IF(B76="","",IF(C76=C$33,E$33+E$32*(COUNT(B$61:B76)-1),IF(C76=C$34,E$34+E$32*(COUNT(B$61:B76)-E$31-1),IF(C76=C$35,E$34+E$32*(COUNT(B$61:B76)-2*E$31-1),IF(C76=C$36,E$33+E$32*(COUNT(B$61:B76)-3*E$31-1))))))</f>
        <v>292</v>
      </c>
      <c r="E76" s="180" cm="1">
        <f t="array" ref="E76">IF(C76="","",MAX($C$5,IF(B76=90,IF(OR(D76=E$13,D76=E$14,D76=B$4-E$14,D76=B$4-E$13),C$7,IF(OR(C76=C$20,C76=C$24),C$8,IF(OR(C76=C$21:C$23),C$9))),C$10)))</f>
        <v>18</v>
      </c>
      <c r="F76" s="168"/>
      <c r="G76" s="185">
        <f t="shared" si="64"/>
        <v>45</v>
      </c>
      <c r="H76" s="173">
        <f>IF(G76="","",IF(COUNT(G$61:G76)&lt;=J$31,H$33,IF(COUNT(G$61:G76)&lt;=2*J$31,H$34,IF(COUNT(G$61:G76)&lt;=3*J$31,H$35,IF(COUNT(G$61:G76)&lt;=4*J$31,H$36)))))</f>
        <v>53.5</v>
      </c>
      <c r="I76" s="173">
        <f>IF(G76="","",IF(H76=H$33,J$33+J$32*(COUNT(G$61:G76)-1),IF(H76=H$34,J$34+J$32*(COUNT(G$61:G76)-J$31-1),IF(H76=H$35,J$34+J$32*(COUNT(G$61:G76)-2*J$31-1),IF(H76=H$36,J$33+J$32*(COUNT(G$61:G76)-3*J$31-1))))))</f>
        <v>292</v>
      </c>
      <c r="J76" s="180" cm="1">
        <f t="array" ref="J76">IF(H76="","",MAX($C$5,IF(G76=90,IF(OR(I76=J$13,I76=J$14,I76=G$4-J$14,I76=G$4-J$13),H$7,IF(OR(H76=H$20,H76=H$24),H$8,IF(OR(H76=H$21:H$23),H$9))),H$10)))</f>
        <v>18</v>
      </c>
      <c r="K76" s="168"/>
      <c r="L76" s="185">
        <f t="shared" si="65"/>
        <v>45</v>
      </c>
      <c r="M76" s="173">
        <f>IF(L76="","",IF(COUNT(L$61:L76)&lt;=O$31,M$33,IF(COUNT(L$61:L76)&lt;=2*O$31,M$34,IF(COUNT(L$61:L76)&lt;=3*O$31,M$35,IF(COUNT(L$61:L76)&lt;=4*O$31,M$36)))))</f>
        <v>53.5</v>
      </c>
      <c r="N76" s="173">
        <f>IF(L76="","",IF(M76=M$33,O$33+O$32*(COUNT(L$61:L76)-1),IF(M76=M$34,O$34+O$32*(COUNT(L$61:L76)-O$31-1),IF(M76=M$35,O$34+O$32*(COUNT(L$61:L76)-2*O$31-1),IF(M76=M$36,O$33+O$32*(COUNT(L$61:L76)-3*O$31-1))))))</f>
        <v>358</v>
      </c>
      <c r="O76" s="180" cm="1">
        <f t="array" ref="O76">IF(M76="","",MAX($C$5,IF(L76=90,IF(OR(N76=O$13,N76=O$14,N76=L$4-O$14,N76=L$4-O$13),M$7,IF(OR(M76=M$20,M76=M$24),M$8,IF(OR(M76=M$21:M$23),M$9))),M$10)))</f>
        <v>18</v>
      </c>
      <c r="P76" s="168"/>
      <c r="Q76" s="185">
        <f t="shared" si="66"/>
        <v>45</v>
      </c>
      <c r="R76" s="173">
        <f>IF(Q76="","",IF(COUNT(Q$61:Q76)&lt;=T$31,R$33,IF(COUNT(Q$61:Q76)&lt;=2*T$31,R$34,IF(COUNT(Q$61:Q76)&lt;=3*T$31,R$35,IF(COUNT(Q$61:Q76)&lt;=4*T$31,R$36)))))</f>
        <v>53.5</v>
      </c>
      <c r="S76" s="173">
        <f>IF(Q76="","",IF(R76=R$33,T$33+T$32*(COUNT(Q$61:Q76)-1),IF(R76=R$34,T$34+T$32*(COUNT(Q$61:Q76)-T$31-1),IF(R76=R$35,T$34+T$32*(COUNT(Q$61:Q76)-2*T$31-1),IF(R76=R$36,T$33+T$32*(COUNT(Q$61:Q76)-3*T$31-1))))))</f>
        <v>412</v>
      </c>
      <c r="T76" s="180" cm="1">
        <f t="array" ref="T76">IF(R76="","",MAX($C$5,IF(Q76=90,IF(OR(S76=T$13,S76=T$14,S76=Q$4-T$14,S76=Q$4-T$13),R$7,IF(OR(R76=R$20,R76=R$24),R$8,IF(OR(R76=R$21:R$23),R$9))),R$10)))</f>
        <v>18</v>
      </c>
      <c r="U76" s="168"/>
      <c r="V76" s="185">
        <f t="shared" si="67"/>
        <v>45</v>
      </c>
      <c r="W76" s="173">
        <f>IF(V76="","",IF(COUNT(V$61:V76)&lt;=Y$31,W$33,IF(COUNT(V$61:V76)&lt;=2*Y$31,W$34,IF(COUNT(V$61:V76)&lt;=3*Y$31,W$35,IF(COUNT(V$61:V76)&lt;=4*Y$31,W$36)))))</f>
        <v>53.5</v>
      </c>
      <c r="X76" s="173">
        <f>IF(V76="","",IF(W76=W$33,Y$33+Y$32*(COUNT(V$61:V76)-1),IF(W76=W$34,Y$34+Y$32*(COUNT(V$61:V76)-Y$31-1),IF(W76=W$35,Y$34+Y$32*(COUNT(V$61:V76)-2*Y$31-1),IF(W76=W$36,Y$33+Y$32*(COUNT(V$61:V76)-3*Y$31-1))))))</f>
        <v>520.5</v>
      </c>
      <c r="Y76" s="180" cm="1">
        <f t="array" ref="Y76">IF(W76="","",MAX($C$5,IF(V76=90,IF(OR(X76=Y$13,X76=Y$14,X76=V$4-Y$14,X76=V$4-Y$13),W$7,IF(OR(W76=W$20,W76=W$24),W$8,IF(OR(W76=W$21:W$23),W$9))),W$10)))</f>
        <v>18</v>
      </c>
      <c r="Z76" s="168"/>
      <c r="AA76" s="185">
        <f t="shared" si="68"/>
        <v>45</v>
      </c>
      <c r="AB76" s="173">
        <f>IF(AA76="","",IF(COUNT(AA$61:AA76)&lt;=AD$31,AB$33,IF(COUNT(AA$61:AA76)&lt;=2*AD$31,AB$34,IF(COUNT(AA$61:AA76)&lt;=3*AD$31,AB$35,IF(COUNT(AA$61:AA76)&lt;=4*AD$31,AB$36)))))</f>
        <v>96.5</v>
      </c>
      <c r="AC76" s="173">
        <f>IF(AA76="","",IF(AB76=AB$33,AD$33+AD$32*(COUNT(AA$61:AA76)-1),IF(AB76=AB$34,AD$34+AD$32*(COUNT(AA$61:AA76)-AD$31-1),IF(AB76=AB$35,AD$34+AD$32*(COUNT(AA$61:AA76)-2*AD$31-1),IF(AB76=AB$36,AD$33+AD$32*(COUNT(AA$61:AA76)-3*AD$31-1))))))</f>
        <v>168</v>
      </c>
      <c r="AD76" s="180" cm="1">
        <f t="array" ref="AD76">IF(AB76="","",MAX($C$5,IF(AA76=90,IF(OR(AC76=AD$13,AC76=AD$14,AC76=AA$4-AD$14,AC76=AA$4-AD$13),AB$7,IF(OR(AB76=AB$20,AB76=AB$24),AB$8,IF(OR(AB76=AB$21:AB$23),AB$9))),AB$10)))</f>
        <v>18</v>
      </c>
      <c r="AE76" s="168"/>
      <c r="AF76" s="185">
        <f t="shared" si="69"/>
        <v>45</v>
      </c>
      <c r="AG76" s="173">
        <f>IF(AF76="","",IF(COUNT(AF$61:AF76)&lt;=AI$31,AG$33,IF(COUNT(AF$61:AF76)&lt;=2*AI$31,AG$34,IF(COUNT(AF$61:AF76)&lt;=3*AI$31,AG$35,IF(COUNT(AF$61:AF76)&lt;=4*AI$31,AG$36)))))</f>
        <v>139.5</v>
      </c>
      <c r="AH76" s="173">
        <f>IF(AF76="","",IF(AG76=AG$33,AI$33+AI$32*(COUNT(AF$61:AF76)-1),IF(AG76=AG$34,AI$34+AI$32*(COUNT(AF$61:AF76)-AI$31-1),IF(AG76=AG$35,AI$34+AI$32*(COUNT(AF$61:AF76)-2*AI$31-1),IF(AG76=AG$36,AI$33+AI$32*(COUNT(AF$61:AF76)-3*AI$31-1))))))</f>
        <v>138</v>
      </c>
      <c r="AI76" s="180" cm="1">
        <f t="array" ref="AI76">IF(AG76="","",MAX($C$5,IF(AF76=90,IF(OR(AH76=AI$13,AH76=AI$14,AH76=AF$4-AI$14,AH76=AF$4-AI$13),AG$7,IF(OR(AG76=AG$20,AG76=AG$24),AG$8,IF(OR(AG76=AG$21:AG$23),AG$9))),AG$10)))</f>
        <v>18</v>
      </c>
      <c r="AJ76" s="168"/>
      <c r="AK76" s="185" t="str">
        <f t="shared" si="70"/>
        <v/>
      </c>
      <c r="AL76" s="173" t="str">
        <f>IF(AK76="","",IF(COUNT(AK$61:AK76)&lt;=AN$31,AL$33,IF(COUNT(AK$61:AK76)&lt;=2*AN$31,AL$34,IF(COUNT(AK$61:AK76)&lt;=3*AN$31,AL$35,IF(COUNT(AK$61:AK76)&lt;=4*AN$31,AL$36)))))</f>
        <v/>
      </c>
      <c r="AM76" s="173" t="str">
        <f>IF(AK76="","",IF(AL76=AL$33,AN$33+AN$32*(COUNT(AK$61:AK76)-1),IF(AL76=AL$34,AN$34+AN$32*(COUNT(AK$61:AK76)-AN$31-1),IF(AL76=AL$35,AN$34+AN$32*(COUNT(AK$61:AK76)-2*AN$31-1),IF(AL76=AL$36,AN$33+AN$32*(COUNT(AK$61:AK76)-3*AN$31-1))))))</f>
        <v/>
      </c>
      <c r="AN76" s="180" t="str" cm="1">
        <f t="array" ref="AN76">IF(AL76="","",MAX($C$5,IF(AK76=90,IF(OR(AM76=AN$13,AM76=AN$14,AM76=AK$4-AN$14,AM76=AK$4-AN$13),AL$7,IF(OR(AL76=AL$20,AL76=AL$24),AL$8,IF(OR(AL76=AL$21:AL$23),AL$9))),AL$10)))</f>
        <v/>
      </c>
      <c r="AO76" s="168"/>
      <c r="AP76" s="198">
        <f t="shared" si="56"/>
        <v>45</v>
      </c>
      <c r="AQ76" s="199">
        <f>IF(AP76="","",IF(COUNT(AP$61:AP76)&lt;=AS$31,AQ$33,IF(COUNT(AP$61:AP76)&lt;=2*AS$31,AQ$34,IF(COUNT(AP$61:AP76)&lt;=3*AS$31,AQ$35,IF(COUNT(AP$61:AP76)&lt;=4*AS$31,AQ$36)))))</f>
        <v>53.5</v>
      </c>
      <c r="AR76" s="199">
        <f>IF(AP76="","",IF(AQ76=AQ$33,AS$33+AS$32*(COUNT(AP$61:AP76)-1),IF(AQ76=AQ$34,AS$34+AS$32*(COUNT(AP$61:AP76)-AS$31-1),IF(AQ76=AQ$35,AS$34+AS$32*(COUNT(AP$61:AP76)-2*AS$31-1),IF(AQ76=AQ$36,AS$33+AS$32*(COUNT(AP$61:AP76)-3*AS$31-1))))))</f>
        <v>562</v>
      </c>
      <c r="AS76" s="180" cm="1">
        <f t="array" ref="AS76">IF(AQ76="","",MAX($C$5,IF(AP76=90,IF(OR(AR76=AS$13,AR76=AS$14,AR76=AP$4-AS$14,AR76=AP$4-AS$13),AQ$7,IF(OR(AQ76=AQ$20,AQ76=AQ$24),AQ$8,IF(OR(AQ76=AQ$21:AQ$23),AQ$9))),AQ$10)))</f>
        <v>18</v>
      </c>
      <c r="AT76" s="277"/>
      <c r="AU76" s="185">
        <f t="shared" si="57"/>
        <v>45</v>
      </c>
      <c r="AV76" s="173">
        <f>IF(AU76="","",IF(COUNT(AU$61:AU76)&lt;=AX$31,AV$33,IF(COUNT(AU$61:AU76)&lt;=2*AX$31,AV$34,IF(COUNT(AU$61:AU76)&lt;=3*AX$31,AV$35))))</f>
        <v>89.2</v>
      </c>
      <c r="AW76" s="173">
        <f>IF(AU76="","",IF(AV76=AV$33,AX$33+AX$32*(COUNT(AU$61:AU76)-1),IF(AV76=AV$34,AX$34+AX$32*(COUNT(AU$61:AU76)-AX$31-1),IF(AV76=AV$35,AX$33+AX$32*(COUNT(AU$61:AU76)-2*AX$31-1)))))</f>
        <v>196</v>
      </c>
      <c r="AX76" s="180" cm="1">
        <f t="array" ref="AX76">IF(AV76="","",MAX($C$5,IF(AU76=90,IF(OR(AW76=AX$13,AW76=AX$14,AW76=AU$4-AX$14,AW76=AU$4-AX$13),AV$7,IF(OR(AV76=AV$20,AV76=AV$24),AV$8,IF(OR(AV76=AV$21:AV$23),AV$9))),AV$10)))</f>
        <v>17.5</v>
      </c>
      <c r="AY76" s="168"/>
      <c r="AZ76" s="185" t="str">
        <f t="shared" si="58"/>
        <v/>
      </c>
      <c r="BA76" s="173" t="str">
        <f>IF(AZ76="","",IF(COUNT(AZ$61:AZ76)&lt;=BC$31,BA$33,IF(COUNT(AZ$61:AZ76)&lt;=2*BC$31,BA$34,IF(COUNT(AZ$61:AZ76)&lt;=3*BC$31,BA$35))))</f>
        <v/>
      </c>
      <c r="BB76" s="173" t="str">
        <f>IF(AZ76="","",IF(BA76=BA$33,BC$33+BC$32*(COUNT(AZ$61:AZ76)-1),IF(BA76=BA$34,BC$34+BC$32*(COUNT(AZ$61:AZ76)-BC$31-1),IF(BA76=BA$35,BC$33+BC$32*(COUNT(AZ$61:AZ76)-2*BC$31-1)))))</f>
        <v/>
      </c>
      <c r="BC76" s="180" t="str" cm="1">
        <f t="array" ref="BC76">IF(BA76="","",MAX($C$5,IF(AZ76=90,IF(OR(BB76=BC$13,BB76=BC$14,BB76=AZ$4-BC$14,BB76=AZ$4-BC$13),BA$7,IF(OR(BA76=BA$20,BA76=BA$24),BA$8,IF(OR(BA76=BA$21:BA$23),BA$9))),BA$10)))</f>
        <v/>
      </c>
      <c r="BD76" s="168"/>
      <c r="BE76" s="185" t="str">
        <f t="shared" si="59"/>
        <v/>
      </c>
      <c r="BF76" s="173" t="str">
        <f>IF(BE76="","",IF(COUNT(BE$61:BE76)&lt;=BH$31,BF$33,IF(COUNT(BE$61:BE76)&lt;=2*BH$31,BF$34,IF(COUNT(BE$61:BE76)&lt;=3*BH$31,BF$35))))</f>
        <v/>
      </c>
      <c r="BG76" s="173" t="str">
        <f>IF(BE76="","",IF(BF76=BF$33,BH$33+BH$32*(COUNT(BE$61:BE76)-1),IF(BF76=BF$34,BH$34+BH$32*(COUNT(BE$61:BE76)-BH$31-1),IF(BF76=BF$35,BH$33+BH$32*(COUNT(BE$61:BE76)-2*BH$31-1)))))</f>
        <v/>
      </c>
      <c r="BH76" s="180" t="str" cm="1">
        <f t="array" ref="BH76">IF(BF76="","",MAX($C$5,IF(BE76=90,IF(OR(BG76=BH$13,BG76=BH$14,BG76=BE$4-BH$14,BG76=BE$4-BH$13),BF$7,IF(OR(BF76=BF$20,BF76=BF$24),BF$8,IF(OR(BF76=BF$21:BF$23),BF$9))),BF$10)))</f>
        <v/>
      </c>
      <c r="BI76" s="277"/>
      <c r="BJ76" s="185" t="str">
        <f t="shared" si="60"/>
        <v/>
      </c>
      <c r="BK76" s="173" t="str">
        <f>IF(BJ76="","",IF(COUNT(BJ$61:BJ76)&lt;=BM$31-1,BK$33,IF(COUNT(BJ$61:BJ76)&lt;=2*BM$31-1,BK$34)))</f>
        <v/>
      </c>
      <c r="BL76" s="173" t="str">
        <f>IF(BJ76="","",IF(BK76=BK$33,BM$33+BM$32*(COUNT(BJ$61:BJ76)-1),IF(BK76=BK$34,BM$34+BM$32*(COUNT(BJ$61:BJ76)-BM$31))))</f>
        <v/>
      </c>
      <c r="BM76" s="180" t="str" cm="1">
        <f t="array" ref="BM76">IF(BK76="","",MAX($C$5,IF(BJ76=90,IF(OR(BL76=BM$13,BL76=BM$14,BL76=BJ$4-BM$14,BL76=BJ$4-BM$13),BK$7,IF(OR(BK76=BK$20,BK76=BK$24),BK$8,IF(OR(BK76=BK$21:BK$23),BK$9))),BK$10)))</f>
        <v/>
      </c>
      <c r="BN76" s="168"/>
      <c r="BO76" s="185" t="str">
        <f t="shared" si="61"/>
        <v/>
      </c>
      <c r="BP76" s="173" t="str">
        <f>IF(BO76="","",IF(COUNT(BO$61:BO76)&lt;=BR$31-1,BP$33,IF(COUNT(BO$61:BO76)&lt;=2*BR$31-1,BP$34)))</f>
        <v/>
      </c>
      <c r="BQ76" s="173" t="str">
        <f>IF(BO76="","",IF(BP76=BP$33,BR$33+BR$32*(COUNT(BO$61:BO76)-1),IF(BP76=BP$34,BR$34+BR$32*(COUNT(BO$61:BO76)-BR$31))))</f>
        <v/>
      </c>
      <c r="BR76" s="180" t="str" cm="1">
        <f t="array" ref="BR76">IF(BP76="","",MAX($C$5,IF(BO76=90,IF(OR(BQ76=BR$13,BQ76=BR$14,BQ76=BO$4-BR$14,BQ76=BO$4-BR$13),BP$7,IF(OR(BP76=BP$20,BP76=BP$24),BP$8,IF(OR(BP76=BP$21:BP$23),BP$9))),BP$10)))</f>
        <v/>
      </c>
      <c r="BS76" s="168"/>
      <c r="BT76" s="185" t="str">
        <f t="shared" si="62"/>
        <v/>
      </c>
      <c r="BU76" s="173" t="str">
        <f>IF(BT76="","",IF(COUNT(BT$61:BT76)&lt;=BW$31-1,BU$33,IF(COUNT(BT$61:BT76)&lt;=2*BW$31-1,BU$34)))</f>
        <v/>
      </c>
      <c r="BV76" s="173" t="str">
        <f>IF(BT76="","",IF(BU76=BU$33,BW$33+BW$32*(COUNT(BT$61:BT76)-1),IF(BU76=BU$34,BW$34+BW$32*(COUNT(BT$61:BT76)-BW$31))))</f>
        <v/>
      </c>
      <c r="BW76" s="180" t="str" cm="1">
        <f t="array" ref="BW76">IF(BU76="","",MAX($C$5,IF(BT76=90,IF(OR(BV76=BW$13,BV76=BW$14,BV76=BT$4-BW$14,BV76=BT$4-BW$13),BU$7,IF(OR(BU76=BU$20,BU76=BU$24),BU$8,IF(OR(BU76=BU$21:BU$23),BU$9))),BU$10)))</f>
        <v/>
      </c>
      <c r="BX76" s="288"/>
    </row>
    <row r="77" spans="1:76">
      <c r="A77" s="168"/>
      <c r="B77" s="185">
        <f t="shared" si="63"/>
        <v>45</v>
      </c>
      <c r="C77" s="173">
        <f>IF(B77="","",IF(COUNT(B$61:B77)&lt;=E$31,C$33,IF(COUNT(B$61:B77)&lt;=2*E$31,C$34,IF(COUNT(B$61:B77)&lt;=3*E$31,C$35,IF(COUNT(B$61:B77)&lt;=4*E$31,C$36)))))</f>
        <v>53.5</v>
      </c>
      <c r="D77" s="173">
        <f>IF(B77="","",IF(C77=C$33,E$33+E$32*(COUNT(B$61:B77)-1),IF(C77=C$34,E$34+E$32*(COUNT(B$61:B77)-E$31-1),IF(C77=C$35,E$34+E$32*(COUNT(B$61:B77)-2*E$31-1),IF(C77=C$36,E$33+E$32*(COUNT(B$61:B77)-3*E$31-1))))))</f>
        <v>349</v>
      </c>
      <c r="E77" s="180" cm="1">
        <f t="array" ref="E77">IF(C77="","",MAX($C$5,IF(B77=90,IF(OR(D77=E$13,D77=E$14,D77=B$4-E$14,D77=B$4-E$13),C$7,IF(OR(C77=C$20,C77=C$24),C$8,IF(OR(C77=C$21:C$23),C$9))),C$10)))</f>
        <v>18</v>
      </c>
      <c r="F77" s="168"/>
      <c r="G77" s="185">
        <f t="shared" si="64"/>
        <v>45</v>
      </c>
      <c r="H77" s="173">
        <f>IF(G77="","",IF(COUNT(G$61:G77)&lt;=J$31,H$33,IF(COUNT(G$61:G77)&lt;=2*J$31,H$34,IF(COUNT(G$61:G77)&lt;=3*J$31,H$35,IF(COUNT(G$61:G77)&lt;=4*J$31,H$36)))))</f>
        <v>53.5</v>
      </c>
      <c r="I77" s="173">
        <f>IF(G77="","",IF(H77=H$33,J$33+J$32*(COUNT(G$61:G77)-1),IF(H77=H$34,J$34+J$32*(COUNT(G$61:G77)-J$31-1),IF(H77=H$35,J$34+J$32*(COUNT(G$61:G77)-2*J$31-1),IF(H77=H$36,J$33+J$32*(COUNT(G$61:G77)-3*J$31-1))))))</f>
        <v>349</v>
      </c>
      <c r="J77" s="180" cm="1">
        <f t="array" ref="J77">IF(H77="","",MAX($C$5,IF(G77=90,IF(OR(I77=J$13,I77=J$14,I77=G$4-J$14,I77=G$4-J$13),H$7,IF(OR(H77=H$20,H77=H$24),H$8,IF(OR(H77=H$21:H$23),H$9))),H$10)))</f>
        <v>18</v>
      </c>
      <c r="K77" s="168"/>
      <c r="L77" s="185">
        <f t="shared" si="65"/>
        <v>45</v>
      </c>
      <c r="M77" s="173">
        <f>IF(L77="","",IF(COUNT(L$61:L77)&lt;=O$31,M$33,IF(COUNT(L$61:L77)&lt;=2*O$31,M$34,IF(COUNT(L$61:L77)&lt;=3*O$31,M$35,IF(COUNT(L$61:L77)&lt;=4*O$31,M$36)))))</f>
        <v>53.5</v>
      </c>
      <c r="N77" s="173">
        <f>IF(L77="","",IF(M77=M$33,O$33+O$32*(COUNT(L$61:L77)-1),IF(M77=M$34,O$34+O$32*(COUNT(L$61:L77)-O$31-1),IF(M77=M$35,O$34+O$32*(COUNT(L$61:L77)-2*O$31-1),IF(M77=M$36,O$33+O$32*(COUNT(L$61:L77)-3*O$31-1))))))</f>
        <v>415</v>
      </c>
      <c r="O77" s="180" cm="1">
        <f t="array" ref="O77">IF(M77="","",MAX($C$5,IF(L77=90,IF(OR(N77=O$13,N77=O$14,N77=L$4-O$14,N77=L$4-O$13),M$7,IF(OR(M77=M$20,M77=M$24),M$8,IF(OR(M77=M$21:M$23),M$9))),M$10)))</f>
        <v>18</v>
      </c>
      <c r="P77" s="168"/>
      <c r="Q77" s="185">
        <f t="shared" si="66"/>
        <v>45</v>
      </c>
      <c r="R77" s="173">
        <f>IF(Q77="","",IF(COUNT(Q$61:Q77)&lt;=T$31,R$33,IF(COUNT(Q$61:Q77)&lt;=2*T$31,R$34,IF(COUNT(Q$61:Q77)&lt;=3*T$31,R$35,IF(COUNT(Q$61:Q77)&lt;=4*T$31,R$36)))))</f>
        <v>53.5</v>
      </c>
      <c r="S77" s="173">
        <f>IF(Q77="","",IF(R77=R$33,T$33+T$32*(COUNT(Q$61:Q77)-1),IF(R77=R$34,T$34+T$32*(COUNT(Q$61:Q77)-T$31-1),IF(R77=R$35,T$34+T$32*(COUNT(Q$61:Q77)-2*T$31-1),IF(R77=R$36,T$33+T$32*(COUNT(Q$61:Q77)-3*T$31-1))))))</f>
        <v>469</v>
      </c>
      <c r="T77" s="180" cm="1">
        <f t="array" ref="T77">IF(R77="","",MAX($C$5,IF(Q77=90,IF(OR(S77=T$13,S77=T$14,S77=Q$4-T$14,S77=Q$4-T$13),R$7,IF(OR(R77=R$20,R77=R$24),R$8,IF(OR(R77=R$21:R$23),R$9))),R$10)))</f>
        <v>18</v>
      </c>
      <c r="U77" s="168"/>
      <c r="V77" s="185">
        <f t="shared" si="67"/>
        <v>45</v>
      </c>
      <c r="W77" s="173">
        <f>IF(V77="","",IF(COUNT(V$61:V77)&lt;=Y$31,W$33,IF(COUNT(V$61:V77)&lt;=2*Y$31,W$34,IF(COUNT(V$61:V77)&lt;=3*Y$31,W$35,IF(COUNT(V$61:V77)&lt;=4*Y$31,W$36)))))</f>
        <v>96.5</v>
      </c>
      <c r="X77" s="173">
        <f>IF(V77="","",IF(W77=W$33,Y$33+Y$32*(COUNT(V$61:V77)-1),IF(W77=W$34,Y$34+Y$32*(COUNT(V$61:V77)-Y$31-1),IF(W77=W$35,Y$34+Y$32*(COUNT(V$61:V77)-2*Y$31-1),IF(W77=W$36,Y$33+Y$32*(COUNT(V$61:V77)-3*Y$31-1))))))</f>
        <v>121.5</v>
      </c>
      <c r="Y77" s="180" cm="1">
        <f t="array" ref="Y77">IF(W77="","",MAX($C$5,IF(V77=90,IF(OR(X77=Y$13,X77=Y$14,X77=V$4-Y$14,X77=V$4-Y$13),W$7,IF(OR(W77=W$20,W77=W$24),W$8,IF(OR(W77=W$21:W$23),W$9))),W$10)))</f>
        <v>18</v>
      </c>
      <c r="Z77" s="168"/>
      <c r="AA77" s="185">
        <f t="shared" si="68"/>
        <v>45</v>
      </c>
      <c r="AB77" s="173">
        <f>IF(AA77="","",IF(COUNT(AA$61:AA77)&lt;=AD$31,AB$33,IF(COUNT(AA$61:AA77)&lt;=2*AD$31,AB$34,IF(COUNT(AA$61:AA77)&lt;=3*AD$31,AB$35,IF(COUNT(AA$61:AA77)&lt;=4*AD$31,AB$36)))))</f>
        <v>96.5</v>
      </c>
      <c r="AC77" s="173">
        <f>IF(AA77="","",IF(AB77=AB$33,AD$33+AD$32*(COUNT(AA$61:AA77)-1),IF(AB77=AB$34,AD$34+AD$32*(COUNT(AA$61:AA77)-AD$31-1),IF(AB77=AB$35,AD$34+AD$32*(COUNT(AA$61:AA77)-2*AD$31-1),IF(AB77=AB$36,AD$33+AD$32*(COUNT(AA$61:AA77)-3*AD$31-1))))))</f>
        <v>226</v>
      </c>
      <c r="AD77" s="180" cm="1">
        <f t="array" ref="AD77">IF(AB77="","",MAX($C$5,IF(AA77=90,IF(OR(AC77=AD$13,AC77=AD$14,AC77=AA$4-AD$14,AC77=AA$4-AD$13),AB$7,IF(OR(AB77=AB$20,AB77=AB$24),AB$8,IF(OR(AB77=AB$21:AB$23),AB$9))),AB$10)))</f>
        <v>18</v>
      </c>
      <c r="AE77" s="168"/>
      <c r="AF77" s="185">
        <f t="shared" si="69"/>
        <v>45</v>
      </c>
      <c r="AG77" s="173">
        <f>IF(AF77="","",IF(COUNT(AF$61:AF77)&lt;=AI$31,AG$33,IF(COUNT(AF$61:AF77)&lt;=2*AI$31,AG$34,IF(COUNT(AF$61:AF77)&lt;=3*AI$31,AG$35,IF(COUNT(AF$61:AF77)&lt;=4*AI$31,AG$36)))))</f>
        <v>139.5</v>
      </c>
      <c r="AH77" s="173">
        <f>IF(AF77="","",IF(AG77=AG$33,AI$33+AI$32*(COUNT(AF$61:AF77)-1),IF(AG77=AG$34,AI$34+AI$32*(COUNT(AF$61:AF77)-AI$31-1),IF(AG77=AG$35,AI$34+AI$32*(COUNT(AF$61:AF77)-2*AI$31-1),IF(AG77=AG$36,AI$33+AI$32*(COUNT(AF$61:AF77)-3*AI$31-1))))))</f>
        <v>196</v>
      </c>
      <c r="AI77" s="180" cm="1">
        <f t="array" ref="AI77">IF(AG77="","",MAX($C$5,IF(AF77=90,IF(OR(AH77=AI$13,AH77=AI$14,AH77=AF$4-AI$14,AH77=AF$4-AI$13),AG$7,IF(OR(AG77=AG$20,AG77=AG$24),AG$8,IF(OR(AG77=AG$21:AG$23),AG$9))),AG$10)))</f>
        <v>18</v>
      </c>
      <c r="AJ77" s="168"/>
      <c r="AK77" s="185" t="str">
        <f t="shared" si="70"/>
        <v/>
      </c>
      <c r="AL77" s="173" t="str">
        <f>IF(AK77="","",IF(COUNT(AK$61:AK77)&lt;=AN$31,AL$33,IF(COUNT(AK$61:AK77)&lt;=2*AN$31,AL$34,IF(COUNT(AK$61:AK77)&lt;=3*AN$31,AL$35,IF(COUNT(AK$61:AK77)&lt;=4*AN$31,AL$36)))))</f>
        <v/>
      </c>
      <c r="AM77" s="173" t="str">
        <f>IF(AK77="","",IF(AL77=AL$33,AN$33+AN$32*(COUNT(AK$61:AK77)-1),IF(AL77=AL$34,AN$34+AN$32*(COUNT(AK$61:AK77)-AN$31-1),IF(AL77=AL$35,AN$34+AN$32*(COUNT(AK$61:AK77)-2*AN$31-1),IF(AL77=AL$36,AN$33+AN$32*(COUNT(AK$61:AK77)-3*AN$31-1))))))</f>
        <v/>
      </c>
      <c r="AN77" s="180" t="str" cm="1">
        <f t="array" ref="AN77">IF(AL77="","",MAX($C$5,IF(AK77=90,IF(OR(AM77=AN$13,AM77=AN$14,AM77=AK$4-AN$14,AM77=AK$4-AN$13),AL$7,IF(OR(AL77=AL$20,AL77=AL$24),AL$8,IF(OR(AL77=AL$21:AL$23),AL$9))),AL$10)))</f>
        <v/>
      </c>
      <c r="AO77" s="168"/>
      <c r="AP77" s="198">
        <f t="shared" si="56"/>
        <v>45</v>
      </c>
      <c r="AQ77" s="199">
        <f>IF(AP77="","",IF(COUNT(AP$61:AP77)&lt;=AS$31,AQ$33,IF(COUNT(AP$61:AP77)&lt;=2*AS$31,AQ$34,IF(COUNT(AP$61:AP77)&lt;=3*AS$31,AQ$35,IF(COUNT(AP$61:AP77)&lt;=4*AS$31,AQ$36)))))</f>
        <v>53.5</v>
      </c>
      <c r="AR77" s="199">
        <f>IF(AP77="","",IF(AQ77=AQ$33,AS$33+AS$32*(COUNT(AP$61:AP77)-1),IF(AQ77=AQ$34,AS$34+AS$32*(COUNT(AP$61:AP77)-AS$31-1),IF(AQ77=AQ$35,AS$34+AS$32*(COUNT(AP$61:AP77)-2*AS$31-1),IF(AQ77=AQ$36,AS$33+AS$32*(COUNT(AP$61:AP77)-3*AS$31-1))))))</f>
        <v>619</v>
      </c>
      <c r="AS77" s="180" cm="1">
        <f t="array" ref="AS77">IF(AQ77="","",MAX($C$5,IF(AP77=90,IF(OR(AR77=AS$13,AR77=AS$14,AR77=AP$4-AS$14,AR77=AP$4-AS$13),AQ$7,IF(OR(AQ77=AQ$20,AQ77=AQ$24),AQ$8,IF(OR(AQ77=AQ$21:AQ$23),AQ$9))),AQ$10)))</f>
        <v>18</v>
      </c>
      <c r="AT77" s="277"/>
      <c r="AU77" s="185">
        <f t="shared" si="57"/>
        <v>45</v>
      </c>
      <c r="AV77" s="173">
        <f>IF(AU77="","",IF(COUNT(AU$61:AU77)&lt;=AX$31,AV$33,IF(COUNT(AU$61:AU77)&lt;=2*AX$31,AV$34,IF(COUNT(AU$61:AU77)&lt;=3*AX$31,AV$35))))</f>
        <v>89.2</v>
      </c>
      <c r="AW77" s="173">
        <f>IF(AU77="","",IF(AV77=AV$33,AX$33+AX$32*(COUNT(AU$61:AU77)-1),IF(AV77=AV$34,AX$34+AX$32*(COUNT(AU$61:AU77)-AX$31-1),IF(AV77=AV$35,AX$33+AX$32*(COUNT(AU$61:AU77)-2*AX$31-1)))))</f>
        <v>254</v>
      </c>
      <c r="AX77" s="180" cm="1">
        <f t="array" ref="AX77">IF(AV77="","",MAX($C$5,IF(AU77=90,IF(OR(AW77=AX$13,AW77=AX$14,AW77=AU$4-AX$14,AW77=AU$4-AX$13),AV$7,IF(OR(AV77=AV$20,AV77=AV$24),AV$8,IF(OR(AV77=AV$21:AV$23),AV$9))),AV$10)))</f>
        <v>17.5</v>
      </c>
      <c r="AY77" s="168"/>
      <c r="AZ77" s="185" t="str">
        <f t="shared" si="58"/>
        <v/>
      </c>
      <c r="BA77" s="173" t="str">
        <f>IF(AZ77="","",IF(COUNT(AZ$61:AZ77)&lt;=BC$31,BA$33,IF(COUNT(AZ$61:AZ77)&lt;=2*BC$31,BA$34,IF(COUNT(AZ$61:AZ77)&lt;=3*BC$31,BA$35))))</f>
        <v/>
      </c>
      <c r="BB77" s="173" t="str">
        <f>IF(AZ77="","",IF(BA77=BA$33,BC$33+BC$32*(COUNT(AZ$61:AZ77)-1),IF(BA77=BA$34,BC$34+BC$32*(COUNT(AZ$61:AZ77)-BC$31-1),IF(BA77=BA$35,BC$33+BC$32*(COUNT(AZ$61:AZ77)-2*BC$31-1)))))</f>
        <v/>
      </c>
      <c r="BC77" s="180" t="str" cm="1">
        <f t="array" ref="BC77">IF(BA77="","",MAX($C$5,IF(AZ77=90,IF(OR(BB77=BC$13,BB77=BC$14,BB77=AZ$4-BC$14,BB77=AZ$4-BC$13),BA$7,IF(OR(BA77=BA$20,BA77=BA$24),BA$8,IF(OR(BA77=BA$21:BA$23),BA$9))),BA$10)))</f>
        <v/>
      </c>
      <c r="BD77" s="168"/>
      <c r="BE77" s="185" t="str">
        <f t="shared" si="59"/>
        <v/>
      </c>
      <c r="BF77" s="173" t="str">
        <f>IF(BE77="","",IF(COUNT(BE$61:BE77)&lt;=BH$31,BF$33,IF(COUNT(BE$61:BE77)&lt;=2*BH$31,BF$34,IF(COUNT(BE$61:BE77)&lt;=3*BH$31,BF$35))))</f>
        <v/>
      </c>
      <c r="BG77" s="173" t="str">
        <f>IF(BE77="","",IF(BF77=BF$33,BH$33+BH$32*(COUNT(BE$61:BE77)-1),IF(BF77=BF$34,BH$34+BH$32*(COUNT(BE$61:BE77)-BH$31-1),IF(BF77=BF$35,BH$33+BH$32*(COUNT(BE$61:BE77)-2*BH$31-1)))))</f>
        <v/>
      </c>
      <c r="BH77" s="180" t="str" cm="1">
        <f t="array" ref="BH77">IF(BF77="","",MAX($C$5,IF(BE77=90,IF(OR(BG77=BH$13,BG77=BH$14,BG77=BE$4-BH$14,BG77=BE$4-BH$13),BF$7,IF(OR(BF77=BF$20,BF77=BF$24),BF$8,IF(OR(BF77=BF$21:BF$23),BF$9))),BF$10)))</f>
        <v/>
      </c>
      <c r="BI77" s="277"/>
      <c r="BJ77" s="185" t="str">
        <f t="shared" si="60"/>
        <v/>
      </c>
      <c r="BK77" s="173" t="str">
        <f>IF(BJ77="","",IF(COUNT(BJ$61:BJ77)&lt;=BM$31-1,BK$33,IF(COUNT(BJ$61:BJ77)&lt;=2*BM$31-1,BK$34)))</f>
        <v/>
      </c>
      <c r="BL77" s="173" t="str">
        <f>IF(BJ77="","",IF(BK77=BK$33,BM$33+BM$32*(COUNT(BJ$61:BJ77)-1),IF(BK77=BK$34,BM$34+BM$32*(COUNT(BJ$61:BJ77)-BM$31))))</f>
        <v/>
      </c>
      <c r="BM77" s="180" t="str" cm="1">
        <f t="array" ref="BM77">IF(BK77="","",MAX($C$5,IF(BJ77=90,IF(OR(BL77=BM$13,BL77=BM$14,BL77=BJ$4-BM$14,BL77=BJ$4-BM$13),BK$7,IF(OR(BK77=BK$20,BK77=BK$24),BK$8,IF(OR(BK77=BK$21:BK$23),BK$9))),BK$10)))</f>
        <v/>
      </c>
      <c r="BN77" s="168"/>
      <c r="BO77" s="185" t="str">
        <f t="shared" si="61"/>
        <v/>
      </c>
      <c r="BP77" s="173" t="str">
        <f>IF(BO77="","",IF(COUNT(BO$61:BO77)&lt;=BR$31-1,BP$33,IF(COUNT(BO$61:BO77)&lt;=2*BR$31-1,BP$34)))</f>
        <v/>
      </c>
      <c r="BQ77" s="173" t="str">
        <f>IF(BO77="","",IF(BP77=BP$33,BR$33+BR$32*(COUNT(BO$61:BO77)-1),IF(BP77=BP$34,BR$34+BR$32*(COUNT(BO$61:BO77)-BR$31))))</f>
        <v/>
      </c>
      <c r="BR77" s="180" t="str" cm="1">
        <f t="array" ref="BR77">IF(BP77="","",MAX($C$5,IF(BO77=90,IF(OR(BQ77=BR$13,BQ77=BR$14,BQ77=BO$4-BR$14,BQ77=BO$4-BR$13),BP$7,IF(OR(BP77=BP$20,BP77=BP$24),BP$8,IF(OR(BP77=BP$21:BP$23),BP$9))),BP$10)))</f>
        <v/>
      </c>
      <c r="BS77" s="168"/>
      <c r="BT77" s="185" t="str">
        <f t="shared" si="62"/>
        <v/>
      </c>
      <c r="BU77" s="173" t="str">
        <f>IF(BT77="","",IF(COUNT(BT$61:BT77)&lt;=BW$31-1,BU$33,IF(COUNT(BT$61:BT77)&lt;=2*BW$31-1,BU$34)))</f>
        <v/>
      </c>
      <c r="BV77" s="173" t="str">
        <f>IF(BT77="","",IF(BU77=BU$33,BW$33+BW$32*(COUNT(BT$61:BT77)-1),IF(BU77=BU$34,BW$34+BW$32*(COUNT(BT$61:BT77)-BW$31))))</f>
        <v/>
      </c>
      <c r="BW77" s="180" t="str" cm="1">
        <f t="array" ref="BW77">IF(BU77="","",MAX($C$5,IF(BT77=90,IF(OR(BV77=BW$13,BV77=BW$14,BV77=BT$4-BW$14,BV77=BT$4-BW$13),BU$7,IF(OR(BU77=BU$20,BU77=BU$24),BU$8,IF(OR(BU77=BU$21:BU$23),BU$9))),BU$10)))</f>
        <v/>
      </c>
      <c r="BX77" s="288"/>
    </row>
    <row r="78" spans="1:76">
      <c r="A78" s="168"/>
      <c r="B78" s="185">
        <f t="shared" si="63"/>
        <v>45</v>
      </c>
      <c r="C78" s="173">
        <f>IF(B78="","",IF(COUNT(B$61:B78)&lt;=E$31,C$33,IF(COUNT(B$61:B78)&lt;=2*E$31,C$34,IF(COUNT(B$61:B78)&lt;=3*E$31,C$35,IF(COUNT(B$61:B78)&lt;=4*E$31,C$36)))))</f>
        <v>53.5</v>
      </c>
      <c r="D78" s="173">
        <f>IF(B78="","",IF(C78=C$33,E$33+E$32*(COUNT(B$61:B78)-1),IF(C78=C$34,E$34+E$32*(COUNT(B$61:B78)-E$31-1),IF(C78=C$35,E$34+E$32*(COUNT(B$61:B78)-2*E$31-1),IF(C78=C$36,E$33+E$32*(COUNT(B$61:B78)-3*E$31-1))))))</f>
        <v>406</v>
      </c>
      <c r="E78" s="180" cm="1">
        <f t="array" ref="E78">IF(C78="","",MAX($C$5,IF(B78=90,IF(OR(D78=E$13,D78=E$14,D78=B$4-E$14,D78=B$4-E$13),C$7,IF(OR(C78=C$20,C78=C$24),C$8,IF(OR(C78=C$21:C$23),C$9))),C$10)))</f>
        <v>18</v>
      </c>
      <c r="F78" s="168"/>
      <c r="G78" s="185">
        <f t="shared" si="64"/>
        <v>45</v>
      </c>
      <c r="H78" s="173">
        <f>IF(G78="","",IF(COUNT(G$61:G78)&lt;=J$31,H$33,IF(COUNT(G$61:G78)&lt;=2*J$31,H$34,IF(COUNT(G$61:G78)&lt;=3*J$31,H$35,IF(COUNT(G$61:G78)&lt;=4*J$31,H$36)))))</f>
        <v>53.5</v>
      </c>
      <c r="I78" s="173">
        <f>IF(G78="","",IF(H78=H$33,J$33+J$32*(COUNT(G$61:G78)-1),IF(H78=H$34,J$34+J$32*(COUNT(G$61:G78)-J$31-1),IF(H78=H$35,J$34+J$32*(COUNT(G$61:G78)-2*J$31-1),IF(H78=H$36,J$33+J$32*(COUNT(G$61:G78)-3*J$31-1))))))</f>
        <v>406</v>
      </c>
      <c r="J78" s="180" cm="1">
        <f t="array" ref="J78">IF(H78="","",MAX($C$5,IF(G78=90,IF(OR(I78=J$13,I78=J$14,I78=G$4-J$14,I78=G$4-J$13),H$7,IF(OR(H78=H$20,H78=H$24),H$8,IF(OR(H78=H$21:H$23),H$9))),H$10)))</f>
        <v>18</v>
      </c>
      <c r="K78" s="168"/>
      <c r="L78" s="185">
        <f t="shared" si="65"/>
        <v>45</v>
      </c>
      <c r="M78" s="173">
        <f>IF(L78="","",IF(COUNT(L$61:L78)&lt;=O$31,M$33,IF(COUNT(L$61:L78)&lt;=2*O$31,M$34,IF(COUNT(L$61:L78)&lt;=3*O$31,M$35,IF(COUNT(L$61:L78)&lt;=4*O$31,M$36)))))</f>
        <v>53.5</v>
      </c>
      <c r="N78" s="173">
        <f>IF(L78="","",IF(M78=M$33,O$33+O$32*(COUNT(L$61:L78)-1),IF(M78=M$34,O$34+O$32*(COUNT(L$61:L78)-O$31-1),IF(M78=M$35,O$34+O$32*(COUNT(L$61:L78)-2*O$31-1),IF(M78=M$36,O$33+O$32*(COUNT(L$61:L78)-3*O$31-1))))))</f>
        <v>472</v>
      </c>
      <c r="O78" s="180" cm="1">
        <f t="array" ref="O78">IF(M78="","",MAX($C$5,IF(L78=90,IF(OR(N78=O$13,N78=O$14,N78=L$4-O$14,N78=L$4-O$13),M$7,IF(OR(M78=M$20,M78=M$24),M$8,IF(OR(M78=M$21:M$23),M$9))),M$10)))</f>
        <v>18</v>
      </c>
      <c r="P78" s="168"/>
      <c r="Q78" s="185">
        <f t="shared" si="66"/>
        <v>45</v>
      </c>
      <c r="R78" s="173">
        <f>IF(Q78="","",IF(COUNT(Q$61:Q78)&lt;=T$31,R$33,IF(COUNT(Q$61:Q78)&lt;=2*T$31,R$34,IF(COUNT(Q$61:Q78)&lt;=3*T$31,R$35,IF(COUNT(Q$61:Q78)&lt;=4*T$31,R$36)))))</f>
        <v>53.5</v>
      </c>
      <c r="S78" s="173">
        <f>IF(Q78="","",IF(R78=R$33,T$33+T$32*(COUNT(Q$61:Q78)-1),IF(R78=R$34,T$34+T$32*(COUNT(Q$61:Q78)-T$31-1),IF(R78=R$35,T$34+T$32*(COUNT(Q$61:Q78)-2*T$31-1),IF(R78=R$36,T$33+T$32*(COUNT(Q$61:Q78)-3*T$31-1))))))</f>
        <v>526</v>
      </c>
      <c r="T78" s="180" cm="1">
        <f t="array" ref="T78">IF(R78="","",MAX($C$5,IF(Q78=90,IF(OR(S78=T$13,S78=T$14,S78=Q$4-T$14,S78=Q$4-T$13),R$7,IF(OR(R78=R$20,R78=R$24),R$8,IF(OR(R78=R$21:R$23),R$9))),R$10)))</f>
        <v>18</v>
      </c>
      <c r="U78" s="168"/>
      <c r="V78" s="185">
        <f t="shared" si="67"/>
        <v>45</v>
      </c>
      <c r="W78" s="173">
        <f>IF(V78="","",IF(COUNT(V$61:V78)&lt;=Y$31,W$33,IF(COUNT(V$61:V78)&lt;=2*Y$31,W$34,IF(COUNT(V$61:V78)&lt;=3*Y$31,W$35,IF(COUNT(V$61:V78)&lt;=4*Y$31,W$36)))))</f>
        <v>96.5</v>
      </c>
      <c r="X78" s="173">
        <f>IF(V78="","",IF(W78=W$33,Y$33+Y$32*(COUNT(V$61:V78)-1),IF(W78=W$34,Y$34+Y$32*(COUNT(V$61:V78)-Y$31-1),IF(W78=W$35,Y$34+Y$32*(COUNT(V$61:V78)-2*Y$31-1),IF(W78=W$36,Y$33+Y$32*(COUNT(V$61:V78)-3*Y$31-1))))))</f>
        <v>178.5</v>
      </c>
      <c r="Y78" s="180" cm="1">
        <f t="array" ref="Y78">IF(W78="","",MAX($C$5,IF(V78=90,IF(OR(X78=Y$13,X78=Y$14,X78=V$4-Y$14,X78=V$4-Y$13),W$7,IF(OR(W78=W$20,W78=W$24),W$8,IF(OR(W78=W$21:W$23),W$9))),W$10)))</f>
        <v>18</v>
      </c>
      <c r="Z78" s="168"/>
      <c r="AA78" s="185">
        <f t="shared" si="68"/>
        <v>45</v>
      </c>
      <c r="AB78" s="173">
        <f>IF(AA78="","",IF(COUNT(AA$61:AA78)&lt;=AD$31,AB$33,IF(COUNT(AA$61:AA78)&lt;=2*AD$31,AB$34,IF(COUNT(AA$61:AA78)&lt;=3*AD$31,AB$35,IF(COUNT(AA$61:AA78)&lt;=4*AD$31,AB$36)))))</f>
        <v>96.5</v>
      </c>
      <c r="AC78" s="173">
        <f>IF(AA78="","",IF(AB78=AB$33,AD$33+AD$32*(COUNT(AA$61:AA78)-1),IF(AB78=AB$34,AD$34+AD$32*(COUNT(AA$61:AA78)-AD$31-1),IF(AB78=AB$35,AD$34+AD$32*(COUNT(AA$61:AA78)-2*AD$31-1),IF(AB78=AB$36,AD$33+AD$32*(COUNT(AA$61:AA78)-3*AD$31-1))))))</f>
        <v>284</v>
      </c>
      <c r="AD78" s="180" cm="1">
        <f t="array" ref="AD78">IF(AB78="","",MAX($C$5,IF(AA78=90,IF(OR(AC78=AD$13,AC78=AD$14,AC78=AA$4-AD$14,AC78=AA$4-AD$13),AB$7,IF(OR(AB78=AB$20,AB78=AB$24),AB$8,IF(OR(AB78=AB$21:AB$23),AB$9))),AB$10)))</f>
        <v>18</v>
      </c>
      <c r="AE78" s="168"/>
      <c r="AF78" s="185">
        <f t="shared" si="69"/>
        <v>45</v>
      </c>
      <c r="AG78" s="173">
        <f>IF(AF78="","",IF(COUNT(AF$61:AF78)&lt;=AI$31,AG$33,IF(COUNT(AF$61:AF78)&lt;=2*AI$31,AG$34,IF(COUNT(AF$61:AF78)&lt;=3*AI$31,AG$35,IF(COUNT(AF$61:AF78)&lt;=4*AI$31,AG$36)))))</f>
        <v>139.5</v>
      </c>
      <c r="AH78" s="173">
        <f>IF(AF78="","",IF(AG78=AG$33,AI$33+AI$32*(COUNT(AF$61:AF78)-1),IF(AG78=AG$34,AI$34+AI$32*(COUNT(AF$61:AF78)-AI$31-1),IF(AG78=AG$35,AI$34+AI$32*(COUNT(AF$61:AF78)-2*AI$31-1),IF(AG78=AG$36,AI$33+AI$32*(COUNT(AF$61:AF78)-3*AI$31-1))))))</f>
        <v>254</v>
      </c>
      <c r="AI78" s="180" cm="1">
        <f t="array" ref="AI78">IF(AG78="","",MAX($C$5,IF(AF78=90,IF(OR(AH78=AI$13,AH78=AI$14,AH78=AF$4-AI$14,AH78=AF$4-AI$13),AG$7,IF(OR(AG78=AG$20,AG78=AG$24),AG$8,IF(OR(AG78=AG$21:AG$23),AG$9))),AG$10)))</f>
        <v>18</v>
      </c>
      <c r="AJ78" s="168"/>
      <c r="AK78" s="185" t="str">
        <f t="shared" si="70"/>
        <v/>
      </c>
      <c r="AL78" s="173" t="str">
        <f>IF(AK78="","",IF(COUNT(AK$61:AK78)&lt;=AN$31,AL$33,IF(COUNT(AK$61:AK78)&lt;=2*AN$31,AL$34,IF(COUNT(AK$61:AK78)&lt;=3*AN$31,AL$35,IF(COUNT(AK$61:AK78)&lt;=4*AN$31,AL$36)))))</f>
        <v/>
      </c>
      <c r="AM78" s="173" t="str">
        <f>IF(AK78="","",IF(AL78=AL$33,AN$33+AN$32*(COUNT(AK$61:AK78)-1),IF(AL78=AL$34,AN$34+AN$32*(COUNT(AK$61:AK78)-AN$31-1),IF(AL78=AL$35,AN$34+AN$32*(COUNT(AK$61:AK78)-2*AN$31-1),IF(AL78=AL$36,AN$33+AN$32*(COUNT(AK$61:AK78)-3*AN$31-1))))))</f>
        <v/>
      </c>
      <c r="AN78" s="180" t="str" cm="1">
        <f t="array" ref="AN78">IF(AL78="","",MAX($C$5,IF(AK78=90,IF(OR(AM78=AN$13,AM78=AN$14,AM78=AK$4-AN$14,AM78=AK$4-AN$13),AL$7,IF(OR(AL78=AL$20,AL78=AL$24),AL$8,IF(OR(AL78=AL$21:AL$23),AL$9))),AL$10)))</f>
        <v/>
      </c>
      <c r="AO78" s="168"/>
      <c r="AP78" s="198">
        <f t="shared" si="56"/>
        <v>45</v>
      </c>
      <c r="AQ78" s="199">
        <f>IF(AP78="","",IF(COUNT(AP$61:AP78)&lt;=AS$31,AQ$33,IF(COUNT(AP$61:AP78)&lt;=2*AS$31,AQ$34,IF(COUNT(AP$61:AP78)&lt;=3*AS$31,AQ$35,IF(COUNT(AP$61:AP78)&lt;=4*AS$31,AQ$36)))))</f>
        <v>53.5</v>
      </c>
      <c r="AR78" s="199">
        <f>IF(AP78="","",IF(AQ78=AQ$33,AS$33+AS$32*(COUNT(AP$61:AP78)-1),IF(AQ78=AQ$34,AS$34+AS$32*(COUNT(AP$61:AP78)-AS$31-1),IF(AQ78=AQ$35,AS$34+AS$32*(COUNT(AP$61:AP78)-2*AS$31-1),IF(AQ78=AQ$36,AS$33+AS$32*(COUNT(AP$61:AP78)-3*AS$31-1))))))</f>
        <v>676</v>
      </c>
      <c r="AS78" s="180" cm="1">
        <f t="array" ref="AS78">IF(AQ78="","",MAX($C$5,IF(AP78=90,IF(OR(AR78=AS$13,AR78=AS$14,AR78=AP$4-AS$14,AR78=AP$4-AS$13),AQ$7,IF(OR(AQ78=AQ$20,AQ78=AQ$24),AQ$8,IF(OR(AQ78=AQ$21:AQ$23),AQ$9))),AQ$10)))</f>
        <v>18</v>
      </c>
      <c r="AT78" s="277"/>
      <c r="AU78" s="185">
        <f t="shared" si="57"/>
        <v>45</v>
      </c>
      <c r="AV78" s="173">
        <f>IF(AU78="","",IF(COUNT(AU$61:AU78)&lt;=AX$31,AV$33,IF(COUNT(AU$61:AU78)&lt;=2*AX$31,AV$34,IF(COUNT(AU$61:AU78)&lt;=3*AX$31,AV$35))))</f>
        <v>89.2</v>
      </c>
      <c r="AW78" s="173">
        <f>IF(AU78="","",IF(AV78=AV$33,AX$33+AX$32*(COUNT(AU$61:AU78)-1),IF(AV78=AV$34,AX$34+AX$32*(COUNT(AU$61:AU78)-AX$31-1),IF(AV78=AV$35,AX$33+AX$32*(COUNT(AU$61:AU78)-2*AX$31-1)))))</f>
        <v>312</v>
      </c>
      <c r="AX78" s="180" cm="1">
        <f t="array" ref="AX78">IF(AV78="","",MAX($C$5,IF(AU78=90,IF(OR(AW78=AX$13,AW78=AX$14,AW78=AU$4-AX$14,AW78=AU$4-AX$13),AV$7,IF(OR(AV78=AV$20,AV78=AV$24),AV$8,IF(OR(AV78=AV$21:AV$23),AV$9))),AV$10)))</f>
        <v>17.5</v>
      </c>
      <c r="AY78" s="168"/>
      <c r="AZ78" s="185" t="str">
        <f t="shared" si="58"/>
        <v/>
      </c>
      <c r="BA78" s="173" t="str">
        <f>IF(AZ78="","",IF(COUNT(AZ$61:AZ78)&lt;=BC$31,BA$33,IF(COUNT(AZ$61:AZ78)&lt;=2*BC$31,BA$34,IF(COUNT(AZ$61:AZ78)&lt;=3*BC$31,BA$35))))</f>
        <v/>
      </c>
      <c r="BB78" s="173" t="str">
        <f>IF(AZ78="","",IF(BA78=BA$33,BC$33+BC$32*(COUNT(AZ$61:AZ78)-1),IF(BA78=BA$34,BC$34+BC$32*(COUNT(AZ$61:AZ78)-BC$31-1),IF(BA78=BA$35,BC$33+BC$32*(COUNT(AZ$61:AZ78)-2*BC$31-1)))))</f>
        <v/>
      </c>
      <c r="BC78" s="180" t="str" cm="1">
        <f t="array" ref="BC78">IF(BA78="","",MAX($C$5,IF(AZ78=90,IF(OR(BB78=BC$13,BB78=BC$14,BB78=AZ$4-BC$14,BB78=AZ$4-BC$13),BA$7,IF(OR(BA78=BA$20,BA78=BA$24),BA$8,IF(OR(BA78=BA$21:BA$23),BA$9))),BA$10)))</f>
        <v/>
      </c>
      <c r="BD78" s="168"/>
      <c r="BE78" s="185" t="str">
        <f t="shared" si="59"/>
        <v/>
      </c>
      <c r="BF78" s="173" t="str">
        <f>IF(BE78="","",IF(COUNT(BE$61:BE78)&lt;=BH$31,BF$33,IF(COUNT(BE$61:BE78)&lt;=2*BH$31,BF$34,IF(COUNT(BE$61:BE78)&lt;=3*BH$31,BF$35))))</f>
        <v/>
      </c>
      <c r="BG78" s="173" t="str">
        <f>IF(BE78="","",IF(BF78=BF$33,BH$33+BH$32*(COUNT(BE$61:BE78)-1),IF(BF78=BF$34,BH$34+BH$32*(COUNT(BE$61:BE78)-BH$31-1),IF(BF78=BF$35,BH$33+BH$32*(COUNT(BE$61:BE78)-2*BH$31-1)))))</f>
        <v/>
      </c>
      <c r="BH78" s="180" t="str" cm="1">
        <f t="array" ref="BH78">IF(BF78="","",MAX($C$5,IF(BE78=90,IF(OR(BG78=BH$13,BG78=BH$14,BG78=BE$4-BH$14,BG78=BE$4-BH$13),BF$7,IF(OR(BF78=BF$20,BF78=BF$24),BF$8,IF(OR(BF78=BF$21:BF$23),BF$9))),BF$10)))</f>
        <v/>
      </c>
      <c r="BI78" s="277"/>
      <c r="BJ78" s="185" t="str">
        <f t="shared" si="60"/>
        <v/>
      </c>
      <c r="BK78" s="173" t="str">
        <f>IF(BJ78="","",IF(COUNT(BJ$61:BJ78)&lt;=BM$31-1,BK$33,IF(COUNT(BJ$61:BJ78)&lt;=2*BM$31-1,BK$34)))</f>
        <v/>
      </c>
      <c r="BL78" s="173" t="str">
        <f>IF(BJ78="","",IF(BK78=BK$33,BM$33+BM$32*(COUNT(BJ$61:BJ78)-1),IF(BK78=BK$34,BM$34+BM$32*(COUNT(BJ$61:BJ78)-BM$31))))</f>
        <v/>
      </c>
      <c r="BM78" s="180" t="str" cm="1">
        <f t="array" ref="BM78">IF(BK78="","",MAX($C$5,IF(BJ78=90,IF(OR(BL78=BM$13,BL78=BM$14,BL78=BJ$4-BM$14,BL78=BJ$4-BM$13),BK$7,IF(OR(BK78=BK$20,BK78=BK$24),BK$8,IF(OR(BK78=BK$21:BK$23),BK$9))),BK$10)))</f>
        <v/>
      </c>
      <c r="BN78" s="168"/>
      <c r="BO78" s="185" t="str">
        <f t="shared" si="61"/>
        <v/>
      </c>
      <c r="BP78" s="173" t="str">
        <f>IF(BO78="","",IF(COUNT(BO$61:BO78)&lt;=BR$31-1,BP$33,IF(COUNT(BO$61:BO78)&lt;=2*BR$31-1,BP$34)))</f>
        <v/>
      </c>
      <c r="BQ78" s="173" t="str">
        <f>IF(BO78="","",IF(BP78=BP$33,BR$33+BR$32*(COUNT(BO$61:BO78)-1),IF(BP78=BP$34,BR$34+BR$32*(COUNT(BO$61:BO78)-BR$31))))</f>
        <v/>
      </c>
      <c r="BR78" s="180" t="str" cm="1">
        <f t="array" ref="BR78">IF(BP78="","",MAX($C$5,IF(BO78=90,IF(OR(BQ78=BR$13,BQ78=BR$14,BQ78=BO$4-BR$14,BQ78=BO$4-BR$13),BP$7,IF(OR(BP78=BP$20,BP78=BP$24),BP$8,IF(OR(BP78=BP$21:BP$23),BP$9))),BP$10)))</f>
        <v/>
      </c>
      <c r="BS78" s="168"/>
      <c r="BT78" s="185" t="str">
        <f t="shared" si="62"/>
        <v/>
      </c>
      <c r="BU78" s="173" t="str">
        <f>IF(BT78="","",IF(COUNT(BT$61:BT78)&lt;=BW$31-1,BU$33,IF(COUNT(BT$61:BT78)&lt;=2*BW$31-1,BU$34)))</f>
        <v/>
      </c>
      <c r="BV78" s="173" t="str">
        <f>IF(BT78="","",IF(BU78=BU$33,BW$33+BW$32*(COUNT(BT$61:BT78)-1),IF(BU78=BU$34,BW$34+BW$32*(COUNT(BT$61:BT78)-BW$31))))</f>
        <v/>
      </c>
      <c r="BW78" s="180" t="str" cm="1">
        <f t="array" ref="BW78">IF(BU78="","",MAX($C$5,IF(BT78=90,IF(OR(BV78=BW$13,BV78=BW$14,BV78=BT$4-BW$14,BV78=BT$4-BW$13),BU$7,IF(OR(BU78=BU$20,BU78=BU$24),BU$8,IF(OR(BU78=BU$21:BU$23),BU$9))),BU$10)))</f>
        <v/>
      </c>
      <c r="BX78" s="288"/>
    </row>
    <row r="79" spans="1:76">
      <c r="A79" s="168"/>
      <c r="B79" s="185">
        <f t="shared" si="63"/>
        <v>45</v>
      </c>
      <c r="C79" s="173">
        <f>IF(B79="","",IF(COUNT(B$61:B79)&lt;=E$31,C$33,IF(COUNT(B$61:B79)&lt;=2*E$31,C$34,IF(COUNT(B$61:B79)&lt;=3*E$31,C$35,IF(COUNT(B$61:B79)&lt;=4*E$31,C$36)))))</f>
        <v>53.5</v>
      </c>
      <c r="D79" s="173">
        <f>IF(B79="","",IF(C79=C$33,E$33+E$32*(COUNT(B$61:B79)-1),IF(C79=C$34,E$34+E$32*(COUNT(B$61:B79)-E$31-1),IF(C79=C$35,E$34+E$32*(COUNT(B$61:B79)-2*E$31-1),IF(C79=C$36,E$33+E$32*(COUNT(B$61:B79)-3*E$31-1))))))</f>
        <v>463</v>
      </c>
      <c r="E79" s="180" cm="1">
        <f t="array" ref="E79">IF(C79="","",MAX($C$5,IF(B79=90,IF(OR(D79=E$13,D79=E$14,D79=B$4-E$14,D79=B$4-E$13),C$7,IF(OR(C79=C$20,C79=C$24),C$8,IF(OR(C79=C$21:C$23),C$9))),C$10)))</f>
        <v>18</v>
      </c>
      <c r="F79" s="168"/>
      <c r="G79" s="185">
        <f t="shared" si="64"/>
        <v>45</v>
      </c>
      <c r="H79" s="173">
        <f>IF(G79="","",IF(COUNT(G$61:G79)&lt;=J$31,H$33,IF(COUNT(G$61:G79)&lt;=2*J$31,H$34,IF(COUNT(G$61:G79)&lt;=3*J$31,H$35,IF(COUNT(G$61:G79)&lt;=4*J$31,H$36)))))</f>
        <v>53.5</v>
      </c>
      <c r="I79" s="173">
        <f>IF(G79="","",IF(H79=H$33,J$33+J$32*(COUNT(G$61:G79)-1),IF(H79=H$34,J$34+J$32*(COUNT(G$61:G79)-J$31-1),IF(H79=H$35,J$34+J$32*(COUNT(G$61:G79)-2*J$31-1),IF(H79=H$36,J$33+J$32*(COUNT(G$61:G79)-3*J$31-1))))))</f>
        <v>463</v>
      </c>
      <c r="J79" s="180" cm="1">
        <f t="array" ref="J79">IF(H79="","",MAX($C$5,IF(G79=90,IF(OR(I79=J$13,I79=J$14,I79=G$4-J$14,I79=G$4-J$13),H$7,IF(OR(H79=H$20,H79=H$24),H$8,IF(OR(H79=H$21:H$23),H$9))),H$10)))</f>
        <v>18</v>
      </c>
      <c r="K79" s="168"/>
      <c r="L79" s="185">
        <f t="shared" si="65"/>
        <v>45</v>
      </c>
      <c r="M79" s="173">
        <f>IF(L79="","",IF(COUNT(L$61:L79)&lt;=O$31,M$33,IF(COUNT(L$61:L79)&lt;=2*O$31,M$34,IF(COUNT(L$61:L79)&lt;=3*O$31,M$35,IF(COUNT(L$61:L79)&lt;=4*O$31,M$36)))))</f>
        <v>53.5</v>
      </c>
      <c r="N79" s="173">
        <f>IF(L79="","",IF(M79=M$33,O$33+O$32*(COUNT(L$61:L79)-1),IF(M79=M$34,O$34+O$32*(COUNT(L$61:L79)-O$31-1),IF(M79=M$35,O$34+O$32*(COUNT(L$61:L79)-2*O$31-1),IF(M79=M$36,O$33+O$32*(COUNT(L$61:L79)-3*O$31-1))))))</f>
        <v>529</v>
      </c>
      <c r="O79" s="180" cm="1">
        <f t="array" ref="O79">IF(M79="","",MAX($C$5,IF(L79=90,IF(OR(N79=O$13,N79=O$14,N79=L$4-O$14,N79=L$4-O$13),M$7,IF(OR(M79=M$20,M79=M$24),M$8,IF(OR(M79=M$21:M$23),M$9))),M$10)))</f>
        <v>18</v>
      </c>
      <c r="P79" s="168"/>
      <c r="Q79" s="185">
        <f t="shared" si="66"/>
        <v>45</v>
      </c>
      <c r="R79" s="173">
        <f>IF(Q79="","",IF(COUNT(Q$61:Q79)&lt;=T$31,R$33,IF(COUNT(Q$61:Q79)&lt;=2*T$31,R$34,IF(COUNT(Q$61:Q79)&lt;=3*T$31,R$35,IF(COUNT(Q$61:Q79)&lt;=4*T$31,R$36)))))</f>
        <v>53.5</v>
      </c>
      <c r="S79" s="173">
        <f>IF(Q79="","",IF(R79=R$33,T$33+T$32*(COUNT(Q$61:Q79)-1),IF(R79=R$34,T$34+T$32*(COUNT(Q$61:Q79)-T$31-1),IF(R79=R$35,T$34+T$32*(COUNT(Q$61:Q79)-2*T$31-1),IF(R79=R$36,T$33+T$32*(COUNT(Q$61:Q79)-3*T$31-1))))))</f>
        <v>583</v>
      </c>
      <c r="T79" s="180" cm="1">
        <f t="array" ref="T79">IF(R79="","",MAX($C$5,IF(Q79=90,IF(OR(S79=T$13,S79=T$14,S79=Q$4-T$14,S79=Q$4-T$13),R$7,IF(OR(R79=R$20,R79=R$24),R$8,IF(OR(R79=R$21:R$23),R$9))),R$10)))</f>
        <v>18</v>
      </c>
      <c r="U79" s="168"/>
      <c r="V79" s="185">
        <f t="shared" si="67"/>
        <v>45</v>
      </c>
      <c r="W79" s="173">
        <f>IF(V79="","",IF(COUNT(V$61:V79)&lt;=Y$31,W$33,IF(COUNT(V$61:V79)&lt;=2*Y$31,W$34,IF(COUNT(V$61:V79)&lt;=3*Y$31,W$35,IF(COUNT(V$61:V79)&lt;=4*Y$31,W$36)))))</f>
        <v>96.5</v>
      </c>
      <c r="X79" s="173">
        <f>IF(V79="","",IF(W79=W$33,Y$33+Y$32*(COUNT(V$61:V79)-1),IF(W79=W$34,Y$34+Y$32*(COUNT(V$61:V79)-Y$31-1),IF(W79=W$35,Y$34+Y$32*(COUNT(V$61:V79)-2*Y$31-1),IF(W79=W$36,Y$33+Y$32*(COUNT(V$61:V79)-3*Y$31-1))))))</f>
        <v>235.5</v>
      </c>
      <c r="Y79" s="180" cm="1">
        <f t="array" ref="Y79">IF(W79="","",MAX($C$5,IF(V79=90,IF(OR(X79=Y$13,X79=Y$14,X79=V$4-Y$14,X79=V$4-Y$13),W$7,IF(OR(W79=W$20,W79=W$24),W$8,IF(OR(W79=W$21:W$23),W$9))),W$10)))</f>
        <v>18</v>
      </c>
      <c r="Z79" s="168"/>
      <c r="AA79" s="185">
        <f t="shared" si="68"/>
        <v>45</v>
      </c>
      <c r="AB79" s="173">
        <f>IF(AA79="","",IF(COUNT(AA$61:AA79)&lt;=AD$31,AB$33,IF(COUNT(AA$61:AA79)&lt;=2*AD$31,AB$34,IF(COUNT(AA$61:AA79)&lt;=3*AD$31,AB$35,IF(COUNT(AA$61:AA79)&lt;=4*AD$31,AB$36)))))</f>
        <v>96.5</v>
      </c>
      <c r="AC79" s="173">
        <f>IF(AA79="","",IF(AB79=AB$33,AD$33+AD$32*(COUNT(AA$61:AA79)-1),IF(AB79=AB$34,AD$34+AD$32*(COUNT(AA$61:AA79)-AD$31-1),IF(AB79=AB$35,AD$34+AD$32*(COUNT(AA$61:AA79)-2*AD$31-1),IF(AB79=AB$36,AD$33+AD$32*(COUNT(AA$61:AA79)-3*AD$31-1))))))</f>
        <v>342</v>
      </c>
      <c r="AD79" s="180" cm="1">
        <f t="array" ref="AD79">IF(AB79="","",MAX($C$5,IF(AA79=90,IF(OR(AC79=AD$13,AC79=AD$14,AC79=AA$4-AD$14,AC79=AA$4-AD$13),AB$7,IF(OR(AB79=AB$20,AB79=AB$24),AB$8,IF(OR(AB79=AB$21:AB$23),AB$9))),AB$10)))</f>
        <v>18</v>
      </c>
      <c r="AE79" s="168"/>
      <c r="AF79" s="185">
        <f t="shared" si="69"/>
        <v>45</v>
      </c>
      <c r="AG79" s="173">
        <f>IF(AF79="","",IF(COUNT(AF$61:AF79)&lt;=AI$31,AG$33,IF(COUNT(AF$61:AF79)&lt;=2*AI$31,AG$34,IF(COUNT(AF$61:AF79)&lt;=3*AI$31,AG$35,IF(COUNT(AF$61:AF79)&lt;=4*AI$31,AG$36)))))</f>
        <v>139.5</v>
      </c>
      <c r="AH79" s="173">
        <f>IF(AF79="","",IF(AG79=AG$33,AI$33+AI$32*(COUNT(AF$61:AF79)-1),IF(AG79=AG$34,AI$34+AI$32*(COUNT(AF$61:AF79)-AI$31-1),IF(AG79=AG$35,AI$34+AI$32*(COUNT(AF$61:AF79)-2*AI$31-1),IF(AG79=AG$36,AI$33+AI$32*(COUNT(AF$61:AF79)-3*AI$31-1))))))</f>
        <v>312</v>
      </c>
      <c r="AI79" s="180" cm="1">
        <f t="array" ref="AI79">IF(AG79="","",MAX($C$5,IF(AF79=90,IF(OR(AH79=AI$13,AH79=AI$14,AH79=AF$4-AI$14,AH79=AF$4-AI$13),AG$7,IF(OR(AG79=AG$20,AG79=AG$24),AG$8,IF(OR(AG79=AG$21:AG$23),AG$9))),AG$10)))</f>
        <v>18</v>
      </c>
      <c r="AJ79" s="168"/>
      <c r="AK79" s="185" t="str">
        <f t="shared" si="70"/>
        <v/>
      </c>
      <c r="AL79" s="173" t="str">
        <f>IF(AK79="","",IF(COUNT(AK$61:AK79)&lt;=AN$31,AL$33,IF(COUNT(AK$61:AK79)&lt;=2*AN$31,AL$34,IF(COUNT(AK$61:AK79)&lt;=3*AN$31,AL$35,IF(COUNT(AK$61:AK79)&lt;=4*AN$31,AL$36)))))</f>
        <v/>
      </c>
      <c r="AM79" s="173" t="str">
        <f>IF(AK79="","",IF(AL79=AL$33,AN$33+AN$32*(COUNT(AK$61:AK79)-1),IF(AL79=AL$34,AN$34+AN$32*(COUNT(AK$61:AK79)-AN$31-1),IF(AL79=AL$35,AN$34+AN$32*(COUNT(AK$61:AK79)-2*AN$31-1),IF(AL79=AL$36,AN$33+AN$32*(COUNT(AK$61:AK79)-3*AN$31-1))))))</f>
        <v/>
      </c>
      <c r="AN79" s="180" t="str" cm="1">
        <f t="array" ref="AN79">IF(AL79="","",MAX($C$5,IF(AK79=90,IF(OR(AM79=AN$13,AM79=AN$14,AM79=AK$4-AN$14,AM79=AK$4-AN$13),AL$7,IF(OR(AL79=AL$20,AL79=AL$24),AL$8,IF(OR(AL79=AL$21:AL$23),AL$9))),AL$10)))</f>
        <v/>
      </c>
      <c r="AO79" s="168"/>
      <c r="AP79" s="198">
        <f t="shared" si="56"/>
        <v>45</v>
      </c>
      <c r="AQ79" s="199">
        <f>IF(AP79="","",IF(COUNT(AP$61:AP79)&lt;=AS$31,AQ$33,IF(COUNT(AP$61:AP79)&lt;=2*AS$31,AQ$34,IF(COUNT(AP$61:AP79)&lt;=3*AS$31,AQ$35,IF(COUNT(AP$61:AP79)&lt;=4*AS$31,AQ$36)))))</f>
        <v>53.5</v>
      </c>
      <c r="AR79" s="199">
        <f>IF(AP79="","",IF(AQ79=AQ$33,AS$33+AS$32*(COUNT(AP$61:AP79)-1),IF(AQ79=AQ$34,AS$34+AS$32*(COUNT(AP$61:AP79)-AS$31-1),IF(AQ79=AQ$35,AS$34+AS$32*(COUNT(AP$61:AP79)-2*AS$31-1),IF(AQ79=AQ$36,AS$33+AS$32*(COUNT(AP$61:AP79)-3*AS$31-1))))))</f>
        <v>733</v>
      </c>
      <c r="AS79" s="180" cm="1">
        <f t="array" ref="AS79">IF(AQ79="","",MAX($C$5,IF(AP79=90,IF(OR(AR79=AS$13,AR79=AS$14,AR79=AP$4-AS$14,AR79=AP$4-AS$13),AQ$7,IF(OR(AQ79=AQ$20,AQ79=AQ$24),AQ$8,IF(OR(AQ79=AQ$21:AQ$23),AQ$9))),AQ$10)))</f>
        <v>18</v>
      </c>
      <c r="AT79" s="277"/>
      <c r="AU79" s="185">
        <f t="shared" si="57"/>
        <v>45</v>
      </c>
      <c r="AV79" s="173">
        <f>IF(AU79="","",IF(COUNT(AU$61:AU79)&lt;=AX$31,AV$33,IF(COUNT(AU$61:AU79)&lt;=2*AX$31,AV$34,IF(COUNT(AU$61:AU79)&lt;=3*AX$31,AV$35))))</f>
        <v>89.2</v>
      </c>
      <c r="AW79" s="173">
        <f>IF(AU79="","",IF(AV79=AV$33,AX$33+AX$32*(COUNT(AU$61:AU79)-1),IF(AV79=AV$34,AX$34+AX$32*(COUNT(AU$61:AU79)-AX$31-1),IF(AV79=AV$35,AX$33+AX$32*(COUNT(AU$61:AU79)-2*AX$31-1)))))</f>
        <v>370</v>
      </c>
      <c r="AX79" s="180" cm="1">
        <f t="array" ref="AX79">IF(AV79="","",MAX($C$5,IF(AU79=90,IF(OR(AW79=AX$13,AW79=AX$14,AW79=AU$4-AX$14,AW79=AU$4-AX$13),AV$7,IF(OR(AV79=AV$20,AV79=AV$24),AV$8,IF(OR(AV79=AV$21:AV$23),AV$9))),AV$10)))</f>
        <v>17.5</v>
      </c>
      <c r="AY79" s="168"/>
      <c r="AZ79" s="185" t="str">
        <f t="shared" si="58"/>
        <v/>
      </c>
      <c r="BA79" s="173" t="str">
        <f>IF(AZ79="","",IF(COUNT(AZ$61:AZ79)&lt;=BC$31,BA$33,IF(COUNT(AZ$61:AZ79)&lt;=2*BC$31,BA$34,IF(COUNT(AZ$61:AZ79)&lt;=3*BC$31,BA$35))))</f>
        <v/>
      </c>
      <c r="BB79" s="173" t="str">
        <f>IF(AZ79="","",IF(BA79=BA$33,BC$33+BC$32*(COUNT(AZ$61:AZ79)-1),IF(BA79=BA$34,BC$34+BC$32*(COUNT(AZ$61:AZ79)-BC$31-1),IF(BA79=BA$35,BC$33+BC$32*(COUNT(AZ$61:AZ79)-2*BC$31-1)))))</f>
        <v/>
      </c>
      <c r="BC79" s="180" t="str" cm="1">
        <f t="array" ref="BC79">IF(BA79="","",MAX($C$5,IF(AZ79=90,IF(OR(BB79=BC$13,BB79=BC$14,BB79=AZ$4-BC$14,BB79=AZ$4-BC$13),BA$7,IF(OR(BA79=BA$20,BA79=BA$24),BA$8,IF(OR(BA79=BA$21:BA$23),BA$9))),BA$10)))</f>
        <v/>
      </c>
      <c r="BD79" s="168"/>
      <c r="BE79" s="185" t="str">
        <f t="shared" si="59"/>
        <v/>
      </c>
      <c r="BF79" s="173" t="str">
        <f>IF(BE79="","",IF(COUNT(BE$61:BE79)&lt;=BH$31,BF$33,IF(COUNT(BE$61:BE79)&lt;=2*BH$31,BF$34,IF(COUNT(BE$61:BE79)&lt;=3*BH$31,BF$35))))</f>
        <v/>
      </c>
      <c r="BG79" s="173" t="str">
        <f>IF(BE79="","",IF(BF79=BF$33,BH$33+BH$32*(COUNT(BE$61:BE79)-1),IF(BF79=BF$34,BH$34+BH$32*(COUNT(BE$61:BE79)-BH$31-1),IF(BF79=BF$35,BH$33+BH$32*(COUNT(BE$61:BE79)-2*BH$31-1)))))</f>
        <v/>
      </c>
      <c r="BH79" s="180" t="str" cm="1">
        <f t="array" ref="BH79">IF(BF79="","",MAX($C$5,IF(BE79=90,IF(OR(BG79=BH$13,BG79=BH$14,BG79=BE$4-BH$14,BG79=BE$4-BH$13),BF$7,IF(OR(BF79=BF$20,BF79=BF$24),BF$8,IF(OR(BF79=BF$21:BF$23),BF$9))),BF$10)))</f>
        <v/>
      </c>
      <c r="BI79" s="277"/>
      <c r="BJ79" s="185" t="str">
        <f t="shared" si="60"/>
        <v/>
      </c>
      <c r="BK79" s="173" t="str">
        <f>IF(BJ79="","",IF(COUNT(BJ$61:BJ79)&lt;=BM$31-1,BK$33,IF(COUNT(BJ$61:BJ79)&lt;=2*BM$31-1,BK$34)))</f>
        <v/>
      </c>
      <c r="BL79" s="173" t="str">
        <f>IF(BJ79="","",IF(BK79=BK$33,BM$33+BM$32*(COUNT(BJ$61:BJ79)-1),IF(BK79=BK$34,BM$34+BM$32*(COUNT(BJ$61:BJ79)-BM$31))))</f>
        <v/>
      </c>
      <c r="BM79" s="180" t="str" cm="1">
        <f t="array" ref="BM79">IF(BK79="","",MAX($C$5,IF(BJ79=90,IF(OR(BL79=BM$13,BL79=BM$14,BL79=BJ$4-BM$14,BL79=BJ$4-BM$13),BK$7,IF(OR(BK79=BK$20,BK79=BK$24),BK$8,IF(OR(BK79=BK$21:BK$23),BK$9))),BK$10)))</f>
        <v/>
      </c>
      <c r="BN79" s="168"/>
      <c r="BO79" s="185" t="str">
        <f t="shared" si="61"/>
        <v/>
      </c>
      <c r="BP79" s="173" t="str">
        <f>IF(BO79="","",IF(COUNT(BO$61:BO79)&lt;=BR$31-1,BP$33,IF(COUNT(BO$61:BO79)&lt;=2*BR$31-1,BP$34)))</f>
        <v/>
      </c>
      <c r="BQ79" s="173" t="str">
        <f>IF(BO79="","",IF(BP79=BP$33,BR$33+BR$32*(COUNT(BO$61:BO79)-1),IF(BP79=BP$34,BR$34+BR$32*(COUNT(BO$61:BO79)-BR$31))))</f>
        <v/>
      </c>
      <c r="BR79" s="180" t="str" cm="1">
        <f t="array" ref="BR79">IF(BP79="","",MAX($C$5,IF(BO79=90,IF(OR(BQ79=BR$13,BQ79=BR$14,BQ79=BO$4-BR$14,BQ79=BO$4-BR$13),BP$7,IF(OR(BP79=BP$20,BP79=BP$24),BP$8,IF(OR(BP79=BP$21:BP$23),BP$9))),BP$10)))</f>
        <v/>
      </c>
      <c r="BS79" s="168"/>
      <c r="BT79" s="185" t="str">
        <f t="shared" si="62"/>
        <v/>
      </c>
      <c r="BU79" s="173" t="str">
        <f>IF(BT79="","",IF(COUNT(BT$61:BT79)&lt;=BW$31-1,BU$33,IF(COUNT(BT$61:BT79)&lt;=2*BW$31-1,BU$34)))</f>
        <v/>
      </c>
      <c r="BV79" s="173" t="str">
        <f>IF(BT79="","",IF(BU79=BU$33,BW$33+BW$32*(COUNT(BT$61:BT79)-1),IF(BU79=BU$34,BW$34+BW$32*(COUNT(BT$61:BT79)-BW$31))))</f>
        <v/>
      </c>
      <c r="BW79" s="180" t="str" cm="1">
        <f t="array" ref="BW79">IF(BU79="","",MAX($C$5,IF(BT79=90,IF(OR(BV79=BW$13,BV79=BW$14,BV79=BT$4-BW$14,BV79=BT$4-BW$13),BU$7,IF(OR(BU79=BU$20,BU79=BU$24),BU$8,IF(OR(BU79=BU$21:BU$23),BU$9))),BU$10)))</f>
        <v/>
      </c>
      <c r="BX79" s="288"/>
    </row>
    <row r="80" spans="1:76">
      <c r="A80" s="168"/>
      <c r="B80" s="185">
        <f t="shared" si="63"/>
        <v>45</v>
      </c>
      <c r="C80" s="173">
        <f>IF(B80="","",IF(COUNT(B$61:B80)&lt;=E$31,C$33,IF(COUNT(B$61:B80)&lt;=2*E$31,C$34,IF(COUNT(B$61:B80)&lt;=3*E$31,C$35,IF(COUNT(B$61:B80)&lt;=4*E$31,C$36)))))</f>
        <v>53.5</v>
      </c>
      <c r="D80" s="173">
        <f>IF(B80="","",IF(C80=C$33,E$33+E$32*(COUNT(B$61:B80)-1),IF(C80=C$34,E$34+E$32*(COUNT(B$61:B80)-E$31-1),IF(C80=C$35,E$34+E$32*(COUNT(B$61:B80)-2*E$31-1),IF(C80=C$36,E$33+E$32*(COUNT(B$61:B80)-3*E$31-1))))))</f>
        <v>520</v>
      </c>
      <c r="E80" s="180" cm="1">
        <f t="array" ref="E80">IF(C80="","",MAX($C$5,IF(B80=90,IF(OR(D80=E$13,D80=E$14,D80=B$4-E$14,D80=B$4-E$13),C$7,IF(OR(C80=C$20,C80=C$24),C$8,IF(OR(C80=C$21:C$23),C$9))),C$10)))</f>
        <v>18</v>
      </c>
      <c r="F80" s="168"/>
      <c r="G80" s="185">
        <f t="shared" si="64"/>
        <v>45</v>
      </c>
      <c r="H80" s="173">
        <f>IF(G80="","",IF(COUNT(G$61:G80)&lt;=J$31,H$33,IF(COUNT(G$61:G80)&lt;=2*J$31,H$34,IF(COUNT(G$61:G80)&lt;=3*J$31,H$35,IF(COUNT(G$61:G80)&lt;=4*J$31,H$36)))))</f>
        <v>53.5</v>
      </c>
      <c r="I80" s="173">
        <f>IF(G80="","",IF(H80=H$33,J$33+J$32*(COUNT(G$61:G80)-1),IF(H80=H$34,J$34+J$32*(COUNT(G$61:G80)-J$31-1),IF(H80=H$35,J$34+J$32*(COUNT(G$61:G80)-2*J$31-1),IF(H80=H$36,J$33+J$32*(COUNT(G$61:G80)-3*J$31-1))))))</f>
        <v>520</v>
      </c>
      <c r="J80" s="180" cm="1">
        <f t="array" ref="J80">IF(H80="","",MAX($C$5,IF(G80=90,IF(OR(I80=J$13,I80=J$14,I80=G$4-J$14,I80=G$4-J$13),H$7,IF(OR(H80=H$20,H80=H$24),H$8,IF(OR(H80=H$21:H$23),H$9))),H$10)))</f>
        <v>18</v>
      </c>
      <c r="K80" s="168"/>
      <c r="L80" s="185">
        <f t="shared" si="65"/>
        <v>45</v>
      </c>
      <c r="M80" s="173">
        <f>IF(L80="","",IF(COUNT(L$61:L80)&lt;=O$31,M$33,IF(COUNT(L$61:L80)&lt;=2*O$31,M$34,IF(COUNT(L$61:L80)&lt;=3*O$31,M$35,IF(COUNT(L$61:L80)&lt;=4*O$31,M$36)))))</f>
        <v>53.5</v>
      </c>
      <c r="N80" s="173">
        <f>IF(L80="","",IF(M80=M$33,O$33+O$32*(COUNT(L$61:L80)-1),IF(M80=M$34,O$34+O$32*(COUNT(L$61:L80)-O$31-1),IF(M80=M$35,O$34+O$32*(COUNT(L$61:L80)-2*O$31-1),IF(M80=M$36,O$33+O$32*(COUNT(L$61:L80)-3*O$31-1))))))</f>
        <v>586</v>
      </c>
      <c r="O80" s="180" cm="1">
        <f t="array" ref="O80">IF(M80="","",MAX($C$5,IF(L80=90,IF(OR(N80=O$13,N80=O$14,N80=L$4-O$14,N80=L$4-O$13),M$7,IF(OR(M80=M$20,M80=M$24),M$8,IF(OR(M80=M$21:M$23),M$9))),M$10)))</f>
        <v>18</v>
      </c>
      <c r="P80" s="168"/>
      <c r="Q80" s="185">
        <f t="shared" si="66"/>
        <v>45</v>
      </c>
      <c r="R80" s="173">
        <f>IF(Q80="","",IF(COUNT(Q$61:Q80)&lt;=T$31,R$33,IF(COUNT(Q$61:Q80)&lt;=2*T$31,R$34,IF(COUNT(Q$61:Q80)&lt;=3*T$31,R$35,IF(COUNT(Q$61:Q80)&lt;=4*T$31,R$36)))))</f>
        <v>53.5</v>
      </c>
      <c r="S80" s="173">
        <f>IF(Q80="","",IF(R80=R$33,T$33+T$32*(COUNT(Q$61:Q80)-1),IF(R80=R$34,T$34+T$32*(COUNT(Q$61:Q80)-T$31-1),IF(R80=R$35,T$34+T$32*(COUNT(Q$61:Q80)-2*T$31-1),IF(R80=R$36,T$33+T$32*(COUNT(Q$61:Q80)-3*T$31-1))))))</f>
        <v>640</v>
      </c>
      <c r="T80" s="180" cm="1">
        <f t="array" ref="T80">IF(R80="","",MAX($C$5,IF(Q80=90,IF(OR(S80=T$13,S80=T$14,S80=Q$4-T$14,S80=Q$4-T$13),R$7,IF(OR(R80=R$20,R80=R$24),R$8,IF(OR(R80=R$21:R$23),R$9))),R$10)))</f>
        <v>18</v>
      </c>
      <c r="U80" s="168"/>
      <c r="V80" s="185">
        <f t="shared" si="67"/>
        <v>45</v>
      </c>
      <c r="W80" s="173">
        <f>IF(V80="","",IF(COUNT(V$61:V80)&lt;=Y$31,W$33,IF(COUNT(V$61:V80)&lt;=2*Y$31,W$34,IF(COUNT(V$61:V80)&lt;=3*Y$31,W$35,IF(COUNT(V$61:V80)&lt;=4*Y$31,W$36)))))</f>
        <v>96.5</v>
      </c>
      <c r="X80" s="173">
        <f>IF(V80="","",IF(W80=W$33,Y$33+Y$32*(COUNT(V$61:V80)-1),IF(W80=W$34,Y$34+Y$32*(COUNT(V$61:V80)-Y$31-1),IF(W80=W$35,Y$34+Y$32*(COUNT(V$61:V80)-2*Y$31-1),IF(W80=W$36,Y$33+Y$32*(COUNT(V$61:V80)-3*Y$31-1))))))</f>
        <v>292.5</v>
      </c>
      <c r="Y80" s="180" cm="1">
        <f t="array" ref="Y80">IF(W80="","",MAX($C$5,IF(V80=90,IF(OR(X80=Y$13,X80=Y$14,X80=V$4-Y$14,X80=V$4-Y$13),W$7,IF(OR(W80=W$20,W80=W$24),W$8,IF(OR(W80=W$21:W$23),W$9))),W$10)))</f>
        <v>18</v>
      </c>
      <c r="Z80" s="168"/>
      <c r="AA80" s="185">
        <f t="shared" si="68"/>
        <v>45</v>
      </c>
      <c r="AB80" s="173">
        <f>IF(AA80="","",IF(COUNT(AA$61:AA80)&lt;=AD$31,AB$33,IF(COUNT(AA$61:AA80)&lt;=2*AD$31,AB$34,IF(COUNT(AA$61:AA80)&lt;=3*AD$31,AB$35,IF(COUNT(AA$61:AA80)&lt;=4*AD$31,AB$36)))))</f>
        <v>96.5</v>
      </c>
      <c r="AC80" s="173">
        <f>IF(AA80="","",IF(AB80=AB$33,AD$33+AD$32*(COUNT(AA$61:AA80)-1),IF(AB80=AB$34,AD$34+AD$32*(COUNT(AA$61:AA80)-AD$31-1),IF(AB80=AB$35,AD$34+AD$32*(COUNT(AA$61:AA80)-2*AD$31-1),IF(AB80=AB$36,AD$33+AD$32*(COUNT(AA$61:AA80)-3*AD$31-1))))))</f>
        <v>400</v>
      </c>
      <c r="AD80" s="180" cm="1">
        <f t="array" ref="AD80">IF(AB80="","",MAX($C$5,IF(AA80=90,IF(OR(AC80=AD$13,AC80=AD$14,AC80=AA$4-AD$14,AC80=AA$4-AD$13),AB$7,IF(OR(AB80=AB$20,AB80=AB$24),AB$8,IF(OR(AB80=AB$21:AB$23),AB$9))),AB$10)))</f>
        <v>18</v>
      </c>
      <c r="AE80" s="168"/>
      <c r="AF80" s="185">
        <f t="shared" si="69"/>
        <v>45</v>
      </c>
      <c r="AG80" s="173">
        <f>IF(AF80="","",IF(COUNT(AF$61:AF80)&lt;=AI$31,AG$33,IF(COUNT(AF$61:AF80)&lt;=2*AI$31,AG$34,IF(COUNT(AF$61:AF80)&lt;=3*AI$31,AG$35,IF(COUNT(AF$61:AF80)&lt;=4*AI$31,AG$36)))))</f>
        <v>139.5</v>
      </c>
      <c r="AH80" s="173">
        <f>IF(AF80="","",IF(AG80=AG$33,AI$33+AI$32*(COUNT(AF$61:AF80)-1),IF(AG80=AG$34,AI$34+AI$32*(COUNT(AF$61:AF80)-AI$31-1),IF(AG80=AG$35,AI$34+AI$32*(COUNT(AF$61:AF80)-2*AI$31-1),IF(AG80=AG$36,AI$33+AI$32*(COUNT(AF$61:AF80)-3*AI$31-1))))))</f>
        <v>370</v>
      </c>
      <c r="AI80" s="180" cm="1">
        <f t="array" ref="AI80">IF(AG80="","",MAX($C$5,IF(AF80=90,IF(OR(AH80=AI$13,AH80=AI$14,AH80=AF$4-AI$14,AH80=AF$4-AI$13),AG$7,IF(OR(AG80=AG$20,AG80=AG$24),AG$8,IF(OR(AG80=AG$21:AG$23),AG$9))),AG$10)))</f>
        <v>18</v>
      </c>
      <c r="AJ80" s="168"/>
      <c r="AK80" s="185" t="str">
        <f t="shared" si="70"/>
        <v/>
      </c>
      <c r="AL80" s="173" t="str">
        <f>IF(AK80="","",IF(COUNT(AK$61:AK80)&lt;=AN$31,AL$33,IF(COUNT(AK$61:AK80)&lt;=2*AN$31,AL$34,IF(COUNT(AK$61:AK80)&lt;=3*AN$31,AL$35,IF(COUNT(AK$61:AK80)&lt;=4*AN$31,AL$36)))))</f>
        <v/>
      </c>
      <c r="AM80" s="173" t="str">
        <f>IF(AK80="","",IF(AL80=AL$33,AN$33+AN$32*(COUNT(AK$61:AK80)-1),IF(AL80=AL$34,AN$34+AN$32*(COUNT(AK$61:AK80)-AN$31-1),IF(AL80=AL$35,AN$34+AN$32*(COUNT(AK$61:AK80)-2*AN$31-1),IF(AL80=AL$36,AN$33+AN$32*(COUNT(AK$61:AK80)-3*AN$31-1))))))</f>
        <v/>
      </c>
      <c r="AN80" s="180" t="str" cm="1">
        <f t="array" ref="AN80">IF(AL80="","",MAX($C$5,IF(AK80=90,IF(OR(AM80=AN$13,AM80=AN$14,AM80=AK$4-AN$14,AM80=AK$4-AN$13),AL$7,IF(OR(AL80=AL$20,AL80=AL$24),AL$8,IF(OR(AL80=AL$21:AL$23),AL$9))),AL$10)))</f>
        <v/>
      </c>
      <c r="AO80" s="168"/>
      <c r="AP80" s="198">
        <f t="shared" si="56"/>
        <v>45</v>
      </c>
      <c r="AQ80" s="199">
        <f>IF(AP80="","",IF(COUNT(AP$61:AP80)&lt;=AS$31,AQ$33,IF(COUNT(AP$61:AP80)&lt;=2*AS$31,AQ$34,IF(COUNT(AP$61:AP80)&lt;=3*AS$31,AQ$35,IF(COUNT(AP$61:AP80)&lt;=4*AS$31,AQ$36)))))</f>
        <v>53.5</v>
      </c>
      <c r="AR80" s="199">
        <f>IF(AP80="","",IF(AQ80=AQ$33,AS$33+AS$32*(COUNT(AP$61:AP80)-1),IF(AQ80=AQ$34,AS$34+AS$32*(COUNT(AP$61:AP80)-AS$31-1),IF(AQ80=AQ$35,AS$34+AS$32*(COUNT(AP$61:AP80)-2*AS$31-1),IF(AQ80=AQ$36,AS$33+AS$32*(COUNT(AP$61:AP80)-3*AS$31-1))))))</f>
        <v>790</v>
      </c>
      <c r="AS80" s="180" cm="1">
        <f t="array" ref="AS80">IF(AQ80="","",MAX($C$5,IF(AP80=90,IF(OR(AR80=AS$13,AR80=AS$14,AR80=AP$4-AS$14,AR80=AP$4-AS$13),AQ$7,IF(OR(AQ80=AQ$20,AQ80=AQ$24),AQ$8,IF(OR(AQ80=AQ$21:AQ$23),AQ$9))),AQ$10)))</f>
        <v>18</v>
      </c>
      <c r="AT80" s="277"/>
      <c r="AU80" s="185">
        <f t="shared" si="57"/>
        <v>45</v>
      </c>
      <c r="AV80" s="173">
        <f>IF(AU80="","",IF(COUNT(AU$61:AU80)&lt;=AX$31,AV$33,IF(COUNT(AU$61:AU80)&lt;=2*AX$31,AV$34,IF(COUNT(AU$61:AU80)&lt;=3*AX$31,AV$35))))</f>
        <v>89.2</v>
      </c>
      <c r="AW80" s="173">
        <f>IF(AU80="","",IF(AV80=AV$33,AX$33+AX$32*(COUNT(AU$61:AU80)-1),IF(AV80=AV$34,AX$34+AX$32*(COUNT(AU$61:AU80)-AX$31-1),IF(AV80=AV$35,AX$33+AX$32*(COUNT(AU$61:AU80)-2*AX$31-1)))))</f>
        <v>428</v>
      </c>
      <c r="AX80" s="180" cm="1">
        <f t="array" ref="AX80">IF(AV80="","",MAX($C$5,IF(AU80=90,IF(OR(AW80=AX$13,AW80=AX$14,AW80=AU$4-AX$14,AW80=AU$4-AX$13),AV$7,IF(OR(AV80=AV$20,AV80=AV$24),AV$8,IF(OR(AV80=AV$21:AV$23),AV$9))),AV$10)))</f>
        <v>17.5</v>
      </c>
      <c r="AY80" s="168"/>
      <c r="AZ80" s="185" t="str">
        <f t="shared" si="58"/>
        <v/>
      </c>
      <c r="BA80" s="173" t="str">
        <f>IF(AZ80="","",IF(COUNT(AZ$61:AZ80)&lt;=BC$31,BA$33,IF(COUNT(AZ$61:AZ80)&lt;=2*BC$31,BA$34,IF(COUNT(AZ$61:AZ80)&lt;=3*BC$31,BA$35))))</f>
        <v/>
      </c>
      <c r="BB80" s="173" t="str">
        <f>IF(AZ80="","",IF(BA80=BA$33,BC$33+BC$32*(COUNT(AZ$61:AZ80)-1),IF(BA80=BA$34,BC$34+BC$32*(COUNT(AZ$61:AZ80)-BC$31-1),IF(BA80=BA$35,BC$33+BC$32*(COUNT(AZ$61:AZ80)-2*BC$31-1)))))</f>
        <v/>
      </c>
      <c r="BC80" s="180" t="str" cm="1">
        <f t="array" ref="BC80">IF(BA80="","",MAX($C$5,IF(AZ80=90,IF(OR(BB80=BC$13,BB80=BC$14,BB80=AZ$4-BC$14,BB80=AZ$4-BC$13),BA$7,IF(OR(BA80=BA$20,BA80=BA$24),BA$8,IF(OR(BA80=BA$21:BA$23),BA$9))),BA$10)))</f>
        <v/>
      </c>
      <c r="BD80" s="168"/>
      <c r="BE80" s="185" t="str">
        <f t="shared" si="59"/>
        <v/>
      </c>
      <c r="BF80" s="173" t="str">
        <f>IF(BE80="","",IF(COUNT(BE$61:BE80)&lt;=BH$31,BF$33,IF(COUNT(BE$61:BE80)&lt;=2*BH$31,BF$34,IF(COUNT(BE$61:BE80)&lt;=3*BH$31,BF$35))))</f>
        <v/>
      </c>
      <c r="BG80" s="173" t="str">
        <f>IF(BE80="","",IF(BF80=BF$33,BH$33+BH$32*(COUNT(BE$61:BE80)-1),IF(BF80=BF$34,BH$34+BH$32*(COUNT(BE$61:BE80)-BH$31-1),IF(BF80=BF$35,BH$33+BH$32*(COUNT(BE$61:BE80)-2*BH$31-1)))))</f>
        <v/>
      </c>
      <c r="BH80" s="180" t="str" cm="1">
        <f t="array" ref="BH80">IF(BF80="","",MAX($C$5,IF(BE80=90,IF(OR(BG80=BH$13,BG80=BH$14,BG80=BE$4-BH$14,BG80=BE$4-BH$13),BF$7,IF(OR(BF80=BF$20,BF80=BF$24),BF$8,IF(OR(BF80=BF$21:BF$23),BF$9))),BF$10)))</f>
        <v/>
      </c>
      <c r="BI80" s="277"/>
      <c r="BJ80" s="185" t="str">
        <f t="shared" si="60"/>
        <v/>
      </c>
      <c r="BK80" s="173" t="str">
        <f>IF(BJ80="","",IF(COUNT(BJ$61:BJ80)&lt;=BM$31-1,BK$33,IF(COUNT(BJ$61:BJ80)&lt;=2*BM$31-1,BK$34)))</f>
        <v/>
      </c>
      <c r="BL80" s="173" t="str">
        <f>IF(BJ80="","",IF(BK80=BK$33,BM$33+BM$32*(COUNT(BJ$61:BJ80)-1),IF(BK80=BK$34,BM$34+BM$32*(COUNT(BJ$61:BJ80)-BM$31))))</f>
        <v/>
      </c>
      <c r="BM80" s="180" t="str" cm="1">
        <f t="array" ref="BM80">IF(BK80="","",MAX($C$5,IF(BJ80=90,IF(OR(BL80=BM$13,BL80=BM$14,BL80=BJ$4-BM$14,BL80=BJ$4-BM$13),BK$7,IF(OR(BK80=BK$20,BK80=BK$24),BK$8,IF(OR(BK80=BK$21:BK$23),BK$9))),BK$10)))</f>
        <v/>
      </c>
      <c r="BN80" s="168"/>
      <c r="BO80" s="185" t="str">
        <f t="shared" si="61"/>
        <v/>
      </c>
      <c r="BP80" s="173" t="str">
        <f>IF(BO80="","",IF(COUNT(BO$61:BO80)&lt;=BR$31-1,BP$33,IF(COUNT(BO$61:BO80)&lt;=2*BR$31-1,BP$34)))</f>
        <v/>
      </c>
      <c r="BQ80" s="173" t="str">
        <f>IF(BO80="","",IF(BP80=BP$33,BR$33+BR$32*(COUNT(BO$61:BO80)-1),IF(BP80=BP$34,BR$34+BR$32*(COUNT(BO$61:BO80)-BR$31))))</f>
        <v/>
      </c>
      <c r="BR80" s="180" t="str" cm="1">
        <f t="array" ref="BR80">IF(BP80="","",MAX($C$5,IF(BO80=90,IF(OR(BQ80=BR$13,BQ80=BR$14,BQ80=BO$4-BR$14,BQ80=BO$4-BR$13),BP$7,IF(OR(BP80=BP$20,BP80=BP$24),BP$8,IF(OR(BP80=BP$21:BP$23),BP$9))),BP$10)))</f>
        <v/>
      </c>
      <c r="BS80" s="168"/>
      <c r="BT80" s="185" t="str">
        <f t="shared" si="62"/>
        <v/>
      </c>
      <c r="BU80" s="173" t="str">
        <f>IF(BT80="","",IF(COUNT(BT$61:BT80)&lt;=BW$31-1,BU$33,IF(COUNT(BT$61:BT80)&lt;=2*BW$31-1,BU$34)))</f>
        <v/>
      </c>
      <c r="BV80" s="173" t="str">
        <f>IF(BT80="","",IF(BU80=BU$33,BW$33+BW$32*(COUNT(BT$61:BT80)-1),IF(BU80=BU$34,BW$34+BW$32*(COUNT(BT$61:BT80)-BW$31))))</f>
        <v/>
      </c>
      <c r="BW80" s="180" t="str" cm="1">
        <f t="array" ref="BW80">IF(BU80="","",MAX($C$5,IF(BT80=90,IF(OR(BV80=BW$13,BV80=BW$14,BV80=BT$4-BW$14,BV80=BT$4-BW$13),BU$7,IF(OR(BU80=BU$20,BU80=BU$24),BU$8,IF(OR(BU80=BU$21:BU$23),BU$9))),BU$10)))</f>
        <v/>
      </c>
      <c r="BX80" s="288"/>
    </row>
    <row r="81" spans="1:76">
      <c r="A81" s="168"/>
      <c r="B81" s="185">
        <f t="shared" si="63"/>
        <v>45</v>
      </c>
      <c r="C81" s="173">
        <f>IF(B81="","",IF(COUNT(B$61:B81)&lt;=E$31,C$33,IF(COUNT(B$61:B81)&lt;=2*E$31,C$34,IF(COUNT(B$61:B81)&lt;=3*E$31,C$35,IF(COUNT(B$61:B81)&lt;=4*E$31,C$36)))))</f>
        <v>53.5</v>
      </c>
      <c r="D81" s="173">
        <f>IF(B81="","",IF(C81=C$33,E$33+E$32*(COUNT(B$61:B81)-1),IF(C81=C$34,E$34+E$32*(COUNT(B$61:B81)-E$31-1),IF(C81=C$35,E$34+E$32*(COUNT(B$61:B81)-2*E$31-1),IF(C81=C$36,E$33+E$32*(COUNT(B$61:B81)-3*E$31-1))))))</f>
        <v>577</v>
      </c>
      <c r="E81" s="180" cm="1">
        <f t="array" ref="E81">IF(C81="","",MAX($C$5,IF(B81=90,IF(OR(D81=E$13,D81=E$14,D81=B$4-E$14,D81=B$4-E$13),C$7,IF(OR(C81=C$20,C81=C$24),C$8,IF(OR(C81=C$21:C$23),C$9))),C$10)))</f>
        <v>18</v>
      </c>
      <c r="F81" s="168"/>
      <c r="G81" s="185">
        <f t="shared" si="64"/>
        <v>45</v>
      </c>
      <c r="H81" s="173">
        <f>IF(G81="","",IF(COUNT(G$61:G81)&lt;=J$31,H$33,IF(COUNT(G$61:G81)&lt;=2*J$31,H$34,IF(COUNT(G$61:G81)&lt;=3*J$31,H$35,IF(COUNT(G$61:G81)&lt;=4*J$31,H$36)))))</f>
        <v>53.5</v>
      </c>
      <c r="I81" s="173">
        <f>IF(G81="","",IF(H81=H$33,J$33+J$32*(COUNT(G$61:G81)-1),IF(H81=H$34,J$34+J$32*(COUNT(G$61:G81)-J$31-1),IF(H81=H$35,J$34+J$32*(COUNT(G$61:G81)-2*J$31-1),IF(H81=H$36,J$33+J$32*(COUNT(G$61:G81)-3*J$31-1))))))</f>
        <v>577</v>
      </c>
      <c r="J81" s="180" cm="1">
        <f t="array" ref="J81">IF(H81="","",MAX($C$5,IF(G81=90,IF(OR(I81=J$13,I81=J$14,I81=G$4-J$14,I81=G$4-J$13),H$7,IF(OR(H81=H$20,H81=H$24),H$8,IF(OR(H81=H$21:H$23),H$9))),H$10)))</f>
        <v>18</v>
      </c>
      <c r="K81" s="168"/>
      <c r="L81" s="185">
        <f t="shared" si="65"/>
        <v>45</v>
      </c>
      <c r="M81" s="173">
        <f>IF(L81="","",IF(COUNT(L$61:L81)&lt;=O$31,M$33,IF(COUNT(L$61:L81)&lt;=2*O$31,M$34,IF(COUNT(L$61:L81)&lt;=3*O$31,M$35,IF(COUNT(L$61:L81)&lt;=4*O$31,M$36)))))</f>
        <v>53.5</v>
      </c>
      <c r="N81" s="173">
        <f>IF(L81="","",IF(M81=M$33,O$33+O$32*(COUNT(L$61:L81)-1),IF(M81=M$34,O$34+O$32*(COUNT(L$61:L81)-O$31-1),IF(M81=M$35,O$34+O$32*(COUNT(L$61:L81)-2*O$31-1),IF(M81=M$36,O$33+O$32*(COUNT(L$61:L81)-3*O$31-1))))))</f>
        <v>643</v>
      </c>
      <c r="O81" s="180" cm="1">
        <f t="array" ref="O81">IF(M81="","",MAX($C$5,IF(L81=90,IF(OR(N81=O$13,N81=O$14,N81=L$4-O$14,N81=L$4-O$13),M$7,IF(OR(M81=M$20,M81=M$24),M$8,IF(OR(M81=M$21:M$23),M$9))),M$10)))</f>
        <v>18</v>
      </c>
      <c r="P81" s="168"/>
      <c r="Q81" s="185">
        <f t="shared" si="66"/>
        <v>45</v>
      </c>
      <c r="R81" s="173">
        <f>IF(Q81="","",IF(COUNT(Q$61:Q81)&lt;=T$31,R$33,IF(COUNT(Q$61:Q81)&lt;=2*T$31,R$34,IF(COUNT(Q$61:Q81)&lt;=3*T$31,R$35,IF(COUNT(Q$61:Q81)&lt;=4*T$31,R$36)))))</f>
        <v>96.5</v>
      </c>
      <c r="S81" s="173">
        <f>IF(Q81="","",IF(R81=R$33,T$33+T$32*(COUNT(Q$61:Q81)-1),IF(R81=R$34,T$34+T$32*(COUNT(Q$61:Q81)-T$31-1),IF(R81=R$35,T$34+T$32*(COUNT(Q$61:Q81)-2*T$31-1),IF(R81=R$36,T$33+T$32*(COUNT(Q$61:Q81)-3*T$31-1))))))</f>
        <v>127</v>
      </c>
      <c r="T81" s="180" cm="1">
        <f t="array" ref="T81">IF(R81="","",MAX($C$5,IF(Q81=90,IF(OR(S81=T$13,S81=T$14,S81=Q$4-T$14,S81=Q$4-T$13),R$7,IF(OR(R81=R$20,R81=R$24),R$8,IF(OR(R81=R$21:R$23),R$9))),R$10)))</f>
        <v>18</v>
      </c>
      <c r="U81" s="168"/>
      <c r="V81" s="185">
        <f t="shared" si="67"/>
        <v>45</v>
      </c>
      <c r="W81" s="173">
        <f>IF(V81="","",IF(COUNT(V$61:V81)&lt;=Y$31,W$33,IF(COUNT(V$61:V81)&lt;=2*Y$31,W$34,IF(COUNT(V$61:V81)&lt;=3*Y$31,W$35,IF(COUNT(V$61:V81)&lt;=4*Y$31,W$36)))))</f>
        <v>96.5</v>
      </c>
      <c r="X81" s="173">
        <f>IF(V81="","",IF(W81=W$33,Y$33+Y$32*(COUNT(V$61:V81)-1),IF(W81=W$34,Y$34+Y$32*(COUNT(V$61:V81)-Y$31-1),IF(W81=W$35,Y$34+Y$32*(COUNT(V$61:V81)-2*Y$31-1),IF(W81=W$36,Y$33+Y$32*(COUNT(V$61:V81)-3*Y$31-1))))))</f>
        <v>349.5</v>
      </c>
      <c r="Y81" s="180" cm="1">
        <f t="array" ref="Y81">IF(W81="","",MAX($C$5,IF(V81=90,IF(OR(X81=Y$13,X81=Y$14,X81=V$4-Y$14,X81=V$4-Y$13),W$7,IF(OR(W81=W$20,W81=W$24),W$8,IF(OR(W81=W$21:W$23),W$9))),W$10)))</f>
        <v>18</v>
      </c>
      <c r="Z81" s="168"/>
      <c r="AA81" s="185">
        <f t="shared" si="68"/>
        <v>45</v>
      </c>
      <c r="AB81" s="173">
        <f>IF(AA81="","",IF(COUNT(AA$61:AA81)&lt;=AD$31,AB$33,IF(COUNT(AA$61:AA81)&lt;=2*AD$31,AB$34,IF(COUNT(AA$61:AA81)&lt;=3*AD$31,AB$35,IF(COUNT(AA$61:AA81)&lt;=4*AD$31,AB$36)))))</f>
        <v>96.5</v>
      </c>
      <c r="AC81" s="173">
        <f>IF(AA81="","",IF(AB81=AB$33,AD$33+AD$32*(COUNT(AA$61:AA81)-1),IF(AB81=AB$34,AD$34+AD$32*(COUNT(AA$61:AA81)-AD$31-1),IF(AB81=AB$35,AD$34+AD$32*(COUNT(AA$61:AA81)-2*AD$31-1),IF(AB81=AB$36,AD$33+AD$32*(COUNT(AA$61:AA81)-3*AD$31-1))))))</f>
        <v>458</v>
      </c>
      <c r="AD81" s="180" cm="1">
        <f t="array" ref="AD81">IF(AB81="","",MAX($C$5,IF(AA81=90,IF(OR(AC81=AD$13,AC81=AD$14,AC81=AA$4-AD$14,AC81=AA$4-AD$13),AB$7,IF(OR(AB81=AB$20,AB81=AB$24),AB$8,IF(OR(AB81=AB$21:AB$23),AB$9))),AB$10)))</f>
        <v>18</v>
      </c>
      <c r="AE81" s="168"/>
      <c r="AF81" s="185" t="str">
        <f t="shared" si="69"/>
        <v/>
      </c>
      <c r="AG81" s="173" t="str">
        <f>IF(AF81="","",IF(COUNT(AF$61:AF81)&lt;=AI$31,AG$33,IF(COUNT(AF$61:AF81)&lt;=2*AI$31,AG$34,IF(COUNT(AF$61:AF81)&lt;=3*AI$31,AG$35,IF(COUNT(AF$61:AF81)&lt;=4*AI$31,AG$36)))))</f>
        <v/>
      </c>
      <c r="AH81" s="173" t="str">
        <f>IF(AF81="","",IF(AG81=AG$33,AI$33+AI$32*(COUNT(AF$61:AF81)-1),IF(AG81=AG$34,AI$34+AI$32*(COUNT(AF$61:AF81)-AI$31-1),IF(AG81=AG$35,AI$34+AI$32*(COUNT(AF$61:AF81)-2*AI$31-1),IF(AG81=AG$36,AI$33+AI$32*(COUNT(AF$61:AF81)-3*AI$31-1))))))</f>
        <v/>
      </c>
      <c r="AI81" s="180" t="str" cm="1">
        <f t="array" ref="AI81">IF(AG81="","",MAX($C$5,IF(AF81=90,IF(OR(AH81=AI$13,AH81=AI$14,AH81=AF$4-AI$14,AH81=AF$4-AI$13),AG$7,IF(OR(AG81=AG$20,AG81=AG$24),AG$8,IF(OR(AG81=AG$21:AG$23),AG$9))),AG$10)))</f>
        <v/>
      </c>
      <c r="AJ81" s="168"/>
      <c r="AK81" s="185" t="str">
        <f t="shared" si="70"/>
        <v/>
      </c>
      <c r="AL81" s="173" t="str">
        <f>IF(AK81="","",IF(COUNT(AK$61:AK81)&lt;=AN$31,AL$33,IF(COUNT(AK$61:AK81)&lt;=2*AN$31,AL$34,IF(COUNT(AK$61:AK81)&lt;=3*AN$31,AL$35,IF(COUNT(AK$61:AK81)&lt;=4*AN$31,AL$36)))))</f>
        <v/>
      </c>
      <c r="AM81" s="173" t="str">
        <f>IF(AK81="","",IF(AL81=AL$33,AN$33+AN$32*(COUNT(AK$61:AK81)-1),IF(AL81=AL$34,AN$34+AN$32*(COUNT(AK$61:AK81)-AN$31-1),IF(AL81=AL$35,AN$34+AN$32*(COUNT(AK$61:AK81)-2*AN$31-1),IF(AL81=AL$36,AN$33+AN$32*(COUNT(AK$61:AK81)-3*AN$31-1))))))</f>
        <v/>
      </c>
      <c r="AN81" s="180" t="str" cm="1">
        <f t="array" ref="AN81">IF(AL81="","",MAX($C$5,IF(AK81=90,IF(OR(AM81=AN$13,AM81=AN$14,AM81=AK$4-AN$14,AM81=AK$4-AN$13),AL$7,IF(OR(AL81=AL$20,AL81=AL$24),AL$8,IF(OR(AL81=AL$21:AL$23),AL$9))),AL$10)))</f>
        <v/>
      </c>
      <c r="AO81" s="168"/>
      <c r="AP81" s="198">
        <f t="shared" si="56"/>
        <v>45</v>
      </c>
      <c r="AQ81" s="199">
        <f>IF(AP81="","",IF(COUNT(AP$61:AP81)&lt;=AS$31,AQ$33,IF(COUNT(AP$61:AP81)&lt;=2*AS$31,AQ$34,IF(COUNT(AP$61:AP81)&lt;=3*AS$31,AQ$35,IF(COUNT(AP$61:AP81)&lt;=4*AS$31,AQ$36)))))</f>
        <v>96.5</v>
      </c>
      <c r="AR81" s="199">
        <f>IF(AP81="","",IF(AQ81=AQ$33,AS$33+AS$32*(COUNT(AP$61:AP81)-1),IF(AQ81=AQ$34,AS$34+AS$32*(COUNT(AP$61:AP81)-AS$31-1),IF(AQ81=AQ$35,AS$34+AS$32*(COUNT(AP$61:AP81)-2*AS$31-1),IF(AQ81=AQ$36,AS$33+AS$32*(COUNT(AP$61:AP81)-3*AS$31-1))))))</f>
        <v>277</v>
      </c>
      <c r="AS81" s="180" cm="1">
        <f t="array" ref="AS81">IF(AQ81="","",MAX($C$5,IF(AP81=90,IF(OR(AR81=AS$13,AR81=AS$14,AR81=AP$4-AS$14,AR81=AP$4-AS$13),AQ$7,IF(OR(AQ81=AQ$20,AQ81=AQ$24),AQ$8,IF(OR(AQ81=AQ$21:AQ$23),AQ$9))),AQ$10)))</f>
        <v>18</v>
      </c>
      <c r="AT81" s="277"/>
      <c r="AU81" s="185">
        <f t="shared" si="57"/>
        <v>45</v>
      </c>
      <c r="AV81" s="173">
        <f>IF(AU81="","",IF(COUNT(AU$61:AU81)&lt;=AX$31,AV$33,IF(COUNT(AU$61:AU81)&lt;=2*AX$31,AV$34,IF(COUNT(AU$61:AU81)&lt;=3*AX$31,AV$35))))</f>
        <v>89.2</v>
      </c>
      <c r="AW81" s="173">
        <f>IF(AU81="","",IF(AV81=AV$33,AX$33+AX$32*(COUNT(AU$61:AU81)-1),IF(AV81=AV$34,AX$34+AX$32*(COUNT(AU$61:AU81)-AX$31-1),IF(AV81=AV$35,AX$33+AX$32*(COUNT(AU$61:AU81)-2*AX$31-1)))))</f>
        <v>486</v>
      </c>
      <c r="AX81" s="180" cm="1">
        <f t="array" ref="AX81">IF(AV81="","",MAX($C$5,IF(AU81=90,IF(OR(AW81=AX$13,AW81=AX$14,AW81=AU$4-AX$14,AW81=AU$4-AX$13),AV$7,IF(OR(AV81=AV$20,AV81=AV$24),AV$8,IF(OR(AV81=AV$21:AV$23),AV$9))),AV$10)))</f>
        <v>17.5</v>
      </c>
      <c r="AY81" s="168"/>
      <c r="AZ81" s="185" t="str">
        <f t="shared" si="58"/>
        <v/>
      </c>
      <c r="BA81" s="173" t="str">
        <f>IF(AZ81="","",IF(COUNT(AZ$61:AZ81)&lt;=BC$31,BA$33,IF(COUNT(AZ$61:AZ81)&lt;=2*BC$31,BA$34,IF(COUNT(AZ$61:AZ81)&lt;=3*BC$31,BA$35))))</f>
        <v/>
      </c>
      <c r="BB81" s="173" t="str">
        <f>IF(AZ81="","",IF(BA81=BA$33,BC$33+BC$32*(COUNT(AZ$61:AZ81)-1),IF(BA81=BA$34,BC$34+BC$32*(COUNT(AZ$61:AZ81)-BC$31-1),IF(BA81=BA$35,BC$33+BC$32*(COUNT(AZ$61:AZ81)-2*BC$31-1)))))</f>
        <v/>
      </c>
      <c r="BC81" s="180" t="str" cm="1">
        <f t="array" ref="BC81">IF(BA81="","",MAX($C$5,IF(AZ81=90,IF(OR(BB81=BC$13,BB81=BC$14,BB81=AZ$4-BC$14,BB81=AZ$4-BC$13),BA$7,IF(OR(BA81=BA$20,BA81=BA$24),BA$8,IF(OR(BA81=BA$21:BA$23),BA$9))),BA$10)))</f>
        <v/>
      </c>
      <c r="BD81" s="168"/>
      <c r="BE81" s="185" t="str">
        <f t="shared" si="59"/>
        <v/>
      </c>
      <c r="BF81" s="173" t="str">
        <f>IF(BE81="","",IF(COUNT(BE$61:BE81)&lt;=BH$31,BF$33,IF(COUNT(BE$61:BE81)&lt;=2*BH$31,BF$34,IF(COUNT(BE$61:BE81)&lt;=3*BH$31,BF$35))))</f>
        <v/>
      </c>
      <c r="BG81" s="173" t="str">
        <f>IF(BE81="","",IF(BF81=BF$33,BH$33+BH$32*(COUNT(BE$61:BE81)-1),IF(BF81=BF$34,BH$34+BH$32*(COUNT(BE$61:BE81)-BH$31-1),IF(BF81=BF$35,BH$33+BH$32*(COUNT(BE$61:BE81)-2*BH$31-1)))))</f>
        <v/>
      </c>
      <c r="BH81" s="180" t="str" cm="1">
        <f t="array" ref="BH81">IF(BF81="","",MAX($C$5,IF(BE81=90,IF(OR(BG81=BH$13,BG81=BH$14,BG81=BE$4-BH$14,BG81=BE$4-BH$13),BF$7,IF(OR(BF81=BF$20,BF81=BF$24),BF$8,IF(OR(BF81=BF$21:BF$23),BF$9))),BF$10)))</f>
        <v/>
      </c>
      <c r="BI81" s="277"/>
      <c r="BJ81" s="185" t="str">
        <f t="shared" si="60"/>
        <v/>
      </c>
      <c r="BK81" s="173" t="str">
        <f>IF(BJ81="","",IF(COUNT(BJ$61:BJ81)&lt;=BM$31-1,BK$33,IF(COUNT(BJ$61:BJ81)&lt;=2*BM$31-1,BK$34)))</f>
        <v/>
      </c>
      <c r="BL81" s="173" t="str">
        <f>IF(BJ81="","",IF(BK81=BK$33,BM$33+BM$32*(COUNT(BJ$61:BJ81)-1),IF(BK81=BK$34,BM$34+BM$32*(COUNT(BJ$61:BJ81)-BM$31))))</f>
        <v/>
      </c>
      <c r="BM81" s="180" t="str" cm="1">
        <f t="array" ref="BM81">IF(BK81="","",MAX($C$5,IF(BJ81=90,IF(OR(BL81=BM$13,BL81=BM$14,BL81=BJ$4-BM$14,BL81=BJ$4-BM$13),BK$7,IF(OR(BK81=BK$20,BK81=BK$24),BK$8,IF(OR(BK81=BK$21:BK$23),BK$9))),BK$10)))</f>
        <v/>
      </c>
      <c r="BN81" s="168"/>
      <c r="BO81" s="185" t="str">
        <f t="shared" si="61"/>
        <v/>
      </c>
      <c r="BP81" s="173" t="str">
        <f>IF(BO81="","",IF(COUNT(BO$61:BO81)&lt;=BR$31-1,BP$33,IF(COUNT(BO$61:BO81)&lt;=2*BR$31-1,BP$34)))</f>
        <v/>
      </c>
      <c r="BQ81" s="173" t="str">
        <f>IF(BO81="","",IF(BP81=BP$33,BR$33+BR$32*(COUNT(BO$61:BO81)-1),IF(BP81=BP$34,BR$34+BR$32*(COUNT(BO$61:BO81)-BR$31))))</f>
        <v/>
      </c>
      <c r="BR81" s="180" t="str" cm="1">
        <f t="array" ref="BR81">IF(BP81="","",MAX($C$5,IF(BO81=90,IF(OR(BQ81=BR$13,BQ81=BR$14,BQ81=BO$4-BR$14,BQ81=BO$4-BR$13),BP$7,IF(OR(BP81=BP$20,BP81=BP$24),BP$8,IF(OR(BP81=BP$21:BP$23),BP$9))),BP$10)))</f>
        <v/>
      </c>
      <c r="BS81" s="168"/>
      <c r="BT81" s="185" t="str">
        <f t="shared" si="62"/>
        <v/>
      </c>
      <c r="BU81" s="173" t="str">
        <f>IF(BT81="","",IF(COUNT(BT$61:BT81)&lt;=BW$31-1,BU$33,IF(COUNT(BT$61:BT81)&lt;=2*BW$31-1,BU$34)))</f>
        <v/>
      </c>
      <c r="BV81" s="173" t="str">
        <f>IF(BT81="","",IF(BU81=BU$33,BW$33+BW$32*(COUNT(BT$61:BT81)-1),IF(BU81=BU$34,BW$34+BW$32*(COUNT(BT$61:BT81)-BW$31))))</f>
        <v/>
      </c>
      <c r="BW81" s="180" t="str" cm="1">
        <f t="array" ref="BW81">IF(BU81="","",MAX($C$5,IF(BT81=90,IF(OR(BV81=BW$13,BV81=BW$14,BV81=BT$4-BW$14,BV81=BT$4-BW$13),BU$7,IF(OR(BU81=BU$20,BU81=BU$24),BU$8,IF(OR(BU81=BU$21:BU$23),BU$9))),BU$10)))</f>
        <v/>
      </c>
      <c r="BX81" s="288"/>
    </row>
    <row r="82" spans="1:76">
      <c r="A82" s="168"/>
      <c r="B82" s="185">
        <f t="shared" si="63"/>
        <v>45</v>
      </c>
      <c r="C82" s="173">
        <f>IF(B82="","",IF(COUNT(B$61:B82)&lt;=E$31,C$33,IF(COUNT(B$61:B82)&lt;=2*E$31,C$34,IF(COUNT(B$61:B82)&lt;=3*E$31,C$35,IF(COUNT(B$61:B82)&lt;=4*E$31,C$36)))))</f>
        <v>53.5</v>
      </c>
      <c r="D82" s="173">
        <f>IF(B82="","",IF(C82=C$33,E$33+E$32*(COUNT(B$61:B82)-1),IF(C82=C$34,E$34+E$32*(COUNT(B$61:B82)-E$31-1),IF(C82=C$35,E$34+E$32*(COUNT(B$61:B82)-2*E$31-1),IF(C82=C$36,E$33+E$32*(COUNT(B$61:B82)-3*E$31-1))))))</f>
        <v>634</v>
      </c>
      <c r="E82" s="180" cm="1">
        <f t="array" ref="E82">IF(C82="","",MAX($C$5,IF(B82=90,IF(OR(D82=E$13,D82=E$14,D82=B$4-E$14,D82=B$4-E$13),C$7,IF(OR(C82=C$20,C82=C$24),C$8,IF(OR(C82=C$21:C$23),C$9))),C$10)))</f>
        <v>18</v>
      </c>
      <c r="F82" s="168"/>
      <c r="G82" s="185">
        <f t="shared" si="64"/>
        <v>45</v>
      </c>
      <c r="H82" s="173">
        <f>IF(G82="","",IF(COUNT(G$61:G82)&lt;=J$31,H$33,IF(COUNT(G$61:G82)&lt;=2*J$31,H$34,IF(COUNT(G$61:G82)&lt;=3*J$31,H$35,IF(COUNT(G$61:G82)&lt;=4*J$31,H$36)))))</f>
        <v>53.5</v>
      </c>
      <c r="I82" s="173">
        <f>IF(G82="","",IF(H82=H$33,J$33+J$32*(COUNT(G$61:G82)-1),IF(H82=H$34,J$34+J$32*(COUNT(G$61:G82)-J$31-1),IF(H82=H$35,J$34+J$32*(COUNT(G$61:G82)-2*J$31-1),IF(H82=H$36,J$33+J$32*(COUNT(G$61:G82)-3*J$31-1))))))</f>
        <v>634</v>
      </c>
      <c r="J82" s="180" cm="1">
        <f t="array" ref="J82">IF(H82="","",MAX($C$5,IF(G82=90,IF(OR(I82=J$13,I82=J$14,I82=G$4-J$14,I82=G$4-J$13),H$7,IF(OR(H82=H$20,H82=H$24),H$8,IF(OR(H82=H$21:H$23),H$9))),H$10)))</f>
        <v>18</v>
      </c>
      <c r="K82" s="168"/>
      <c r="L82" s="185">
        <f t="shared" si="65"/>
        <v>45</v>
      </c>
      <c r="M82" s="173">
        <f>IF(L82="","",IF(COUNT(L$61:L82)&lt;=O$31,M$33,IF(COUNT(L$61:L82)&lt;=2*O$31,M$34,IF(COUNT(L$61:L82)&lt;=3*O$31,M$35,IF(COUNT(L$61:L82)&lt;=4*O$31,M$36)))))</f>
        <v>53.5</v>
      </c>
      <c r="N82" s="173">
        <f>IF(L82="","",IF(M82=M$33,O$33+O$32*(COUNT(L$61:L82)-1),IF(M82=M$34,O$34+O$32*(COUNT(L$61:L82)-O$31-1),IF(M82=M$35,O$34+O$32*(COUNT(L$61:L82)-2*O$31-1),IF(M82=M$36,O$33+O$32*(COUNT(L$61:L82)-3*O$31-1))))))</f>
        <v>700</v>
      </c>
      <c r="O82" s="180" cm="1">
        <f t="array" ref="O82">IF(M82="","",MAX($C$5,IF(L82=90,IF(OR(N82=O$13,N82=O$14,N82=L$4-O$14,N82=L$4-O$13),M$7,IF(OR(M82=M$20,M82=M$24),M$8,IF(OR(M82=M$21:M$23),M$9))),M$10)))</f>
        <v>18</v>
      </c>
      <c r="P82" s="168"/>
      <c r="Q82" s="185">
        <f t="shared" si="66"/>
        <v>45</v>
      </c>
      <c r="R82" s="173">
        <f>IF(Q82="","",IF(COUNT(Q$61:Q82)&lt;=T$31,R$33,IF(COUNT(Q$61:Q82)&lt;=2*T$31,R$34,IF(COUNT(Q$61:Q82)&lt;=3*T$31,R$35,IF(COUNT(Q$61:Q82)&lt;=4*T$31,R$36)))))</f>
        <v>96.5</v>
      </c>
      <c r="S82" s="173">
        <f>IF(Q82="","",IF(R82=R$33,T$33+T$32*(COUNT(Q$61:Q82)-1),IF(R82=R$34,T$34+T$32*(COUNT(Q$61:Q82)-T$31-1),IF(R82=R$35,T$34+T$32*(COUNT(Q$61:Q82)-2*T$31-1),IF(R82=R$36,T$33+T$32*(COUNT(Q$61:Q82)-3*T$31-1))))))</f>
        <v>184</v>
      </c>
      <c r="T82" s="180" cm="1">
        <f t="array" ref="T82">IF(R82="","",MAX($C$5,IF(Q82=90,IF(OR(S82=T$13,S82=T$14,S82=Q$4-T$14,S82=Q$4-T$13),R$7,IF(OR(R82=R$20,R82=R$24),R$8,IF(OR(R82=R$21:R$23),R$9))),R$10)))</f>
        <v>18</v>
      </c>
      <c r="U82" s="168"/>
      <c r="V82" s="185">
        <f t="shared" si="67"/>
        <v>45</v>
      </c>
      <c r="W82" s="173">
        <f>IF(V82="","",IF(COUNT(V$61:V82)&lt;=Y$31,W$33,IF(COUNT(V$61:V82)&lt;=2*Y$31,W$34,IF(COUNT(V$61:V82)&lt;=3*Y$31,W$35,IF(COUNT(V$61:V82)&lt;=4*Y$31,W$36)))))</f>
        <v>96.5</v>
      </c>
      <c r="X82" s="173">
        <f>IF(V82="","",IF(W82=W$33,Y$33+Y$32*(COUNT(V$61:V82)-1),IF(W82=W$34,Y$34+Y$32*(COUNT(V$61:V82)-Y$31-1),IF(W82=W$35,Y$34+Y$32*(COUNT(V$61:V82)-2*Y$31-1),IF(W82=W$36,Y$33+Y$32*(COUNT(V$61:V82)-3*Y$31-1))))))</f>
        <v>406.5</v>
      </c>
      <c r="Y82" s="180" cm="1">
        <f t="array" ref="Y82">IF(W82="","",MAX($C$5,IF(V82=90,IF(OR(X82=Y$13,X82=Y$14,X82=V$4-Y$14,X82=V$4-Y$13),W$7,IF(OR(W82=W$20,W82=W$24),W$8,IF(OR(W82=W$21:W$23),W$9))),W$10)))</f>
        <v>18</v>
      </c>
      <c r="Z82" s="168"/>
      <c r="AA82" s="185">
        <f t="shared" si="68"/>
        <v>45</v>
      </c>
      <c r="AB82" s="173">
        <f>IF(AA82="","",IF(COUNT(AA$61:AA82)&lt;=AD$31,AB$33,IF(COUNT(AA$61:AA82)&lt;=2*AD$31,AB$34,IF(COUNT(AA$61:AA82)&lt;=3*AD$31,AB$35,IF(COUNT(AA$61:AA82)&lt;=4*AD$31,AB$36)))))</f>
        <v>139.5</v>
      </c>
      <c r="AC82" s="173">
        <f>IF(AA82="","",IF(AB82=AB$33,AD$33+AD$32*(COUNT(AA$61:AA82)-1),IF(AB82=AB$34,AD$34+AD$32*(COUNT(AA$61:AA82)-AD$31-1),IF(AB82=AB$35,AD$34+AD$32*(COUNT(AA$61:AA82)-2*AD$31-1),IF(AB82=AB$36,AD$33+AD$32*(COUNT(AA$61:AA82)-3*AD$31-1))))))</f>
        <v>138</v>
      </c>
      <c r="AD82" s="180" cm="1">
        <f t="array" ref="AD82">IF(AB82="","",MAX($C$5,IF(AA82=90,IF(OR(AC82=AD$13,AC82=AD$14,AC82=AA$4-AD$14,AC82=AA$4-AD$13),AB$7,IF(OR(AB82=AB$20,AB82=AB$24),AB$8,IF(OR(AB82=AB$21:AB$23),AB$9))),AB$10)))</f>
        <v>18</v>
      </c>
      <c r="AE82" s="168"/>
      <c r="AF82" s="185" t="str">
        <f t="shared" si="69"/>
        <v/>
      </c>
      <c r="AG82" s="173" t="str">
        <f>IF(AF82="","",IF(COUNT(AF$61:AF82)&lt;=AI$31,AG$33,IF(COUNT(AF$61:AF82)&lt;=2*AI$31,AG$34,IF(COUNT(AF$61:AF82)&lt;=3*AI$31,AG$35,IF(COUNT(AF$61:AF82)&lt;=4*AI$31,AG$36)))))</f>
        <v/>
      </c>
      <c r="AH82" s="173" t="str">
        <f>IF(AF82="","",IF(AG82=AG$33,AI$33+AI$32*(COUNT(AF$61:AF82)-1),IF(AG82=AG$34,AI$34+AI$32*(COUNT(AF$61:AF82)-AI$31-1),IF(AG82=AG$35,AI$34+AI$32*(COUNT(AF$61:AF82)-2*AI$31-1),IF(AG82=AG$36,AI$33+AI$32*(COUNT(AF$61:AF82)-3*AI$31-1))))))</f>
        <v/>
      </c>
      <c r="AI82" s="180" t="str" cm="1">
        <f t="array" ref="AI82">IF(AG82="","",MAX($C$5,IF(AF82=90,IF(OR(AH82=AI$13,AH82=AI$14,AH82=AF$4-AI$14,AH82=AF$4-AI$13),AG$7,IF(OR(AG82=AG$20,AG82=AG$24),AG$8,IF(OR(AG82=AG$21:AG$23),AG$9))),AG$10)))</f>
        <v/>
      </c>
      <c r="AJ82" s="168"/>
      <c r="AK82" s="185" t="str">
        <f t="shared" si="70"/>
        <v/>
      </c>
      <c r="AL82" s="173" t="str">
        <f>IF(AK82="","",IF(COUNT(AK$61:AK82)&lt;=AN$31,AL$33,IF(COUNT(AK$61:AK82)&lt;=2*AN$31,AL$34,IF(COUNT(AK$61:AK82)&lt;=3*AN$31,AL$35,IF(COUNT(AK$61:AK82)&lt;=4*AN$31,AL$36)))))</f>
        <v/>
      </c>
      <c r="AM82" s="173" t="str">
        <f>IF(AK82="","",IF(AL82=AL$33,AN$33+AN$32*(COUNT(AK$61:AK82)-1),IF(AL82=AL$34,AN$34+AN$32*(COUNT(AK$61:AK82)-AN$31-1),IF(AL82=AL$35,AN$34+AN$32*(COUNT(AK$61:AK82)-2*AN$31-1),IF(AL82=AL$36,AN$33+AN$32*(COUNT(AK$61:AK82)-3*AN$31-1))))))</f>
        <v/>
      </c>
      <c r="AN82" s="180" t="str" cm="1">
        <f t="array" ref="AN82">IF(AL82="","",MAX($C$5,IF(AK82=90,IF(OR(AM82=AN$13,AM82=AN$14,AM82=AK$4-AN$14,AM82=AK$4-AN$13),AL$7,IF(OR(AL82=AL$20,AL82=AL$24),AL$8,IF(OR(AL82=AL$21:AL$23),AL$9))),AL$10)))</f>
        <v/>
      </c>
      <c r="AO82" s="168"/>
      <c r="AP82" s="198">
        <f t="shared" si="56"/>
        <v>45</v>
      </c>
      <c r="AQ82" s="199">
        <f>IF(AP82="","",IF(COUNT(AP$61:AP82)&lt;=AS$31,AQ$33,IF(COUNT(AP$61:AP82)&lt;=2*AS$31,AQ$34,IF(COUNT(AP$61:AP82)&lt;=3*AS$31,AQ$35,IF(COUNT(AP$61:AP82)&lt;=4*AS$31,AQ$36)))))</f>
        <v>96.5</v>
      </c>
      <c r="AR82" s="199">
        <f>IF(AP82="","",IF(AQ82=AQ$33,AS$33+AS$32*(COUNT(AP$61:AP82)-1),IF(AQ82=AQ$34,AS$34+AS$32*(COUNT(AP$61:AP82)-AS$31-1),IF(AQ82=AQ$35,AS$34+AS$32*(COUNT(AP$61:AP82)-2*AS$31-1),IF(AQ82=AQ$36,AS$33+AS$32*(COUNT(AP$61:AP82)-3*AS$31-1))))))</f>
        <v>334</v>
      </c>
      <c r="AS82" s="180" cm="1">
        <f t="array" ref="AS82">IF(AQ82="","",MAX($C$5,IF(AP82=90,IF(OR(AR82=AS$13,AR82=AS$14,AR82=AP$4-AS$14,AR82=AP$4-AS$13),AQ$7,IF(OR(AQ82=AQ$20,AQ82=AQ$24),AQ$8,IF(OR(AQ82=AQ$21:AQ$23),AQ$9))),AQ$10)))</f>
        <v>18</v>
      </c>
      <c r="AT82" s="277"/>
      <c r="AU82" s="185" t="str">
        <f t="shared" si="57"/>
        <v/>
      </c>
      <c r="AV82" s="173" t="str">
        <f>IF(AU82="","",IF(COUNT(AU$61:AU82)&lt;=AX$31,AV$33,IF(COUNT(AU$61:AU82)&lt;=2*AX$31,AV$34,IF(COUNT(AU$61:AU82)&lt;=3*AX$31,AV$35))))</f>
        <v/>
      </c>
      <c r="AW82" s="173" t="str">
        <f>IF(AU82="","",IF(AV82=AV$33,AX$33+AX$32*(COUNT(AU$61:AU82)-1),IF(AV82=AV$34,AX$34+AX$32*(COUNT(AU$61:AU82)-AX$31-1),IF(AV82=AV$35,AX$33+AX$32*(COUNT(AU$61:AU82)-2*AX$31-1)))))</f>
        <v/>
      </c>
      <c r="AX82" s="180" t="str" cm="1">
        <f t="array" ref="AX82">IF(AV82="","",MAX($C$5,IF(AU82=90,IF(OR(AW82=AX$13,AW82=AX$14,AW82=AU$4-AX$14,AW82=AU$4-AX$13),AV$7,IF(OR(AV82=AV$20,AV82=AV$24),AV$8,IF(OR(AV82=AV$21:AV$23),AV$9))),AV$10)))</f>
        <v/>
      </c>
      <c r="AY82" s="168"/>
      <c r="AZ82" s="185" t="str">
        <f t="shared" si="58"/>
        <v/>
      </c>
      <c r="BA82" s="173" t="str">
        <f>IF(AZ82="","",IF(COUNT(AZ$61:AZ82)&lt;=BC$31,BA$33,IF(COUNT(AZ$61:AZ82)&lt;=2*BC$31,BA$34,IF(COUNT(AZ$61:AZ82)&lt;=3*BC$31,BA$35))))</f>
        <v/>
      </c>
      <c r="BB82" s="173" t="str">
        <f>IF(AZ82="","",IF(BA82=BA$33,BC$33+BC$32*(COUNT(AZ$61:AZ82)-1),IF(BA82=BA$34,BC$34+BC$32*(COUNT(AZ$61:AZ82)-BC$31-1),IF(BA82=BA$35,BC$33+BC$32*(COUNT(AZ$61:AZ82)-2*BC$31-1)))))</f>
        <v/>
      </c>
      <c r="BC82" s="180" t="str" cm="1">
        <f t="array" ref="BC82">IF(BA82="","",MAX($C$5,IF(AZ82=90,IF(OR(BB82=BC$13,BB82=BC$14,BB82=AZ$4-BC$14,BB82=AZ$4-BC$13),BA$7,IF(OR(BA82=BA$20,BA82=BA$24),BA$8,IF(OR(BA82=BA$21:BA$23),BA$9))),BA$10)))</f>
        <v/>
      </c>
      <c r="BD82" s="168"/>
      <c r="BE82" s="185" t="str">
        <f t="shared" si="59"/>
        <v/>
      </c>
      <c r="BF82" s="173" t="str">
        <f>IF(BE82="","",IF(COUNT(BE$61:BE82)&lt;=BH$31,BF$33,IF(COUNT(BE$61:BE82)&lt;=2*BH$31,BF$34,IF(COUNT(BE$61:BE82)&lt;=3*BH$31,BF$35))))</f>
        <v/>
      </c>
      <c r="BG82" s="173" t="str">
        <f>IF(BE82="","",IF(BF82=BF$33,BH$33+BH$32*(COUNT(BE$61:BE82)-1),IF(BF82=BF$34,BH$34+BH$32*(COUNT(BE$61:BE82)-BH$31-1),IF(BF82=BF$35,BH$33+BH$32*(COUNT(BE$61:BE82)-2*BH$31-1)))))</f>
        <v/>
      </c>
      <c r="BH82" s="180" t="str" cm="1">
        <f t="array" ref="BH82">IF(BF82="","",MAX($C$5,IF(BE82=90,IF(OR(BG82=BH$13,BG82=BH$14,BG82=BE$4-BH$14,BG82=BE$4-BH$13),BF$7,IF(OR(BF82=BF$20,BF82=BF$24),BF$8,IF(OR(BF82=BF$21:BF$23),BF$9))),BF$10)))</f>
        <v/>
      </c>
      <c r="BI82" s="277"/>
      <c r="BJ82" s="185" t="str">
        <f t="shared" si="60"/>
        <v/>
      </c>
      <c r="BK82" s="173" t="str">
        <f>IF(BJ82="","",IF(COUNT(BJ$61:BJ82)&lt;=BM$31-1,BK$33,IF(COUNT(BJ$61:BJ82)&lt;=2*BM$31-1,BK$34)))</f>
        <v/>
      </c>
      <c r="BL82" s="173" t="str">
        <f>IF(BJ82="","",IF(BK82=BK$33,BM$33+BM$32*(COUNT(BJ$61:BJ82)-1),IF(BK82=BK$34,BM$34+BM$32*(COUNT(BJ$61:BJ82)-BM$31))))</f>
        <v/>
      </c>
      <c r="BM82" s="180" t="str" cm="1">
        <f t="array" ref="BM82">IF(BK82="","",MAX($C$5,IF(BJ82=90,IF(OR(BL82=BM$13,BL82=BM$14,BL82=BJ$4-BM$14,BL82=BJ$4-BM$13),BK$7,IF(OR(BK82=BK$20,BK82=BK$24),BK$8,IF(OR(BK82=BK$21:BK$23),BK$9))),BK$10)))</f>
        <v/>
      </c>
      <c r="BN82" s="168"/>
      <c r="BO82" s="185" t="str">
        <f t="shared" si="61"/>
        <v/>
      </c>
      <c r="BP82" s="173" t="str">
        <f>IF(BO82="","",IF(COUNT(BO$61:BO82)&lt;=BR$31-1,BP$33,IF(COUNT(BO$61:BO82)&lt;=2*BR$31-1,BP$34)))</f>
        <v/>
      </c>
      <c r="BQ82" s="173" t="str">
        <f>IF(BO82="","",IF(BP82=BP$33,BR$33+BR$32*(COUNT(BO$61:BO82)-1),IF(BP82=BP$34,BR$34+BR$32*(COUNT(BO$61:BO82)-BR$31))))</f>
        <v/>
      </c>
      <c r="BR82" s="180" t="str" cm="1">
        <f t="array" ref="BR82">IF(BP82="","",MAX($C$5,IF(BO82=90,IF(OR(BQ82=BR$13,BQ82=BR$14,BQ82=BO$4-BR$14,BQ82=BO$4-BR$13),BP$7,IF(OR(BP82=BP$20,BP82=BP$24),BP$8,IF(OR(BP82=BP$21:BP$23),BP$9))),BP$10)))</f>
        <v/>
      </c>
      <c r="BS82" s="168"/>
      <c r="BT82" s="185" t="str">
        <f t="shared" si="62"/>
        <v/>
      </c>
      <c r="BU82" s="173" t="str">
        <f>IF(BT82="","",IF(COUNT(BT$61:BT82)&lt;=BW$31-1,BU$33,IF(COUNT(BT$61:BT82)&lt;=2*BW$31-1,BU$34)))</f>
        <v/>
      </c>
      <c r="BV82" s="173" t="str">
        <f>IF(BT82="","",IF(BU82=BU$33,BW$33+BW$32*(COUNT(BT$61:BT82)-1),IF(BU82=BU$34,BW$34+BW$32*(COUNT(BT$61:BT82)-BW$31))))</f>
        <v/>
      </c>
      <c r="BW82" s="180" t="str" cm="1">
        <f t="array" ref="BW82">IF(BU82="","",MAX($C$5,IF(BT82=90,IF(OR(BV82=BW$13,BV82=BW$14,BV82=BT$4-BW$14,BV82=BT$4-BW$13),BU$7,IF(OR(BU82=BU$20,BU82=BU$24),BU$8,IF(OR(BU82=BU$21:BU$23),BU$9))),BU$10)))</f>
        <v/>
      </c>
      <c r="BX82" s="288"/>
    </row>
    <row r="83" spans="1:76">
      <c r="A83" s="168"/>
      <c r="B83" s="185">
        <f t="shared" si="63"/>
        <v>45</v>
      </c>
      <c r="C83" s="173">
        <f>IF(B83="","",IF(COUNT(B$61:B83)&lt;=E$31,C$33,IF(COUNT(B$61:B83)&lt;=2*E$31,C$34,IF(COUNT(B$61:B83)&lt;=3*E$31,C$35,IF(COUNT(B$61:B83)&lt;=4*E$31,C$36)))))</f>
        <v>53.5</v>
      </c>
      <c r="D83" s="173">
        <f>IF(B83="","",IF(C83=C$33,E$33+E$32*(COUNT(B$61:B83)-1),IF(C83=C$34,E$34+E$32*(COUNT(B$61:B83)-E$31-1),IF(C83=C$35,E$34+E$32*(COUNT(B$61:B83)-2*E$31-1),IF(C83=C$36,E$33+E$32*(COUNT(B$61:B83)-3*E$31-1))))))</f>
        <v>691</v>
      </c>
      <c r="E83" s="180" cm="1">
        <f t="array" ref="E83">IF(C83="","",MAX($C$5,IF(B83=90,IF(OR(D83=E$13,D83=E$14,D83=B$4-E$14,D83=B$4-E$13),C$7,IF(OR(C83=C$20,C83=C$24),C$8,IF(OR(C83=C$21:C$23),C$9))),C$10)))</f>
        <v>18</v>
      </c>
      <c r="F83" s="168"/>
      <c r="G83" s="185">
        <f t="shared" si="64"/>
        <v>45</v>
      </c>
      <c r="H83" s="173">
        <f>IF(G83="","",IF(COUNT(G$61:G83)&lt;=J$31,H$33,IF(COUNT(G$61:G83)&lt;=2*J$31,H$34,IF(COUNT(G$61:G83)&lt;=3*J$31,H$35,IF(COUNT(G$61:G83)&lt;=4*J$31,H$36)))))</f>
        <v>53.5</v>
      </c>
      <c r="I83" s="173">
        <f>IF(G83="","",IF(H83=H$33,J$33+J$32*(COUNT(G$61:G83)-1),IF(H83=H$34,J$34+J$32*(COUNT(G$61:G83)-J$31-1),IF(H83=H$35,J$34+J$32*(COUNT(G$61:G83)-2*J$31-1),IF(H83=H$36,J$33+J$32*(COUNT(G$61:G83)-3*J$31-1))))))</f>
        <v>691</v>
      </c>
      <c r="J83" s="180" cm="1">
        <f t="array" ref="J83">IF(H83="","",MAX($C$5,IF(G83=90,IF(OR(I83=J$13,I83=J$14,I83=G$4-J$14,I83=G$4-J$13),H$7,IF(OR(H83=H$20,H83=H$24),H$8,IF(OR(H83=H$21:H$23),H$9))),H$10)))</f>
        <v>18</v>
      </c>
      <c r="K83" s="168"/>
      <c r="L83" s="185">
        <f t="shared" si="65"/>
        <v>45</v>
      </c>
      <c r="M83" s="173">
        <f>IF(L83="","",IF(COUNT(L$61:L83)&lt;=O$31,M$33,IF(COUNT(L$61:L83)&lt;=2*O$31,M$34,IF(COUNT(L$61:L83)&lt;=3*O$31,M$35,IF(COUNT(L$61:L83)&lt;=4*O$31,M$36)))))</f>
        <v>96.5</v>
      </c>
      <c r="N83" s="173">
        <f>IF(L83="","",IF(M83=M$33,O$33+O$32*(COUNT(L$61:L83)-1),IF(M83=M$34,O$34+O$32*(COUNT(L$61:L83)-O$31-1),IF(M83=M$35,O$34+O$32*(COUNT(L$61:L83)-2*O$31-1),IF(M83=M$36,O$33+O$32*(COUNT(L$61:L83)-3*O$31-1))))))</f>
        <v>130</v>
      </c>
      <c r="O83" s="180" cm="1">
        <f t="array" ref="O83">IF(M83="","",MAX($C$5,IF(L83=90,IF(OR(N83=O$13,N83=O$14,N83=L$4-O$14,N83=L$4-O$13),M$7,IF(OR(M83=M$20,M83=M$24),M$8,IF(OR(M83=M$21:M$23),M$9))),M$10)))</f>
        <v>18</v>
      </c>
      <c r="P83" s="168"/>
      <c r="Q83" s="185">
        <f t="shared" si="66"/>
        <v>45</v>
      </c>
      <c r="R83" s="173">
        <f>IF(Q83="","",IF(COUNT(Q$61:Q83)&lt;=T$31,R$33,IF(COUNT(Q$61:Q83)&lt;=2*T$31,R$34,IF(COUNT(Q$61:Q83)&lt;=3*T$31,R$35,IF(COUNT(Q$61:Q83)&lt;=4*T$31,R$36)))))</f>
        <v>96.5</v>
      </c>
      <c r="S83" s="173">
        <f>IF(Q83="","",IF(R83=R$33,T$33+T$32*(COUNT(Q$61:Q83)-1),IF(R83=R$34,T$34+T$32*(COUNT(Q$61:Q83)-T$31-1),IF(R83=R$35,T$34+T$32*(COUNT(Q$61:Q83)-2*T$31-1),IF(R83=R$36,T$33+T$32*(COUNT(Q$61:Q83)-3*T$31-1))))))</f>
        <v>241</v>
      </c>
      <c r="T83" s="180" cm="1">
        <f t="array" ref="T83">IF(R83="","",MAX($C$5,IF(Q83=90,IF(OR(S83=T$13,S83=T$14,S83=Q$4-T$14,S83=Q$4-T$13),R$7,IF(OR(R83=R$20,R83=R$24),R$8,IF(OR(R83=R$21:R$23),R$9))),R$10)))</f>
        <v>18</v>
      </c>
      <c r="U83" s="168"/>
      <c r="V83" s="185">
        <f t="shared" si="67"/>
        <v>45</v>
      </c>
      <c r="W83" s="173">
        <f>IF(V83="","",IF(COUNT(V$61:V83)&lt;=Y$31,W$33,IF(COUNT(V$61:V83)&lt;=2*Y$31,W$34,IF(COUNT(V$61:V83)&lt;=3*Y$31,W$35,IF(COUNT(V$61:V83)&lt;=4*Y$31,W$36)))))</f>
        <v>96.5</v>
      </c>
      <c r="X83" s="173">
        <f>IF(V83="","",IF(W83=W$33,Y$33+Y$32*(COUNT(V$61:V83)-1),IF(W83=W$34,Y$34+Y$32*(COUNT(V$61:V83)-Y$31-1),IF(W83=W$35,Y$34+Y$32*(COUNT(V$61:V83)-2*Y$31-1),IF(W83=W$36,Y$33+Y$32*(COUNT(V$61:V83)-3*Y$31-1))))))</f>
        <v>463.5</v>
      </c>
      <c r="Y83" s="180" cm="1">
        <f t="array" ref="Y83">IF(W83="","",MAX($C$5,IF(V83=90,IF(OR(X83=Y$13,X83=Y$14,X83=V$4-Y$14,X83=V$4-Y$13),W$7,IF(OR(W83=W$20,W83=W$24),W$8,IF(OR(W83=W$21:W$23),W$9))),W$10)))</f>
        <v>18</v>
      </c>
      <c r="Z83" s="168"/>
      <c r="AA83" s="185">
        <f t="shared" si="68"/>
        <v>45</v>
      </c>
      <c r="AB83" s="173">
        <f>IF(AA83="","",IF(COUNT(AA$61:AA83)&lt;=AD$31,AB$33,IF(COUNT(AA$61:AA83)&lt;=2*AD$31,AB$34,IF(COUNT(AA$61:AA83)&lt;=3*AD$31,AB$35,IF(COUNT(AA$61:AA83)&lt;=4*AD$31,AB$36)))))</f>
        <v>139.5</v>
      </c>
      <c r="AC83" s="173">
        <f>IF(AA83="","",IF(AB83=AB$33,AD$33+AD$32*(COUNT(AA$61:AA83)-1),IF(AB83=AB$34,AD$34+AD$32*(COUNT(AA$61:AA83)-AD$31-1),IF(AB83=AB$35,AD$34+AD$32*(COUNT(AA$61:AA83)-2*AD$31-1),IF(AB83=AB$36,AD$33+AD$32*(COUNT(AA$61:AA83)-3*AD$31-1))))))</f>
        <v>196</v>
      </c>
      <c r="AD83" s="180" cm="1">
        <f t="array" ref="AD83">IF(AB83="","",MAX($C$5,IF(AA83=90,IF(OR(AC83=AD$13,AC83=AD$14,AC83=AA$4-AD$14,AC83=AA$4-AD$13),AB$7,IF(OR(AB83=AB$20,AB83=AB$24),AB$8,IF(OR(AB83=AB$21:AB$23),AB$9))),AB$10)))</f>
        <v>18</v>
      </c>
      <c r="AE83" s="168"/>
      <c r="AF83" s="185" t="str">
        <f t="shared" si="69"/>
        <v/>
      </c>
      <c r="AG83" s="173" t="str">
        <f>IF(AF83="","",IF(COUNT(AF$61:AF83)&lt;=AI$31,AG$33,IF(COUNT(AF$61:AF83)&lt;=2*AI$31,AG$34,IF(COUNT(AF$61:AF83)&lt;=3*AI$31,AG$35,IF(COUNT(AF$61:AF83)&lt;=4*AI$31,AG$36)))))</f>
        <v/>
      </c>
      <c r="AH83" s="173" t="str">
        <f>IF(AF83="","",IF(AG83=AG$33,AI$33+AI$32*(COUNT(AF$61:AF83)-1),IF(AG83=AG$34,AI$34+AI$32*(COUNT(AF$61:AF83)-AI$31-1),IF(AG83=AG$35,AI$34+AI$32*(COUNT(AF$61:AF83)-2*AI$31-1),IF(AG83=AG$36,AI$33+AI$32*(COUNT(AF$61:AF83)-3*AI$31-1))))))</f>
        <v/>
      </c>
      <c r="AI83" s="180" t="str" cm="1">
        <f t="array" ref="AI83">IF(AG83="","",MAX($C$5,IF(AF83=90,IF(OR(AH83=AI$13,AH83=AI$14,AH83=AF$4-AI$14,AH83=AF$4-AI$13),AG$7,IF(OR(AG83=AG$20,AG83=AG$24),AG$8,IF(OR(AG83=AG$21:AG$23),AG$9))),AG$10)))</f>
        <v/>
      </c>
      <c r="AJ83" s="168"/>
      <c r="AK83" s="185" t="str">
        <f t="shared" si="70"/>
        <v/>
      </c>
      <c r="AL83" s="173" t="str">
        <f>IF(AK83="","",IF(COUNT(AK$61:AK83)&lt;=AN$31,AL$33,IF(COUNT(AK$61:AK83)&lt;=2*AN$31,AL$34,IF(COUNT(AK$61:AK83)&lt;=3*AN$31,AL$35,IF(COUNT(AK$61:AK83)&lt;=4*AN$31,AL$36)))))</f>
        <v/>
      </c>
      <c r="AM83" s="173" t="str">
        <f>IF(AK83="","",IF(AL83=AL$33,AN$33+AN$32*(COUNT(AK$61:AK83)-1),IF(AL83=AL$34,AN$34+AN$32*(COUNT(AK$61:AK83)-AN$31-1),IF(AL83=AL$35,AN$34+AN$32*(COUNT(AK$61:AK83)-2*AN$31-1),IF(AL83=AL$36,AN$33+AN$32*(COUNT(AK$61:AK83)-3*AN$31-1))))))</f>
        <v/>
      </c>
      <c r="AN83" s="180" t="str" cm="1">
        <f t="array" ref="AN83">IF(AL83="","",MAX($C$5,IF(AK83=90,IF(OR(AM83=AN$13,AM83=AN$14,AM83=AK$4-AN$14,AM83=AK$4-AN$13),AL$7,IF(OR(AL83=AL$20,AL83=AL$24),AL$8,IF(OR(AL83=AL$21:AL$23),AL$9))),AL$10)))</f>
        <v/>
      </c>
      <c r="AO83" s="168"/>
      <c r="AP83" s="198">
        <f t="shared" si="56"/>
        <v>45</v>
      </c>
      <c r="AQ83" s="199">
        <f>IF(AP83="","",IF(COUNT(AP$61:AP83)&lt;=AS$31,AQ$33,IF(COUNT(AP$61:AP83)&lt;=2*AS$31,AQ$34,IF(COUNT(AP$61:AP83)&lt;=3*AS$31,AQ$35,IF(COUNT(AP$61:AP83)&lt;=4*AS$31,AQ$36)))))</f>
        <v>96.5</v>
      </c>
      <c r="AR83" s="199">
        <f>IF(AP83="","",IF(AQ83=AQ$33,AS$33+AS$32*(COUNT(AP$61:AP83)-1),IF(AQ83=AQ$34,AS$34+AS$32*(COUNT(AP$61:AP83)-AS$31-1),IF(AQ83=AQ$35,AS$34+AS$32*(COUNT(AP$61:AP83)-2*AS$31-1),IF(AQ83=AQ$36,AS$33+AS$32*(COUNT(AP$61:AP83)-3*AS$31-1))))))</f>
        <v>391</v>
      </c>
      <c r="AS83" s="180" cm="1">
        <f t="array" ref="AS83">IF(AQ83="","",MAX($C$5,IF(AP83=90,IF(OR(AR83=AS$13,AR83=AS$14,AR83=AP$4-AS$14,AR83=AP$4-AS$13),AQ$7,IF(OR(AQ83=AQ$20,AQ83=AQ$24),AQ$8,IF(OR(AQ83=AQ$21:AQ$23),AQ$9))),AQ$10)))</f>
        <v>18</v>
      </c>
      <c r="AT83" s="277"/>
      <c r="AU83" s="185" t="str">
        <f t="shared" si="57"/>
        <v/>
      </c>
      <c r="AV83" s="173" t="str">
        <f>IF(AU83="","",IF(COUNT(AU$61:AU83)&lt;=AX$31,AV$33,IF(COUNT(AU$61:AU83)&lt;=2*AX$31,AV$34,IF(COUNT(AU$61:AU83)&lt;=3*AX$31,AV$35))))</f>
        <v/>
      </c>
      <c r="AW83" s="173" t="str">
        <f>IF(AU83="","",IF(AV83=AV$33,AX$33+AX$32*(COUNT(AU$61:AU83)-1),IF(AV83=AV$34,AX$34+AX$32*(COUNT(AU$61:AU83)-AX$31-1),IF(AV83=AV$35,AX$33+AX$32*(COUNT(AU$61:AU83)-2*AX$31-1)))))</f>
        <v/>
      </c>
      <c r="AX83" s="180" t="str" cm="1">
        <f t="array" ref="AX83">IF(AV83="","",MAX($C$5,IF(AU83=90,IF(OR(AW83=AX$13,AW83=AX$14,AW83=AU$4-AX$14,AW83=AU$4-AX$13),AV$7,IF(OR(AV83=AV$20,AV83=AV$24),AV$8,IF(OR(AV83=AV$21:AV$23),AV$9))),AV$10)))</f>
        <v/>
      </c>
      <c r="AY83" s="168"/>
      <c r="AZ83" s="185" t="str">
        <f t="shared" si="58"/>
        <v/>
      </c>
      <c r="BA83" s="173" t="str">
        <f>IF(AZ83="","",IF(COUNT(AZ$61:AZ83)&lt;=BC$31,BA$33,IF(COUNT(AZ$61:AZ83)&lt;=2*BC$31,BA$34,IF(COUNT(AZ$61:AZ83)&lt;=3*BC$31,BA$35))))</f>
        <v/>
      </c>
      <c r="BB83" s="173" t="str">
        <f>IF(AZ83="","",IF(BA83=BA$33,BC$33+BC$32*(COUNT(AZ$61:AZ83)-1),IF(BA83=BA$34,BC$34+BC$32*(COUNT(AZ$61:AZ83)-BC$31-1),IF(BA83=BA$35,BC$33+BC$32*(COUNT(AZ$61:AZ83)-2*BC$31-1)))))</f>
        <v/>
      </c>
      <c r="BC83" s="180" t="str" cm="1">
        <f t="array" ref="BC83">IF(BA83="","",MAX($C$5,IF(AZ83=90,IF(OR(BB83=BC$13,BB83=BC$14,BB83=AZ$4-BC$14,BB83=AZ$4-BC$13),BA$7,IF(OR(BA83=BA$20,BA83=BA$24),BA$8,IF(OR(BA83=BA$21:BA$23),BA$9))),BA$10)))</f>
        <v/>
      </c>
      <c r="BD83" s="168"/>
      <c r="BE83" s="185" t="str">
        <f t="shared" si="59"/>
        <v/>
      </c>
      <c r="BF83" s="173" t="str">
        <f>IF(BE83="","",IF(COUNT(BE$61:BE83)&lt;=BH$31,BF$33,IF(COUNT(BE$61:BE83)&lt;=2*BH$31,BF$34,IF(COUNT(BE$61:BE83)&lt;=3*BH$31,BF$35))))</f>
        <v/>
      </c>
      <c r="BG83" s="173" t="str">
        <f>IF(BE83="","",IF(BF83=BF$33,BH$33+BH$32*(COUNT(BE$61:BE83)-1),IF(BF83=BF$34,BH$34+BH$32*(COUNT(BE$61:BE83)-BH$31-1),IF(BF83=BF$35,BH$33+BH$32*(COUNT(BE$61:BE83)-2*BH$31-1)))))</f>
        <v/>
      </c>
      <c r="BH83" s="180" t="str" cm="1">
        <f t="array" ref="BH83">IF(BF83="","",MAX($C$5,IF(BE83=90,IF(OR(BG83=BH$13,BG83=BH$14,BG83=BE$4-BH$14,BG83=BE$4-BH$13),BF$7,IF(OR(BF83=BF$20,BF83=BF$24),BF$8,IF(OR(BF83=BF$21:BF$23),BF$9))),BF$10)))</f>
        <v/>
      </c>
      <c r="BI83" s="277"/>
      <c r="BJ83" s="185" t="str">
        <f t="shared" si="60"/>
        <v/>
      </c>
      <c r="BK83" s="173" t="str">
        <f>IF(BJ83="","",IF(COUNT(BJ$61:BJ83)&lt;=BM$31-1,BK$33,IF(COUNT(BJ$61:BJ83)&lt;=2*BM$31-1,BK$34)))</f>
        <v/>
      </c>
      <c r="BL83" s="173" t="str">
        <f>IF(BJ83="","",IF(BK83=BK$33,BM$33+BM$32*(COUNT(BJ$61:BJ83)-1),IF(BK83=BK$34,BM$34+BM$32*(COUNT(BJ$61:BJ83)-BM$31))))</f>
        <v/>
      </c>
      <c r="BM83" s="180" t="str" cm="1">
        <f t="array" ref="BM83">IF(BK83="","",MAX($C$5,IF(BJ83=90,IF(OR(BL83=BM$13,BL83=BM$14,BL83=BJ$4-BM$14,BL83=BJ$4-BM$13),BK$7,IF(OR(BK83=BK$20,BK83=BK$24),BK$8,IF(OR(BK83=BK$21:BK$23),BK$9))),BK$10)))</f>
        <v/>
      </c>
      <c r="BN83" s="168"/>
      <c r="BO83" s="185" t="str">
        <f t="shared" si="61"/>
        <v/>
      </c>
      <c r="BP83" s="173" t="str">
        <f>IF(BO83="","",IF(COUNT(BO$61:BO83)&lt;=BR$31-1,BP$33,IF(COUNT(BO$61:BO83)&lt;=2*BR$31-1,BP$34)))</f>
        <v/>
      </c>
      <c r="BQ83" s="173" t="str">
        <f>IF(BO83="","",IF(BP83=BP$33,BR$33+BR$32*(COUNT(BO$61:BO83)-1),IF(BP83=BP$34,BR$34+BR$32*(COUNT(BO$61:BO83)-BR$31))))</f>
        <v/>
      </c>
      <c r="BR83" s="180" t="str" cm="1">
        <f t="array" ref="BR83">IF(BP83="","",MAX($C$5,IF(BO83=90,IF(OR(BQ83=BR$13,BQ83=BR$14,BQ83=BO$4-BR$14,BQ83=BO$4-BR$13),BP$7,IF(OR(BP83=BP$20,BP83=BP$24),BP$8,IF(OR(BP83=BP$21:BP$23),BP$9))),BP$10)))</f>
        <v/>
      </c>
      <c r="BS83" s="168"/>
      <c r="BT83" s="185" t="str">
        <f t="shared" si="62"/>
        <v/>
      </c>
      <c r="BU83" s="173" t="str">
        <f>IF(BT83="","",IF(COUNT(BT$61:BT83)&lt;=BW$31-1,BU$33,IF(COUNT(BT$61:BT83)&lt;=2*BW$31-1,BU$34)))</f>
        <v/>
      </c>
      <c r="BV83" s="173" t="str">
        <f>IF(BT83="","",IF(BU83=BU$33,BW$33+BW$32*(COUNT(BT$61:BT83)-1),IF(BU83=BU$34,BW$34+BW$32*(COUNT(BT$61:BT83)-BW$31))))</f>
        <v/>
      </c>
      <c r="BW83" s="180" t="str" cm="1">
        <f t="array" ref="BW83">IF(BU83="","",MAX($C$5,IF(BT83=90,IF(OR(BV83=BW$13,BV83=BW$14,BV83=BT$4-BW$14,BV83=BT$4-BW$13),BU$7,IF(OR(BU83=BU$20,BU83=BU$24),BU$8,IF(OR(BU83=BU$21:BU$23),BU$9))),BU$10)))</f>
        <v/>
      </c>
      <c r="BX83" s="288"/>
    </row>
    <row r="84" spans="1:76">
      <c r="A84" s="168"/>
      <c r="B84" s="185">
        <f t="shared" si="63"/>
        <v>45</v>
      </c>
      <c r="C84" s="173">
        <f>IF(B84="","",IF(COUNT(B$61:B84)&lt;=E$31,C$33,IF(COUNT(B$61:B84)&lt;=2*E$31,C$34,IF(COUNT(B$61:B84)&lt;=3*E$31,C$35,IF(COUNT(B$61:B84)&lt;=4*E$31,C$36)))))</f>
        <v>53.5</v>
      </c>
      <c r="D84" s="173">
        <f>IF(B84="","",IF(C84=C$33,E$33+E$32*(COUNT(B$61:B84)-1),IF(C84=C$34,E$34+E$32*(COUNT(B$61:B84)-E$31-1),IF(C84=C$35,E$34+E$32*(COUNT(B$61:B84)-2*E$31-1),IF(C84=C$36,E$33+E$32*(COUNT(B$61:B84)-3*E$31-1))))))</f>
        <v>748</v>
      </c>
      <c r="E84" s="180" cm="1">
        <f t="array" ref="E84">IF(C84="","",MAX($C$5,IF(B84=90,IF(OR(D84=E$13,D84=E$14,D84=B$4-E$14,D84=B$4-E$13),C$7,IF(OR(C84=C$20,C84=C$24),C$8,IF(OR(C84=C$21:C$23),C$9))),C$10)))</f>
        <v>18</v>
      </c>
      <c r="F84" s="168"/>
      <c r="G84" s="185">
        <f t="shared" si="64"/>
        <v>45</v>
      </c>
      <c r="H84" s="173">
        <f>IF(G84="","",IF(COUNT(G$61:G84)&lt;=J$31,H$33,IF(COUNT(G$61:G84)&lt;=2*J$31,H$34,IF(COUNT(G$61:G84)&lt;=3*J$31,H$35,IF(COUNT(G$61:G84)&lt;=4*J$31,H$36)))))</f>
        <v>53.5</v>
      </c>
      <c r="I84" s="173">
        <f>IF(G84="","",IF(H84=H$33,J$33+J$32*(COUNT(G$61:G84)-1),IF(H84=H$34,J$34+J$32*(COUNT(G$61:G84)-J$31-1),IF(H84=H$35,J$34+J$32*(COUNT(G$61:G84)-2*J$31-1),IF(H84=H$36,J$33+J$32*(COUNT(G$61:G84)-3*J$31-1))))))</f>
        <v>748</v>
      </c>
      <c r="J84" s="180" cm="1">
        <f t="array" ref="J84">IF(H84="","",MAX($C$5,IF(G84=90,IF(OR(I84=J$13,I84=J$14,I84=G$4-J$14,I84=G$4-J$13),H$7,IF(OR(H84=H$20,H84=H$24),H$8,IF(OR(H84=H$21:H$23),H$9))),H$10)))</f>
        <v>18</v>
      </c>
      <c r="K84" s="168"/>
      <c r="L84" s="185">
        <f t="shared" si="65"/>
        <v>45</v>
      </c>
      <c r="M84" s="173">
        <f>IF(L84="","",IF(COUNT(L$61:L84)&lt;=O$31,M$33,IF(COUNT(L$61:L84)&lt;=2*O$31,M$34,IF(COUNT(L$61:L84)&lt;=3*O$31,M$35,IF(COUNT(L$61:L84)&lt;=4*O$31,M$36)))))</f>
        <v>96.5</v>
      </c>
      <c r="N84" s="173">
        <f>IF(L84="","",IF(M84=M$33,O$33+O$32*(COUNT(L$61:L84)-1),IF(M84=M$34,O$34+O$32*(COUNT(L$61:L84)-O$31-1),IF(M84=M$35,O$34+O$32*(COUNT(L$61:L84)-2*O$31-1),IF(M84=M$36,O$33+O$32*(COUNT(L$61:L84)-3*O$31-1))))))</f>
        <v>187</v>
      </c>
      <c r="O84" s="180" cm="1">
        <f t="array" ref="O84">IF(M84="","",MAX($C$5,IF(L84=90,IF(OR(N84=O$13,N84=O$14,N84=L$4-O$14,N84=L$4-O$13),M$7,IF(OR(M84=M$20,M84=M$24),M$8,IF(OR(M84=M$21:M$23),M$9))),M$10)))</f>
        <v>18</v>
      </c>
      <c r="P84" s="168"/>
      <c r="Q84" s="185">
        <f t="shared" si="66"/>
        <v>45</v>
      </c>
      <c r="R84" s="173">
        <f>IF(Q84="","",IF(COUNT(Q$61:Q84)&lt;=T$31,R$33,IF(COUNT(Q$61:Q84)&lt;=2*T$31,R$34,IF(COUNT(Q$61:Q84)&lt;=3*T$31,R$35,IF(COUNT(Q$61:Q84)&lt;=4*T$31,R$36)))))</f>
        <v>96.5</v>
      </c>
      <c r="S84" s="173">
        <f>IF(Q84="","",IF(R84=R$33,T$33+T$32*(COUNT(Q$61:Q84)-1),IF(R84=R$34,T$34+T$32*(COUNT(Q$61:Q84)-T$31-1),IF(R84=R$35,T$34+T$32*(COUNT(Q$61:Q84)-2*T$31-1),IF(R84=R$36,T$33+T$32*(COUNT(Q$61:Q84)-3*T$31-1))))))</f>
        <v>298</v>
      </c>
      <c r="T84" s="180" cm="1">
        <f t="array" ref="T84">IF(R84="","",MAX($C$5,IF(Q84=90,IF(OR(S84=T$13,S84=T$14,S84=Q$4-T$14,S84=Q$4-T$13),R$7,IF(OR(R84=R$20,R84=R$24),R$8,IF(OR(R84=R$21:R$23),R$9))),R$10)))</f>
        <v>18</v>
      </c>
      <c r="U84" s="168"/>
      <c r="V84" s="185">
        <f t="shared" si="67"/>
        <v>45</v>
      </c>
      <c r="W84" s="173">
        <f>IF(V84="","",IF(COUNT(V$61:V84)&lt;=Y$31,W$33,IF(COUNT(V$61:V84)&lt;=2*Y$31,W$34,IF(COUNT(V$61:V84)&lt;=3*Y$31,W$35,IF(COUNT(V$61:V84)&lt;=4*Y$31,W$36)))))</f>
        <v>96.5</v>
      </c>
      <c r="X84" s="173">
        <f>IF(V84="","",IF(W84=W$33,Y$33+Y$32*(COUNT(V$61:V84)-1),IF(W84=W$34,Y$34+Y$32*(COUNT(V$61:V84)-Y$31-1),IF(W84=W$35,Y$34+Y$32*(COUNT(V$61:V84)-2*Y$31-1),IF(W84=W$36,Y$33+Y$32*(COUNT(V$61:V84)-3*Y$31-1))))))</f>
        <v>520.5</v>
      </c>
      <c r="Y84" s="180" cm="1">
        <f t="array" ref="Y84">IF(W84="","",MAX($C$5,IF(V84=90,IF(OR(X84=Y$13,X84=Y$14,X84=V$4-Y$14,X84=V$4-Y$13),W$7,IF(OR(W84=W$20,W84=W$24),W$8,IF(OR(W84=W$21:W$23),W$9))),W$10)))</f>
        <v>18</v>
      </c>
      <c r="Z84" s="168"/>
      <c r="AA84" s="185">
        <f t="shared" si="68"/>
        <v>45</v>
      </c>
      <c r="AB84" s="173">
        <f>IF(AA84="","",IF(COUNT(AA$61:AA84)&lt;=AD$31,AB$33,IF(COUNT(AA$61:AA84)&lt;=2*AD$31,AB$34,IF(COUNT(AA$61:AA84)&lt;=3*AD$31,AB$35,IF(COUNT(AA$61:AA84)&lt;=4*AD$31,AB$36)))))</f>
        <v>139.5</v>
      </c>
      <c r="AC84" s="173">
        <f>IF(AA84="","",IF(AB84=AB$33,AD$33+AD$32*(COUNT(AA$61:AA84)-1),IF(AB84=AB$34,AD$34+AD$32*(COUNT(AA$61:AA84)-AD$31-1),IF(AB84=AB$35,AD$34+AD$32*(COUNT(AA$61:AA84)-2*AD$31-1),IF(AB84=AB$36,AD$33+AD$32*(COUNT(AA$61:AA84)-3*AD$31-1))))))</f>
        <v>254</v>
      </c>
      <c r="AD84" s="180" cm="1">
        <f t="array" ref="AD84">IF(AB84="","",MAX($C$5,IF(AA84=90,IF(OR(AC84=AD$13,AC84=AD$14,AC84=AA$4-AD$14,AC84=AA$4-AD$13),AB$7,IF(OR(AB84=AB$20,AB84=AB$24),AB$8,IF(OR(AB84=AB$21:AB$23),AB$9))),AB$10)))</f>
        <v>18</v>
      </c>
      <c r="AE84" s="168"/>
      <c r="AF84" s="185" t="str">
        <f t="shared" si="69"/>
        <v/>
      </c>
      <c r="AG84" s="173" t="str">
        <f>IF(AF84="","",IF(COUNT(AF$61:AF84)&lt;=AI$31,AG$33,IF(COUNT(AF$61:AF84)&lt;=2*AI$31,AG$34,IF(COUNT(AF$61:AF84)&lt;=3*AI$31,AG$35,IF(COUNT(AF$61:AF84)&lt;=4*AI$31,AG$36)))))</f>
        <v/>
      </c>
      <c r="AH84" s="173" t="str">
        <f>IF(AF84="","",IF(AG84=AG$33,AI$33+AI$32*(COUNT(AF$61:AF84)-1),IF(AG84=AG$34,AI$34+AI$32*(COUNT(AF$61:AF84)-AI$31-1),IF(AG84=AG$35,AI$34+AI$32*(COUNT(AF$61:AF84)-2*AI$31-1),IF(AG84=AG$36,AI$33+AI$32*(COUNT(AF$61:AF84)-3*AI$31-1))))))</f>
        <v/>
      </c>
      <c r="AI84" s="180" t="str" cm="1">
        <f t="array" ref="AI84">IF(AG84="","",MAX($C$5,IF(AF84=90,IF(OR(AH84=AI$13,AH84=AI$14,AH84=AF$4-AI$14,AH84=AF$4-AI$13),AG$7,IF(OR(AG84=AG$20,AG84=AG$24),AG$8,IF(OR(AG84=AG$21:AG$23),AG$9))),AG$10)))</f>
        <v/>
      </c>
      <c r="AJ84" s="168"/>
      <c r="AK84" s="185" t="str">
        <f t="shared" si="70"/>
        <v/>
      </c>
      <c r="AL84" s="173" t="str">
        <f>IF(AK84="","",IF(COUNT(AK$61:AK84)&lt;=AN$31,AL$33,IF(COUNT(AK$61:AK84)&lt;=2*AN$31,AL$34,IF(COUNT(AK$61:AK84)&lt;=3*AN$31,AL$35,IF(COUNT(AK$61:AK84)&lt;=4*AN$31,AL$36)))))</f>
        <v/>
      </c>
      <c r="AM84" s="173" t="str">
        <f>IF(AK84="","",IF(AL84=AL$33,AN$33+AN$32*(COUNT(AK$61:AK84)-1),IF(AL84=AL$34,AN$34+AN$32*(COUNT(AK$61:AK84)-AN$31-1),IF(AL84=AL$35,AN$34+AN$32*(COUNT(AK$61:AK84)-2*AN$31-1),IF(AL84=AL$36,AN$33+AN$32*(COUNT(AK$61:AK84)-3*AN$31-1))))))</f>
        <v/>
      </c>
      <c r="AN84" s="180" t="str" cm="1">
        <f t="array" ref="AN84">IF(AL84="","",MAX($C$5,IF(AK84=90,IF(OR(AM84=AN$13,AM84=AN$14,AM84=AK$4-AN$14,AM84=AK$4-AN$13),AL$7,IF(OR(AL84=AL$20,AL84=AL$24),AL$8,IF(OR(AL84=AL$21:AL$23),AL$9))),AL$10)))</f>
        <v/>
      </c>
      <c r="AO84" s="168"/>
      <c r="AP84" s="198">
        <f t="shared" si="56"/>
        <v>45</v>
      </c>
      <c r="AQ84" s="199">
        <f>IF(AP84="","",IF(COUNT(AP$61:AP84)&lt;=AS$31,AQ$33,IF(COUNT(AP$61:AP84)&lt;=2*AS$31,AQ$34,IF(COUNT(AP$61:AP84)&lt;=3*AS$31,AQ$35,IF(COUNT(AP$61:AP84)&lt;=4*AS$31,AQ$36)))))</f>
        <v>96.5</v>
      </c>
      <c r="AR84" s="199">
        <f>IF(AP84="","",IF(AQ84=AQ$33,AS$33+AS$32*(COUNT(AP$61:AP84)-1),IF(AQ84=AQ$34,AS$34+AS$32*(COUNT(AP$61:AP84)-AS$31-1),IF(AQ84=AQ$35,AS$34+AS$32*(COUNT(AP$61:AP84)-2*AS$31-1),IF(AQ84=AQ$36,AS$33+AS$32*(COUNT(AP$61:AP84)-3*AS$31-1))))))</f>
        <v>448</v>
      </c>
      <c r="AS84" s="180" cm="1">
        <f t="array" ref="AS84">IF(AQ84="","",MAX($C$5,IF(AP84=90,IF(OR(AR84=AS$13,AR84=AS$14,AR84=AP$4-AS$14,AR84=AP$4-AS$13),AQ$7,IF(OR(AQ84=AQ$20,AQ84=AQ$24),AQ$8,IF(OR(AQ84=AQ$21:AQ$23),AQ$9))),AQ$10)))</f>
        <v>18</v>
      </c>
      <c r="AT84" s="277"/>
      <c r="AU84" s="185" t="str">
        <f t="shared" si="57"/>
        <v/>
      </c>
      <c r="AV84" s="173" t="str">
        <f>IF(AU84="","",IF(COUNT(AU$61:AU84)&lt;=AX$31,AV$33,IF(COUNT(AU$61:AU84)&lt;=2*AX$31,AV$34,IF(COUNT(AU$61:AU84)&lt;=3*AX$31,AV$35))))</f>
        <v/>
      </c>
      <c r="AW84" s="173" t="str">
        <f>IF(AU84="","",IF(AV84=AV$33,AX$33+AX$32*(COUNT(AU$61:AU84)-1),IF(AV84=AV$34,AX$34+AX$32*(COUNT(AU$61:AU84)-AX$31-1),IF(AV84=AV$35,AX$33+AX$32*(COUNT(AU$61:AU84)-2*AX$31-1)))))</f>
        <v/>
      </c>
      <c r="AX84" s="180" t="str" cm="1">
        <f t="array" ref="AX84">IF(AV84="","",MAX($C$5,IF(AU84=90,IF(OR(AW84=AX$13,AW84=AX$14,AW84=AU$4-AX$14,AW84=AU$4-AX$13),AV$7,IF(OR(AV84=AV$20,AV84=AV$24),AV$8,IF(OR(AV84=AV$21:AV$23),AV$9))),AV$10)))</f>
        <v/>
      </c>
      <c r="AY84" s="168"/>
      <c r="AZ84" s="185" t="str">
        <f t="shared" si="58"/>
        <v/>
      </c>
      <c r="BA84" s="173" t="str">
        <f>IF(AZ84="","",IF(COUNT(AZ$61:AZ84)&lt;=BC$31,BA$33,IF(COUNT(AZ$61:AZ84)&lt;=2*BC$31,BA$34,IF(COUNT(AZ$61:AZ84)&lt;=3*BC$31,BA$35))))</f>
        <v/>
      </c>
      <c r="BB84" s="173" t="str">
        <f>IF(AZ84="","",IF(BA84=BA$33,BC$33+BC$32*(COUNT(AZ$61:AZ84)-1),IF(BA84=BA$34,BC$34+BC$32*(COUNT(AZ$61:AZ84)-BC$31-1),IF(BA84=BA$35,BC$33+BC$32*(COUNT(AZ$61:AZ84)-2*BC$31-1)))))</f>
        <v/>
      </c>
      <c r="BC84" s="180" t="str" cm="1">
        <f t="array" ref="BC84">IF(BA84="","",MAX($C$5,IF(AZ84=90,IF(OR(BB84=BC$13,BB84=BC$14,BB84=AZ$4-BC$14,BB84=AZ$4-BC$13),BA$7,IF(OR(BA84=BA$20,BA84=BA$24),BA$8,IF(OR(BA84=BA$21:BA$23),BA$9))),BA$10)))</f>
        <v/>
      </c>
      <c r="BD84" s="168"/>
      <c r="BE84" s="185" t="str">
        <f t="shared" si="59"/>
        <v/>
      </c>
      <c r="BF84" s="173" t="str">
        <f>IF(BE84="","",IF(COUNT(BE$61:BE84)&lt;=BH$31,BF$33,IF(COUNT(BE$61:BE84)&lt;=2*BH$31,BF$34,IF(COUNT(BE$61:BE84)&lt;=3*BH$31,BF$35))))</f>
        <v/>
      </c>
      <c r="BG84" s="173" t="str">
        <f>IF(BE84="","",IF(BF84=BF$33,BH$33+BH$32*(COUNT(BE$61:BE84)-1),IF(BF84=BF$34,BH$34+BH$32*(COUNT(BE$61:BE84)-BH$31-1),IF(BF84=BF$35,BH$33+BH$32*(COUNT(BE$61:BE84)-2*BH$31-1)))))</f>
        <v/>
      </c>
      <c r="BH84" s="180" t="str" cm="1">
        <f t="array" ref="BH84">IF(BF84="","",MAX($C$5,IF(BE84=90,IF(OR(BG84=BH$13,BG84=BH$14,BG84=BE$4-BH$14,BG84=BE$4-BH$13),BF$7,IF(OR(BF84=BF$20,BF84=BF$24),BF$8,IF(OR(BF84=BF$21:BF$23),BF$9))),BF$10)))</f>
        <v/>
      </c>
      <c r="BI84" s="277"/>
      <c r="BJ84" s="185" t="str">
        <f t="shared" si="60"/>
        <v/>
      </c>
      <c r="BK84" s="173" t="str">
        <f>IF(BJ84="","",IF(COUNT(BJ$61:BJ84)&lt;=BM$31-1,BK$33,IF(COUNT(BJ$61:BJ84)&lt;=2*BM$31-1,BK$34)))</f>
        <v/>
      </c>
      <c r="BL84" s="173" t="str">
        <f>IF(BJ84="","",IF(BK84=BK$33,BM$33+BM$32*(COUNT(BJ$61:BJ84)-1),IF(BK84=BK$34,BM$34+BM$32*(COUNT(BJ$61:BJ84)-BM$31))))</f>
        <v/>
      </c>
      <c r="BM84" s="180" t="str" cm="1">
        <f t="array" ref="BM84">IF(BK84="","",MAX($C$5,IF(BJ84=90,IF(OR(BL84=BM$13,BL84=BM$14,BL84=BJ$4-BM$14,BL84=BJ$4-BM$13),BK$7,IF(OR(BK84=BK$20,BK84=BK$24),BK$8,IF(OR(BK84=BK$21:BK$23),BK$9))),BK$10)))</f>
        <v/>
      </c>
      <c r="BN84" s="168"/>
      <c r="BO84" s="185" t="str">
        <f t="shared" si="61"/>
        <v/>
      </c>
      <c r="BP84" s="173" t="str">
        <f>IF(BO84="","",IF(COUNT(BO$61:BO84)&lt;=BR$31-1,BP$33,IF(COUNT(BO$61:BO84)&lt;=2*BR$31-1,BP$34)))</f>
        <v/>
      </c>
      <c r="BQ84" s="173" t="str">
        <f>IF(BO84="","",IF(BP84=BP$33,BR$33+BR$32*(COUNT(BO$61:BO84)-1),IF(BP84=BP$34,BR$34+BR$32*(COUNT(BO$61:BO84)-BR$31))))</f>
        <v/>
      </c>
      <c r="BR84" s="180" t="str" cm="1">
        <f t="array" ref="BR84">IF(BP84="","",MAX($C$5,IF(BO84=90,IF(OR(BQ84=BR$13,BQ84=BR$14,BQ84=BO$4-BR$14,BQ84=BO$4-BR$13),BP$7,IF(OR(BP84=BP$20,BP84=BP$24),BP$8,IF(OR(BP84=BP$21:BP$23),BP$9))),BP$10)))</f>
        <v/>
      </c>
      <c r="BS84" s="168"/>
      <c r="BT84" s="185" t="str">
        <f t="shared" si="62"/>
        <v/>
      </c>
      <c r="BU84" s="173" t="str">
        <f>IF(BT84="","",IF(COUNT(BT$61:BT84)&lt;=BW$31-1,BU$33,IF(COUNT(BT$61:BT84)&lt;=2*BW$31-1,BU$34)))</f>
        <v/>
      </c>
      <c r="BV84" s="173" t="str">
        <f>IF(BT84="","",IF(BU84=BU$33,BW$33+BW$32*(COUNT(BT$61:BT84)-1),IF(BU84=BU$34,BW$34+BW$32*(COUNT(BT$61:BT84)-BW$31))))</f>
        <v/>
      </c>
      <c r="BW84" s="180" t="str" cm="1">
        <f t="array" ref="BW84">IF(BU84="","",MAX($C$5,IF(BT84=90,IF(OR(BV84=BW$13,BV84=BW$14,BV84=BT$4-BW$14,BV84=BT$4-BW$13),BU$7,IF(OR(BU84=BU$20,BU84=BU$24),BU$8,IF(OR(BU84=BU$21:BU$23),BU$9))),BU$10)))</f>
        <v/>
      </c>
      <c r="BX84" s="288"/>
    </row>
    <row r="85" spans="1:76">
      <c r="A85" s="168"/>
      <c r="B85" s="185">
        <f t="shared" si="63"/>
        <v>45</v>
      </c>
      <c r="C85" s="173">
        <f>IF(B85="","",IF(COUNT(B$61:B85)&lt;=E$31,C$33,IF(COUNT(B$61:B85)&lt;=2*E$31,C$34,IF(COUNT(B$61:B85)&lt;=3*E$31,C$35,IF(COUNT(B$61:B85)&lt;=4*E$31,C$36)))))</f>
        <v>96.5</v>
      </c>
      <c r="D85" s="173">
        <f>IF(B85="","",IF(C85=C$33,E$33+E$32*(COUNT(B$61:B85)-1),IF(C85=C$34,E$34+E$32*(COUNT(B$61:B85)-E$31-1),IF(C85=C$35,E$34+E$32*(COUNT(B$61:B85)-2*E$31-1),IF(C85=C$36,E$33+E$32*(COUNT(B$61:B85)-3*E$31-1))))))</f>
        <v>121</v>
      </c>
      <c r="E85" s="180" cm="1">
        <f t="array" ref="E85">IF(C85="","",MAX($C$5,IF(B85=90,IF(OR(D85=E$13,D85=E$14,D85=B$4-E$14,D85=B$4-E$13),C$7,IF(OR(C85=C$20,C85=C$24),C$8,IF(OR(C85=C$21:C$23),C$9))),C$10)))</f>
        <v>18</v>
      </c>
      <c r="F85" s="168"/>
      <c r="G85" s="185">
        <f t="shared" si="64"/>
        <v>45</v>
      </c>
      <c r="H85" s="173">
        <f>IF(G85="","",IF(COUNT(G$61:G85)&lt;=J$31,H$33,IF(COUNT(G$61:G85)&lt;=2*J$31,H$34,IF(COUNT(G$61:G85)&lt;=3*J$31,H$35,IF(COUNT(G$61:G85)&lt;=4*J$31,H$36)))))</f>
        <v>96.5</v>
      </c>
      <c r="I85" s="173">
        <f>IF(G85="","",IF(H85=H$33,J$33+J$32*(COUNT(G$61:G85)-1),IF(H85=H$34,J$34+J$32*(COUNT(G$61:G85)-J$31-1),IF(H85=H$35,J$34+J$32*(COUNT(G$61:G85)-2*J$31-1),IF(H85=H$36,J$33+J$32*(COUNT(G$61:G85)-3*J$31-1))))))</f>
        <v>121</v>
      </c>
      <c r="J85" s="180" cm="1">
        <f t="array" ref="J85">IF(H85="","",MAX($C$5,IF(G85=90,IF(OR(I85=J$13,I85=J$14,I85=G$4-J$14,I85=G$4-J$13),H$7,IF(OR(H85=H$20,H85=H$24),H$8,IF(OR(H85=H$21:H$23),H$9))),H$10)))</f>
        <v>18</v>
      </c>
      <c r="K85" s="168"/>
      <c r="L85" s="185">
        <f t="shared" si="65"/>
        <v>45</v>
      </c>
      <c r="M85" s="173">
        <f>IF(L85="","",IF(COUNT(L$61:L85)&lt;=O$31,M$33,IF(COUNT(L$61:L85)&lt;=2*O$31,M$34,IF(COUNT(L$61:L85)&lt;=3*O$31,M$35,IF(COUNT(L$61:L85)&lt;=4*O$31,M$36)))))</f>
        <v>96.5</v>
      </c>
      <c r="N85" s="173">
        <f>IF(L85="","",IF(M85=M$33,O$33+O$32*(COUNT(L$61:L85)-1),IF(M85=M$34,O$34+O$32*(COUNT(L$61:L85)-O$31-1),IF(M85=M$35,O$34+O$32*(COUNT(L$61:L85)-2*O$31-1),IF(M85=M$36,O$33+O$32*(COUNT(L$61:L85)-3*O$31-1))))))</f>
        <v>244</v>
      </c>
      <c r="O85" s="180" cm="1">
        <f t="array" ref="O85">IF(M85="","",MAX($C$5,IF(L85=90,IF(OR(N85=O$13,N85=O$14,N85=L$4-O$14,N85=L$4-O$13),M$7,IF(OR(M85=M$20,M85=M$24),M$8,IF(OR(M85=M$21:M$23),M$9))),M$10)))</f>
        <v>18</v>
      </c>
      <c r="P85" s="168"/>
      <c r="Q85" s="185">
        <f t="shared" si="66"/>
        <v>45</v>
      </c>
      <c r="R85" s="173">
        <f>IF(Q85="","",IF(COUNT(Q$61:Q85)&lt;=T$31,R$33,IF(COUNT(Q$61:Q85)&lt;=2*T$31,R$34,IF(COUNT(Q$61:Q85)&lt;=3*T$31,R$35,IF(COUNT(Q$61:Q85)&lt;=4*T$31,R$36)))))</f>
        <v>96.5</v>
      </c>
      <c r="S85" s="173">
        <f>IF(Q85="","",IF(R85=R$33,T$33+T$32*(COUNT(Q$61:Q85)-1),IF(R85=R$34,T$34+T$32*(COUNT(Q$61:Q85)-T$31-1),IF(R85=R$35,T$34+T$32*(COUNT(Q$61:Q85)-2*T$31-1),IF(R85=R$36,T$33+T$32*(COUNT(Q$61:Q85)-3*T$31-1))))))</f>
        <v>355</v>
      </c>
      <c r="T85" s="180" cm="1">
        <f t="array" ref="T85">IF(R85="","",MAX($C$5,IF(Q85=90,IF(OR(S85=T$13,S85=T$14,S85=Q$4-T$14,S85=Q$4-T$13),R$7,IF(OR(R85=R$20,R85=R$24),R$8,IF(OR(R85=R$21:R$23),R$9))),R$10)))</f>
        <v>18</v>
      </c>
      <c r="U85" s="168"/>
      <c r="V85" s="185">
        <f t="shared" si="67"/>
        <v>45</v>
      </c>
      <c r="W85" s="173">
        <f>IF(V85="","",IF(COUNT(V$61:V85)&lt;=Y$31,W$33,IF(COUNT(V$61:V85)&lt;=2*Y$31,W$34,IF(COUNT(V$61:V85)&lt;=3*Y$31,W$35,IF(COUNT(V$61:V85)&lt;=4*Y$31,W$36)))))</f>
        <v>139.5</v>
      </c>
      <c r="X85" s="173">
        <f>IF(V85="","",IF(W85=W$33,Y$33+Y$32*(COUNT(V$61:V85)-1),IF(W85=W$34,Y$34+Y$32*(COUNT(V$61:V85)-Y$31-1),IF(W85=W$35,Y$34+Y$32*(COUNT(V$61:V85)-2*Y$31-1),IF(W85=W$36,Y$33+Y$32*(COUNT(V$61:V85)-3*Y$31-1))))))</f>
        <v>150</v>
      </c>
      <c r="Y85" s="180" cm="1">
        <f t="array" ref="Y85">IF(W85="","",MAX($C$5,IF(V85=90,IF(OR(X85=Y$13,X85=Y$14,X85=V$4-Y$14,X85=V$4-Y$13),W$7,IF(OR(W85=W$20,W85=W$24),W$8,IF(OR(W85=W$21:W$23),W$9))),W$10)))</f>
        <v>18</v>
      </c>
      <c r="Z85" s="168"/>
      <c r="AA85" s="185">
        <f t="shared" si="68"/>
        <v>45</v>
      </c>
      <c r="AB85" s="173">
        <f>IF(AA85="","",IF(COUNT(AA$61:AA85)&lt;=AD$31,AB$33,IF(COUNT(AA$61:AA85)&lt;=2*AD$31,AB$34,IF(COUNT(AA$61:AA85)&lt;=3*AD$31,AB$35,IF(COUNT(AA$61:AA85)&lt;=4*AD$31,AB$36)))))</f>
        <v>139.5</v>
      </c>
      <c r="AC85" s="173">
        <f>IF(AA85="","",IF(AB85=AB$33,AD$33+AD$32*(COUNT(AA$61:AA85)-1),IF(AB85=AB$34,AD$34+AD$32*(COUNT(AA$61:AA85)-AD$31-1),IF(AB85=AB$35,AD$34+AD$32*(COUNT(AA$61:AA85)-2*AD$31-1),IF(AB85=AB$36,AD$33+AD$32*(COUNT(AA$61:AA85)-3*AD$31-1))))))</f>
        <v>312</v>
      </c>
      <c r="AD85" s="180" cm="1">
        <f t="array" ref="AD85">IF(AB85="","",MAX($C$5,IF(AA85=90,IF(OR(AC85=AD$13,AC85=AD$14,AC85=AA$4-AD$14,AC85=AA$4-AD$13),AB$7,IF(OR(AB85=AB$20,AB85=AB$24),AB$8,IF(OR(AB85=AB$21:AB$23),AB$9))),AB$10)))</f>
        <v>18</v>
      </c>
      <c r="AE85" s="168"/>
      <c r="AF85" s="185" t="str">
        <f t="shared" si="69"/>
        <v/>
      </c>
      <c r="AG85" s="173" t="str">
        <f>IF(AF85="","",IF(COUNT(AF$61:AF85)&lt;=AI$31,AG$33,IF(COUNT(AF$61:AF85)&lt;=2*AI$31,AG$34,IF(COUNT(AF$61:AF85)&lt;=3*AI$31,AG$35,IF(COUNT(AF$61:AF85)&lt;=4*AI$31,AG$36)))))</f>
        <v/>
      </c>
      <c r="AH85" s="173" t="str">
        <f>IF(AF85="","",IF(AG85=AG$33,AI$33+AI$32*(COUNT(AF$61:AF85)-1),IF(AG85=AG$34,AI$34+AI$32*(COUNT(AF$61:AF85)-AI$31-1),IF(AG85=AG$35,AI$34+AI$32*(COUNT(AF$61:AF85)-2*AI$31-1),IF(AG85=AG$36,AI$33+AI$32*(COUNT(AF$61:AF85)-3*AI$31-1))))))</f>
        <v/>
      </c>
      <c r="AI85" s="180" t="str" cm="1">
        <f t="array" ref="AI85">IF(AG85="","",MAX($C$5,IF(AF85=90,IF(OR(AH85=AI$13,AH85=AI$14,AH85=AF$4-AI$14,AH85=AF$4-AI$13),AG$7,IF(OR(AG85=AG$20,AG85=AG$24),AG$8,IF(OR(AG85=AG$21:AG$23),AG$9))),AG$10)))</f>
        <v/>
      </c>
      <c r="AJ85" s="168"/>
      <c r="AK85" s="185" t="str">
        <f t="shared" si="70"/>
        <v/>
      </c>
      <c r="AL85" s="173" t="str">
        <f>IF(AK85="","",IF(COUNT(AK$61:AK85)&lt;=AN$31,AL$33,IF(COUNT(AK$61:AK85)&lt;=2*AN$31,AL$34,IF(COUNT(AK$61:AK85)&lt;=3*AN$31,AL$35,IF(COUNT(AK$61:AK85)&lt;=4*AN$31,AL$36)))))</f>
        <v/>
      </c>
      <c r="AM85" s="173" t="str">
        <f>IF(AK85="","",IF(AL85=AL$33,AN$33+AN$32*(COUNT(AK$61:AK85)-1),IF(AL85=AL$34,AN$34+AN$32*(COUNT(AK$61:AK85)-AN$31-1),IF(AL85=AL$35,AN$34+AN$32*(COUNT(AK$61:AK85)-2*AN$31-1),IF(AL85=AL$36,AN$33+AN$32*(COUNT(AK$61:AK85)-3*AN$31-1))))))</f>
        <v/>
      </c>
      <c r="AN85" s="180" t="str" cm="1">
        <f t="array" ref="AN85">IF(AL85="","",MAX($C$5,IF(AK85=90,IF(OR(AM85=AN$13,AM85=AN$14,AM85=AK$4-AN$14,AM85=AK$4-AN$13),AL$7,IF(OR(AL85=AL$20,AL85=AL$24),AL$8,IF(OR(AL85=AL$21:AL$23),AL$9))),AL$10)))</f>
        <v/>
      </c>
      <c r="AO85" s="168"/>
      <c r="AP85" s="198">
        <f t="shared" si="56"/>
        <v>45</v>
      </c>
      <c r="AQ85" s="199">
        <f>IF(AP85="","",IF(COUNT(AP$61:AP85)&lt;=AS$31,AQ$33,IF(COUNT(AP$61:AP85)&lt;=2*AS$31,AQ$34,IF(COUNT(AP$61:AP85)&lt;=3*AS$31,AQ$35,IF(COUNT(AP$61:AP85)&lt;=4*AS$31,AQ$36)))))</f>
        <v>96.5</v>
      </c>
      <c r="AR85" s="199">
        <f>IF(AP85="","",IF(AQ85=AQ$33,AS$33+AS$32*(COUNT(AP$61:AP85)-1),IF(AQ85=AQ$34,AS$34+AS$32*(COUNT(AP$61:AP85)-AS$31-1),IF(AQ85=AQ$35,AS$34+AS$32*(COUNT(AP$61:AP85)-2*AS$31-1),IF(AQ85=AQ$36,AS$33+AS$32*(COUNT(AP$61:AP85)-3*AS$31-1))))))</f>
        <v>505</v>
      </c>
      <c r="AS85" s="180" cm="1">
        <f t="array" ref="AS85">IF(AQ85="","",MAX($C$5,IF(AP85=90,IF(OR(AR85=AS$13,AR85=AS$14,AR85=AP$4-AS$14,AR85=AP$4-AS$13),AQ$7,IF(OR(AQ85=AQ$20,AQ85=AQ$24),AQ$8,IF(OR(AQ85=AQ$21:AQ$23),AQ$9))),AQ$10)))</f>
        <v>18</v>
      </c>
      <c r="AT85" s="277"/>
      <c r="AU85" s="185" t="str">
        <f t="shared" si="57"/>
        <v/>
      </c>
      <c r="AV85" s="173" t="str">
        <f>IF(AU85="","",IF(COUNT(AU$61:AU85)&lt;=AX$31,AV$33,IF(COUNT(AU$61:AU85)&lt;=2*AX$31,AV$34,IF(COUNT(AU$61:AU85)&lt;=3*AX$31,AV$35))))</f>
        <v/>
      </c>
      <c r="AW85" s="173" t="str">
        <f>IF(AU85="","",IF(AV85=AV$33,AX$33+AX$32*(COUNT(AU$61:AU85)-1),IF(AV85=AV$34,AX$34+AX$32*(COUNT(AU$61:AU85)-AX$31-1),IF(AV85=AV$35,AX$33+AX$32*(COUNT(AU$61:AU85)-2*AX$31-1)))))</f>
        <v/>
      </c>
      <c r="AX85" s="180" t="str" cm="1">
        <f t="array" ref="AX85">IF(AV85="","",MAX($C$5,IF(AU85=90,IF(OR(AW85=AX$13,AW85=AX$14,AW85=AU$4-AX$14,AW85=AU$4-AX$13),AV$7,IF(OR(AV85=AV$20,AV85=AV$24),AV$8,IF(OR(AV85=AV$21:AV$23),AV$9))),AV$10)))</f>
        <v/>
      </c>
      <c r="AY85" s="168"/>
      <c r="AZ85" s="185" t="str">
        <f t="shared" si="58"/>
        <v/>
      </c>
      <c r="BA85" s="173" t="str">
        <f>IF(AZ85="","",IF(COUNT(AZ$61:AZ85)&lt;=BC$31,BA$33,IF(COUNT(AZ$61:AZ85)&lt;=2*BC$31,BA$34,IF(COUNT(AZ$61:AZ85)&lt;=3*BC$31,BA$35))))</f>
        <v/>
      </c>
      <c r="BB85" s="173" t="str">
        <f>IF(AZ85="","",IF(BA85=BA$33,BC$33+BC$32*(COUNT(AZ$61:AZ85)-1),IF(BA85=BA$34,BC$34+BC$32*(COUNT(AZ$61:AZ85)-BC$31-1),IF(BA85=BA$35,BC$33+BC$32*(COUNT(AZ$61:AZ85)-2*BC$31-1)))))</f>
        <v/>
      </c>
      <c r="BC85" s="180" t="str" cm="1">
        <f t="array" ref="BC85">IF(BA85="","",MAX($C$5,IF(AZ85=90,IF(OR(BB85=BC$13,BB85=BC$14,BB85=AZ$4-BC$14,BB85=AZ$4-BC$13),BA$7,IF(OR(BA85=BA$20,BA85=BA$24),BA$8,IF(OR(BA85=BA$21:BA$23),BA$9))),BA$10)))</f>
        <v/>
      </c>
      <c r="BD85" s="168"/>
      <c r="BE85" s="185" t="str">
        <f t="shared" si="59"/>
        <v/>
      </c>
      <c r="BF85" s="173" t="str">
        <f>IF(BE85="","",IF(COUNT(BE$61:BE85)&lt;=BH$31,BF$33,IF(COUNT(BE$61:BE85)&lt;=2*BH$31,BF$34,IF(COUNT(BE$61:BE85)&lt;=3*BH$31,BF$35))))</f>
        <v/>
      </c>
      <c r="BG85" s="173" t="str">
        <f>IF(BE85="","",IF(BF85=BF$33,BH$33+BH$32*(COUNT(BE$61:BE85)-1),IF(BF85=BF$34,BH$34+BH$32*(COUNT(BE$61:BE85)-BH$31-1),IF(BF85=BF$35,BH$33+BH$32*(COUNT(BE$61:BE85)-2*BH$31-1)))))</f>
        <v/>
      </c>
      <c r="BH85" s="180" t="str" cm="1">
        <f t="array" ref="BH85">IF(BF85="","",MAX($C$5,IF(BE85=90,IF(OR(BG85=BH$13,BG85=BH$14,BG85=BE$4-BH$14,BG85=BE$4-BH$13),BF$7,IF(OR(BF85=BF$20,BF85=BF$24),BF$8,IF(OR(BF85=BF$21:BF$23),BF$9))),BF$10)))</f>
        <v/>
      </c>
      <c r="BI85" s="277"/>
      <c r="BJ85" s="185" t="str">
        <f t="shared" si="60"/>
        <v/>
      </c>
      <c r="BK85" s="173" t="str">
        <f>IF(BJ85="","",IF(COUNT(BJ$61:BJ85)&lt;=BM$31-1,BK$33,IF(COUNT(BJ$61:BJ85)&lt;=2*BM$31-1,BK$34)))</f>
        <v/>
      </c>
      <c r="BL85" s="173" t="str">
        <f>IF(BJ85="","",IF(BK85=BK$33,BM$33+BM$32*(COUNT(BJ$61:BJ85)-1),IF(BK85=BK$34,BM$34+BM$32*(COUNT(BJ$61:BJ85)-BM$31))))</f>
        <v/>
      </c>
      <c r="BM85" s="180" t="str" cm="1">
        <f t="array" ref="BM85">IF(BK85="","",MAX($C$5,IF(BJ85=90,IF(OR(BL85=BM$13,BL85=BM$14,BL85=BJ$4-BM$14,BL85=BJ$4-BM$13),BK$7,IF(OR(BK85=BK$20,BK85=BK$24),BK$8,IF(OR(BK85=BK$21:BK$23),BK$9))),BK$10)))</f>
        <v/>
      </c>
      <c r="BN85" s="168"/>
      <c r="BO85" s="185" t="str">
        <f t="shared" si="61"/>
        <v/>
      </c>
      <c r="BP85" s="173" t="str">
        <f>IF(BO85="","",IF(COUNT(BO$61:BO85)&lt;=BR$31-1,BP$33,IF(COUNT(BO$61:BO85)&lt;=2*BR$31-1,BP$34)))</f>
        <v/>
      </c>
      <c r="BQ85" s="173" t="str">
        <f>IF(BO85="","",IF(BP85=BP$33,BR$33+BR$32*(COUNT(BO$61:BO85)-1),IF(BP85=BP$34,BR$34+BR$32*(COUNT(BO$61:BO85)-BR$31))))</f>
        <v/>
      </c>
      <c r="BR85" s="180" t="str" cm="1">
        <f t="array" ref="BR85">IF(BP85="","",MAX($C$5,IF(BO85=90,IF(OR(BQ85=BR$13,BQ85=BR$14,BQ85=BO$4-BR$14,BQ85=BO$4-BR$13),BP$7,IF(OR(BP85=BP$20,BP85=BP$24),BP$8,IF(OR(BP85=BP$21:BP$23),BP$9))),BP$10)))</f>
        <v/>
      </c>
      <c r="BS85" s="168"/>
      <c r="BT85" s="185" t="str">
        <f t="shared" si="62"/>
        <v/>
      </c>
      <c r="BU85" s="173" t="str">
        <f>IF(BT85="","",IF(COUNT(BT$61:BT85)&lt;=BW$31-1,BU$33,IF(COUNT(BT$61:BT85)&lt;=2*BW$31-1,BU$34)))</f>
        <v/>
      </c>
      <c r="BV85" s="173" t="str">
        <f>IF(BT85="","",IF(BU85=BU$33,BW$33+BW$32*(COUNT(BT$61:BT85)-1),IF(BU85=BU$34,BW$34+BW$32*(COUNT(BT$61:BT85)-BW$31))))</f>
        <v/>
      </c>
      <c r="BW85" s="180" t="str" cm="1">
        <f t="array" ref="BW85">IF(BU85="","",MAX($C$5,IF(BT85=90,IF(OR(BV85=BW$13,BV85=BW$14,BV85=BT$4-BW$14,BV85=BT$4-BW$13),BU$7,IF(OR(BU85=BU$20,BU85=BU$24),BU$8,IF(OR(BU85=BU$21:BU$23),BU$9))),BU$10)))</f>
        <v/>
      </c>
      <c r="BX85" s="288"/>
    </row>
    <row r="86" spans="1:76">
      <c r="A86" s="168"/>
      <c r="B86" s="185">
        <f t="shared" si="63"/>
        <v>45</v>
      </c>
      <c r="C86" s="173">
        <f>IF(B86="","",IF(COUNT(B$61:B86)&lt;=E$31,C$33,IF(COUNT(B$61:B86)&lt;=2*E$31,C$34,IF(COUNT(B$61:B86)&lt;=3*E$31,C$35,IF(COUNT(B$61:B86)&lt;=4*E$31,C$36)))))</f>
        <v>96.5</v>
      </c>
      <c r="D86" s="173">
        <f>IF(B86="","",IF(C86=C$33,E$33+E$32*(COUNT(B$61:B86)-1),IF(C86=C$34,E$34+E$32*(COUNT(B$61:B86)-E$31-1),IF(C86=C$35,E$34+E$32*(COUNT(B$61:B86)-2*E$31-1),IF(C86=C$36,E$33+E$32*(COUNT(B$61:B86)-3*E$31-1))))))</f>
        <v>178</v>
      </c>
      <c r="E86" s="180" cm="1">
        <f t="array" ref="E86">IF(C86="","",MAX($C$5,IF(B86=90,IF(OR(D86=E$13,D86=E$14,D86=B$4-E$14,D86=B$4-E$13),C$7,IF(OR(C86=C$20,C86=C$24),C$8,IF(OR(C86=C$21:C$23),C$9))),C$10)))</f>
        <v>18</v>
      </c>
      <c r="F86" s="168"/>
      <c r="G86" s="185">
        <f t="shared" si="64"/>
        <v>45</v>
      </c>
      <c r="H86" s="173">
        <f>IF(G86="","",IF(COUNT(G$61:G86)&lt;=J$31,H$33,IF(COUNT(G$61:G86)&lt;=2*J$31,H$34,IF(COUNT(G$61:G86)&lt;=3*J$31,H$35,IF(COUNT(G$61:G86)&lt;=4*J$31,H$36)))))</f>
        <v>96.5</v>
      </c>
      <c r="I86" s="173">
        <f>IF(G86="","",IF(H86=H$33,J$33+J$32*(COUNT(G$61:G86)-1),IF(H86=H$34,J$34+J$32*(COUNT(G$61:G86)-J$31-1),IF(H86=H$35,J$34+J$32*(COUNT(G$61:G86)-2*J$31-1),IF(H86=H$36,J$33+J$32*(COUNT(G$61:G86)-3*J$31-1))))))</f>
        <v>178</v>
      </c>
      <c r="J86" s="180" cm="1">
        <f t="array" ref="J86">IF(H86="","",MAX($C$5,IF(G86=90,IF(OR(I86=J$13,I86=J$14,I86=G$4-J$14,I86=G$4-J$13),H$7,IF(OR(H86=H$20,H86=H$24),H$8,IF(OR(H86=H$21:H$23),H$9))),H$10)))</f>
        <v>18</v>
      </c>
      <c r="K86" s="168"/>
      <c r="L86" s="185">
        <f t="shared" si="65"/>
        <v>45</v>
      </c>
      <c r="M86" s="173">
        <f>IF(L86="","",IF(COUNT(L$61:L86)&lt;=O$31,M$33,IF(COUNT(L$61:L86)&lt;=2*O$31,M$34,IF(COUNT(L$61:L86)&lt;=3*O$31,M$35,IF(COUNT(L$61:L86)&lt;=4*O$31,M$36)))))</f>
        <v>96.5</v>
      </c>
      <c r="N86" s="173">
        <f>IF(L86="","",IF(M86=M$33,O$33+O$32*(COUNT(L$61:L86)-1),IF(M86=M$34,O$34+O$32*(COUNT(L$61:L86)-O$31-1),IF(M86=M$35,O$34+O$32*(COUNT(L$61:L86)-2*O$31-1),IF(M86=M$36,O$33+O$32*(COUNT(L$61:L86)-3*O$31-1))))))</f>
        <v>301</v>
      </c>
      <c r="O86" s="180" cm="1">
        <f t="array" ref="O86">IF(M86="","",MAX($C$5,IF(L86=90,IF(OR(N86=O$13,N86=O$14,N86=L$4-O$14,N86=L$4-O$13),M$7,IF(OR(M86=M$20,M86=M$24),M$8,IF(OR(M86=M$21:M$23),M$9))),M$10)))</f>
        <v>18</v>
      </c>
      <c r="P86" s="168"/>
      <c r="Q86" s="185">
        <f t="shared" si="66"/>
        <v>45</v>
      </c>
      <c r="R86" s="173">
        <f>IF(Q86="","",IF(COUNT(Q$61:Q86)&lt;=T$31,R$33,IF(COUNT(Q$61:Q86)&lt;=2*T$31,R$34,IF(COUNT(Q$61:Q86)&lt;=3*T$31,R$35,IF(COUNT(Q$61:Q86)&lt;=4*T$31,R$36)))))</f>
        <v>96.5</v>
      </c>
      <c r="S86" s="173">
        <f>IF(Q86="","",IF(R86=R$33,T$33+T$32*(COUNT(Q$61:Q86)-1),IF(R86=R$34,T$34+T$32*(COUNT(Q$61:Q86)-T$31-1),IF(R86=R$35,T$34+T$32*(COUNT(Q$61:Q86)-2*T$31-1),IF(R86=R$36,T$33+T$32*(COUNT(Q$61:Q86)-3*T$31-1))))))</f>
        <v>412</v>
      </c>
      <c r="T86" s="180" cm="1">
        <f t="array" ref="T86">IF(R86="","",MAX($C$5,IF(Q86=90,IF(OR(S86=T$13,S86=T$14,S86=Q$4-T$14,S86=Q$4-T$13),R$7,IF(OR(R86=R$20,R86=R$24),R$8,IF(OR(R86=R$21:R$23),R$9))),R$10)))</f>
        <v>18</v>
      </c>
      <c r="U86" s="168"/>
      <c r="V86" s="185">
        <f t="shared" si="67"/>
        <v>45</v>
      </c>
      <c r="W86" s="173">
        <f>IF(V86="","",IF(COUNT(V$61:V86)&lt;=Y$31,W$33,IF(COUNT(V$61:V86)&lt;=2*Y$31,W$34,IF(COUNT(V$61:V86)&lt;=3*Y$31,W$35,IF(COUNT(V$61:V86)&lt;=4*Y$31,W$36)))))</f>
        <v>139.5</v>
      </c>
      <c r="X86" s="173">
        <f>IF(V86="","",IF(W86=W$33,Y$33+Y$32*(COUNT(V$61:V86)-1),IF(W86=W$34,Y$34+Y$32*(COUNT(V$61:V86)-Y$31-1),IF(W86=W$35,Y$34+Y$32*(COUNT(V$61:V86)-2*Y$31-1),IF(W86=W$36,Y$33+Y$32*(COUNT(V$61:V86)-3*Y$31-1))))))</f>
        <v>207</v>
      </c>
      <c r="Y86" s="180" cm="1">
        <f t="array" ref="Y86">IF(W86="","",MAX($C$5,IF(V86=90,IF(OR(X86=Y$13,X86=Y$14,X86=V$4-Y$14,X86=V$4-Y$13),W$7,IF(OR(W86=W$20,W86=W$24),W$8,IF(OR(W86=W$21:W$23),W$9))),W$10)))</f>
        <v>18</v>
      </c>
      <c r="Z86" s="168"/>
      <c r="AA86" s="185">
        <f t="shared" si="68"/>
        <v>45</v>
      </c>
      <c r="AB86" s="173">
        <f>IF(AA86="","",IF(COUNT(AA$61:AA86)&lt;=AD$31,AB$33,IF(COUNT(AA$61:AA86)&lt;=2*AD$31,AB$34,IF(COUNT(AA$61:AA86)&lt;=3*AD$31,AB$35,IF(COUNT(AA$61:AA86)&lt;=4*AD$31,AB$36)))))</f>
        <v>139.5</v>
      </c>
      <c r="AC86" s="173">
        <f>IF(AA86="","",IF(AB86=AB$33,AD$33+AD$32*(COUNT(AA$61:AA86)-1),IF(AB86=AB$34,AD$34+AD$32*(COUNT(AA$61:AA86)-AD$31-1),IF(AB86=AB$35,AD$34+AD$32*(COUNT(AA$61:AA86)-2*AD$31-1),IF(AB86=AB$36,AD$33+AD$32*(COUNT(AA$61:AA86)-3*AD$31-1))))))</f>
        <v>370</v>
      </c>
      <c r="AD86" s="180" cm="1">
        <f t="array" ref="AD86">IF(AB86="","",MAX($C$5,IF(AA86=90,IF(OR(AC86=AD$13,AC86=AD$14,AC86=AA$4-AD$14,AC86=AA$4-AD$13),AB$7,IF(OR(AB86=AB$20,AB86=AB$24),AB$8,IF(OR(AB86=AB$21:AB$23),AB$9))),AB$10)))</f>
        <v>18</v>
      </c>
      <c r="AE86" s="168"/>
      <c r="AF86" s="185" t="str">
        <f t="shared" si="69"/>
        <v/>
      </c>
      <c r="AG86" s="173" t="str">
        <f>IF(AF86="","",IF(COUNT(AF$61:AF86)&lt;=AI$31,AG$33,IF(COUNT(AF$61:AF86)&lt;=2*AI$31,AG$34,IF(COUNT(AF$61:AF86)&lt;=3*AI$31,AG$35,IF(COUNT(AF$61:AF86)&lt;=4*AI$31,AG$36)))))</f>
        <v/>
      </c>
      <c r="AH86" s="173" t="str">
        <f>IF(AF86="","",IF(AG86=AG$33,AI$33+AI$32*(COUNT(AF$61:AF86)-1),IF(AG86=AG$34,AI$34+AI$32*(COUNT(AF$61:AF86)-AI$31-1),IF(AG86=AG$35,AI$34+AI$32*(COUNT(AF$61:AF86)-2*AI$31-1),IF(AG86=AG$36,AI$33+AI$32*(COUNT(AF$61:AF86)-3*AI$31-1))))))</f>
        <v/>
      </c>
      <c r="AI86" s="180" t="str" cm="1">
        <f t="array" ref="AI86">IF(AG86="","",MAX($C$5,IF(AF86=90,IF(OR(AH86=AI$13,AH86=AI$14,AH86=AF$4-AI$14,AH86=AF$4-AI$13),AG$7,IF(OR(AG86=AG$20,AG86=AG$24),AG$8,IF(OR(AG86=AG$21:AG$23),AG$9))),AG$10)))</f>
        <v/>
      </c>
      <c r="AJ86" s="168"/>
      <c r="AK86" s="185" t="str">
        <f t="shared" si="70"/>
        <v/>
      </c>
      <c r="AL86" s="173" t="str">
        <f>IF(AK86="","",IF(COUNT(AK$61:AK86)&lt;=AN$31,AL$33,IF(COUNT(AK$61:AK86)&lt;=2*AN$31,AL$34,IF(COUNT(AK$61:AK86)&lt;=3*AN$31,AL$35,IF(COUNT(AK$61:AK86)&lt;=4*AN$31,AL$36)))))</f>
        <v/>
      </c>
      <c r="AM86" s="173" t="str">
        <f>IF(AK86="","",IF(AL86=AL$33,AN$33+AN$32*(COUNT(AK$61:AK86)-1),IF(AL86=AL$34,AN$34+AN$32*(COUNT(AK$61:AK86)-AN$31-1),IF(AL86=AL$35,AN$34+AN$32*(COUNT(AK$61:AK86)-2*AN$31-1),IF(AL86=AL$36,AN$33+AN$32*(COUNT(AK$61:AK86)-3*AN$31-1))))))</f>
        <v/>
      </c>
      <c r="AN86" s="180" t="str" cm="1">
        <f t="array" ref="AN86">IF(AL86="","",MAX($C$5,IF(AK86=90,IF(OR(AM86=AN$13,AM86=AN$14,AM86=AK$4-AN$14,AM86=AK$4-AN$13),AL$7,IF(OR(AL86=AL$20,AL86=AL$24),AL$8,IF(OR(AL86=AL$21:AL$23),AL$9))),AL$10)))</f>
        <v/>
      </c>
      <c r="AO86" s="168"/>
      <c r="AP86" s="198">
        <f t="shared" si="56"/>
        <v>45</v>
      </c>
      <c r="AQ86" s="199">
        <f>IF(AP86="","",IF(COUNT(AP$61:AP86)&lt;=AS$31,AQ$33,IF(COUNT(AP$61:AP86)&lt;=2*AS$31,AQ$34,IF(COUNT(AP$61:AP86)&lt;=3*AS$31,AQ$35,IF(COUNT(AP$61:AP86)&lt;=4*AS$31,AQ$36)))))</f>
        <v>96.5</v>
      </c>
      <c r="AR86" s="199">
        <f>IF(AP86="","",IF(AQ86=AQ$33,AS$33+AS$32*(COUNT(AP$61:AP86)-1),IF(AQ86=AQ$34,AS$34+AS$32*(COUNT(AP$61:AP86)-AS$31-1),IF(AQ86=AQ$35,AS$34+AS$32*(COUNT(AP$61:AP86)-2*AS$31-1),IF(AQ86=AQ$36,AS$33+AS$32*(COUNT(AP$61:AP86)-3*AS$31-1))))))</f>
        <v>562</v>
      </c>
      <c r="AS86" s="180" cm="1">
        <f t="array" ref="AS86">IF(AQ86="","",MAX($C$5,IF(AP86=90,IF(OR(AR86=AS$13,AR86=AS$14,AR86=AP$4-AS$14,AR86=AP$4-AS$13),AQ$7,IF(OR(AQ86=AQ$20,AQ86=AQ$24),AQ$8,IF(OR(AQ86=AQ$21:AQ$23),AQ$9))),AQ$10)))</f>
        <v>18</v>
      </c>
      <c r="AT86" s="277"/>
      <c r="AU86" s="185" t="str">
        <f t="shared" si="57"/>
        <v/>
      </c>
      <c r="AV86" s="173" t="str">
        <f>IF(AU86="","",IF(COUNT(AU$61:AU86)&lt;=AX$31,AV$33,IF(COUNT(AU$61:AU86)&lt;=2*AX$31,AV$34,IF(COUNT(AU$61:AU86)&lt;=3*AX$31,AV$35))))</f>
        <v/>
      </c>
      <c r="AW86" s="173" t="str">
        <f>IF(AU86="","",IF(AV86=AV$33,AX$33+AX$32*(COUNT(AU$61:AU86)-1),IF(AV86=AV$34,AX$34+AX$32*(COUNT(AU$61:AU86)-AX$31-1),IF(AV86=AV$35,AX$33+AX$32*(COUNT(AU$61:AU86)-2*AX$31-1)))))</f>
        <v/>
      </c>
      <c r="AX86" s="180" t="str" cm="1">
        <f t="array" ref="AX86">IF(AV86="","",MAX($C$5,IF(AU86=90,IF(OR(AW86=AX$13,AW86=AX$14,AW86=AU$4-AX$14,AW86=AU$4-AX$13),AV$7,IF(OR(AV86=AV$20,AV86=AV$24),AV$8,IF(OR(AV86=AV$21:AV$23),AV$9))),AV$10)))</f>
        <v/>
      </c>
      <c r="AY86" s="168"/>
      <c r="AZ86" s="185" t="str">
        <f t="shared" si="58"/>
        <v/>
      </c>
      <c r="BA86" s="173" t="str">
        <f>IF(AZ86="","",IF(COUNT(AZ$61:AZ86)&lt;=BC$31,BA$33,IF(COUNT(AZ$61:AZ86)&lt;=2*BC$31,BA$34,IF(COUNT(AZ$61:AZ86)&lt;=3*BC$31,BA$35))))</f>
        <v/>
      </c>
      <c r="BB86" s="173" t="str">
        <f>IF(AZ86="","",IF(BA86=BA$33,BC$33+BC$32*(COUNT(AZ$61:AZ86)-1),IF(BA86=BA$34,BC$34+BC$32*(COUNT(AZ$61:AZ86)-BC$31-1),IF(BA86=BA$35,BC$33+BC$32*(COUNT(AZ$61:AZ86)-2*BC$31-1)))))</f>
        <v/>
      </c>
      <c r="BC86" s="180" t="str" cm="1">
        <f t="array" ref="BC86">IF(BA86="","",MAX($C$5,IF(AZ86=90,IF(OR(BB86=BC$13,BB86=BC$14,BB86=AZ$4-BC$14,BB86=AZ$4-BC$13),BA$7,IF(OR(BA86=BA$20,BA86=BA$24),BA$8,IF(OR(BA86=BA$21:BA$23),BA$9))),BA$10)))</f>
        <v/>
      </c>
      <c r="BD86" s="168"/>
      <c r="BE86" s="185" t="str">
        <f t="shared" si="59"/>
        <v/>
      </c>
      <c r="BF86" s="173" t="str">
        <f>IF(BE86="","",IF(COUNT(BE$61:BE86)&lt;=BH$31,BF$33,IF(COUNT(BE$61:BE86)&lt;=2*BH$31,BF$34,IF(COUNT(BE$61:BE86)&lt;=3*BH$31,BF$35))))</f>
        <v/>
      </c>
      <c r="BG86" s="173" t="str">
        <f>IF(BE86="","",IF(BF86=BF$33,BH$33+BH$32*(COUNT(BE$61:BE86)-1),IF(BF86=BF$34,BH$34+BH$32*(COUNT(BE$61:BE86)-BH$31-1),IF(BF86=BF$35,BH$33+BH$32*(COUNT(BE$61:BE86)-2*BH$31-1)))))</f>
        <v/>
      </c>
      <c r="BH86" s="180" t="str" cm="1">
        <f t="array" ref="BH86">IF(BF86="","",MAX($C$5,IF(BE86=90,IF(OR(BG86=BH$13,BG86=BH$14,BG86=BE$4-BH$14,BG86=BE$4-BH$13),BF$7,IF(OR(BF86=BF$20,BF86=BF$24),BF$8,IF(OR(BF86=BF$21:BF$23),BF$9))),BF$10)))</f>
        <v/>
      </c>
      <c r="BI86" s="277"/>
      <c r="BJ86" s="185" t="str">
        <f t="shared" si="60"/>
        <v/>
      </c>
      <c r="BK86" s="173" t="str">
        <f>IF(BJ86="","",IF(COUNT(BJ$61:BJ86)&lt;=BM$31-1,BK$33,IF(COUNT(BJ$61:BJ86)&lt;=2*BM$31-1,BK$34)))</f>
        <v/>
      </c>
      <c r="BL86" s="173" t="str">
        <f>IF(BJ86="","",IF(BK86=BK$33,BM$33+BM$32*(COUNT(BJ$61:BJ86)-1),IF(BK86=BK$34,BM$34+BM$32*(COUNT(BJ$61:BJ86)-BM$31))))</f>
        <v/>
      </c>
      <c r="BM86" s="180" t="str" cm="1">
        <f t="array" ref="BM86">IF(BK86="","",MAX($C$5,IF(BJ86=90,IF(OR(BL86=BM$13,BL86=BM$14,BL86=BJ$4-BM$14,BL86=BJ$4-BM$13),BK$7,IF(OR(BK86=BK$20,BK86=BK$24),BK$8,IF(OR(BK86=BK$21:BK$23),BK$9))),BK$10)))</f>
        <v/>
      </c>
      <c r="BN86" s="168"/>
      <c r="BO86" s="185" t="str">
        <f t="shared" si="61"/>
        <v/>
      </c>
      <c r="BP86" s="173" t="str">
        <f>IF(BO86="","",IF(COUNT(BO$61:BO86)&lt;=BR$31-1,BP$33,IF(COUNT(BO$61:BO86)&lt;=2*BR$31-1,BP$34)))</f>
        <v/>
      </c>
      <c r="BQ86" s="173" t="str">
        <f>IF(BO86="","",IF(BP86=BP$33,BR$33+BR$32*(COUNT(BO$61:BO86)-1),IF(BP86=BP$34,BR$34+BR$32*(COUNT(BO$61:BO86)-BR$31))))</f>
        <v/>
      </c>
      <c r="BR86" s="180" t="str" cm="1">
        <f t="array" ref="BR86">IF(BP86="","",MAX($C$5,IF(BO86=90,IF(OR(BQ86=BR$13,BQ86=BR$14,BQ86=BO$4-BR$14,BQ86=BO$4-BR$13),BP$7,IF(OR(BP86=BP$20,BP86=BP$24),BP$8,IF(OR(BP86=BP$21:BP$23),BP$9))),BP$10)))</f>
        <v/>
      </c>
      <c r="BS86" s="168"/>
      <c r="BT86" s="185" t="str">
        <f t="shared" si="62"/>
        <v/>
      </c>
      <c r="BU86" s="173" t="str">
        <f>IF(BT86="","",IF(COUNT(BT$61:BT86)&lt;=BW$31-1,BU$33,IF(COUNT(BT$61:BT86)&lt;=2*BW$31-1,BU$34)))</f>
        <v/>
      </c>
      <c r="BV86" s="173" t="str">
        <f>IF(BT86="","",IF(BU86=BU$33,BW$33+BW$32*(COUNT(BT$61:BT86)-1),IF(BU86=BU$34,BW$34+BW$32*(COUNT(BT$61:BT86)-BW$31))))</f>
        <v/>
      </c>
      <c r="BW86" s="180" t="str" cm="1">
        <f t="array" ref="BW86">IF(BU86="","",MAX($C$5,IF(BT86=90,IF(OR(BV86=BW$13,BV86=BW$14,BV86=BT$4-BW$14,BV86=BT$4-BW$13),BU$7,IF(OR(BU86=BU$20,BU86=BU$24),BU$8,IF(OR(BU86=BU$21:BU$23),BU$9))),BU$10)))</f>
        <v/>
      </c>
      <c r="BX86" s="288"/>
    </row>
    <row r="87" spans="1:76">
      <c r="A87" s="168"/>
      <c r="B87" s="185">
        <f t="shared" si="63"/>
        <v>45</v>
      </c>
      <c r="C87" s="173">
        <f>IF(B87="","",IF(COUNT(B$61:B87)&lt;=E$31,C$33,IF(COUNT(B$61:B87)&lt;=2*E$31,C$34,IF(COUNT(B$61:B87)&lt;=3*E$31,C$35,IF(COUNT(B$61:B87)&lt;=4*E$31,C$36)))))</f>
        <v>96.5</v>
      </c>
      <c r="D87" s="173">
        <f>IF(B87="","",IF(C87=C$33,E$33+E$32*(COUNT(B$61:B87)-1),IF(C87=C$34,E$34+E$32*(COUNT(B$61:B87)-E$31-1),IF(C87=C$35,E$34+E$32*(COUNT(B$61:B87)-2*E$31-1),IF(C87=C$36,E$33+E$32*(COUNT(B$61:B87)-3*E$31-1))))))</f>
        <v>235</v>
      </c>
      <c r="E87" s="180" cm="1">
        <f t="array" ref="E87">IF(C87="","",MAX($C$5,IF(B87=90,IF(OR(D87=E$13,D87=E$14,D87=B$4-E$14,D87=B$4-E$13),C$7,IF(OR(C87=C$20,C87=C$24),C$8,IF(OR(C87=C$21:C$23),C$9))),C$10)))</f>
        <v>18</v>
      </c>
      <c r="F87" s="168"/>
      <c r="G87" s="185">
        <f t="shared" si="64"/>
        <v>45</v>
      </c>
      <c r="H87" s="173">
        <f>IF(G87="","",IF(COUNT(G$61:G87)&lt;=J$31,H$33,IF(COUNT(G$61:G87)&lt;=2*J$31,H$34,IF(COUNT(G$61:G87)&lt;=3*J$31,H$35,IF(COUNT(G$61:G87)&lt;=4*J$31,H$36)))))</f>
        <v>96.5</v>
      </c>
      <c r="I87" s="173">
        <f>IF(G87="","",IF(H87=H$33,J$33+J$32*(COUNT(G$61:G87)-1),IF(H87=H$34,J$34+J$32*(COUNT(G$61:G87)-J$31-1),IF(H87=H$35,J$34+J$32*(COUNT(G$61:G87)-2*J$31-1),IF(H87=H$36,J$33+J$32*(COUNT(G$61:G87)-3*J$31-1))))))</f>
        <v>235</v>
      </c>
      <c r="J87" s="180" cm="1">
        <f t="array" ref="J87">IF(H87="","",MAX($C$5,IF(G87=90,IF(OR(I87=J$13,I87=J$14,I87=G$4-J$14,I87=G$4-J$13),H$7,IF(OR(H87=H$20,H87=H$24),H$8,IF(OR(H87=H$21:H$23),H$9))),H$10)))</f>
        <v>18</v>
      </c>
      <c r="K87" s="168"/>
      <c r="L87" s="185">
        <f t="shared" si="65"/>
        <v>45</v>
      </c>
      <c r="M87" s="173">
        <f>IF(L87="","",IF(COUNT(L$61:L87)&lt;=O$31,M$33,IF(COUNT(L$61:L87)&lt;=2*O$31,M$34,IF(COUNT(L$61:L87)&lt;=3*O$31,M$35,IF(COUNT(L$61:L87)&lt;=4*O$31,M$36)))))</f>
        <v>96.5</v>
      </c>
      <c r="N87" s="173">
        <f>IF(L87="","",IF(M87=M$33,O$33+O$32*(COUNT(L$61:L87)-1),IF(M87=M$34,O$34+O$32*(COUNT(L$61:L87)-O$31-1),IF(M87=M$35,O$34+O$32*(COUNT(L$61:L87)-2*O$31-1),IF(M87=M$36,O$33+O$32*(COUNT(L$61:L87)-3*O$31-1))))))</f>
        <v>358</v>
      </c>
      <c r="O87" s="180" cm="1">
        <f t="array" ref="O87">IF(M87="","",MAX($C$5,IF(L87=90,IF(OR(N87=O$13,N87=O$14,N87=L$4-O$14,N87=L$4-O$13),M$7,IF(OR(M87=M$20,M87=M$24),M$8,IF(OR(M87=M$21:M$23),M$9))),M$10)))</f>
        <v>18</v>
      </c>
      <c r="P87" s="168"/>
      <c r="Q87" s="185">
        <f t="shared" si="66"/>
        <v>45</v>
      </c>
      <c r="R87" s="173">
        <f>IF(Q87="","",IF(COUNT(Q$61:Q87)&lt;=T$31,R$33,IF(COUNT(Q$61:Q87)&lt;=2*T$31,R$34,IF(COUNT(Q$61:Q87)&lt;=3*T$31,R$35,IF(COUNT(Q$61:Q87)&lt;=4*T$31,R$36)))))</f>
        <v>96.5</v>
      </c>
      <c r="S87" s="173">
        <f>IF(Q87="","",IF(R87=R$33,T$33+T$32*(COUNT(Q$61:Q87)-1),IF(R87=R$34,T$34+T$32*(COUNT(Q$61:Q87)-T$31-1),IF(R87=R$35,T$34+T$32*(COUNT(Q$61:Q87)-2*T$31-1),IF(R87=R$36,T$33+T$32*(COUNT(Q$61:Q87)-3*T$31-1))))))</f>
        <v>469</v>
      </c>
      <c r="T87" s="180" cm="1">
        <f t="array" ref="T87">IF(R87="","",MAX($C$5,IF(Q87=90,IF(OR(S87=T$13,S87=T$14,S87=Q$4-T$14,S87=Q$4-T$13),R$7,IF(OR(R87=R$20,R87=R$24),R$8,IF(OR(R87=R$21:R$23),R$9))),R$10)))</f>
        <v>18</v>
      </c>
      <c r="U87" s="168"/>
      <c r="V87" s="185">
        <f t="shared" si="67"/>
        <v>45</v>
      </c>
      <c r="W87" s="173">
        <f>IF(V87="","",IF(COUNT(V$61:V87)&lt;=Y$31,W$33,IF(COUNT(V$61:V87)&lt;=2*Y$31,W$34,IF(COUNT(V$61:V87)&lt;=3*Y$31,W$35,IF(COUNT(V$61:V87)&lt;=4*Y$31,W$36)))))</f>
        <v>139.5</v>
      </c>
      <c r="X87" s="173">
        <f>IF(V87="","",IF(W87=W$33,Y$33+Y$32*(COUNT(V$61:V87)-1),IF(W87=W$34,Y$34+Y$32*(COUNT(V$61:V87)-Y$31-1),IF(W87=W$35,Y$34+Y$32*(COUNT(V$61:V87)-2*Y$31-1),IF(W87=W$36,Y$33+Y$32*(COUNT(V$61:V87)-3*Y$31-1))))))</f>
        <v>264</v>
      </c>
      <c r="Y87" s="180" cm="1">
        <f t="array" ref="Y87">IF(W87="","",MAX($C$5,IF(V87=90,IF(OR(X87=Y$13,X87=Y$14,X87=V$4-Y$14,X87=V$4-Y$13),W$7,IF(OR(W87=W$20,W87=W$24),W$8,IF(OR(W87=W$21:W$23),W$9))),W$10)))</f>
        <v>18</v>
      </c>
      <c r="Z87" s="168"/>
      <c r="AA87" s="185">
        <f t="shared" si="68"/>
        <v>45</v>
      </c>
      <c r="AB87" s="173">
        <f>IF(AA87="","",IF(COUNT(AA$61:AA87)&lt;=AD$31,AB$33,IF(COUNT(AA$61:AA87)&lt;=2*AD$31,AB$34,IF(COUNT(AA$61:AA87)&lt;=3*AD$31,AB$35,IF(COUNT(AA$61:AA87)&lt;=4*AD$31,AB$36)))))</f>
        <v>139.5</v>
      </c>
      <c r="AC87" s="173">
        <f>IF(AA87="","",IF(AB87=AB$33,AD$33+AD$32*(COUNT(AA$61:AA87)-1),IF(AB87=AB$34,AD$34+AD$32*(COUNT(AA$61:AA87)-AD$31-1),IF(AB87=AB$35,AD$34+AD$32*(COUNT(AA$61:AA87)-2*AD$31-1),IF(AB87=AB$36,AD$33+AD$32*(COUNT(AA$61:AA87)-3*AD$31-1))))))</f>
        <v>428</v>
      </c>
      <c r="AD87" s="180" cm="1">
        <f t="array" ref="AD87">IF(AB87="","",MAX($C$5,IF(AA87=90,IF(OR(AC87=AD$13,AC87=AD$14,AC87=AA$4-AD$14,AC87=AA$4-AD$13),AB$7,IF(OR(AB87=AB$20,AB87=AB$24),AB$8,IF(OR(AB87=AB$21:AB$23),AB$9))),AB$10)))</f>
        <v>18</v>
      </c>
      <c r="AE87" s="168"/>
      <c r="AF87" s="185" t="str">
        <f t="shared" si="69"/>
        <v/>
      </c>
      <c r="AG87" s="173" t="str">
        <f>IF(AF87="","",IF(COUNT(AF$61:AF87)&lt;=AI$31,AG$33,IF(COUNT(AF$61:AF87)&lt;=2*AI$31,AG$34,IF(COUNT(AF$61:AF87)&lt;=3*AI$31,AG$35,IF(COUNT(AF$61:AF87)&lt;=4*AI$31,AG$36)))))</f>
        <v/>
      </c>
      <c r="AH87" s="173" t="str">
        <f>IF(AF87="","",IF(AG87=AG$33,AI$33+AI$32*(COUNT(AF$61:AF87)-1),IF(AG87=AG$34,AI$34+AI$32*(COUNT(AF$61:AF87)-AI$31-1),IF(AG87=AG$35,AI$34+AI$32*(COUNT(AF$61:AF87)-2*AI$31-1),IF(AG87=AG$36,AI$33+AI$32*(COUNT(AF$61:AF87)-3*AI$31-1))))))</f>
        <v/>
      </c>
      <c r="AI87" s="180" t="str" cm="1">
        <f t="array" ref="AI87">IF(AG87="","",MAX($C$5,IF(AF87=90,IF(OR(AH87=AI$13,AH87=AI$14,AH87=AF$4-AI$14,AH87=AF$4-AI$13),AG$7,IF(OR(AG87=AG$20,AG87=AG$24),AG$8,IF(OR(AG87=AG$21:AG$23),AG$9))),AG$10)))</f>
        <v/>
      </c>
      <c r="AJ87" s="168"/>
      <c r="AK87" s="185" t="str">
        <f t="shared" si="70"/>
        <v/>
      </c>
      <c r="AL87" s="173" t="str">
        <f>IF(AK87="","",IF(COUNT(AK$61:AK87)&lt;=AN$31,AL$33,IF(COUNT(AK$61:AK87)&lt;=2*AN$31,AL$34,IF(COUNT(AK$61:AK87)&lt;=3*AN$31,AL$35,IF(COUNT(AK$61:AK87)&lt;=4*AN$31,AL$36)))))</f>
        <v/>
      </c>
      <c r="AM87" s="173" t="str">
        <f>IF(AK87="","",IF(AL87=AL$33,AN$33+AN$32*(COUNT(AK$61:AK87)-1),IF(AL87=AL$34,AN$34+AN$32*(COUNT(AK$61:AK87)-AN$31-1),IF(AL87=AL$35,AN$34+AN$32*(COUNT(AK$61:AK87)-2*AN$31-1),IF(AL87=AL$36,AN$33+AN$32*(COUNT(AK$61:AK87)-3*AN$31-1))))))</f>
        <v/>
      </c>
      <c r="AN87" s="180" t="str" cm="1">
        <f t="array" ref="AN87">IF(AL87="","",MAX($C$5,IF(AK87=90,IF(OR(AM87=AN$13,AM87=AN$14,AM87=AK$4-AN$14,AM87=AK$4-AN$13),AL$7,IF(OR(AL87=AL$20,AL87=AL$24),AL$8,IF(OR(AL87=AL$21:AL$23),AL$9))),AL$10)))</f>
        <v/>
      </c>
      <c r="AO87" s="168"/>
      <c r="AP87" s="198">
        <f t="shared" si="56"/>
        <v>45</v>
      </c>
      <c r="AQ87" s="199">
        <f>IF(AP87="","",IF(COUNT(AP$61:AP87)&lt;=AS$31,AQ$33,IF(COUNT(AP$61:AP87)&lt;=2*AS$31,AQ$34,IF(COUNT(AP$61:AP87)&lt;=3*AS$31,AQ$35,IF(COUNT(AP$61:AP87)&lt;=4*AS$31,AQ$36)))))</f>
        <v>96.5</v>
      </c>
      <c r="AR87" s="199">
        <f>IF(AP87="","",IF(AQ87=AQ$33,AS$33+AS$32*(COUNT(AP$61:AP87)-1),IF(AQ87=AQ$34,AS$34+AS$32*(COUNT(AP$61:AP87)-AS$31-1),IF(AQ87=AQ$35,AS$34+AS$32*(COUNT(AP$61:AP87)-2*AS$31-1),IF(AQ87=AQ$36,AS$33+AS$32*(COUNT(AP$61:AP87)-3*AS$31-1))))))</f>
        <v>619</v>
      </c>
      <c r="AS87" s="180" cm="1">
        <f t="array" ref="AS87">IF(AQ87="","",MAX($C$5,IF(AP87=90,IF(OR(AR87=AS$13,AR87=AS$14,AR87=AP$4-AS$14,AR87=AP$4-AS$13),AQ$7,IF(OR(AQ87=AQ$20,AQ87=AQ$24),AQ$8,IF(OR(AQ87=AQ$21:AQ$23),AQ$9))),AQ$10)))</f>
        <v>18</v>
      </c>
      <c r="AT87" s="277"/>
      <c r="AU87" s="185" t="str">
        <f t="shared" si="57"/>
        <v/>
      </c>
      <c r="AV87" s="173" t="str">
        <f>IF(AU87="","",IF(COUNT(AU$61:AU87)&lt;=AX$31,AV$33,IF(COUNT(AU$61:AU87)&lt;=2*AX$31,AV$34,IF(COUNT(AU$61:AU87)&lt;=3*AX$31,AV$35))))</f>
        <v/>
      </c>
      <c r="AW87" s="173" t="str">
        <f>IF(AU87="","",IF(AV87=AV$33,AX$33+AX$32*(COUNT(AU$61:AU87)-1),IF(AV87=AV$34,AX$34+AX$32*(COUNT(AU$61:AU87)-AX$31-1),IF(AV87=AV$35,AX$33+AX$32*(COUNT(AU$61:AU87)-2*AX$31-1)))))</f>
        <v/>
      </c>
      <c r="AX87" s="180" t="str" cm="1">
        <f t="array" ref="AX87">IF(AV87="","",MAX($C$5,IF(AU87=90,IF(OR(AW87=AX$13,AW87=AX$14,AW87=AU$4-AX$14,AW87=AU$4-AX$13),AV$7,IF(OR(AV87=AV$20,AV87=AV$24),AV$8,IF(OR(AV87=AV$21:AV$23),AV$9))),AV$10)))</f>
        <v/>
      </c>
      <c r="AY87" s="168"/>
      <c r="AZ87" s="185" t="str">
        <f t="shared" si="58"/>
        <v/>
      </c>
      <c r="BA87" s="173" t="str">
        <f>IF(AZ87="","",IF(COUNT(AZ$61:AZ87)&lt;=BC$31,BA$33,IF(COUNT(AZ$61:AZ87)&lt;=2*BC$31,BA$34,IF(COUNT(AZ$61:AZ87)&lt;=3*BC$31,BA$35))))</f>
        <v/>
      </c>
      <c r="BB87" s="173" t="str">
        <f>IF(AZ87="","",IF(BA87=BA$33,BC$33+BC$32*(COUNT(AZ$61:AZ87)-1),IF(BA87=BA$34,BC$34+BC$32*(COUNT(AZ$61:AZ87)-BC$31-1),IF(BA87=BA$35,BC$33+BC$32*(COUNT(AZ$61:AZ87)-2*BC$31-1)))))</f>
        <v/>
      </c>
      <c r="BC87" s="180" t="str" cm="1">
        <f t="array" ref="BC87">IF(BA87="","",MAX($C$5,IF(AZ87=90,IF(OR(BB87=BC$13,BB87=BC$14,BB87=AZ$4-BC$14,BB87=AZ$4-BC$13),BA$7,IF(OR(BA87=BA$20,BA87=BA$24),BA$8,IF(OR(BA87=BA$21:BA$23),BA$9))),BA$10)))</f>
        <v/>
      </c>
      <c r="BD87" s="168"/>
      <c r="BE87" s="185" t="str">
        <f t="shared" si="59"/>
        <v/>
      </c>
      <c r="BF87" s="173" t="str">
        <f>IF(BE87="","",IF(COUNT(BE$61:BE87)&lt;=BH$31,BF$33,IF(COUNT(BE$61:BE87)&lt;=2*BH$31,BF$34,IF(COUNT(BE$61:BE87)&lt;=3*BH$31,BF$35))))</f>
        <v/>
      </c>
      <c r="BG87" s="173" t="str">
        <f>IF(BE87="","",IF(BF87=BF$33,BH$33+BH$32*(COUNT(BE$61:BE87)-1),IF(BF87=BF$34,BH$34+BH$32*(COUNT(BE$61:BE87)-BH$31-1),IF(BF87=BF$35,BH$33+BH$32*(COUNT(BE$61:BE87)-2*BH$31-1)))))</f>
        <v/>
      </c>
      <c r="BH87" s="180" t="str" cm="1">
        <f t="array" ref="BH87">IF(BF87="","",MAX($C$5,IF(BE87=90,IF(OR(BG87=BH$13,BG87=BH$14,BG87=BE$4-BH$14,BG87=BE$4-BH$13),BF$7,IF(OR(BF87=BF$20,BF87=BF$24),BF$8,IF(OR(BF87=BF$21:BF$23),BF$9))),BF$10)))</f>
        <v/>
      </c>
      <c r="BI87" s="277"/>
      <c r="BJ87" s="185" t="str">
        <f t="shared" si="60"/>
        <v/>
      </c>
      <c r="BK87" s="173" t="str">
        <f>IF(BJ87="","",IF(COUNT(BJ$61:BJ87)&lt;=BM$31-1,BK$33,IF(COUNT(BJ$61:BJ87)&lt;=2*BM$31-1,BK$34)))</f>
        <v/>
      </c>
      <c r="BL87" s="173" t="str">
        <f>IF(BJ87="","",IF(BK87=BK$33,BM$33+BM$32*(COUNT(BJ$61:BJ87)-1),IF(BK87=BK$34,BM$34+BM$32*(COUNT(BJ$61:BJ87)-BM$31))))</f>
        <v/>
      </c>
      <c r="BM87" s="180" t="str" cm="1">
        <f t="array" ref="BM87">IF(BK87="","",MAX($C$5,IF(BJ87=90,IF(OR(BL87=BM$13,BL87=BM$14,BL87=BJ$4-BM$14,BL87=BJ$4-BM$13),BK$7,IF(OR(BK87=BK$20,BK87=BK$24),BK$8,IF(OR(BK87=BK$21:BK$23),BK$9))),BK$10)))</f>
        <v/>
      </c>
      <c r="BN87" s="168"/>
      <c r="BO87" s="185" t="str">
        <f t="shared" si="61"/>
        <v/>
      </c>
      <c r="BP87" s="173" t="str">
        <f>IF(BO87="","",IF(COUNT(BO$61:BO87)&lt;=BR$31-1,BP$33,IF(COUNT(BO$61:BO87)&lt;=2*BR$31-1,BP$34)))</f>
        <v/>
      </c>
      <c r="BQ87" s="173" t="str">
        <f>IF(BO87="","",IF(BP87=BP$33,BR$33+BR$32*(COUNT(BO$61:BO87)-1),IF(BP87=BP$34,BR$34+BR$32*(COUNT(BO$61:BO87)-BR$31))))</f>
        <v/>
      </c>
      <c r="BR87" s="180" t="str" cm="1">
        <f t="array" ref="BR87">IF(BP87="","",MAX($C$5,IF(BO87=90,IF(OR(BQ87=BR$13,BQ87=BR$14,BQ87=BO$4-BR$14,BQ87=BO$4-BR$13),BP$7,IF(OR(BP87=BP$20,BP87=BP$24),BP$8,IF(OR(BP87=BP$21:BP$23),BP$9))),BP$10)))</f>
        <v/>
      </c>
      <c r="BS87" s="168"/>
      <c r="BT87" s="185" t="str">
        <f t="shared" si="62"/>
        <v/>
      </c>
      <c r="BU87" s="173" t="str">
        <f>IF(BT87="","",IF(COUNT(BT$61:BT87)&lt;=BW$31-1,BU$33,IF(COUNT(BT$61:BT87)&lt;=2*BW$31-1,BU$34)))</f>
        <v/>
      </c>
      <c r="BV87" s="173" t="str">
        <f>IF(BT87="","",IF(BU87=BU$33,BW$33+BW$32*(COUNT(BT$61:BT87)-1),IF(BU87=BU$34,BW$34+BW$32*(COUNT(BT$61:BT87)-BW$31))))</f>
        <v/>
      </c>
      <c r="BW87" s="180" t="str" cm="1">
        <f t="array" ref="BW87">IF(BU87="","",MAX($C$5,IF(BT87=90,IF(OR(BV87=BW$13,BV87=BW$14,BV87=BT$4-BW$14,BV87=BT$4-BW$13),BU$7,IF(OR(BU87=BU$20,BU87=BU$24),BU$8,IF(OR(BU87=BU$21:BU$23),BU$9))),BU$10)))</f>
        <v/>
      </c>
      <c r="BX87" s="288"/>
    </row>
    <row r="88" spans="1:76">
      <c r="A88" s="168"/>
      <c r="B88" s="185">
        <f t="shared" si="63"/>
        <v>45</v>
      </c>
      <c r="C88" s="173">
        <f>IF(B88="","",IF(COUNT(B$61:B88)&lt;=E$31,C$33,IF(COUNT(B$61:B88)&lt;=2*E$31,C$34,IF(COUNT(B$61:B88)&lt;=3*E$31,C$35,IF(COUNT(B$61:B88)&lt;=4*E$31,C$36)))))</f>
        <v>96.5</v>
      </c>
      <c r="D88" s="173">
        <f>IF(B88="","",IF(C88=C$33,E$33+E$32*(COUNT(B$61:B88)-1),IF(C88=C$34,E$34+E$32*(COUNT(B$61:B88)-E$31-1),IF(C88=C$35,E$34+E$32*(COUNT(B$61:B88)-2*E$31-1),IF(C88=C$36,E$33+E$32*(COUNT(B$61:B88)-3*E$31-1))))))</f>
        <v>292</v>
      </c>
      <c r="E88" s="180" cm="1">
        <f t="array" ref="E88">IF(C88="","",MAX($C$5,IF(B88=90,IF(OR(D88=E$13,D88=E$14,D88=B$4-E$14,D88=B$4-E$13),C$7,IF(OR(C88=C$20,C88=C$24),C$8,IF(OR(C88=C$21:C$23),C$9))),C$10)))</f>
        <v>18</v>
      </c>
      <c r="F88" s="168"/>
      <c r="G88" s="185">
        <f t="shared" si="64"/>
        <v>45</v>
      </c>
      <c r="H88" s="173">
        <f>IF(G88="","",IF(COUNT(G$61:G88)&lt;=J$31,H$33,IF(COUNT(G$61:G88)&lt;=2*J$31,H$34,IF(COUNT(G$61:G88)&lt;=3*J$31,H$35,IF(COUNT(G$61:G88)&lt;=4*J$31,H$36)))))</f>
        <v>96.5</v>
      </c>
      <c r="I88" s="173">
        <f>IF(G88="","",IF(H88=H$33,J$33+J$32*(COUNT(G$61:G88)-1),IF(H88=H$34,J$34+J$32*(COUNT(G$61:G88)-J$31-1),IF(H88=H$35,J$34+J$32*(COUNT(G$61:G88)-2*J$31-1),IF(H88=H$36,J$33+J$32*(COUNT(G$61:G88)-3*J$31-1))))))</f>
        <v>292</v>
      </c>
      <c r="J88" s="180" cm="1">
        <f t="array" ref="J88">IF(H88="","",MAX($C$5,IF(G88=90,IF(OR(I88=J$13,I88=J$14,I88=G$4-J$14,I88=G$4-J$13),H$7,IF(OR(H88=H$20,H88=H$24),H$8,IF(OR(H88=H$21:H$23),H$9))),H$10)))</f>
        <v>18</v>
      </c>
      <c r="K88" s="168"/>
      <c r="L88" s="185">
        <f t="shared" si="65"/>
        <v>45</v>
      </c>
      <c r="M88" s="173">
        <f>IF(L88="","",IF(COUNT(L$61:L88)&lt;=O$31,M$33,IF(COUNT(L$61:L88)&lt;=2*O$31,M$34,IF(COUNT(L$61:L88)&lt;=3*O$31,M$35,IF(COUNT(L$61:L88)&lt;=4*O$31,M$36)))))</f>
        <v>96.5</v>
      </c>
      <c r="N88" s="173">
        <f>IF(L88="","",IF(M88=M$33,O$33+O$32*(COUNT(L$61:L88)-1),IF(M88=M$34,O$34+O$32*(COUNT(L$61:L88)-O$31-1),IF(M88=M$35,O$34+O$32*(COUNT(L$61:L88)-2*O$31-1),IF(M88=M$36,O$33+O$32*(COUNT(L$61:L88)-3*O$31-1))))))</f>
        <v>415</v>
      </c>
      <c r="O88" s="180" cm="1">
        <f t="array" ref="O88">IF(M88="","",MAX($C$5,IF(L88=90,IF(OR(N88=O$13,N88=O$14,N88=L$4-O$14,N88=L$4-O$13),M$7,IF(OR(M88=M$20,M88=M$24),M$8,IF(OR(M88=M$21:M$23),M$9))),M$10)))</f>
        <v>18</v>
      </c>
      <c r="P88" s="168"/>
      <c r="Q88" s="185">
        <f t="shared" si="66"/>
        <v>45</v>
      </c>
      <c r="R88" s="173">
        <f>IF(Q88="","",IF(COUNT(Q$61:Q88)&lt;=T$31,R$33,IF(COUNT(Q$61:Q88)&lt;=2*T$31,R$34,IF(COUNT(Q$61:Q88)&lt;=3*T$31,R$35,IF(COUNT(Q$61:Q88)&lt;=4*T$31,R$36)))))</f>
        <v>96.5</v>
      </c>
      <c r="S88" s="173">
        <f>IF(Q88="","",IF(R88=R$33,T$33+T$32*(COUNT(Q$61:Q88)-1),IF(R88=R$34,T$34+T$32*(COUNT(Q$61:Q88)-T$31-1),IF(R88=R$35,T$34+T$32*(COUNT(Q$61:Q88)-2*T$31-1),IF(R88=R$36,T$33+T$32*(COUNT(Q$61:Q88)-3*T$31-1))))))</f>
        <v>526</v>
      </c>
      <c r="T88" s="180" cm="1">
        <f t="array" ref="T88">IF(R88="","",MAX($C$5,IF(Q88=90,IF(OR(S88=T$13,S88=T$14,S88=Q$4-T$14,S88=Q$4-T$13),R$7,IF(OR(R88=R$20,R88=R$24),R$8,IF(OR(R88=R$21:R$23),R$9))),R$10)))</f>
        <v>18</v>
      </c>
      <c r="U88" s="168"/>
      <c r="V88" s="185">
        <f t="shared" si="67"/>
        <v>45</v>
      </c>
      <c r="W88" s="173">
        <f>IF(V88="","",IF(COUNT(V$61:V88)&lt;=Y$31,W$33,IF(COUNT(V$61:V88)&lt;=2*Y$31,W$34,IF(COUNT(V$61:V88)&lt;=3*Y$31,W$35,IF(COUNT(V$61:V88)&lt;=4*Y$31,W$36)))))</f>
        <v>139.5</v>
      </c>
      <c r="X88" s="173">
        <f>IF(V88="","",IF(W88=W$33,Y$33+Y$32*(COUNT(V$61:V88)-1),IF(W88=W$34,Y$34+Y$32*(COUNT(V$61:V88)-Y$31-1),IF(W88=W$35,Y$34+Y$32*(COUNT(V$61:V88)-2*Y$31-1),IF(W88=W$36,Y$33+Y$32*(COUNT(V$61:V88)-3*Y$31-1))))))</f>
        <v>321</v>
      </c>
      <c r="Y88" s="180" cm="1">
        <f t="array" ref="Y88">IF(W88="","",MAX($C$5,IF(V88=90,IF(OR(X88=Y$13,X88=Y$14,X88=V$4-Y$14,X88=V$4-Y$13),W$7,IF(OR(W88=W$20,W88=W$24),W$8,IF(OR(W88=W$21:W$23),W$9))),W$10)))</f>
        <v>18</v>
      </c>
      <c r="Z88" s="168"/>
      <c r="AA88" s="185">
        <f t="shared" si="68"/>
        <v>45</v>
      </c>
      <c r="AB88" s="173">
        <f>IF(AA88="","",IF(COUNT(AA$61:AA88)&lt;=AD$31,AB$33,IF(COUNT(AA$61:AA88)&lt;=2*AD$31,AB$34,IF(COUNT(AA$61:AA88)&lt;=3*AD$31,AB$35,IF(COUNT(AA$61:AA88)&lt;=4*AD$31,AB$36)))))</f>
        <v>139.5</v>
      </c>
      <c r="AC88" s="173">
        <f>IF(AA88="","",IF(AB88=AB$33,AD$33+AD$32*(COUNT(AA$61:AA88)-1),IF(AB88=AB$34,AD$34+AD$32*(COUNT(AA$61:AA88)-AD$31-1),IF(AB88=AB$35,AD$34+AD$32*(COUNT(AA$61:AA88)-2*AD$31-1),IF(AB88=AB$36,AD$33+AD$32*(COUNT(AA$61:AA88)-3*AD$31-1))))))</f>
        <v>486</v>
      </c>
      <c r="AD88" s="180" cm="1">
        <f t="array" ref="AD88">IF(AB88="","",MAX($C$5,IF(AA88=90,IF(OR(AC88=AD$13,AC88=AD$14,AC88=AA$4-AD$14,AC88=AA$4-AD$13),AB$7,IF(OR(AB88=AB$20,AB88=AB$24),AB$8,IF(OR(AB88=AB$21:AB$23),AB$9))),AB$10)))</f>
        <v>18</v>
      </c>
      <c r="AE88" s="168"/>
      <c r="AF88" s="185" t="str">
        <f t="shared" si="69"/>
        <v/>
      </c>
      <c r="AG88" s="173" t="str">
        <f>IF(AF88="","",IF(COUNT(AF$61:AF88)&lt;=AI$31,AG$33,IF(COUNT(AF$61:AF88)&lt;=2*AI$31,AG$34,IF(COUNT(AF$61:AF88)&lt;=3*AI$31,AG$35,IF(COUNT(AF$61:AF88)&lt;=4*AI$31,AG$36)))))</f>
        <v/>
      </c>
      <c r="AH88" s="173" t="str">
        <f>IF(AF88="","",IF(AG88=AG$33,AI$33+AI$32*(COUNT(AF$61:AF88)-1),IF(AG88=AG$34,AI$34+AI$32*(COUNT(AF$61:AF88)-AI$31-1),IF(AG88=AG$35,AI$34+AI$32*(COUNT(AF$61:AF88)-2*AI$31-1),IF(AG88=AG$36,AI$33+AI$32*(COUNT(AF$61:AF88)-3*AI$31-1))))))</f>
        <v/>
      </c>
      <c r="AI88" s="180" t="str" cm="1">
        <f t="array" ref="AI88">IF(AG88="","",MAX($C$5,IF(AF88=90,IF(OR(AH88=AI$13,AH88=AI$14,AH88=AF$4-AI$14,AH88=AF$4-AI$13),AG$7,IF(OR(AG88=AG$20,AG88=AG$24),AG$8,IF(OR(AG88=AG$21:AG$23),AG$9))),AG$10)))</f>
        <v/>
      </c>
      <c r="AJ88" s="168"/>
      <c r="AK88" s="185" t="str">
        <f t="shared" si="70"/>
        <v/>
      </c>
      <c r="AL88" s="173" t="str">
        <f>IF(AK88="","",IF(COUNT(AK$61:AK88)&lt;=AN$31,AL$33,IF(COUNT(AK$61:AK88)&lt;=2*AN$31,AL$34,IF(COUNT(AK$61:AK88)&lt;=3*AN$31,AL$35,IF(COUNT(AK$61:AK88)&lt;=4*AN$31,AL$36)))))</f>
        <v/>
      </c>
      <c r="AM88" s="173" t="str">
        <f>IF(AK88="","",IF(AL88=AL$33,AN$33+AN$32*(COUNT(AK$61:AK88)-1),IF(AL88=AL$34,AN$34+AN$32*(COUNT(AK$61:AK88)-AN$31-1),IF(AL88=AL$35,AN$34+AN$32*(COUNT(AK$61:AK88)-2*AN$31-1),IF(AL88=AL$36,AN$33+AN$32*(COUNT(AK$61:AK88)-3*AN$31-1))))))</f>
        <v/>
      </c>
      <c r="AN88" s="180" t="str" cm="1">
        <f t="array" ref="AN88">IF(AL88="","",MAX($C$5,IF(AK88=90,IF(OR(AM88=AN$13,AM88=AN$14,AM88=AK$4-AN$14,AM88=AK$4-AN$13),AL$7,IF(OR(AL88=AL$20,AL88=AL$24),AL$8,IF(OR(AL88=AL$21:AL$23),AL$9))),AL$10)))</f>
        <v/>
      </c>
      <c r="AO88" s="168"/>
      <c r="AP88" s="198">
        <f t="shared" si="56"/>
        <v>45</v>
      </c>
      <c r="AQ88" s="199">
        <f>IF(AP88="","",IF(COUNT(AP$61:AP88)&lt;=AS$31,AQ$33,IF(COUNT(AP$61:AP88)&lt;=2*AS$31,AQ$34,IF(COUNT(AP$61:AP88)&lt;=3*AS$31,AQ$35,IF(COUNT(AP$61:AP88)&lt;=4*AS$31,AQ$36)))))</f>
        <v>96.5</v>
      </c>
      <c r="AR88" s="199">
        <f>IF(AP88="","",IF(AQ88=AQ$33,AS$33+AS$32*(COUNT(AP$61:AP88)-1),IF(AQ88=AQ$34,AS$34+AS$32*(COUNT(AP$61:AP88)-AS$31-1),IF(AQ88=AQ$35,AS$34+AS$32*(COUNT(AP$61:AP88)-2*AS$31-1),IF(AQ88=AQ$36,AS$33+AS$32*(COUNT(AP$61:AP88)-3*AS$31-1))))))</f>
        <v>676</v>
      </c>
      <c r="AS88" s="180" cm="1">
        <f t="array" ref="AS88">IF(AQ88="","",MAX($C$5,IF(AP88=90,IF(OR(AR88=AS$13,AR88=AS$14,AR88=AP$4-AS$14,AR88=AP$4-AS$13),AQ$7,IF(OR(AQ88=AQ$20,AQ88=AQ$24),AQ$8,IF(OR(AQ88=AQ$21:AQ$23),AQ$9))),AQ$10)))</f>
        <v>18</v>
      </c>
      <c r="AT88" s="277"/>
      <c r="AU88" s="185" t="str">
        <f t="shared" si="57"/>
        <v/>
      </c>
      <c r="AV88" s="173" t="str">
        <f>IF(AU88="","",IF(COUNT(AU$61:AU88)&lt;=AX$31,AV$33,IF(COUNT(AU$61:AU88)&lt;=2*AX$31,AV$34,IF(COUNT(AU$61:AU88)&lt;=3*AX$31,AV$35))))</f>
        <v/>
      </c>
      <c r="AW88" s="173" t="str">
        <f>IF(AU88="","",IF(AV88=AV$33,AX$33+AX$32*(COUNT(AU$61:AU88)-1),IF(AV88=AV$34,AX$34+AX$32*(COUNT(AU$61:AU88)-AX$31-1),IF(AV88=AV$35,AX$33+AX$32*(COUNT(AU$61:AU88)-2*AX$31-1)))))</f>
        <v/>
      </c>
      <c r="AX88" s="180" t="str" cm="1">
        <f t="array" ref="AX88">IF(AV88="","",MAX($C$5,IF(AU88=90,IF(OR(AW88=AX$13,AW88=AX$14,AW88=AU$4-AX$14,AW88=AU$4-AX$13),AV$7,IF(OR(AV88=AV$20,AV88=AV$24),AV$8,IF(OR(AV88=AV$21:AV$23),AV$9))),AV$10)))</f>
        <v/>
      </c>
      <c r="AY88" s="168"/>
      <c r="AZ88" s="185" t="str">
        <f t="shared" si="58"/>
        <v/>
      </c>
      <c r="BA88" s="173" t="str">
        <f>IF(AZ88="","",IF(COUNT(AZ$61:AZ88)&lt;=BC$31,BA$33,IF(COUNT(AZ$61:AZ88)&lt;=2*BC$31,BA$34,IF(COUNT(AZ$61:AZ88)&lt;=3*BC$31,BA$35))))</f>
        <v/>
      </c>
      <c r="BB88" s="173" t="str">
        <f>IF(AZ88="","",IF(BA88=BA$33,BC$33+BC$32*(COUNT(AZ$61:AZ88)-1),IF(BA88=BA$34,BC$34+BC$32*(COUNT(AZ$61:AZ88)-BC$31-1),IF(BA88=BA$35,BC$33+BC$32*(COUNT(AZ$61:AZ88)-2*BC$31-1)))))</f>
        <v/>
      </c>
      <c r="BC88" s="180" t="str" cm="1">
        <f t="array" ref="BC88">IF(BA88="","",MAX($C$5,IF(AZ88=90,IF(OR(BB88=BC$13,BB88=BC$14,BB88=AZ$4-BC$14,BB88=AZ$4-BC$13),BA$7,IF(OR(BA88=BA$20,BA88=BA$24),BA$8,IF(OR(BA88=BA$21:BA$23),BA$9))),BA$10)))</f>
        <v/>
      </c>
      <c r="BD88" s="168"/>
      <c r="BE88" s="185" t="str">
        <f t="shared" si="59"/>
        <v/>
      </c>
      <c r="BF88" s="173" t="str">
        <f>IF(BE88="","",IF(COUNT(BE$61:BE88)&lt;=BH$31,BF$33,IF(COUNT(BE$61:BE88)&lt;=2*BH$31,BF$34,IF(COUNT(BE$61:BE88)&lt;=3*BH$31,BF$35))))</f>
        <v/>
      </c>
      <c r="BG88" s="173" t="str">
        <f>IF(BE88="","",IF(BF88=BF$33,BH$33+BH$32*(COUNT(BE$61:BE88)-1),IF(BF88=BF$34,BH$34+BH$32*(COUNT(BE$61:BE88)-BH$31-1),IF(BF88=BF$35,BH$33+BH$32*(COUNT(BE$61:BE88)-2*BH$31-1)))))</f>
        <v/>
      </c>
      <c r="BH88" s="180" t="str" cm="1">
        <f t="array" ref="BH88">IF(BF88="","",MAX($C$5,IF(BE88=90,IF(OR(BG88=BH$13,BG88=BH$14,BG88=BE$4-BH$14,BG88=BE$4-BH$13),BF$7,IF(OR(BF88=BF$20,BF88=BF$24),BF$8,IF(OR(BF88=BF$21:BF$23),BF$9))),BF$10)))</f>
        <v/>
      </c>
      <c r="BI88" s="277"/>
      <c r="BJ88" s="185" t="str">
        <f t="shared" si="60"/>
        <v/>
      </c>
      <c r="BK88" s="173" t="str">
        <f>IF(BJ88="","",IF(COUNT(BJ$61:BJ88)&lt;=BM$31-1,BK$33,IF(COUNT(BJ$61:BJ88)&lt;=2*BM$31-1,BK$34)))</f>
        <v/>
      </c>
      <c r="BL88" s="173" t="str">
        <f>IF(BJ88="","",IF(BK88=BK$33,BM$33+BM$32*(COUNT(BJ$61:BJ88)-1),IF(BK88=BK$34,BM$34+BM$32*(COUNT(BJ$61:BJ88)-BM$31))))</f>
        <v/>
      </c>
      <c r="BM88" s="180" t="str" cm="1">
        <f t="array" ref="BM88">IF(BK88="","",MAX($C$5,IF(BJ88=90,IF(OR(BL88=BM$13,BL88=BM$14,BL88=BJ$4-BM$14,BL88=BJ$4-BM$13),BK$7,IF(OR(BK88=BK$20,BK88=BK$24),BK$8,IF(OR(BK88=BK$21:BK$23),BK$9))),BK$10)))</f>
        <v/>
      </c>
      <c r="BN88" s="168"/>
      <c r="BO88" s="185" t="str">
        <f t="shared" si="61"/>
        <v/>
      </c>
      <c r="BP88" s="173" t="str">
        <f>IF(BO88="","",IF(COUNT(BO$61:BO88)&lt;=BR$31-1,BP$33,IF(COUNT(BO$61:BO88)&lt;=2*BR$31-1,BP$34)))</f>
        <v/>
      </c>
      <c r="BQ88" s="173" t="str">
        <f>IF(BO88="","",IF(BP88=BP$33,BR$33+BR$32*(COUNT(BO$61:BO88)-1),IF(BP88=BP$34,BR$34+BR$32*(COUNT(BO$61:BO88)-BR$31))))</f>
        <v/>
      </c>
      <c r="BR88" s="180" t="str" cm="1">
        <f t="array" ref="BR88">IF(BP88="","",MAX($C$5,IF(BO88=90,IF(OR(BQ88=BR$13,BQ88=BR$14,BQ88=BO$4-BR$14,BQ88=BO$4-BR$13),BP$7,IF(OR(BP88=BP$20,BP88=BP$24),BP$8,IF(OR(BP88=BP$21:BP$23),BP$9))),BP$10)))</f>
        <v/>
      </c>
      <c r="BS88" s="168"/>
      <c r="BT88" s="185" t="str">
        <f t="shared" si="62"/>
        <v/>
      </c>
      <c r="BU88" s="173" t="str">
        <f>IF(BT88="","",IF(COUNT(BT$61:BT88)&lt;=BW$31-1,BU$33,IF(COUNT(BT$61:BT88)&lt;=2*BW$31-1,BU$34)))</f>
        <v/>
      </c>
      <c r="BV88" s="173" t="str">
        <f>IF(BT88="","",IF(BU88=BU$33,BW$33+BW$32*(COUNT(BT$61:BT88)-1),IF(BU88=BU$34,BW$34+BW$32*(COUNT(BT$61:BT88)-BW$31))))</f>
        <v/>
      </c>
      <c r="BW88" s="180" t="str" cm="1">
        <f t="array" ref="BW88">IF(BU88="","",MAX($C$5,IF(BT88=90,IF(OR(BV88=BW$13,BV88=BW$14,BV88=BT$4-BW$14,BV88=BT$4-BW$13),BU$7,IF(OR(BU88=BU$20,BU88=BU$24),BU$8,IF(OR(BU88=BU$21:BU$23),BU$9))),BU$10)))</f>
        <v/>
      </c>
      <c r="BX88" s="288"/>
    </row>
    <row r="89" spans="1:76">
      <c r="A89" s="168"/>
      <c r="B89" s="185">
        <f t="shared" si="63"/>
        <v>45</v>
      </c>
      <c r="C89" s="173">
        <f>IF(B89="","",IF(COUNT(B$61:B89)&lt;=E$31,C$33,IF(COUNT(B$61:B89)&lt;=2*E$31,C$34,IF(COUNT(B$61:B89)&lt;=3*E$31,C$35,IF(COUNT(B$61:B89)&lt;=4*E$31,C$36)))))</f>
        <v>96.5</v>
      </c>
      <c r="D89" s="173">
        <f>IF(B89="","",IF(C89=C$33,E$33+E$32*(COUNT(B$61:B89)-1),IF(C89=C$34,E$34+E$32*(COUNT(B$61:B89)-E$31-1),IF(C89=C$35,E$34+E$32*(COUNT(B$61:B89)-2*E$31-1),IF(C89=C$36,E$33+E$32*(COUNT(B$61:B89)-3*E$31-1))))))</f>
        <v>349</v>
      </c>
      <c r="E89" s="180" cm="1">
        <f t="array" ref="E89">IF(C89="","",MAX($C$5,IF(B89=90,IF(OR(D89=E$13,D89=E$14,D89=B$4-E$14,D89=B$4-E$13),C$7,IF(OR(C89=C$20,C89=C$24),C$8,IF(OR(C89=C$21:C$23),C$9))),C$10)))</f>
        <v>18</v>
      </c>
      <c r="F89" s="168"/>
      <c r="G89" s="185">
        <f t="shared" si="64"/>
        <v>45</v>
      </c>
      <c r="H89" s="173">
        <f>IF(G89="","",IF(COUNT(G$61:G89)&lt;=J$31,H$33,IF(COUNT(G$61:G89)&lt;=2*J$31,H$34,IF(COUNT(G$61:G89)&lt;=3*J$31,H$35,IF(COUNT(G$61:G89)&lt;=4*J$31,H$36)))))</f>
        <v>96.5</v>
      </c>
      <c r="I89" s="173">
        <f>IF(G89="","",IF(H89=H$33,J$33+J$32*(COUNT(G$61:G89)-1),IF(H89=H$34,J$34+J$32*(COUNT(G$61:G89)-J$31-1),IF(H89=H$35,J$34+J$32*(COUNT(G$61:G89)-2*J$31-1),IF(H89=H$36,J$33+J$32*(COUNT(G$61:G89)-3*J$31-1))))))</f>
        <v>349</v>
      </c>
      <c r="J89" s="180" cm="1">
        <f t="array" ref="J89">IF(H89="","",MAX($C$5,IF(G89=90,IF(OR(I89=J$13,I89=J$14,I89=G$4-J$14,I89=G$4-J$13),H$7,IF(OR(H89=H$20,H89=H$24),H$8,IF(OR(H89=H$21:H$23),H$9))),H$10)))</f>
        <v>18</v>
      </c>
      <c r="K89" s="168"/>
      <c r="L89" s="185">
        <f t="shared" si="65"/>
        <v>45</v>
      </c>
      <c r="M89" s="173">
        <f>IF(L89="","",IF(COUNT(L$61:L89)&lt;=O$31,M$33,IF(COUNT(L$61:L89)&lt;=2*O$31,M$34,IF(COUNT(L$61:L89)&lt;=3*O$31,M$35,IF(COUNT(L$61:L89)&lt;=4*O$31,M$36)))))</f>
        <v>96.5</v>
      </c>
      <c r="N89" s="173">
        <f>IF(L89="","",IF(M89=M$33,O$33+O$32*(COUNT(L$61:L89)-1),IF(M89=M$34,O$34+O$32*(COUNT(L$61:L89)-O$31-1),IF(M89=M$35,O$34+O$32*(COUNT(L$61:L89)-2*O$31-1),IF(M89=M$36,O$33+O$32*(COUNT(L$61:L89)-3*O$31-1))))))</f>
        <v>472</v>
      </c>
      <c r="O89" s="180" cm="1">
        <f t="array" ref="O89">IF(M89="","",MAX($C$5,IF(L89=90,IF(OR(N89=O$13,N89=O$14,N89=L$4-O$14,N89=L$4-O$13),M$7,IF(OR(M89=M$20,M89=M$24),M$8,IF(OR(M89=M$21:M$23),M$9))),M$10)))</f>
        <v>18</v>
      </c>
      <c r="P89" s="168"/>
      <c r="Q89" s="185">
        <f t="shared" si="66"/>
        <v>45</v>
      </c>
      <c r="R89" s="173">
        <f>IF(Q89="","",IF(COUNT(Q$61:Q89)&lt;=T$31,R$33,IF(COUNT(Q$61:Q89)&lt;=2*T$31,R$34,IF(COUNT(Q$61:Q89)&lt;=3*T$31,R$35,IF(COUNT(Q$61:Q89)&lt;=4*T$31,R$36)))))</f>
        <v>96.5</v>
      </c>
      <c r="S89" s="173">
        <f>IF(Q89="","",IF(R89=R$33,T$33+T$32*(COUNT(Q$61:Q89)-1),IF(R89=R$34,T$34+T$32*(COUNT(Q$61:Q89)-T$31-1),IF(R89=R$35,T$34+T$32*(COUNT(Q$61:Q89)-2*T$31-1),IF(R89=R$36,T$33+T$32*(COUNT(Q$61:Q89)-3*T$31-1))))))</f>
        <v>583</v>
      </c>
      <c r="T89" s="180" cm="1">
        <f t="array" ref="T89">IF(R89="","",MAX($C$5,IF(Q89=90,IF(OR(S89=T$13,S89=T$14,S89=Q$4-T$14,S89=Q$4-T$13),R$7,IF(OR(R89=R$20,R89=R$24),R$8,IF(OR(R89=R$21:R$23),R$9))),R$10)))</f>
        <v>18</v>
      </c>
      <c r="U89" s="168"/>
      <c r="V89" s="185">
        <f t="shared" si="67"/>
        <v>45</v>
      </c>
      <c r="W89" s="173">
        <f>IF(V89="","",IF(COUNT(V$61:V89)&lt;=Y$31,W$33,IF(COUNT(V$61:V89)&lt;=2*Y$31,W$34,IF(COUNT(V$61:V89)&lt;=3*Y$31,W$35,IF(COUNT(V$61:V89)&lt;=4*Y$31,W$36)))))</f>
        <v>139.5</v>
      </c>
      <c r="X89" s="173">
        <f>IF(V89="","",IF(W89=W$33,Y$33+Y$32*(COUNT(V$61:V89)-1),IF(W89=W$34,Y$34+Y$32*(COUNT(V$61:V89)-Y$31-1),IF(W89=W$35,Y$34+Y$32*(COUNT(V$61:V89)-2*Y$31-1),IF(W89=W$36,Y$33+Y$32*(COUNT(V$61:V89)-3*Y$31-1))))))</f>
        <v>378</v>
      </c>
      <c r="Y89" s="180" cm="1">
        <f t="array" ref="Y89">IF(W89="","",MAX($C$5,IF(V89=90,IF(OR(X89=Y$13,X89=Y$14,X89=V$4-Y$14,X89=V$4-Y$13),W$7,IF(OR(W89=W$20,W89=W$24),W$8,IF(OR(W89=W$21:W$23),W$9))),W$10)))</f>
        <v>18</v>
      </c>
      <c r="Z89" s="168"/>
      <c r="AA89" s="185" t="str">
        <f t="shared" si="68"/>
        <v/>
      </c>
      <c r="AB89" s="173" t="str">
        <f>IF(AA89="","",IF(COUNT(AA$61:AA89)&lt;=AD$31,AB$33,IF(COUNT(AA$61:AA89)&lt;=2*AD$31,AB$34,IF(COUNT(AA$61:AA89)&lt;=3*AD$31,AB$35,IF(COUNT(AA$61:AA89)&lt;=4*AD$31,AB$36)))))</f>
        <v/>
      </c>
      <c r="AC89" s="173" t="str">
        <f>IF(AA89="","",IF(AB89=AB$33,AD$33+AD$32*(COUNT(AA$61:AA89)-1),IF(AB89=AB$34,AD$34+AD$32*(COUNT(AA$61:AA89)-AD$31-1),IF(AB89=AB$35,AD$34+AD$32*(COUNT(AA$61:AA89)-2*AD$31-1),IF(AB89=AB$36,AD$33+AD$32*(COUNT(AA$61:AA89)-3*AD$31-1))))))</f>
        <v/>
      </c>
      <c r="AD89" s="180" t="str" cm="1">
        <f t="array" ref="AD89">IF(AB89="","",MAX($C$5,IF(AA89=90,IF(OR(AC89=AD$13,AC89=AD$14,AC89=AA$4-AD$14,AC89=AA$4-AD$13),AB$7,IF(OR(AB89=AB$20,AB89=AB$24),AB$8,IF(OR(AB89=AB$21:AB$23),AB$9))),AB$10)))</f>
        <v/>
      </c>
      <c r="AE89" s="168"/>
      <c r="AF89" s="185" t="str">
        <f t="shared" si="69"/>
        <v/>
      </c>
      <c r="AG89" s="173" t="str">
        <f>IF(AF89="","",IF(COUNT(AF$61:AF89)&lt;=AI$31,AG$33,IF(COUNT(AF$61:AF89)&lt;=2*AI$31,AG$34,IF(COUNT(AF$61:AF89)&lt;=3*AI$31,AG$35,IF(COUNT(AF$61:AF89)&lt;=4*AI$31,AG$36)))))</f>
        <v/>
      </c>
      <c r="AH89" s="173" t="str">
        <f>IF(AF89="","",IF(AG89=AG$33,AI$33+AI$32*(COUNT(AF$61:AF89)-1),IF(AG89=AG$34,AI$34+AI$32*(COUNT(AF$61:AF89)-AI$31-1),IF(AG89=AG$35,AI$34+AI$32*(COUNT(AF$61:AF89)-2*AI$31-1),IF(AG89=AG$36,AI$33+AI$32*(COUNT(AF$61:AF89)-3*AI$31-1))))))</f>
        <v/>
      </c>
      <c r="AI89" s="180" t="str" cm="1">
        <f t="array" ref="AI89">IF(AG89="","",MAX($C$5,IF(AF89=90,IF(OR(AH89=AI$13,AH89=AI$14,AH89=AF$4-AI$14,AH89=AF$4-AI$13),AG$7,IF(OR(AG89=AG$20,AG89=AG$24),AG$8,IF(OR(AG89=AG$21:AG$23),AG$9))),AG$10)))</f>
        <v/>
      </c>
      <c r="AJ89" s="168"/>
      <c r="AK89" s="185" t="str">
        <f t="shared" si="70"/>
        <v/>
      </c>
      <c r="AL89" s="173" t="str">
        <f>IF(AK89="","",IF(COUNT(AK$61:AK89)&lt;=AN$31,AL$33,IF(COUNT(AK$61:AK89)&lt;=2*AN$31,AL$34,IF(COUNT(AK$61:AK89)&lt;=3*AN$31,AL$35,IF(COUNT(AK$61:AK89)&lt;=4*AN$31,AL$36)))))</f>
        <v/>
      </c>
      <c r="AM89" s="173" t="str">
        <f>IF(AK89="","",IF(AL89=AL$33,AN$33+AN$32*(COUNT(AK$61:AK89)-1),IF(AL89=AL$34,AN$34+AN$32*(COUNT(AK$61:AK89)-AN$31-1),IF(AL89=AL$35,AN$34+AN$32*(COUNT(AK$61:AK89)-2*AN$31-1),IF(AL89=AL$36,AN$33+AN$32*(COUNT(AK$61:AK89)-3*AN$31-1))))))</f>
        <v/>
      </c>
      <c r="AN89" s="180" t="str" cm="1">
        <f t="array" ref="AN89">IF(AL89="","",MAX($C$5,IF(AK89=90,IF(OR(AM89=AN$13,AM89=AN$14,AM89=AK$4-AN$14,AM89=AK$4-AN$13),AL$7,IF(OR(AL89=AL$20,AL89=AL$24),AL$8,IF(OR(AL89=AL$21:AL$23),AL$9))),AL$10)))</f>
        <v/>
      </c>
      <c r="AO89" s="168"/>
      <c r="AP89" s="198">
        <f t="shared" si="56"/>
        <v>45</v>
      </c>
      <c r="AQ89" s="199">
        <f>IF(AP89="","",IF(COUNT(AP$61:AP89)&lt;=AS$31,AQ$33,IF(COUNT(AP$61:AP89)&lt;=2*AS$31,AQ$34,IF(COUNT(AP$61:AP89)&lt;=3*AS$31,AQ$35,IF(COUNT(AP$61:AP89)&lt;=4*AS$31,AQ$36)))))</f>
        <v>96.5</v>
      </c>
      <c r="AR89" s="199">
        <f>IF(AP89="","",IF(AQ89=AQ$33,AS$33+AS$32*(COUNT(AP$61:AP89)-1),IF(AQ89=AQ$34,AS$34+AS$32*(COUNT(AP$61:AP89)-AS$31-1),IF(AQ89=AQ$35,AS$34+AS$32*(COUNT(AP$61:AP89)-2*AS$31-1),IF(AQ89=AQ$36,AS$33+AS$32*(COUNT(AP$61:AP89)-3*AS$31-1))))))</f>
        <v>733</v>
      </c>
      <c r="AS89" s="180" cm="1">
        <f t="array" ref="AS89">IF(AQ89="","",MAX($C$5,IF(AP89=90,IF(OR(AR89=AS$13,AR89=AS$14,AR89=AP$4-AS$14,AR89=AP$4-AS$13),AQ$7,IF(OR(AQ89=AQ$20,AQ89=AQ$24),AQ$8,IF(OR(AQ89=AQ$21:AQ$23),AQ$9))),AQ$10)))</f>
        <v>18</v>
      </c>
      <c r="AT89" s="277"/>
      <c r="AU89" s="185" t="str">
        <f t="shared" si="57"/>
        <v/>
      </c>
      <c r="AV89" s="173" t="str">
        <f>IF(AU89="","",IF(COUNT(AU$61:AU89)&lt;=AX$31,AV$33,IF(COUNT(AU$61:AU89)&lt;=2*AX$31,AV$34,IF(COUNT(AU$61:AU89)&lt;=3*AX$31,AV$35))))</f>
        <v/>
      </c>
      <c r="AW89" s="173" t="str">
        <f>IF(AU89="","",IF(AV89=AV$33,AX$33+AX$32*(COUNT(AU$61:AU89)-1),IF(AV89=AV$34,AX$34+AX$32*(COUNT(AU$61:AU89)-AX$31-1),IF(AV89=AV$35,AX$33+AX$32*(COUNT(AU$61:AU89)-2*AX$31-1)))))</f>
        <v/>
      </c>
      <c r="AX89" s="180" t="str" cm="1">
        <f t="array" ref="AX89">IF(AV89="","",MAX($C$5,IF(AU89=90,IF(OR(AW89=AX$13,AW89=AX$14,AW89=AU$4-AX$14,AW89=AU$4-AX$13),AV$7,IF(OR(AV89=AV$20,AV89=AV$24),AV$8,IF(OR(AV89=AV$21:AV$23),AV$9))),AV$10)))</f>
        <v/>
      </c>
      <c r="AY89" s="168"/>
      <c r="AZ89" s="185" t="str">
        <f t="shared" si="58"/>
        <v/>
      </c>
      <c r="BA89" s="173" t="str">
        <f>IF(AZ89="","",IF(COUNT(AZ$61:AZ89)&lt;=BC$31,BA$33,IF(COUNT(AZ$61:AZ89)&lt;=2*BC$31,BA$34,IF(COUNT(AZ$61:AZ89)&lt;=3*BC$31,BA$35))))</f>
        <v/>
      </c>
      <c r="BB89" s="173" t="str">
        <f>IF(AZ89="","",IF(BA89=BA$33,BC$33+BC$32*(COUNT(AZ$61:AZ89)-1),IF(BA89=BA$34,BC$34+BC$32*(COUNT(AZ$61:AZ89)-BC$31-1),IF(BA89=BA$35,BC$33+BC$32*(COUNT(AZ$61:AZ89)-2*BC$31-1)))))</f>
        <v/>
      </c>
      <c r="BC89" s="180" t="str" cm="1">
        <f t="array" ref="BC89">IF(BA89="","",MAX($C$5,IF(AZ89=90,IF(OR(BB89=BC$13,BB89=BC$14,BB89=AZ$4-BC$14,BB89=AZ$4-BC$13),BA$7,IF(OR(BA89=BA$20,BA89=BA$24),BA$8,IF(OR(BA89=BA$21:BA$23),BA$9))),BA$10)))</f>
        <v/>
      </c>
      <c r="BD89" s="168"/>
      <c r="BE89" s="185" t="str">
        <f t="shared" si="59"/>
        <v/>
      </c>
      <c r="BF89" s="173" t="str">
        <f>IF(BE89="","",IF(COUNT(BE$61:BE89)&lt;=BH$31,BF$33,IF(COUNT(BE$61:BE89)&lt;=2*BH$31,BF$34,IF(COUNT(BE$61:BE89)&lt;=3*BH$31,BF$35))))</f>
        <v/>
      </c>
      <c r="BG89" s="173" t="str">
        <f>IF(BE89="","",IF(BF89=BF$33,BH$33+BH$32*(COUNT(BE$61:BE89)-1),IF(BF89=BF$34,BH$34+BH$32*(COUNT(BE$61:BE89)-BH$31-1),IF(BF89=BF$35,BH$33+BH$32*(COUNT(BE$61:BE89)-2*BH$31-1)))))</f>
        <v/>
      </c>
      <c r="BH89" s="180" t="str" cm="1">
        <f t="array" ref="BH89">IF(BF89="","",MAX($C$5,IF(BE89=90,IF(OR(BG89=BH$13,BG89=BH$14,BG89=BE$4-BH$14,BG89=BE$4-BH$13),BF$7,IF(OR(BF89=BF$20,BF89=BF$24),BF$8,IF(OR(BF89=BF$21:BF$23),BF$9))),BF$10)))</f>
        <v/>
      </c>
      <c r="BI89" s="277"/>
      <c r="BJ89" s="185" t="str">
        <f t="shared" si="60"/>
        <v/>
      </c>
      <c r="BK89" s="173" t="str">
        <f>IF(BJ89="","",IF(COUNT(BJ$61:BJ89)&lt;=BM$31-1,BK$33,IF(COUNT(BJ$61:BJ89)&lt;=2*BM$31-1,BK$34)))</f>
        <v/>
      </c>
      <c r="BL89" s="173" t="str">
        <f>IF(BJ89="","",IF(BK89=BK$33,BM$33+BM$32*(COUNT(BJ$61:BJ89)-1),IF(BK89=BK$34,BM$34+BM$32*(COUNT(BJ$61:BJ89)-BM$31))))</f>
        <v/>
      </c>
      <c r="BM89" s="180" t="str" cm="1">
        <f t="array" ref="BM89">IF(BK89="","",MAX($C$5,IF(BJ89=90,IF(OR(BL89=BM$13,BL89=BM$14,BL89=BJ$4-BM$14,BL89=BJ$4-BM$13),BK$7,IF(OR(BK89=BK$20,BK89=BK$24),BK$8,IF(OR(BK89=BK$21:BK$23),BK$9))),BK$10)))</f>
        <v/>
      </c>
      <c r="BN89" s="168"/>
      <c r="BO89" s="185" t="str">
        <f t="shared" si="61"/>
        <v/>
      </c>
      <c r="BP89" s="173" t="str">
        <f>IF(BO89="","",IF(COUNT(BO$61:BO89)&lt;=BR$31-1,BP$33,IF(COUNT(BO$61:BO89)&lt;=2*BR$31-1,BP$34)))</f>
        <v/>
      </c>
      <c r="BQ89" s="173" t="str">
        <f>IF(BO89="","",IF(BP89=BP$33,BR$33+BR$32*(COUNT(BO$61:BO89)-1),IF(BP89=BP$34,BR$34+BR$32*(COUNT(BO$61:BO89)-BR$31))))</f>
        <v/>
      </c>
      <c r="BR89" s="180" t="str" cm="1">
        <f t="array" ref="BR89">IF(BP89="","",MAX($C$5,IF(BO89=90,IF(OR(BQ89=BR$13,BQ89=BR$14,BQ89=BO$4-BR$14,BQ89=BO$4-BR$13),BP$7,IF(OR(BP89=BP$20,BP89=BP$24),BP$8,IF(OR(BP89=BP$21:BP$23),BP$9))),BP$10)))</f>
        <v/>
      </c>
      <c r="BS89" s="168"/>
      <c r="BT89" s="185" t="str">
        <f t="shared" si="62"/>
        <v/>
      </c>
      <c r="BU89" s="173" t="str">
        <f>IF(BT89="","",IF(COUNT(BT$61:BT89)&lt;=BW$31-1,BU$33,IF(COUNT(BT$61:BT89)&lt;=2*BW$31-1,BU$34)))</f>
        <v/>
      </c>
      <c r="BV89" s="173" t="str">
        <f>IF(BT89="","",IF(BU89=BU$33,BW$33+BW$32*(COUNT(BT$61:BT89)-1),IF(BU89=BU$34,BW$34+BW$32*(COUNT(BT$61:BT89)-BW$31))))</f>
        <v/>
      </c>
      <c r="BW89" s="180" t="str" cm="1">
        <f t="array" ref="BW89">IF(BU89="","",MAX($C$5,IF(BT89=90,IF(OR(BV89=BW$13,BV89=BW$14,BV89=BT$4-BW$14,BV89=BT$4-BW$13),BU$7,IF(OR(BU89=BU$20,BU89=BU$24),BU$8,IF(OR(BU89=BU$21:BU$23),BU$9))),BU$10)))</f>
        <v/>
      </c>
      <c r="BX89" s="288"/>
    </row>
    <row r="90" spans="1:76">
      <c r="A90" s="168"/>
      <c r="B90" s="185">
        <f t="shared" si="63"/>
        <v>45</v>
      </c>
      <c r="C90" s="173">
        <f>IF(B90="","",IF(COUNT(B$61:B90)&lt;=E$31,C$33,IF(COUNT(B$61:B90)&lt;=2*E$31,C$34,IF(COUNT(B$61:B90)&lt;=3*E$31,C$35,IF(COUNT(B$61:B90)&lt;=4*E$31,C$36)))))</f>
        <v>96.5</v>
      </c>
      <c r="D90" s="173">
        <f>IF(B90="","",IF(C90=C$33,E$33+E$32*(COUNT(B$61:B90)-1),IF(C90=C$34,E$34+E$32*(COUNT(B$61:B90)-E$31-1),IF(C90=C$35,E$34+E$32*(COUNT(B$61:B90)-2*E$31-1),IF(C90=C$36,E$33+E$32*(COUNT(B$61:B90)-3*E$31-1))))))</f>
        <v>406</v>
      </c>
      <c r="E90" s="180" cm="1">
        <f t="array" ref="E90">IF(C90="","",MAX($C$5,IF(B90=90,IF(OR(D90=E$13,D90=E$14,D90=B$4-E$14,D90=B$4-E$13),C$7,IF(OR(C90=C$20,C90=C$24),C$8,IF(OR(C90=C$21:C$23),C$9))),C$10)))</f>
        <v>18</v>
      </c>
      <c r="F90" s="168"/>
      <c r="G90" s="185">
        <f t="shared" si="64"/>
        <v>45</v>
      </c>
      <c r="H90" s="173">
        <f>IF(G90="","",IF(COUNT(G$61:G90)&lt;=J$31,H$33,IF(COUNT(G$61:G90)&lt;=2*J$31,H$34,IF(COUNT(G$61:G90)&lt;=3*J$31,H$35,IF(COUNT(G$61:G90)&lt;=4*J$31,H$36)))))</f>
        <v>96.5</v>
      </c>
      <c r="I90" s="173">
        <f>IF(G90="","",IF(H90=H$33,J$33+J$32*(COUNT(G$61:G90)-1),IF(H90=H$34,J$34+J$32*(COUNT(G$61:G90)-J$31-1),IF(H90=H$35,J$34+J$32*(COUNT(G$61:G90)-2*J$31-1),IF(H90=H$36,J$33+J$32*(COUNT(G$61:G90)-3*J$31-1))))))</f>
        <v>406</v>
      </c>
      <c r="J90" s="180" cm="1">
        <f t="array" ref="J90">IF(H90="","",MAX($C$5,IF(G90=90,IF(OR(I90=J$13,I90=J$14,I90=G$4-J$14,I90=G$4-J$13),H$7,IF(OR(H90=H$20,H90=H$24),H$8,IF(OR(H90=H$21:H$23),H$9))),H$10)))</f>
        <v>18</v>
      </c>
      <c r="K90" s="168"/>
      <c r="L90" s="185">
        <f t="shared" si="65"/>
        <v>45</v>
      </c>
      <c r="M90" s="173">
        <f>IF(L90="","",IF(COUNT(L$61:L90)&lt;=O$31,M$33,IF(COUNT(L$61:L90)&lt;=2*O$31,M$34,IF(COUNT(L$61:L90)&lt;=3*O$31,M$35,IF(COUNT(L$61:L90)&lt;=4*O$31,M$36)))))</f>
        <v>96.5</v>
      </c>
      <c r="N90" s="173">
        <f>IF(L90="","",IF(M90=M$33,O$33+O$32*(COUNT(L$61:L90)-1),IF(M90=M$34,O$34+O$32*(COUNT(L$61:L90)-O$31-1),IF(M90=M$35,O$34+O$32*(COUNT(L$61:L90)-2*O$31-1),IF(M90=M$36,O$33+O$32*(COUNT(L$61:L90)-3*O$31-1))))))</f>
        <v>529</v>
      </c>
      <c r="O90" s="180" cm="1">
        <f t="array" ref="O90">IF(M90="","",MAX($C$5,IF(L90=90,IF(OR(N90=O$13,N90=O$14,N90=L$4-O$14,N90=L$4-O$13),M$7,IF(OR(M90=M$20,M90=M$24),M$8,IF(OR(M90=M$21:M$23),M$9))),M$10)))</f>
        <v>18</v>
      </c>
      <c r="P90" s="168"/>
      <c r="Q90" s="185">
        <f t="shared" si="66"/>
        <v>45</v>
      </c>
      <c r="R90" s="173">
        <f>IF(Q90="","",IF(COUNT(Q$61:Q90)&lt;=T$31,R$33,IF(COUNT(Q$61:Q90)&lt;=2*T$31,R$34,IF(COUNT(Q$61:Q90)&lt;=3*T$31,R$35,IF(COUNT(Q$61:Q90)&lt;=4*T$31,R$36)))))</f>
        <v>96.5</v>
      </c>
      <c r="S90" s="173">
        <f>IF(Q90="","",IF(R90=R$33,T$33+T$32*(COUNT(Q$61:Q90)-1),IF(R90=R$34,T$34+T$32*(COUNT(Q$61:Q90)-T$31-1),IF(R90=R$35,T$34+T$32*(COUNT(Q$61:Q90)-2*T$31-1),IF(R90=R$36,T$33+T$32*(COUNT(Q$61:Q90)-3*T$31-1))))))</f>
        <v>640</v>
      </c>
      <c r="T90" s="180" cm="1">
        <f t="array" ref="T90">IF(R90="","",MAX($C$5,IF(Q90=90,IF(OR(S90=T$13,S90=T$14,S90=Q$4-T$14,S90=Q$4-T$13),R$7,IF(OR(R90=R$20,R90=R$24),R$8,IF(OR(R90=R$21:R$23),R$9))),R$10)))</f>
        <v>18</v>
      </c>
      <c r="U90" s="168"/>
      <c r="V90" s="185">
        <f t="shared" si="67"/>
        <v>45</v>
      </c>
      <c r="W90" s="173">
        <f>IF(V90="","",IF(COUNT(V$61:V90)&lt;=Y$31,W$33,IF(COUNT(V$61:V90)&lt;=2*Y$31,W$34,IF(COUNT(V$61:V90)&lt;=3*Y$31,W$35,IF(COUNT(V$61:V90)&lt;=4*Y$31,W$36)))))</f>
        <v>139.5</v>
      </c>
      <c r="X90" s="173">
        <f>IF(V90="","",IF(W90=W$33,Y$33+Y$32*(COUNT(V$61:V90)-1),IF(W90=W$34,Y$34+Y$32*(COUNT(V$61:V90)-Y$31-1),IF(W90=W$35,Y$34+Y$32*(COUNT(V$61:V90)-2*Y$31-1),IF(W90=W$36,Y$33+Y$32*(COUNT(V$61:V90)-3*Y$31-1))))))</f>
        <v>435</v>
      </c>
      <c r="Y90" s="180" cm="1">
        <f t="array" ref="Y90">IF(W90="","",MAX($C$5,IF(V90=90,IF(OR(X90=Y$13,X90=Y$14,X90=V$4-Y$14,X90=V$4-Y$13),W$7,IF(OR(W90=W$20,W90=W$24),W$8,IF(OR(W90=W$21:W$23),W$9))),W$10)))</f>
        <v>18</v>
      </c>
      <c r="Z90" s="168"/>
      <c r="AA90" s="185" t="str">
        <f t="shared" si="68"/>
        <v/>
      </c>
      <c r="AB90" s="173" t="str">
        <f>IF(AA90="","",IF(COUNT(AA$61:AA90)&lt;=AD$31,AB$33,IF(COUNT(AA$61:AA90)&lt;=2*AD$31,AB$34,IF(COUNT(AA$61:AA90)&lt;=3*AD$31,AB$35,IF(COUNT(AA$61:AA90)&lt;=4*AD$31,AB$36)))))</f>
        <v/>
      </c>
      <c r="AC90" s="173" t="str">
        <f>IF(AA90="","",IF(AB90=AB$33,AD$33+AD$32*(COUNT(AA$61:AA90)-1),IF(AB90=AB$34,AD$34+AD$32*(COUNT(AA$61:AA90)-AD$31-1),IF(AB90=AB$35,AD$34+AD$32*(COUNT(AA$61:AA90)-2*AD$31-1),IF(AB90=AB$36,AD$33+AD$32*(COUNT(AA$61:AA90)-3*AD$31-1))))))</f>
        <v/>
      </c>
      <c r="AD90" s="180" t="str" cm="1">
        <f t="array" ref="AD90">IF(AB90="","",MAX($C$5,IF(AA90=90,IF(OR(AC90=AD$13,AC90=AD$14,AC90=AA$4-AD$14,AC90=AA$4-AD$13),AB$7,IF(OR(AB90=AB$20,AB90=AB$24),AB$8,IF(OR(AB90=AB$21:AB$23),AB$9))),AB$10)))</f>
        <v/>
      </c>
      <c r="AE90" s="168"/>
      <c r="AF90" s="185" t="str">
        <f t="shared" si="69"/>
        <v/>
      </c>
      <c r="AG90" s="173" t="str">
        <f>IF(AF90="","",IF(COUNT(AF$61:AF90)&lt;=AI$31,AG$33,IF(COUNT(AF$61:AF90)&lt;=2*AI$31,AG$34,IF(COUNT(AF$61:AF90)&lt;=3*AI$31,AG$35,IF(COUNT(AF$61:AF90)&lt;=4*AI$31,AG$36)))))</f>
        <v/>
      </c>
      <c r="AH90" s="173" t="str">
        <f>IF(AF90="","",IF(AG90=AG$33,AI$33+AI$32*(COUNT(AF$61:AF90)-1),IF(AG90=AG$34,AI$34+AI$32*(COUNT(AF$61:AF90)-AI$31-1),IF(AG90=AG$35,AI$34+AI$32*(COUNT(AF$61:AF90)-2*AI$31-1),IF(AG90=AG$36,AI$33+AI$32*(COUNT(AF$61:AF90)-3*AI$31-1))))))</f>
        <v/>
      </c>
      <c r="AI90" s="180" t="str" cm="1">
        <f t="array" ref="AI90">IF(AG90="","",MAX($C$5,IF(AF90=90,IF(OR(AH90=AI$13,AH90=AI$14,AH90=AF$4-AI$14,AH90=AF$4-AI$13),AG$7,IF(OR(AG90=AG$20,AG90=AG$24),AG$8,IF(OR(AG90=AG$21:AG$23),AG$9))),AG$10)))</f>
        <v/>
      </c>
      <c r="AJ90" s="168"/>
      <c r="AK90" s="185" t="str">
        <f t="shared" si="70"/>
        <v/>
      </c>
      <c r="AL90" s="173" t="str">
        <f>IF(AK90="","",IF(COUNT(AK$61:AK90)&lt;=AN$31,AL$33,IF(COUNT(AK$61:AK90)&lt;=2*AN$31,AL$34,IF(COUNT(AK$61:AK90)&lt;=3*AN$31,AL$35,IF(COUNT(AK$61:AK90)&lt;=4*AN$31,AL$36)))))</f>
        <v/>
      </c>
      <c r="AM90" s="173" t="str">
        <f>IF(AK90="","",IF(AL90=AL$33,AN$33+AN$32*(COUNT(AK$61:AK90)-1),IF(AL90=AL$34,AN$34+AN$32*(COUNT(AK$61:AK90)-AN$31-1),IF(AL90=AL$35,AN$34+AN$32*(COUNT(AK$61:AK90)-2*AN$31-1),IF(AL90=AL$36,AN$33+AN$32*(COUNT(AK$61:AK90)-3*AN$31-1))))))</f>
        <v/>
      </c>
      <c r="AN90" s="180" t="str" cm="1">
        <f t="array" ref="AN90">IF(AL90="","",MAX($C$5,IF(AK90=90,IF(OR(AM90=AN$13,AM90=AN$14,AM90=AK$4-AN$14,AM90=AK$4-AN$13),AL$7,IF(OR(AL90=AL$20,AL90=AL$24),AL$8,IF(OR(AL90=AL$21:AL$23),AL$9))),AL$10)))</f>
        <v/>
      </c>
      <c r="AO90" s="168"/>
      <c r="AP90" s="198">
        <f t="shared" si="56"/>
        <v>45</v>
      </c>
      <c r="AQ90" s="199">
        <f>IF(AP90="","",IF(COUNT(AP$61:AP90)&lt;=AS$31,AQ$33,IF(COUNT(AP$61:AP90)&lt;=2*AS$31,AQ$34,IF(COUNT(AP$61:AP90)&lt;=3*AS$31,AQ$35,IF(COUNT(AP$61:AP90)&lt;=4*AS$31,AQ$36)))))</f>
        <v>96.5</v>
      </c>
      <c r="AR90" s="199">
        <f>IF(AP90="","",IF(AQ90=AQ$33,AS$33+AS$32*(COUNT(AP$61:AP90)-1),IF(AQ90=AQ$34,AS$34+AS$32*(COUNT(AP$61:AP90)-AS$31-1),IF(AQ90=AQ$35,AS$34+AS$32*(COUNT(AP$61:AP90)-2*AS$31-1),IF(AQ90=AQ$36,AS$33+AS$32*(COUNT(AP$61:AP90)-3*AS$31-1))))))</f>
        <v>790</v>
      </c>
      <c r="AS90" s="180" cm="1">
        <f t="array" ref="AS90">IF(AQ90="","",MAX($C$5,IF(AP90=90,IF(OR(AR90=AS$13,AR90=AS$14,AR90=AP$4-AS$14,AR90=AP$4-AS$13),AQ$7,IF(OR(AQ90=AQ$20,AQ90=AQ$24),AQ$8,IF(OR(AQ90=AQ$21:AQ$23),AQ$9))),AQ$10)))</f>
        <v>18</v>
      </c>
      <c r="AT90" s="277"/>
      <c r="AU90" s="185" t="str">
        <f t="shared" si="57"/>
        <v/>
      </c>
      <c r="AV90" s="173" t="str">
        <f>IF(AU90="","",IF(COUNT(AU$61:AU90)&lt;=AX$31,AV$33,IF(COUNT(AU$61:AU90)&lt;=2*AX$31,AV$34,IF(COUNT(AU$61:AU90)&lt;=3*AX$31,AV$35))))</f>
        <v/>
      </c>
      <c r="AW90" s="173" t="str">
        <f>IF(AU90="","",IF(AV90=AV$33,AX$33+AX$32*(COUNT(AU$61:AU90)-1),IF(AV90=AV$34,AX$34+AX$32*(COUNT(AU$61:AU90)-AX$31-1),IF(AV90=AV$35,AX$33+AX$32*(COUNT(AU$61:AU90)-2*AX$31-1)))))</f>
        <v/>
      </c>
      <c r="AX90" s="180" t="str" cm="1">
        <f t="array" ref="AX90">IF(AV90="","",MAX($C$5,IF(AU90=90,IF(OR(AW90=AX$13,AW90=AX$14,AW90=AU$4-AX$14,AW90=AU$4-AX$13),AV$7,IF(OR(AV90=AV$20,AV90=AV$24),AV$8,IF(OR(AV90=AV$21:AV$23),AV$9))),AV$10)))</f>
        <v/>
      </c>
      <c r="AY90" s="168"/>
      <c r="AZ90" s="185" t="str">
        <f t="shared" si="58"/>
        <v/>
      </c>
      <c r="BA90" s="173" t="str">
        <f>IF(AZ90="","",IF(COUNT(AZ$61:AZ90)&lt;=BC$31,BA$33,IF(COUNT(AZ$61:AZ90)&lt;=2*BC$31,BA$34,IF(COUNT(AZ$61:AZ90)&lt;=3*BC$31,BA$35))))</f>
        <v/>
      </c>
      <c r="BB90" s="173" t="str">
        <f>IF(AZ90="","",IF(BA90=BA$33,BC$33+BC$32*(COUNT(AZ$61:AZ90)-1),IF(BA90=BA$34,BC$34+BC$32*(COUNT(AZ$61:AZ90)-BC$31-1),IF(BA90=BA$35,BC$33+BC$32*(COUNT(AZ$61:AZ90)-2*BC$31-1)))))</f>
        <v/>
      </c>
      <c r="BC90" s="180" t="str" cm="1">
        <f t="array" ref="BC90">IF(BA90="","",MAX($C$5,IF(AZ90=90,IF(OR(BB90=BC$13,BB90=BC$14,BB90=AZ$4-BC$14,BB90=AZ$4-BC$13),BA$7,IF(OR(BA90=BA$20,BA90=BA$24),BA$8,IF(OR(BA90=BA$21:BA$23),BA$9))),BA$10)))</f>
        <v/>
      </c>
      <c r="BD90" s="168"/>
      <c r="BE90" s="185" t="str">
        <f t="shared" si="59"/>
        <v/>
      </c>
      <c r="BF90" s="173" t="str">
        <f>IF(BE90="","",IF(COUNT(BE$61:BE90)&lt;=BH$31,BF$33,IF(COUNT(BE$61:BE90)&lt;=2*BH$31,BF$34,IF(COUNT(BE$61:BE90)&lt;=3*BH$31,BF$35))))</f>
        <v/>
      </c>
      <c r="BG90" s="173" t="str">
        <f>IF(BE90="","",IF(BF90=BF$33,BH$33+BH$32*(COUNT(BE$61:BE90)-1),IF(BF90=BF$34,BH$34+BH$32*(COUNT(BE$61:BE90)-BH$31-1),IF(BF90=BF$35,BH$33+BH$32*(COUNT(BE$61:BE90)-2*BH$31-1)))))</f>
        <v/>
      </c>
      <c r="BH90" s="180" t="str" cm="1">
        <f t="array" ref="BH90">IF(BF90="","",MAX($C$5,IF(BE90=90,IF(OR(BG90=BH$13,BG90=BH$14,BG90=BE$4-BH$14,BG90=BE$4-BH$13),BF$7,IF(OR(BF90=BF$20,BF90=BF$24),BF$8,IF(OR(BF90=BF$21:BF$23),BF$9))),BF$10)))</f>
        <v/>
      </c>
      <c r="BI90" s="277"/>
      <c r="BJ90" s="185" t="str">
        <f t="shared" si="60"/>
        <v/>
      </c>
      <c r="BK90" s="173" t="str">
        <f>IF(BJ90="","",IF(COUNT(BJ$61:BJ90)&lt;=BM$31-1,BK$33,IF(COUNT(BJ$61:BJ90)&lt;=2*BM$31-1,BK$34)))</f>
        <v/>
      </c>
      <c r="BL90" s="173" t="str">
        <f>IF(BJ90="","",IF(BK90=BK$33,BM$33+BM$32*(COUNT(BJ$61:BJ90)-1),IF(BK90=BK$34,BM$34+BM$32*(COUNT(BJ$61:BJ90)-BM$31))))</f>
        <v/>
      </c>
      <c r="BM90" s="180" t="str" cm="1">
        <f t="array" ref="BM90">IF(BK90="","",MAX($C$5,IF(BJ90=90,IF(OR(BL90=BM$13,BL90=BM$14,BL90=BJ$4-BM$14,BL90=BJ$4-BM$13),BK$7,IF(OR(BK90=BK$20,BK90=BK$24),BK$8,IF(OR(BK90=BK$21:BK$23),BK$9))),BK$10)))</f>
        <v/>
      </c>
      <c r="BN90" s="168"/>
      <c r="BO90" s="185" t="str">
        <f t="shared" si="61"/>
        <v/>
      </c>
      <c r="BP90" s="173" t="str">
        <f>IF(BO90="","",IF(COUNT(BO$61:BO90)&lt;=BR$31-1,BP$33,IF(COUNT(BO$61:BO90)&lt;=2*BR$31-1,BP$34)))</f>
        <v/>
      </c>
      <c r="BQ90" s="173" t="str">
        <f>IF(BO90="","",IF(BP90=BP$33,BR$33+BR$32*(COUNT(BO$61:BO90)-1),IF(BP90=BP$34,BR$34+BR$32*(COUNT(BO$61:BO90)-BR$31))))</f>
        <v/>
      </c>
      <c r="BR90" s="180" t="str" cm="1">
        <f t="array" ref="BR90">IF(BP90="","",MAX($C$5,IF(BO90=90,IF(OR(BQ90=BR$13,BQ90=BR$14,BQ90=BO$4-BR$14,BQ90=BO$4-BR$13),BP$7,IF(OR(BP90=BP$20,BP90=BP$24),BP$8,IF(OR(BP90=BP$21:BP$23),BP$9))),BP$10)))</f>
        <v/>
      </c>
      <c r="BS90" s="168"/>
      <c r="BT90" s="185" t="str">
        <f t="shared" si="62"/>
        <v/>
      </c>
      <c r="BU90" s="173" t="str">
        <f>IF(BT90="","",IF(COUNT(BT$61:BT90)&lt;=BW$31-1,BU$33,IF(COUNT(BT$61:BT90)&lt;=2*BW$31-1,BU$34)))</f>
        <v/>
      </c>
      <c r="BV90" s="173" t="str">
        <f>IF(BT90="","",IF(BU90=BU$33,BW$33+BW$32*(COUNT(BT$61:BT90)-1),IF(BU90=BU$34,BW$34+BW$32*(COUNT(BT$61:BT90)-BW$31))))</f>
        <v/>
      </c>
      <c r="BW90" s="180" t="str" cm="1">
        <f t="array" ref="BW90">IF(BU90="","",MAX($C$5,IF(BT90=90,IF(OR(BV90=BW$13,BV90=BW$14,BV90=BT$4-BW$14,BV90=BT$4-BW$13),BU$7,IF(OR(BU90=BU$20,BU90=BU$24),BU$8,IF(OR(BU90=BU$21:BU$23),BU$9))),BU$10)))</f>
        <v/>
      </c>
      <c r="BX90" s="288"/>
    </row>
    <row r="91" spans="1:76">
      <c r="A91" s="168"/>
      <c r="B91" s="185">
        <f t="shared" si="63"/>
        <v>45</v>
      </c>
      <c r="C91" s="173">
        <f>IF(B91="","",IF(COUNT(B$61:B91)&lt;=E$31,C$33,IF(COUNT(B$61:B91)&lt;=2*E$31,C$34,IF(COUNT(B$61:B91)&lt;=3*E$31,C$35,IF(COUNT(B$61:B91)&lt;=4*E$31,C$36)))))</f>
        <v>96.5</v>
      </c>
      <c r="D91" s="173">
        <f>IF(B91="","",IF(C91=C$33,E$33+E$32*(COUNT(B$61:B91)-1),IF(C91=C$34,E$34+E$32*(COUNT(B$61:B91)-E$31-1),IF(C91=C$35,E$34+E$32*(COUNT(B$61:B91)-2*E$31-1),IF(C91=C$36,E$33+E$32*(COUNT(B$61:B91)-3*E$31-1))))))</f>
        <v>463</v>
      </c>
      <c r="E91" s="180" cm="1">
        <f t="array" ref="E91">IF(C91="","",MAX($C$5,IF(B91=90,IF(OR(D91=E$13,D91=E$14,D91=B$4-E$14,D91=B$4-E$13),C$7,IF(OR(C91=C$20,C91=C$24),C$8,IF(OR(C91=C$21:C$23),C$9))),C$10)))</f>
        <v>18</v>
      </c>
      <c r="F91" s="168"/>
      <c r="G91" s="185">
        <f t="shared" si="64"/>
        <v>45</v>
      </c>
      <c r="H91" s="173">
        <f>IF(G91="","",IF(COUNT(G$61:G91)&lt;=J$31,H$33,IF(COUNT(G$61:G91)&lt;=2*J$31,H$34,IF(COUNT(G$61:G91)&lt;=3*J$31,H$35,IF(COUNT(G$61:G91)&lt;=4*J$31,H$36)))))</f>
        <v>96.5</v>
      </c>
      <c r="I91" s="173">
        <f>IF(G91="","",IF(H91=H$33,J$33+J$32*(COUNT(G$61:G91)-1),IF(H91=H$34,J$34+J$32*(COUNT(G$61:G91)-J$31-1),IF(H91=H$35,J$34+J$32*(COUNT(G$61:G91)-2*J$31-1),IF(H91=H$36,J$33+J$32*(COUNT(G$61:G91)-3*J$31-1))))))</f>
        <v>463</v>
      </c>
      <c r="J91" s="180" cm="1">
        <f t="array" ref="J91">IF(H91="","",MAX($C$5,IF(G91=90,IF(OR(I91=J$13,I91=J$14,I91=G$4-J$14,I91=G$4-J$13),H$7,IF(OR(H91=H$20,H91=H$24),H$8,IF(OR(H91=H$21:H$23),H$9))),H$10)))</f>
        <v>18</v>
      </c>
      <c r="K91" s="168"/>
      <c r="L91" s="185">
        <f t="shared" si="65"/>
        <v>45</v>
      </c>
      <c r="M91" s="173">
        <f>IF(L91="","",IF(COUNT(L$61:L91)&lt;=O$31,M$33,IF(COUNT(L$61:L91)&lt;=2*O$31,M$34,IF(COUNT(L$61:L91)&lt;=3*O$31,M$35,IF(COUNT(L$61:L91)&lt;=4*O$31,M$36)))))</f>
        <v>96.5</v>
      </c>
      <c r="N91" s="173">
        <f>IF(L91="","",IF(M91=M$33,O$33+O$32*(COUNT(L$61:L91)-1),IF(M91=M$34,O$34+O$32*(COUNT(L$61:L91)-O$31-1),IF(M91=M$35,O$34+O$32*(COUNT(L$61:L91)-2*O$31-1),IF(M91=M$36,O$33+O$32*(COUNT(L$61:L91)-3*O$31-1))))))</f>
        <v>586</v>
      </c>
      <c r="O91" s="180" cm="1">
        <f t="array" ref="O91">IF(M91="","",MAX($C$5,IF(L91=90,IF(OR(N91=O$13,N91=O$14,N91=L$4-O$14,N91=L$4-O$13),M$7,IF(OR(M91=M$20,M91=M$24),M$8,IF(OR(M91=M$21:M$23),M$9))),M$10)))</f>
        <v>18</v>
      </c>
      <c r="P91" s="168"/>
      <c r="Q91" s="185">
        <f t="shared" si="66"/>
        <v>45</v>
      </c>
      <c r="R91" s="173">
        <f>IF(Q91="","",IF(COUNT(Q$61:Q91)&lt;=T$31,R$33,IF(COUNT(Q$61:Q91)&lt;=2*T$31,R$34,IF(COUNT(Q$61:Q91)&lt;=3*T$31,R$35,IF(COUNT(Q$61:Q91)&lt;=4*T$31,R$36)))))</f>
        <v>139.5</v>
      </c>
      <c r="S91" s="173">
        <f>IF(Q91="","",IF(R91=R$33,T$33+T$32*(COUNT(Q$61:Q91)-1),IF(R91=R$34,T$34+T$32*(COUNT(Q$61:Q91)-T$31-1),IF(R91=R$35,T$34+T$32*(COUNT(Q$61:Q91)-2*T$31-1),IF(R91=R$36,T$33+T$32*(COUNT(Q$61:Q91)-3*T$31-1))))))</f>
        <v>156</v>
      </c>
      <c r="T91" s="180" cm="1">
        <f t="array" ref="T91">IF(R91="","",MAX($C$5,IF(Q91=90,IF(OR(S91=T$13,S91=T$14,S91=Q$4-T$14,S91=Q$4-T$13),R$7,IF(OR(R91=R$20,R91=R$24),R$8,IF(OR(R91=R$21:R$23),R$9))),R$10)))</f>
        <v>18</v>
      </c>
      <c r="U91" s="168"/>
      <c r="V91" s="185">
        <f t="shared" si="67"/>
        <v>45</v>
      </c>
      <c r="W91" s="173">
        <f>IF(V91="","",IF(COUNT(V$61:V91)&lt;=Y$31,W$33,IF(COUNT(V$61:V91)&lt;=2*Y$31,W$34,IF(COUNT(V$61:V91)&lt;=3*Y$31,W$35,IF(COUNT(V$61:V91)&lt;=4*Y$31,W$36)))))</f>
        <v>139.5</v>
      </c>
      <c r="X91" s="173">
        <f>IF(V91="","",IF(W91=W$33,Y$33+Y$32*(COUNT(V$61:V91)-1),IF(W91=W$34,Y$34+Y$32*(COUNT(V$61:V91)-Y$31-1),IF(W91=W$35,Y$34+Y$32*(COUNT(V$61:V91)-2*Y$31-1),IF(W91=W$36,Y$33+Y$32*(COUNT(V$61:V91)-3*Y$31-1))))))</f>
        <v>492</v>
      </c>
      <c r="Y91" s="180" cm="1">
        <f t="array" ref="Y91">IF(W91="","",MAX($C$5,IF(V91=90,IF(OR(X91=Y$13,X91=Y$14,X91=V$4-Y$14,X91=V$4-Y$13),W$7,IF(OR(W91=W$20,W91=W$24),W$8,IF(OR(W91=W$21:W$23),W$9))),W$10)))</f>
        <v>18</v>
      </c>
      <c r="Z91" s="168"/>
      <c r="AA91" s="185" t="str">
        <f t="shared" si="68"/>
        <v/>
      </c>
      <c r="AB91" s="173" t="str">
        <f>IF(AA91="","",IF(COUNT(AA$61:AA91)&lt;=AD$31,AB$33,IF(COUNT(AA$61:AA91)&lt;=2*AD$31,AB$34,IF(COUNT(AA$61:AA91)&lt;=3*AD$31,AB$35,IF(COUNT(AA$61:AA91)&lt;=4*AD$31,AB$36)))))</f>
        <v/>
      </c>
      <c r="AC91" s="173" t="str">
        <f>IF(AA91="","",IF(AB91=AB$33,AD$33+AD$32*(COUNT(AA$61:AA91)-1),IF(AB91=AB$34,AD$34+AD$32*(COUNT(AA$61:AA91)-AD$31-1),IF(AB91=AB$35,AD$34+AD$32*(COUNT(AA$61:AA91)-2*AD$31-1),IF(AB91=AB$36,AD$33+AD$32*(COUNT(AA$61:AA91)-3*AD$31-1))))))</f>
        <v/>
      </c>
      <c r="AD91" s="180" t="str" cm="1">
        <f t="array" ref="AD91">IF(AB91="","",MAX($C$5,IF(AA91=90,IF(OR(AC91=AD$13,AC91=AD$14,AC91=AA$4-AD$14,AC91=AA$4-AD$13),AB$7,IF(OR(AB91=AB$20,AB91=AB$24),AB$8,IF(OR(AB91=AB$21:AB$23),AB$9))),AB$10)))</f>
        <v/>
      </c>
      <c r="AE91" s="168"/>
      <c r="AF91" s="185" t="str">
        <f t="shared" si="69"/>
        <v/>
      </c>
      <c r="AG91" s="173" t="str">
        <f>IF(AF91="","",IF(COUNT(AF$61:AF91)&lt;=AI$31,AG$33,IF(COUNT(AF$61:AF91)&lt;=2*AI$31,AG$34,IF(COUNT(AF$61:AF91)&lt;=3*AI$31,AG$35,IF(COUNT(AF$61:AF91)&lt;=4*AI$31,AG$36)))))</f>
        <v/>
      </c>
      <c r="AH91" s="173" t="str">
        <f>IF(AF91="","",IF(AG91=AG$33,AI$33+AI$32*(COUNT(AF$61:AF91)-1),IF(AG91=AG$34,AI$34+AI$32*(COUNT(AF$61:AF91)-AI$31-1),IF(AG91=AG$35,AI$34+AI$32*(COUNT(AF$61:AF91)-2*AI$31-1),IF(AG91=AG$36,AI$33+AI$32*(COUNT(AF$61:AF91)-3*AI$31-1))))))</f>
        <v/>
      </c>
      <c r="AI91" s="180" t="str" cm="1">
        <f t="array" ref="AI91">IF(AG91="","",MAX($C$5,IF(AF91=90,IF(OR(AH91=AI$13,AH91=AI$14,AH91=AF$4-AI$14,AH91=AF$4-AI$13),AG$7,IF(OR(AG91=AG$20,AG91=AG$24),AG$8,IF(OR(AG91=AG$21:AG$23),AG$9))),AG$10)))</f>
        <v/>
      </c>
      <c r="AJ91" s="168"/>
      <c r="AK91" s="185" t="str">
        <f t="shared" si="70"/>
        <v/>
      </c>
      <c r="AL91" s="173" t="str">
        <f>IF(AK91="","",IF(COUNT(AK$61:AK91)&lt;=AN$31,AL$33,IF(COUNT(AK$61:AK91)&lt;=2*AN$31,AL$34,IF(COUNT(AK$61:AK91)&lt;=3*AN$31,AL$35,IF(COUNT(AK$61:AK91)&lt;=4*AN$31,AL$36)))))</f>
        <v/>
      </c>
      <c r="AM91" s="173" t="str">
        <f>IF(AK91="","",IF(AL91=AL$33,AN$33+AN$32*(COUNT(AK$61:AK91)-1),IF(AL91=AL$34,AN$34+AN$32*(COUNT(AK$61:AK91)-AN$31-1),IF(AL91=AL$35,AN$34+AN$32*(COUNT(AK$61:AK91)-2*AN$31-1),IF(AL91=AL$36,AN$33+AN$32*(COUNT(AK$61:AK91)-3*AN$31-1))))))</f>
        <v/>
      </c>
      <c r="AN91" s="180" t="str" cm="1">
        <f t="array" ref="AN91">IF(AL91="","",MAX($C$5,IF(AK91=90,IF(OR(AM91=AN$13,AM91=AN$14,AM91=AK$4-AN$14,AM91=AK$4-AN$13),AL$7,IF(OR(AL91=AL$20,AL91=AL$24),AL$8,IF(OR(AL91=AL$21:AL$23),AL$9))),AL$10)))</f>
        <v/>
      </c>
      <c r="AO91" s="168"/>
      <c r="AP91" s="198">
        <f t="shared" si="56"/>
        <v>45</v>
      </c>
      <c r="AQ91" s="199">
        <f>IF(AP91="","",IF(COUNT(AP$61:AP91)&lt;=AS$31,AQ$33,IF(COUNT(AP$61:AP91)&lt;=2*AS$31,AQ$34,IF(COUNT(AP$61:AP91)&lt;=3*AS$31,AQ$35,IF(COUNT(AP$61:AP91)&lt;=4*AS$31,AQ$36)))))</f>
        <v>139.5</v>
      </c>
      <c r="AR91" s="199">
        <f>IF(AP91="","",IF(AQ91=AQ$33,AS$33+AS$32*(COUNT(AP$61:AP91)-1),IF(AQ91=AQ$34,AS$34+AS$32*(COUNT(AP$61:AP91)-AS$31-1),IF(AQ91=AQ$35,AS$34+AS$32*(COUNT(AP$61:AP91)-2*AS$31-1),IF(AQ91=AQ$36,AS$33+AS$32*(COUNT(AP$61:AP91)-3*AS$31-1))))))</f>
        <v>306</v>
      </c>
      <c r="AS91" s="180" cm="1">
        <f t="array" ref="AS91">IF(AQ91="","",MAX($C$5,IF(AP91=90,IF(OR(AR91=AS$13,AR91=AS$14,AR91=AP$4-AS$14,AR91=AP$4-AS$13),AQ$7,IF(OR(AQ91=AQ$20,AQ91=AQ$24),AQ$8,IF(OR(AQ91=AQ$21:AQ$23),AQ$9))),AQ$10)))</f>
        <v>18</v>
      </c>
      <c r="AT91" s="277"/>
      <c r="AU91" s="185" t="str">
        <f t="shared" si="57"/>
        <v/>
      </c>
      <c r="AV91" s="173" t="str">
        <f>IF(AU91="","",IF(COUNT(AU$61:AU91)&lt;=AX$31,AV$33,IF(COUNT(AU$61:AU91)&lt;=2*AX$31,AV$34,IF(COUNT(AU$61:AU91)&lt;=3*AX$31,AV$35))))</f>
        <v/>
      </c>
      <c r="AW91" s="173" t="str">
        <f>IF(AU91="","",IF(AV91=AV$33,AX$33+AX$32*(COUNT(AU$61:AU91)-1),IF(AV91=AV$34,AX$34+AX$32*(COUNT(AU$61:AU91)-AX$31-1),IF(AV91=AV$35,AX$33+AX$32*(COUNT(AU$61:AU91)-2*AX$31-1)))))</f>
        <v/>
      </c>
      <c r="AX91" s="180" t="str" cm="1">
        <f t="array" ref="AX91">IF(AV91="","",MAX($C$5,IF(AU91=90,IF(OR(AW91=AX$13,AW91=AX$14,AW91=AU$4-AX$14,AW91=AU$4-AX$13),AV$7,IF(OR(AV91=AV$20,AV91=AV$24),AV$8,IF(OR(AV91=AV$21:AV$23),AV$9))),AV$10)))</f>
        <v/>
      </c>
      <c r="AY91" s="168"/>
      <c r="AZ91" s="185" t="str">
        <f t="shared" si="58"/>
        <v/>
      </c>
      <c r="BA91" s="173" t="str">
        <f>IF(AZ91="","",IF(COUNT(AZ$61:AZ91)&lt;=BC$31,BA$33,IF(COUNT(AZ$61:AZ91)&lt;=2*BC$31,BA$34,IF(COUNT(AZ$61:AZ91)&lt;=3*BC$31,BA$35))))</f>
        <v/>
      </c>
      <c r="BB91" s="173" t="str">
        <f>IF(AZ91="","",IF(BA91=BA$33,BC$33+BC$32*(COUNT(AZ$61:AZ91)-1),IF(BA91=BA$34,BC$34+BC$32*(COUNT(AZ$61:AZ91)-BC$31-1),IF(BA91=BA$35,BC$33+BC$32*(COUNT(AZ$61:AZ91)-2*BC$31-1)))))</f>
        <v/>
      </c>
      <c r="BC91" s="180" t="str" cm="1">
        <f t="array" ref="BC91">IF(BA91="","",MAX($C$5,IF(AZ91=90,IF(OR(BB91=BC$13,BB91=BC$14,BB91=AZ$4-BC$14,BB91=AZ$4-BC$13),BA$7,IF(OR(BA91=BA$20,BA91=BA$24),BA$8,IF(OR(BA91=BA$21:BA$23),BA$9))),BA$10)))</f>
        <v/>
      </c>
      <c r="BD91" s="168"/>
      <c r="BE91" s="185" t="str">
        <f t="shared" si="59"/>
        <v/>
      </c>
      <c r="BF91" s="173" t="str">
        <f>IF(BE91="","",IF(COUNT(BE$61:BE91)&lt;=BH$31,BF$33,IF(COUNT(BE$61:BE91)&lt;=2*BH$31,BF$34,IF(COUNT(BE$61:BE91)&lt;=3*BH$31,BF$35))))</f>
        <v/>
      </c>
      <c r="BG91" s="173" t="str">
        <f>IF(BE91="","",IF(BF91=BF$33,BH$33+BH$32*(COUNT(BE$61:BE91)-1),IF(BF91=BF$34,BH$34+BH$32*(COUNT(BE$61:BE91)-BH$31-1),IF(BF91=BF$35,BH$33+BH$32*(COUNT(BE$61:BE91)-2*BH$31-1)))))</f>
        <v/>
      </c>
      <c r="BH91" s="180" t="str" cm="1">
        <f t="array" ref="BH91">IF(BF91="","",MAX($C$5,IF(BE91=90,IF(OR(BG91=BH$13,BG91=BH$14,BG91=BE$4-BH$14,BG91=BE$4-BH$13),BF$7,IF(OR(BF91=BF$20,BF91=BF$24),BF$8,IF(OR(BF91=BF$21:BF$23),BF$9))),BF$10)))</f>
        <v/>
      </c>
      <c r="BI91" s="277"/>
      <c r="BJ91" s="185" t="str">
        <f t="shared" si="60"/>
        <v/>
      </c>
      <c r="BK91" s="173" t="str">
        <f>IF(BJ91="","",IF(COUNT(BJ$61:BJ91)&lt;=BM$31-1,BK$33,IF(COUNT(BJ$61:BJ91)&lt;=2*BM$31-1,BK$34)))</f>
        <v/>
      </c>
      <c r="BL91" s="173" t="str">
        <f>IF(BJ91="","",IF(BK91=BK$33,BM$33+BM$32*(COUNT(BJ$61:BJ91)-1),IF(BK91=BK$34,BM$34+BM$32*(COUNT(BJ$61:BJ91)-BM$31))))</f>
        <v/>
      </c>
      <c r="BM91" s="180" t="str" cm="1">
        <f t="array" ref="BM91">IF(BK91="","",MAX($C$5,IF(BJ91=90,IF(OR(BL91=BM$13,BL91=BM$14,BL91=BJ$4-BM$14,BL91=BJ$4-BM$13),BK$7,IF(OR(BK91=BK$20,BK91=BK$24),BK$8,IF(OR(BK91=BK$21:BK$23),BK$9))),BK$10)))</f>
        <v/>
      </c>
      <c r="BN91" s="168"/>
      <c r="BO91" s="185" t="str">
        <f t="shared" si="61"/>
        <v/>
      </c>
      <c r="BP91" s="173" t="str">
        <f>IF(BO91="","",IF(COUNT(BO$61:BO91)&lt;=BR$31-1,BP$33,IF(COUNT(BO$61:BO91)&lt;=2*BR$31-1,BP$34)))</f>
        <v/>
      </c>
      <c r="BQ91" s="173" t="str">
        <f>IF(BO91="","",IF(BP91=BP$33,BR$33+BR$32*(COUNT(BO$61:BO91)-1),IF(BP91=BP$34,BR$34+BR$32*(COUNT(BO$61:BO91)-BR$31))))</f>
        <v/>
      </c>
      <c r="BR91" s="180" t="str" cm="1">
        <f t="array" ref="BR91">IF(BP91="","",MAX($C$5,IF(BO91=90,IF(OR(BQ91=BR$13,BQ91=BR$14,BQ91=BO$4-BR$14,BQ91=BO$4-BR$13),BP$7,IF(OR(BP91=BP$20,BP91=BP$24),BP$8,IF(OR(BP91=BP$21:BP$23),BP$9))),BP$10)))</f>
        <v/>
      </c>
      <c r="BS91" s="168"/>
      <c r="BT91" s="185" t="str">
        <f t="shared" si="62"/>
        <v/>
      </c>
      <c r="BU91" s="173" t="str">
        <f>IF(BT91="","",IF(COUNT(BT$61:BT91)&lt;=BW$31-1,BU$33,IF(COUNT(BT$61:BT91)&lt;=2*BW$31-1,BU$34)))</f>
        <v/>
      </c>
      <c r="BV91" s="173" t="str">
        <f>IF(BT91="","",IF(BU91=BU$33,BW$33+BW$32*(COUNT(BT$61:BT91)-1),IF(BU91=BU$34,BW$34+BW$32*(COUNT(BT$61:BT91)-BW$31))))</f>
        <v/>
      </c>
      <c r="BW91" s="180" t="str" cm="1">
        <f t="array" ref="BW91">IF(BU91="","",MAX($C$5,IF(BT91=90,IF(OR(BV91=BW$13,BV91=BW$14,BV91=BT$4-BW$14,BV91=BT$4-BW$13),BU$7,IF(OR(BU91=BU$20,BU91=BU$24),BU$8,IF(OR(BU91=BU$21:BU$23),BU$9))),BU$10)))</f>
        <v/>
      </c>
      <c r="BX91" s="288"/>
    </row>
    <row r="92" spans="1:76">
      <c r="A92" s="168"/>
      <c r="B92" s="185">
        <f t="shared" si="63"/>
        <v>45</v>
      </c>
      <c r="C92" s="173">
        <f>IF(B92="","",IF(COUNT(B$61:B92)&lt;=E$31,C$33,IF(COUNT(B$61:B92)&lt;=2*E$31,C$34,IF(COUNT(B$61:B92)&lt;=3*E$31,C$35,IF(COUNT(B$61:B92)&lt;=4*E$31,C$36)))))</f>
        <v>96.5</v>
      </c>
      <c r="D92" s="173">
        <f>IF(B92="","",IF(C92=C$33,E$33+E$32*(COUNT(B$61:B92)-1),IF(C92=C$34,E$34+E$32*(COUNT(B$61:B92)-E$31-1),IF(C92=C$35,E$34+E$32*(COUNT(B$61:B92)-2*E$31-1),IF(C92=C$36,E$33+E$32*(COUNT(B$61:B92)-3*E$31-1))))))</f>
        <v>520</v>
      </c>
      <c r="E92" s="180" cm="1">
        <f t="array" ref="E92">IF(C92="","",MAX($C$5,IF(B92=90,IF(OR(D92=E$13,D92=E$14,D92=B$4-E$14,D92=B$4-E$13),C$7,IF(OR(C92=C$20,C92=C$24),C$8,IF(OR(C92=C$21:C$23),C$9))),C$10)))</f>
        <v>18</v>
      </c>
      <c r="F92" s="168"/>
      <c r="G92" s="185">
        <f t="shared" si="64"/>
        <v>45</v>
      </c>
      <c r="H92" s="173">
        <f>IF(G92="","",IF(COUNT(G$61:G92)&lt;=J$31,H$33,IF(COUNT(G$61:G92)&lt;=2*J$31,H$34,IF(COUNT(G$61:G92)&lt;=3*J$31,H$35,IF(COUNT(G$61:G92)&lt;=4*J$31,H$36)))))</f>
        <v>96.5</v>
      </c>
      <c r="I92" s="173">
        <f>IF(G92="","",IF(H92=H$33,J$33+J$32*(COUNT(G$61:G92)-1),IF(H92=H$34,J$34+J$32*(COUNT(G$61:G92)-J$31-1),IF(H92=H$35,J$34+J$32*(COUNT(G$61:G92)-2*J$31-1),IF(H92=H$36,J$33+J$32*(COUNT(G$61:G92)-3*J$31-1))))))</f>
        <v>520</v>
      </c>
      <c r="J92" s="180" cm="1">
        <f t="array" ref="J92">IF(H92="","",MAX($C$5,IF(G92=90,IF(OR(I92=J$13,I92=J$14,I92=G$4-J$14,I92=G$4-J$13),H$7,IF(OR(H92=H$20,H92=H$24),H$8,IF(OR(H92=H$21:H$23),H$9))),H$10)))</f>
        <v>18</v>
      </c>
      <c r="K92" s="168"/>
      <c r="L92" s="185">
        <f t="shared" si="65"/>
        <v>45</v>
      </c>
      <c r="M92" s="173">
        <f>IF(L92="","",IF(COUNT(L$61:L92)&lt;=O$31,M$33,IF(COUNT(L$61:L92)&lt;=2*O$31,M$34,IF(COUNT(L$61:L92)&lt;=3*O$31,M$35,IF(COUNT(L$61:L92)&lt;=4*O$31,M$36)))))</f>
        <v>96.5</v>
      </c>
      <c r="N92" s="173">
        <f>IF(L92="","",IF(M92=M$33,O$33+O$32*(COUNT(L$61:L92)-1),IF(M92=M$34,O$34+O$32*(COUNT(L$61:L92)-O$31-1),IF(M92=M$35,O$34+O$32*(COUNT(L$61:L92)-2*O$31-1),IF(M92=M$36,O$33+O$32*(COUNT(L$61:L92)-3*O$31-1))))))</f>
        <v>643</v>
      </c>
      <c r="O92" s="180" cm="1">
        <f t="array" ref="O92">IF(M92="","",MAX($C$5,IF(L92=90,IF(OR(N92=O$13,N92=O$14,N92=L$4-O$14,N92=L$4-O$13),M$7,IF(OR(M92=M$20,M92=M$24),M$8,IF(OR(M92=M$21:M$23),M$9))),M$10)))</f>
        <v>18</v>
      </c>
      <c r="P92" s="168"/>
      <c r="Q92" s="185">
        <f t="shared" si="66"/>
        <v>45</v>
      </c>
      <c r="R92" s="173">
        <f>IF(Q92="","",IF(COUNT(Q$61:Q92)&lt;=T$31,R$33,IF(COUNT(Q$61:Q92)&lt;=2*T$31,R$34,IF(COUNT(Q$61:Q92)&lt;=3*T$31,R$35,IF(COUNT(Q$61:Q92)&lt;=4*T$31,R$36)))))</f>
        <v>139.5</v>
      </c>
      <c r="S92" s="173">
        <f>IF(Q92="","",IF(R92=R$33,T$33+T$32*(COUNT(Q$61:Q92)-1),IF(R92=R$34,T$34+T$32*(COUNT(Q$61:Q92)-T$31-1),IF(R92=R$35,T$34+T$32*(COUNT(Q$61:Q92)-2*T$31-1),IF(R92=R$36,T$33+T$32*(COUNT(Q$61:Q92)-3*T$31-1))))))</f>
        <v>213</v>
      </c>
      <c r="T92" s="180" cm="1">
        <f t="array" ref="T92">IF(R92="","",MAX($C$5,IF(Q92=90,IF(OR(S92=T$13,S92=T$14,S92=Q$4-T$14,S92=Q$4-T$13),R$7,IF(OR(R92=R$20,R92=R$24),R$8,IF(OR(R92=R$21:R$23),R$9))),R$10)))</f>
        <v>18</v>
      </c>
      <c r="U92" s="168"/>
      <c r="V92" s="185">
        <f t="shared" si="67"/>
        <v>45</v>
      </c>
      <c r="W92" s="173">
        <f>IF(V92="","",IF(COUNT(V$61:V92)&lt;=Y$31,W$33,IF(COUNT(V$61:V92)&lt;=2*Y$31,W$34,IF(COUNT(V$61:V92)&lt;=3*Y$31,W$35,IF(COUNT(V$61:V92)&lt;=4*Y$31,W$36)))))</f>
        <v>139.5</v>
      </c>
      <c r="X92" s="173">
        <f>IF(V92="","",IF(W92=W$33,Y$33+Y$32*(COUNT(V$61:V92)-1),IF(W92=W$34,Y$34+Y$32*(COUNT(V$61:V92)-Y$31-1),IF(W92=W$35,Y$34+Y$32*(COUNT(V$61:V92)-2*Y$31-1),IF(W92=W$36,Y$33+Y$32*(COUNT(V$61:V92)-3*Y$31-1))))))</f>
        <v>549</v>
      </c>
      <c r="Y92" s="180" cm="1">
        <f t="array" ref="Y92">IF(W92="","",MAX($C$5,IF(V92=90,IF(OR(X92=Y$13,X92=Y$14,X92=V$4-Y$14,X92=V$4-Y$13),W$7,IF(OR(W92=W$20,W92=W$24),W$8,IF(OR(W92=W$21:W$23),W$9))),W$10)))</f>
        <v>18</v>
      </c>
      <c r="Z92" s="168"/>
      <c r="AA92" s="185" t="str">
        <f t="shared" si="68"/>
        <v/>
      </c>
      <c r="AB92" s="173" t="str">
        <f>IF(AA92="","",IF(COUNT(AA$61:AA92)&lt;=AD$31,AB$33,IF(COUNT(AA$61:AA92)&lt;=2*AD$31,AB$34,IF(COUNT(AA$61:AA92)&lt;=3*AD$31,AB$35,IF(COUNT(AA$61:AA92)&lt;=4*AD$31,AB$36)))))</f>
        <v/>
      </c>
      <c r="AC92" s="173" t="str">
        <f>IF(AA92="","",IF(AB92=AB$33,AD$33+AD$32*(COUNT(AA$61:AA92)-1),IF(AB92=AB$34,AD$34+AD$32*(COUNT(AA$61:AA92)-AD$31-1),IF(AB92=AB$35,AD$34+AD$32*(COUNT(AA$61:AA92)-2*AD$31-1),IF(AB92=AB$36,AD$33+AD$32*(COUNT(AA$61:AA92)-3*AD$31-1))))))</f>
        <v/>
      </c>
      <c r="AD92" s="180" t="str" cm="1">
        <f t="array" ref="AD92">IF(AB92="","",MAX($C$5,IF(AA92=90,IF(OR(AC92=AD$13,AC92=AD$14,AC92=AA$4-AD$14,AC92=AA$4-AD$13),AB$7,IF(OR(AB92=AB$20,AB92=AB$24),AB$8,IF(OR(AB92=AB$21:AB$23),AB$9))),AB$10)))</f>
        <v/>
      </c>
      <c r="AE92" s="168"/>
      <c r="AF92" s="185" t="str">
        <f t="shared" si="69"/>
        <v/>
      </c>
      <c r="AG92" s="173" t="str">
        <f>IF(AF92="","",IF(COUNT(AF$61:AF92)&lt;=AI$31,AG$33,IF(COUNT(AF$61:AF92)&lt;=2*AI$31,AG$34,IF(COUNT(AF$61:AF92)&lt;=3*AI$31,AG$35,IF(COUNT(AF$61:AF92)&lt;=4*AI$31,AG$36)))))</f>
        <v/>
      </c>
      <c r="AH92" s="173" t="str">
        <f>IF(AF92="","",IF(AG92=AG$33,AI$33+AI$32*(COUNT(AF$61:AF92)-1),IF(AG92=AG$34,AI$34+AI$32*(COUNT(AF$61:AF92)-AI$31-1),IF(AG92=AG$35,AI$34+AI$32*(COUNT(AF$61:AF92)-2*AI$31-1),IF(AG92=AG$36,AI$33+AI$32*(COUNT(AF$61:AF92)-3*AI$31-1))))))</f>
        <v/>
      </c>
      <c r="AI92" s="180" t="str" cm="1">
        <f t="array" ref="AI92">IF(AG92="","",MAX($C$5,IF(AF92=90,IF(OR(AH92=AI$13,AH92=AI$14,AH92=AF$4-AI$14,AH92=AF$4-AI$13),AG$7,IF(OR(AG92=AG$20,AG92=AG$24),AG$8,IF(OR(AG92=AG$21:AG$23),AG$9))),AG$10)))</f>
        <v/>
      </c>
      <c r="AJ92" s="168"/>
      <c r="AK92" s="185" t="str">
        <f t="shared" si="70"/>
        <v/>
      </c>
      <c r="AL92" s="173" t="str">
        <f>IF(AK92="","",IF(COUNT(AK$61:AK92)&lt;=AN$31,AL$33,IF(COUNT(AK$61:AK92)&lt;=2*AN$31,AL$34,IF(COUNT(AK$61:AK92)&lt;=3*AN$31,AL$35,IF(COUNT(AK$61:AK92)&lt;=4*AN$31,AL$36)))))</f>
        <v/>
      </c>
      <c r="AM92" s="173" t="str">
        <f>IF(AK92="","",IF(AL92=AL$33,AN$33+AN$32*(COUNT(AK$61:AK92)-1),IF(AL92=AL$34,AN$34+AN$32*(COUNT(AK$61:AK92)-AN$31-1),IF(AL92=AL$35,AN$34+AN$32*(COUNT(AK$61:AK92)-2*AN$31-1),IF(AL92=AL$36,AN$33+AN$32*(COUNT(AK$61:AK92)-3*AN$31-1))))))</f>
        <v/>
      </c>
      <c r="AN92" s="180" t="str" cm="1">
        <f t="array" ref="AN92">IF(AL92="","",MAX($C$5,IF(AK92=90,IF(OR(AM92=AN$13,AM92=AN$14,AM92=AK$4-AN$14,AM92=AK$4-AN$13),AL$7,IF(OR(AL92=AL$20,AL92=AL$24),AL$8,IF(OR(AL92=AL$21:AL$23),AL$9))),AL$10)))</f>
        <v/>
      </c>
      <c r="AO92" s="168"/>
      <c r="AP92" s="198">
        <f t="shared" si="56"/>
        <v>45</v>
      </c>
      <c r="AQ92" s="199">
        <f>IF(AP92="","",IF(COUNT(AP$61:AP92)&lt;=AS$31,AQ$33,IF(COUNT(AP$61:AP92)&lt;=2*AS$31,AQ$34,IF(COUNT(AP$61:AP92)&lt;=3*AS$31,AQ$35,IF(COUNT(AP$61:AP92)&lt;=4*AS$31,AQ$36)))))</f>
        <v>139.5</v>
      </c>
      <c r="AR92" s="199">
        <f>IF(AP92="","",IF(AQ92=AQ$33,AS$33+AS$32*(COUNT(AP$61:AP92)-1),IF(AQ92=AQ$34,AS$34+AS$32*(COUNT(AP$61:AP92)-AS$31-1),IF(AQ92=AQ$35,AS$34+AS$32*(COUNT(AP$61:AP92)-2*AS$31-1),IF(AQ92=AQ$36,AS$33+AS$32*(COUNT(AP$61:AP92)-3*AS$31-1))))))</f>
        <v>363</v>
      </c>
      <c r="AS92" s="180" cm="1">
        <f t="array" ref="AS92">IF(AQ92="","",MAX($C$5,IF(AP92=90,IF(OR(AR92=AS$13,AR92=AS$14,AR92=AP$4-AS$14,AR92=AP$4-AS$13),AQ$7,IF(OR(AQ92=AQ$20,AQ92=AQ$24),AQ$8,IF(OR(AQ92=AQ$21:AQ$23),AQ$9))),AQ$10)))</f>
        <v>18</v>
      </c>
      <c r="AT92" s="277"/>
      <c r="AU92" s="185" t="str">
        <f t="shared" si="57"/>
        <v/>
      </c>
      <c r="AV92" s="173" t="str">
        <f>IF(AU92="","",IF(COUNT(AU$61:AU92)&lt;=AX$31,AV$33,IF(COUNT(AU$61:AU92)&lt;=2*AX$31,AV$34,IF(COUNT(AU$61:AU92)&lt;=3*AX$31,AV$35))))</f>
        <v/>
      </c>
      <c r="AW92" s="173" t="str">
        <f>IF(AU92="","",IF(AV92=AV$33,AX$33+AX$32*(COUNT(AU$61:AU92)-1),IF(AV92=AV$34,AX$34+AX$32*(COUNT(AU$61:AU92)-AX$31-1),IF(AV92=AV$35,AX$33+AX$32*(COUNT(AU$61:AU92)-2*AX$31-1)))))</f>
        <v/>
      </c>
      <c r="AX92" s="180" t="str" cm="1">
        <f t="array" ref="AX92">IF(AV92="","",MAX($C$5,IF(AU92=90,IF(OR(AW92=AX$13,AW92=AX$14,AW92=AU$4-AX$14,AW92=AU$4-AX$13),AV$7,IF(OR(AV92=AV$20,AV92=AV$24),AV$8,IF(OR(AV92=AV$21:AV$23),AV$9))),AV$10)))</f>
        <v/>
      </c>
      <c r="AY92" s="168"/>
      <c r="AZ92" s="185" t="str">
        <f t="shared" si="58"/>
        <v/>
      </c>
      <c r="BA92" s="173" t="str">
        <f>IF(AZ92="","",IF(COUNT(AZ$61:AZ92)&lt;=BC$31,BA$33,IF(COUNT(AZ$61:AZ92)&lt;=2*BC$31,BA$34,IF(COUNT(AZ$61:AZ92)&lt;=3*BC$31,BA$35))))</f>
        <v/>
      </c>
      <c r="BB92" s="173" t="str">
        <f>IF(AZ92="","",IF(BA92=BA$33,BC$33+BC$32*(COUNT(AZ$61:AZ92)-1),IF(BA92=BA$34,BC$34+BC$32*(COUNT(AZ$61:AZ92)-BC$31-1),IF(BA92=BA$35,BC$33+BC$32*(COUNT(AZ$61:AZ92)-2*BC$31-1)))))</f>
        <v/>
      </c>
      <c r="BC92" s="180" t="str" cm="1">
        <f t="array" ref="BC92">IF(BA92="","",MAX($C$5,IF(AZ92=90,IF(OR(BB92=BC$13,BB92=BC$14,BB92=AZ$4-BC$14,BB92=AZ$4-BC$13),BA$7,IF(OR(BA92=BA$20,BA92=BA$24),BA$8,IF(OR(BA92=BA$21:BA$23),BA$9))),BA$10)))</f>
        <v/>
      </c>
      <c r="BD92" s="168"/>
      <c r="BE92" s="185" t="str">
        <f t="shared" si="59"/>
        <v/>
      </c>
      <c r="BF92" s="173" t="str">
        <f>IF(BE92="","",IF(COUNT(BE$61:BE92)&lt;=BH$31,BF$33,IF(COUNT(BE$61:BE92)&lt;=2*BH$31,BF$34,IF(COUNT(BE$61:BE92)&lt;=3*BH$31,BF$35))))</f>
        <v/>
      </c>
      <c r="BG92" s="173" t="str">
        <f>IF(BE92="","",IF(BF92=BF$33,BH$33+BH$32*(COUNT(BE$61:BE92)-1),IF(BF92=BF$34,BH$34+BH$32*(COUNT(BE$61:BE92)-BH$31-1),IF(BF92=BF$35,BH$33+BH$32*(COUNT(BE$61:BE92)-2*BH$31-1)))))</f>
        <v/>
      </c>
      <c r="BH92" s="180" t="str" cm="1">
        <f t="array" ref="BH92">IF(BF92="","",MAX($C$5,IF(BE92=90,IF(OR(BG92=BH$13,BG92=BH$14,BG92=BE$4-BH$14,BG92=BE$4-BH$13),BF$7,IF(OR(BF92=BF$20,BF92=BF$24),BF$8,IF(OR(BF92=BF$21:BF$23),BF$9))),BF$10)))</f>
        <v/>
      </c>
      <c r="BI92" s="277"/>
      <c r="BJ92" s="185" t="str">
        <f t="shared" si="60"/>
        <v/>
      </c>
      <c r="BK92" s="173" t="str">
        <f>IF(BJ92="","",IF(COUNT(BJ$61:BJ92)&lt;=BM$31-1,BK$33,IF(COUNT(BJ$61:BJ92)&lt;=2*BM$31-1,BK$34)))</f>
        <v/>
      </c>
      <c r="BL92" s="173" t="str">
        <f>IF(BJ92="","",IF(BK92=BK$33,BM$33+BM$32*(COUNT(BJ$61:BJ92)-1),IF(BK92=BK$34,BM$34+BM$32*(COUNT(BJ$61:BJ92)-BM$31))))</f>
        <v/>
      </c>
      <c r="BM92" s="180" t="str" cm="1">
        <f t="array" ref="BM92">IF(BK92="","",MAX($C$5,IF(BJ92=90,IF(OR(BL92=BM$13,BL92=BM$14,BL92=BJ$4-BM$14,BL92=BJ$4-BM$13),BK$7,IF(OR(BK92=BK$20,BK92=BK$24),BK$8,IF(OR(BK92=BK$21:BK$23),BK$9))),BK$10)))</f>
        <v/>
      </c>
      <c r="BN92" s="168"/>
      <c r="BO92" s="185" t="str">
        <f t="shared" si="61"/>
        <v/>
      </c>
      <c r="BP92" s="173" t="str">
        <f>IF(BO92="","",IF(COUNT(BO$61:BO92)&lt;=BR$31-1,BP$33,IF(COUNT(BO$61:BO92)&lt;=2*BR$31-1,BP$34)))</f>
        <v/>
      </c>
      <c r="BQ92" s="173" t="str">
        <f>IF(BO92="","",IF(BP92=BP$33,BR$33+BR$32*(COUNT(BO$61:BO92)-1),IF(BP92=BP$34,BR$34+BR$32*(COUNT(BO$61:BO92)-BR$31))))</f>
        <v/>
      </c>
      <c r="BR92" s="180" t="str" cm="1">
        <f t="array" ref="BR92">IF(BP92="","",MAX($C$5,IF(BO92=90,IF(OR(BQ92=BR$13,BQ92=BR$14,BQ92=BO$4-BR$14,BQ92=BO$4-BR$13),BP$7,IF(OR(BP92=BP$20,BP92=BP$24),BP$8,IF(OR(BP92=BP$21:BP$23),BP$9))),BP$10)))</f>
        <v/>
      </c>
      <c r="BS92" s="168"/>
      <c r="BT92" s="185" t="str">
        <f t="shared" si="62"/>
        <v/>
      </c>
      <c r="BU92" s="173" t="str">
        <f>IF(BT92="","",IF(COUNT(BT$61:BT92)&lt;=BW$31-1,BU$33,IF(COUNT(BT$61:BT92)&lt;=2*BW$31-1,BU$34)))</f>
        <v/>
      </c>
      <c r="BV92" s="173" t="str">
        <f>IF(BT92="","",IF(BU92=BU$33,BW$33+BW$32*(COUNT(BT$61:BT92)-1),IF(BU92=BU$34,BW$34+BW$32*(COUNT(BT$61:BT92)-BW$31))))</f>
        <v/>
      </c>
      <c r="BW92" s="180" t="str" cm="1">
        <f t="array" ref="BW92">IF(BU92="","",MAX($C$5,IF(BT92=90,IF(OR(BV92=BW$13,BV92=BW$14,BV92=BT$4-BW$14,BV92=BT$4-BW$13),BU$7,IF(OR(BU92=BU$20,BU92=BU$24),BU$8,IF(OR(BU92=BU$21:BU$23),BU$9))),BU$10)))</f>
        <v/>
      </c>
      <c r="BX92" s="288"/>
    </row>
    <row r="93" spans="1:76">
      <c r="A93" s="168"/>
      <c r="B93" s="185">
        <f t="shared" si="63"/>
        <v>45</v>
      </c>
      <c r="C93" s="173">
        <f>IF(B93="","",IF(COUNT(B$61:B93)&lt;=E$31,C$33,IF(COUNT(B$61:B93)&lt;=2*E$31,C$34,IF(COUNT(B$61:B93)&lt;=3*E$31,C$35,IF(COUNT(B$61:B93)&lt;=4*E$31,C$36)))))</f>
        <v>96.5</v>
      </c>
      <c r="D93" s="173">
        <f>IF(B93="","",IF(C93=C$33,E$33+E$32*(COUNT(B$61:B93)-1),IF(C93=C$34,E$34+E$32*(COUNT(B$61:B93)-E$31-1),IF(C93=C$35,E$34+E$32*(COUNT(B$61:B93)-2*E$31-1),IF(C93=C$36,E$33+E$32*(COUNT(B$61:B93)-3*E$31-1))))))</f>
        <v>577</v>
      </c>
      <c r="E93" s="180" cm="1">
        <f t="array" ref="E93">IF(C93="","",MAX($C$5,IF(B93=90,IF(OR(D93=E$13,D93=E$14,D93=B$4-E$14,D93=B$4-E$13),C$7,IF(OR(C93=C$20,C93=C$24),C$8,IF(OR(C93=C$21:C$23),C$9))),C$10)))</f>
        <v>18</v>
      </c>
      <c r="F93" s="168"/>
      <c r="G93" s="185">
        <f t="shared" si="64"/>
        <v>45</v>
      </c>
      <c r="H93" s="173">
        <f>IF(G93="","",IF(COUNT(G$61:G93)&lt;=J$31,H$33,IF(COUNT(G$61:G93)&lt;=2*J$31,H$34,IF(COUNT(G$61:G93)&lt;=3*J$31,H$35,IF(COUNT(G$61:G93)&lt;=4*J$31,H$36)))))</f>
        <v>96.5</v>
      </c>
      <c r="I93" s="173">
        <f>IF(G93="","",IF(H93=H$33,J$33+J$32*(COUNT(G$61:G93)-1),IF(H93=H$34,J$34+J$32*(COUNT(G$61:G93)-J$31-1),IF(H93=H$35,J$34+J$32*(COUNT(G$61:G93)-2*J$31-1),IF(H93=H$36,J$33+J$32*(COUNT(G$61:G93)-3*J$31-1))))))</f>
        <v>577</v>
      </c>
      <c r="J93" s="180" cm="1">
        <f t="array" ref="J93">IF(H93="","",MAX($C$5,IF(G93=90,IF(OR(I93=J$13,I93=J$14,I93=G$4-J$14,I93=G$4-J$13),H$7,IF(OR(H93=H$20,H93=H$24),H$8,IF(OR(H93=H$21:H$23),H$9))),H$10)))</f>
        <v>18</v>
      </c>
      <c r="K93" s="168"/>
      <c r="L93" s="185">
        <f t="shared" si="65"/>
        <v>45</v>
      </c>
      <c r="M93" s="173">
        <f>IF(L93="","",IF(COUNT(L$61:L93)&lt;=O$31,M$33,IF(COUNT(L$61:L93)&lt;=2*O$31,M$34,IF(COUNT(L$61:L93)&lt;=3*O$31,M$35,IF(COUNT(L$61:L93)&lt;=4*O$31,M$36)))))</f>
        <v>96.5</v>
      </c>
      <c r="N93" s="173">
        <f>IF(L93="","",IF(M93=M$33,O$33+O$32*(COUNT(L$61:L93)-1),IF(M93=M$34,O$34+O$32*(COUNT(L$61:L93)-O$31-1),IF(M93=M$35,O$34+O$32*(COUNT(L$61:L93)-2*O$31-1),IF(M93=M$36,O$33+O$32*(COUNT(L$61:L93)-3*O$31-1))))))</f>
        <v>700</v>
      </c>
      <c r="O93" s="180" cm="1">
        <f t="array" ref="O93">IF(M93="","",MAX($C$5,IF(L93=90,IF(OR(N93=O$13,N93=O$14,N93=L$4-O$14,N93=L$4-O$13),M$7,IF(OR(M93=M$20,M93=M$24),M$8,IF(OR(M93=M$21:M$23),M$9))),M$10)))</f>
        <v>18</v>
      </c>
      <c r="P93" s="168"/>
      <c r="Q93" s="185">
        <f t="shared" si="66"/>
        <v>45</v>
      </c>
      <c r="R93" s="173">
        <f>IF(Q93="","",IF(COUNT(Q$61:Q93)&lt;=T$31,R$33,IF(COUNT(Q$61:Q93)&lt;=2*T$31,R$34,IF(COUNT(Q$61:Q93)&lt;=3*T$31,R$35,IF(COUNT(Q$61:Q93)&lt;=4*T$31,R$36)))))</f>
        <v>139.5</v>
      </c>
      <c r="S93" s="173">
        <f>IF(Q93="","",IF(R93=R$33,T$33+T$32*(COUNT(Q$61:Q93)-1),IF(R93=R$34,T$34+T$32*(COUNT(Q$61:Q93)-T$31-1),IF(R93=R$35,T$34+T$32*(COUNT(Q$61:Q93)-2*T$31-1),IF(R93=R$36,T$33+T$32*(COUNT(Q$61:Q93)-3*T$31-1))))))</f>
        <v>270</v>
      </c>
      <c r="T93" s="180" cm="1">
        <f t="array" ref="T93">IF(R93="","",MAX($C$5,IF(Q93=90,IF(OR(S93=T$13,S93=T$14,S93=Q$4-T$14,S93=Q$4-T$13),R$7,IF(OR(R93=R$20,R93=R$24),R$8,IF(OR(R93=R$21:R$23),R$9))),R$10)))</f>
        <v>18</v>
      </c>
      <c r="U93" s="168"/>
      <c r="V93" s="185" t="str">
        <f t="shared" si="67"/>
        <v/>
      </c>
      <c r="W93" s="173" t="str">
        <f>IF(V93="","",IF(COUNT(V$61:V93)&lt;=Y$31,W$33,IF(COUNT(V$61:V93)&lt;=2*Y$31,W$34,IF(COUNT(V$61:V93)&lt;=3*Y$31,W$35,IF(COUNT(V$61:V93)&lt;=4*Y$31,W$36)))))</f>
        <v/>
      </c>
      <c r="X93" s="173" t="str">
        <f>IF(V93="","",IF(W93=W$33,Y$33+Y$32*(COUNT(V$61:V93)-1),IF(W93=W$34,Y$34+Y$32*(COUNT(V$61:V93)-Y$31-1),IF(W93=W$35,Y$34+Y$32*(COUNT(V$61:V93)-2*Y$31-1),IF(W93=W$36,Y$33+Y$32*(COUNT(V$61:V93)-3*Y$31-1))))))</f>
        <v/>
      </c>
      <c r="Y93" s="180" t="str" cm="1">
        <f t="array" ref="Y93">IF(W93="","",MAX($C$5,IF(V93=90,IF(OR(X93=Y$13,X93=Y$14,X93=V$4-Y$14,X93=V$4-Y$13),W$7,IF(OR(W93=W$20,W93=W$24),W$8,IF(OR(W93=W$21:W$23),W$9))),W$10)))</f>
        <v/>
      </c>
      <c r="Z93" s="168"/>
      <c r="AA93" s="185" t="str">
        <f t="shared" si="68"/>
        <v/>
      </c>
      <c r="AB93" s="173" t="str">
        <f>IF(AA93="","",IF(COUNT(AA$61:AA93)&lt;=AD$31,AB$33,IF(COUNT(AA$61:AA93)&lt;=2*AD$31,AB$34,IF(COUNT(AA$61:AA93)&lt;=3*AD$31,AB$35,IF(COUNT(AA$61:AA93)&lt;=4*AD$31,AB$36)))))</f>
        <v/>
      </c>
      <c r="AC93" s="173" t="str">
        <f>IF(AA93="","",IF(AB93=AB$33,AD$33+AD$32*(COUNT(AA$61:AA93)-1),IF(AB93=AB$34,AD$34+AD$32*(COUNT(AA$61:AA93)-AD$31-1),IF(AB93=AB$35,AD$34+AD$32*(COUNT(AA$61:AA93)-2*AD$31-1),IF(AB93=AB$36,AD$33+AD$32*(COUNT(AA$61:AA93)-3*AD$31-1))))))</f>
        <v/>
      </c>
      <c r="AD93" s="180" t="str" cm="1">
        <f t="array" ref="AD93">IF(AB93="","",MAX($C$5,IF(AA93=90,IF(OR(AC93=AD$13,AC93=AD$14,AC93=AA$4-AD$14,AC93=AA$4-AD$13),AB$7,IF(OR(AB93=AB$20,AB93=AB$24),AB$8,IF(OR(AB93=AB$21:AB$23),AB$9))),AB$10)))</f>
        <v/>
      </c>
      <c r="AE93" s="168"/>
      <c r="AF93" s="185" t="str">
        <f t="shared" si="69"/>
        <v/>
      </c>
      <c r="AG93" s="173" t="str">
        <f>IF(AF93="","",IF(COUNT(AF$61:AF93)&lt;=AI$31,AG$33,IF(COUNT(AF$61:AF93)&lt;=2*AI$31,AG$34,IF(COUNT(AF$61:AF93)&lt;=3*AI$31,AG$35,IF(COUNT(AF$61:AF93)&lt;=4*AI$31,AG$36)))))</f>
        <v/>
      </c>
      <c r="AH93" s="173" t="str">
        <f>IF(AF93="","",IF(AG93=AG$33,AI$33+AI$32*(COUNT(AF$61:AF93)-1),IF(AG93=AG$34,AI$34+AI$32*(COUNT(AF$61:AF93)-AI$31-1),IF(AG93=AG$35,AI$34+AI$32*(COUNT(AF$61:AF93)-2*AI$31-1),IF(AG93=AG$36,AI$33+AI$32*(COUNT(AF$61:AF93)-3*AI$31-1))))))</f>
        <v/>
      </c>
      <c r="AI93" s="180" t="str" cm="1">
        <f t="array" ref="AI93">IF(AG93="","",MAX($C$5,IF(AF93=90,IF(OR(AH93=AI$13,AH93=AI$14,AH93=AF$4-AI$14,AH93=AF$4-AI$13),AG$7,IF(OR(AG93=AG$20,AG93=AG$24),AG$8,IF(OR(AG93=AG$21:AG$23),AG$9))),AG$10)))</f>
        <v/>
      </c>
      <c r="AJ93" s="168"/>
      <c r="AK93" s="185" t="str">
        <f t="shared" si="70"/>
        <v/>
      </c>
      <c r="AL93" s="173" t="str">
        <f>IF(AK93="","",IF(COUNT(AK$61:AK93)&lt;=AN$31,AL$33,IF(COUNT(AK$61:AK93)&lt;=2*AN$31,AL$34,IF(COUNT(AK$61:AK93)&lt;=3*AN$31,AL$35,IF(COUNT(AK$61:AK93)&lt;=4*AN$31,AL$36)))))</f>
        <v/>
      </c>
      <c r="AM93" s="173" t="str">
        <f>IF(AK93="","",IF(AL93=AL$33,AN$33+AN$32*(COUNT(AK$61:AK93)-1),IF(AL93=AL$34,AN$34+AN$32*(COUNT(AK$61:AK93)-AN$31-1),IF(AL93=AL$35,AN$34+AN$32*(COUNT(AK$61:AK93)-2*AN$31-1),IF(AL93=AL$36,AN$33+AN$32*(COUNT(AK$61:AK93)-3*AN$31-1))))))</f>
        <v/>
      </c>
      <c r="AN93" s="180" t="str" cm="1">
        <f t="array" ref="AN93">IF(AL93="","",MAX($C$5,IF(AK93=90,IF(OR(AM93=AN$13,AM93=AN$14,AM93=AK$4-AN$14,AM93=AK$4-AN$13),AL$7,IF(OR(AL93=AL$20,AL93=AL$24),AL$8,IF(OR(AL93=AL$21:AL$23),AL$9))),AL$10)))</f>
        <v/>
      </c>
      <c r="AO93" s="168"/>
      <c r="AP93" s="198">
        <f t="shared" si="56"/>
        <v>45</v>
      </c>
      <c r="AQ93" s="199">
        <f>IF(AP93="","",IF(COUNT(AP$61:AP93)&lt;=AS$31,AQ$33,IF(COUNT(AP$61:AP93)&lt;=2*AS$31,AQ$34,IF(COUNT(AP$61:AP93)&lt;=3*AS$31,AQ$35,IF(COUNT(AP$61:AP93)&lt;=4*AS$31,AQ$36)))))</f>
        <v>139.5</v>
      </c>
      <c r="AR93" s="199">
        <f>IF(AP93="","",IF(AQ93=AQ$33,AS$33+AS$32*(COUNT(AP$61:AP93)-1),IF(AQ93=AQ$34,AS$34+AS$32*(COUNT(AP$61:AP93)-AS$31-1),IF(AQ93=AQ$35,AS$34+AS$32*(COUNT(AP$61:AP93)-2*AS$31-1),IF(AQ93=AQ$36,AS$33+AS$32*(COUNT(AP$61:AP93)-3*AS$31-1))))))</f>
        <v>420</v>
      </c>
      <c r="AS93" s="180" cm="1">
        <f t="array" ref="AS93">IF(AQ93="","",MAX($C$5,IF(AP93=90,IF(OR(AR93=AS$13,AR93=AS$14,AR93=AP$4-AS$14,AR93=AP$4-AS$13),AQ$7,IF(OR(AQ93=AQ$20,AQ93=AQ$24),AQ$8,IF(OR(AQ93=AQ$21:AQ$23),AQ$9))),AQ$10)))</f>
        <v>18</v>
      </c>
      <c r="AT93" s="277"/>
      <c r="AU93" s="185" t="str">
        <f t="shared" si="57"/>
        <v/>
      </c>
      <c r="AV93" s="173" t="str">
        <f>IF(AU93="","",IF(COUNT(AU$61:AU93)&lt;=AX$31,AV$33,IF(COUNT(AU$61:AU93)&lt;=2*AX$31,AV$34,IF(COUNT(AU$61:AU93)&lt;=3*AX$31,AV$35))))</f>
        <v/>
      </c>
      <c r="AW93" s="173" t="str">
        <f>IF(AU93="","",IF(AV93=AV$33,AX$33+AX$32*(COUNT(AU$61:AU93)-1),IF(AV93=AV$34,AX$34+AX$32*(COUNT(AU$61:AU93)-AX$31-1),IF(AV93=AV$35,AX$33+AX$32*(COUNT(AU$61:AU93)-2*AX$31-1)))))</f>
        <v/>
      </c>
      <c r="AX93" s="180" t="str" cm="1">
        <f t="array" ref="AX93">IF(AV93="","",MAX($C$5,IF(AU93=90,IF(OR(AW93=AX$13,AW93=AX$14,AW93=AU$4-AX$14,AW93=AU$4-AX$13),AV$7,IF(OR(AV93=AV$20,AV93=AV$24),AV$8,IF(OR(AV93=AV$21:AV$23),AV$9))),AV$10)))</f>
        <v/>
      </c>
      <c r="AY93" s="168"/>
      <c r="AZ93" s="185" t="str">
        <f t="shared" si="58"/>
        <v/>
      </c>
      <c r="BA93" s="173" t="str">
        <f>IF(AZ93="","",IF(COUNT(AZ$61:AZ93)&lt;=BC$31,BA$33,IF(COUNT(AZ$61:AZ93)&lt;=2*BC$31,BA$34,IF(COUNT(AZ$61:AZ93)&lt;=3*BC$31,BA$35))))</f>
        <v/>
      </c>
      <c r="BB93" s="173" t="str">
        <f>IF(AZ93="","",IF(BA93=BA$33,BC$33+BC$32*(COUNT(AZ$61:AZ93)-1),IF(BA93=BA$34,BC$34+BC$32*(COUNT(AZ$61:AZ93)-BC$31-1),IF(BA93=BA$35,BC$33+BC$32*(COUNT(AZ$61:AZ93)-2*BC$31-1)))))</f>
        <v/>
      </c>
      <c r="BC93" s="180" t="str" cm="1">
        <f t="array" ref="BC93">IF(BA93="","",MAX($C$5,IF(AZ93=90,IF(OR(BB93=BC$13,BB93=BC$14,BB93=AZ$4-BC$14,BB93=AZ$4-BC$13),BA$7,IF(OR(BA93=BA$20,BA93=BA$24),BA$8,IF(OR(BA93=BA$21:BA$23),BA$9))),BA$10)))</f>
        <v/>
      </c>
      <c r="BD93" s="168"/>
      <c r="BE93" s="185" t="str">
        <f t="shared" si="59"/>
        <v/>
      </c>
      <c r="BF93" s="173" t="str">
        <f>IF(BE93="","",IF(COUNT(BE$61:BE93)&lt;=BH$31,BF$33,IF(COUNT(BE$61:BE93)&lt;=2*BH$31,BF$34,IF(COUNT(BE$61:BE93)&lt;=3*BH$31,BF$35))))</f>
        <v/>
      </c>
      <c r="BG93" s="173" t="str">
        <f>IF(BE93="","",IF(BF93=BF$33,BH$33+BH$32*(COUNT(BE$61:BE93)-1),IF(BF93=BF$34,BH$34+BH$32*(COUNT(BE$61:BE93)-BH$31-1),IF(BF93=BF$35,BH$33+BH$32*(COUNT(BE$61:BE93)-2*BH$31-1)))))</f>
        <v/>
      </c>
      <c r="BH93" s="180" t="str" cm="1">
        <f t="array" ref="BH93">IF(BF93="","",MAX($C$5,IF(BE93=90,IF(OR(BG93=BH$13,BG93=BH$14,BG93=BE$4-BH$14,BG93=BE$4-BH$13),BF$7,IF(OR(BF93=BF$20,BF93=BF$24),BF$8,IF(OR(BF93=BF$21:BF$23),BF$9))),BF$10)))</f>
        <v/>
      </c>
      <c r="BI93" s="277"/>
      <c r="BJ93" s="185" t="str">
        <f t="shared" si="60"/>
        <v/>
      </c>
      <c r="BK93" s="173" t="str">
        <f>IF(BJ93="","",IF(COUNT(BJ$61:BJ93)&lt;=BM$31-1,BK$33,IF(COUNT(BJ$61:BJ93)&lt;=2*BM$31-1,BK$34)))</f>
        <v/>
      </c>
      <c r="BL93" s="173" t="str">
        <f>IF(BJ93="","",IF(BK93=BK$33,BM$33+BM$32*(COUNT(BJ$61:BJ93)-1),IF(BK93=BK$34,BM$34+BM$32*(COUNT(BJ$61:BJ93)-BM$31))))</f>
        <v/>
      </c>
      <c r="BM93" s="180" t="str" cm="1">
        <f t="array" ref="BM93">IF(BK93="","",MAX($C$5,IF(BJ93=90,IF(OR(BL93=BM$13,BL93=BM$14,BL93=BJ$4-BM$14,BL93=BJ$4-BM$13),BK$7,IF(OR(BK93=BK$20,BK93=BK$24),BK$8,IF(OR(BK93=BK$21:BK$23),BK$9))),BK$10)))</f>
        <v/>
      </c>
      <c r="BN93" s="168"/>
      <c r="BO93" s="185" t="str">
        <f t="shared" si="61"/>
        <v/>
      </c>
      <c r="BP93" s="173" t="str">
        <f>IF(BO93="","",IF(COUNT(BO$61:BO93)&lt;=BR$31-1,BP$33,IF(COUNT(BO$61:BO93)&lt;=2*BR$31-1,BP$34)))</f>
        <v/>
      </c>
      <c r="BQ93" s="173" t="str">
        <f>IF(BO93="","",IF(BP93=BP$33,BR$33+BR$32*(COUNT(BO$61:BO93)-1),IF(BP93=BP$34,BR$34+BR$32*(COUNT(BO$61:BO93)-BR$31))))</f>
        <v/>
      </c>
      <c r="BR93" s="180" t="str" cm="1">
        <f t="array" ref="BR93">IF(BP93="","",MAX($C$5,IF(BO93=90,IF(OR(BQ93=BR$13,BQ93=BR$14,BQ93=BO$4-BR$14,BQ93=BO$4-BR$13),BP$7,IF(OR(BP93=BP$20,BP93=BP$24),BP$8,IF(OR(BP93=BP$21:BP$23),BP$9))),BP$10)))</f>
        <v/>
      </c>
      <c r="BS93" s="168"/>
      <c r="BT93" s="185" t="str">
        <f t="shared" si="62"/>
        <v/>
      </c>
      <c r="BU93" s="173" t="str">
        <f>IF(BT93="","",IF(COUNT(BT$61:BT93)&lt;=BW$31-1,BU$33,IF(COUNT(BT$61:BT93)&lt;=2*BW$31-1,BU$34)))</f>
        <v/>
      </c>
      <c r="BV93" s="173" t="str">
        <f>IF(BT93="","",IF(BU93=BU$33,BW$33+BW$32*(COUNT(BT$61:BT93)-1),IF(BU93=BU$34,BW$34+BW$32*(COUNT(BT$61:BT93)-BW$31))))</f>
        <v/>
      </c>
      <c r="BW93" s="180" t="str" cm="1">
        <f t="array" ref="BW93">IF(BU93="","",MAX($C$5,IF(BT93=90,IF(OR(BV93=BW$13,BV93=BW$14,BV93=BT$4-BW$14,BV93=BT$4-BW$13),BU$7,IF(OR(BU93=BU$20,BU93=BU$24),BU$8,IF(OR(BU93=BU$21:BU$23),BU$9))),BU$10)))</f>
        <v/>
      </c>
      <c r="BX93" s="288"/>
    </row>
    <row r="94" spans="1:76">
      <c r="A94" s="168"/>
      <c r="B94" s="185">
        <f t="shared" si="63"/>
        <v>45</v>
      </c>
      <c r="C94" s="173">
        <f>IF(B94="","",IF(COUNT(B$61:B94)&lt;=E$31,C$33,IF(COUNT(B$61:B94)&lt;=2*E$31,C$34,IF(COUNT(B$61:B94)&lt;=3*E$31,C$35,IF(COUNT(B$61:B94)&lt;=4*E$31,C$36)))))</f>
        <v>96.5</v>
      </c>
      <c r="D94" s="173">
        <f>IF(B94="","",IF(C94=C$33,E$33+E$32*(COUNT(B$61:B94)-1),IF(C94=C$34,E$34+E$32*(COUNT(B$61:B94)-E$31-1),IF(C94=C$35,E$34+E$32*(COUNT(B$61:B94)-2*E$31-1),IF(C94=C$36,E$33+E$32*(COUNT(B$61:B94)-3*E$31-1))))))</f>
        <v>634</v>
      </c>
      <c r="E94" s="180" cm="1">
        <f t="array" ref="E94">IF(C94="","",MAX($C$5,IF(B94=90,IF(OR(D94=E$13,D94=E$14,D94=B$4-E$14,D94=B$4-E$13),C$7,IF(OR(C94=C$20,C94=C$24),C$8,IF(OR(C94=C$21:C$23),C$9))),C$10)))</f>
        <v>18</v>
      </c>
      <c r="F94" s="168"/>
      <c r="G94" s="185">
        <f t="shared" si="64"/>
        <v>45</v>
      </c>
      <c r="H94" s="173">
        <f>IF(G94="","",IF(COUNT(G$61:G94)&lt;=J$31,H$33,IF(COUNT(G$61:G94)&lt;=2*J$31,H$34,IF(COUNT(G$61:G94)&lt;=3*J$31,H$35,IF(COUNT(G$61:G94)&lt;=4*J$31,H$36)))))</f>
        <v>96.5</v>
      </c>
      <c r="I94" s="173">
        <f>IF(G94="","",IF(H94=H$33,J$33+J$32*(COUNT(G$61:G94)-1),IF(H94=H$34,J$34+J$32*(COUNT(G$61:G94)-J$31-1),IF(H94=H$35,J$34+J$32*(COUNT(G$61:G94)-2*J$31-1),IF(H94=H$36,J$33+J$32*(COUNT(G$61:G94)-3*J$31-1))))))</f>
        <v>634</v>
      </c>
      <c r="J94" s="180" cm="1">
        <f t="array" ref="J94">IF(H94="","",MAX($C$5,IF(G94=90,IF(OR(I94=J$13,I94=J$14,I94=G$4-J$14,I94=G$4-J$13),H$7,IF(OR(H94=H$20,H94=H$24),H$8,IF(OR(H94=H$21:H$23),H$9))),H$10)))</f>
        <v>18</v>
      </c>
      <c r="K94" s="168"/>
      <c r="L94" s="185">
        <f t="shared" si="65"/>
        <v>45</v>
      </c>
      <c r="M94" s="173">
        <f>IF(L94="","",IF(COUNT(L$61:L94)&lt;=O$31,M$33,IF(COUNT(L$61:L94)&lt;=2*O$31,M$34,IF(COUNT(L$61:L94)&lt;=3*O$31,M$35,IF(COUNT(L$61:L94)&lt;=4*O$31,M$36)))))</f>
        <v>139.5</v>
      </c>
      <c r="N94" s="173">
        <f>IF(L94="","",IF(M94=M$33,O$33+O$32*(COUNT(L$61:L94)-1),IF(M94=M$34,O$34+O$32*(COUNT(L$61:L94)-O$31-1),IF(M94=M$35,O$34+O$32*(COUNT(L$61:L94)-2*O$31-1),IF(M94=M$36,O$33+O$32*(COUNT(L$61:L94)-3*O$31-1))))))</f>
        <v>159</v>
      </c>
      <c r="O94" s="180" cm="1">
        <f t="array" ref="O94">IF(M94="","",MAX($C$5,IF(L94=90,IF(OR(N94=O$13,N94=O$14,N94=L$4-O$14,N94=L$4-O$13),M$7,IF(OR(M94=M$20,M94=M$24),M$8,IF(OR(M94=M$21:M$23),M$9))),M$10)))</f>
        <v>18</v>
      </c>
      <c r="P94" s="168"/>
      <c r="Q94" s="185">
        <f t="shared" si="66"/>
        <v>45</v>
      </c>
      <c r="R94" s="173">
        <f>IF(Q94="","",IF(COUNT(Q$61:Q94)&lt;=T$31,R$33,IF(COUNT(Q$61:Q94)&lt;=2*T$31,R$34,IF(COUNT(Q$61:Q94)&lt;=3*T$31,R$35,IF(COUNT(Q$61:Q94)&lt;=4*T$31,R$36)))))</f>
        <v>139.5</v>
      </c>
      <c r="S94" s="173">
        <f>IF(Q94="","",IF(R94=R$33,T$33+T$32*(COUNT(Q$61:Q94)-1),IF(R94=R$34,T$34+T$32*(COUNT(Q$61:Q94)-T$31-1),IF(R94=R$35,T$34+T$32*(COUNT(Q$61:Q94)-2*T$31-1),IF(R94=R$36,T$33+T$32*(COUNT(Q$61:Q94)-3*T$31-1))))))</f>
        <v>327</v>
      </c>
      <c r="T94" s="180" cm="1">
        <f t="array" ref="T94">IF(R94="","",MAX($C$5,IF(Q94=90,IF(OR(S94=T$13,S94=T$14,S94=Q$4-T$14,S94=Q$4-T$13),R$7,IF(OR(R94=R$20,R94=R$24),R$8,IF(OR(R94=R$21:R$23),R$9))),R$10)))</f>
        <v>18</v>
      </c>
      <c r="U94" s="168"/>
      <c r="V94" s="185" t="str">
        <f t="shared" si="67"/>
        <v/>
      </c>
      <c r="W94" s="173" t="str">
        <f>IF(V94="","",IF(COUNT(V$61:V94)&lt;=Y$31,W$33,IF(COUNT(V$61:V94)&lt;=2*Y$31,W$34,IF(COUNT(V$61:V94)&lt;=3*Y$31,W$35,IF(COUNT(V$61:V94)&lt;=4*Y$31,W$36)))))</f>
        <v/>
      </c>
      <c r="X94" s="173" t="str">
        <f>IF(V94="","",IF(W94=W$33,Y$33+Y$32*(COUNT(V$61:V94)-1),IF(W94=W$34,Y$34+Y$32*(COUNT(V$61:V94)-Y$31-1),IF(W94=W$35,Y$34+Y$32*(COUNT(V$61:V94)-2*Y$31-1),IF(W94=W$36,Y$33+Y$32*(COUNT(V$61:V94)-3*Y$31-1))))))</f>
        <v/>
      </c>
      <c r="Y94" s="180" t="str" cm="1">
        <f t="array" ref="Y94">IF(W94="","",MAX($C$5,IF(V94=90,IF(OR(X94=Y$13,X94=Y$14,X94=V$4-Y$14,X94=V$4-Y$13),W$7,IF(OR(W94=W$20,W94=W$24),W$8,IF(OR(W94=W$21:W$23),W$9))),W$10)))</f>
        <v/>
      </c>
      <c r="Z94" s="168"/>
      <c r="AA94" s="185" t="str">
        <f t="shared" si="68"/>
        <v/>
      </c>
      <c r="AB94" s="173" t="str">
        <f>IF(AA94="","",IF(COUNT(AA$61:AA94)&lt;=AD$31,AB$33,IF(COUNT(AA$61:AA94)&lt;=2*AD$31,AB$34,IF(COUNT(AA$61:AA94)&lt;=3*AD$31,AB$35,IF(COUNT(AA$61:AA94)&lt;=4*AD$31,AB$36)))))</f>
        <v/>
      </c>
      <c r="AC94" s="173" t="str">
        <f>IF(AA94="","",IF(AB94=AB$33,AD$33+AD$32*(COUNT(AA$61:AA94)-1),IF(AB94=AB$34,AD$34+AD$32*(COUNT(AA$61:AA94)-AD$31-1),IF(AB94=AB$35,AD$34+AD$32*(COUNT(AA$61:AA94)-2*AD$31-1),IF(AB94=AB$36,AD$33+AD$32*(COUNT(AA$61:AA94)-3*AD$31-1))))))</f>
        <v/>
      </c>
      <c r="AD94" s="180" t="str" cm="1">
        <f t="array" ref="AD94">IF(AB94="","",MAX($C$5,IF(AA94=90,IF(OR(AC94=AD$13,AC94=AD$14,AC94=AA$4-AD$14,AC94=AA$4-AD$13),AB$7,IF(OR(AB94=AB$20,AB94=AB$24),AB$8,IF(OR(AB94=AB$21:AB$23),AB$9))),AB$10)))</f>
        <v/>
      </c>
      <c r="AE94" s="168"/>
      <c r="AF94" s="185" t="str">
        <f t="shared" si="69"/>
        <v/>
      </c>
      <c r="AG94" s="173" t="str">
        <f>IF(AF94="","",IF(COUNT(AF$61:AF94)&lt;=AI$31,AG$33,IF(COUNT(AF$61:AF94)&lt;=2*AI$31,AG$34,IF(COUNT(AF$61:AF94)&lt;=3*AI$31,AG$35,IF(COUNT(AF$61:AF94)&lt;=4*AI$31,AG$36)))))</f>
        <v/>
      </c>
      <c r="AH94" s="173" t="str">
        <f>IF(AF94="","",IF(AG94=AG$33,AI$33+AI$32*(COUNT(AF$61:AF94)-1),IF(AG94=AG$34,AI$34+AI$32*(COUNT(AF$61:AF94)-AI$31-1),IF(AG94=AG$35,AI$34+AI$32*(COUNT(AF$61:AF94)-2*AI$31-1),IF(AG94=AG$36,AI$33+AI$32*(COUNT(AF$61:AF94)-3*AI$31-1))))))</f>
        <v/>
      </c>
      <c r="AI94" s="180" t="str" cm="1">
        <f t="array" ref="AI94">IF(AG94="","",MAX($C$5,IF(AF94=90,IF(OR(AH94=AI$13,AH94=AI$14,AH94=AF$4-AI$14,AH94=AF$4-AI$13),AG$7,IF(OR(AG94=AG$20,AG94=AG$24),AG$8,IF(OR(AG94=AG$21:AG$23),AG$9))),AG$10)))</f>
        <v/>
      </c>
      <c r="AJ94" s="168"/>
      <c r="AK94" s="185" t="str">
        <f t="shared" si="70"/>
        <v/>
      </c>
      <c r="AL94" s="173" t="str">
        <f>IF(AK94="","",IF(COUNT(AK$61:AK94)&lt;=AN$31,AL$33,IF(COUNT(AK$61:AK94)&lt;=2*AN$31,AL$34,IF(COUNT(AK$61:AK94)&lt;=3*AN$31,AL$35,IF(COUNT(AK$61:AK94)&lt;=4*AN$31,AL$36)))))</f>
        <v/>
      </c>
      <c r="AM94" s="173" t="str">
        <f>IF(AK94="","",IF(AL94=AL$33,AN$33+AN$32*(COUNT(AK$61:AK94)-1),IF(AL94=AL$34,AN$34+AN$32*(COUNT(AK$61:AK94)-AN$31-1),IF(AL94=AL$35,AN$34+AN$32*(COUNT(AK$61:AK94)-2*AN$31-1),IF(AL94=AL$36,AN$33+AN$32*(COUNT(AK$61:AK94)-3*AN$31-1))))))</f>
        <v/>
      </c>
      <c r="AN94" s="180" t="str" cm="1">
        <f t="array" ref="AN94">IF(AL94="","",MAX($C$5,IF(AK94=90,IF(OR(AM94=AN$13,AM94=AN$14,AM94=AK$4-AN$14,AM94=AK$4-AN$13),AL$7,IF(OR(AL94=AL$20,AL94=AL$24),AL$8,IF(OR(AL94=AL$21:AL$23),AL$9))),AL$10)))</f>
        <v/>
      </c>
      <c r="AO94" s="168"/>
      <c r="AP94" s="198">
        <f t="shared" si="56"/>
        <v>45</v>
      </c>
      <c r="AQ94" s="199">
        <f>IF(AP94="","",IF(COUNT(AP$61:AP94)&lt;=AS$31,AQ$33,IF(COUNT(AP$61:AP94)&lt;=2*AS$31,AQ$34,IF(COUNT(AP$61:AP94)&lt;=3*AS$31,AQ$35,IF(COUNT(AP$61:AP94)&lt;=4*AS$31,AQ$36)))))</f>
        <v>139.5</v>
      </c>
      <c r="AR94" s="199">
        <f>IF(AP94="","",IF(AQ94=AQ$33,AS$33+AS$32*(COUNT(AP$61:AP94)-1),IF(AQ94=AQ$34,AS$34+AS$32*(COUNT(AP$61:AP94)-AS$31-1),IF(AQ94=AQ$35,AS$34+AS$32*(COUNT(AP$61:AP94)-2*AS$31-1),IF(AQ94=AQ$36,AS$33+AS$32*(COUNT(AP$61:AP94)-3*AS$31-1))))))</f>
        <v>477</v>
      </c>
      <c r="AS94" s="180" cm="1">
        <f t="array" ref="AS94">IF(AQ94="","",MAX($C$5,IF(AP94=90,IF(OR(AR94=AS$13,AR94=AS$14,AR94=AP$4-AS$14,AR94=AP$4-AS$13),AQ$7,IF(OR(AQ94=AQ$20,AQ94=AQ$24),AQ$8,IF(OR(AQ94=AQ$21:AQ$23),AQ$9))),AQ$10)))</f>
        <v>18</v>
      </c>
      <c r="AT94" s="277"/>
      <c r="AU94" s="185" t="str">
        <f t="shared" si="57"/>
        <v/>
      </c>
      <c r="AV94" s="173" t="str">
        <f>IF(AU94="","",IF(COUNT(AU$61:AU94)&lt;=AX$31,AV$33,IF(COUNT(AU$61:AU94)&lt;=2*AX$31,AV$34,IF(COUNT(AU$61:AU94)&lt;=3*AX$31,AV$35))))</f>
        <v/>
      </c>
      <c r="AW94" s="173" t="str">
        <f>IF(AU94="","",IF(AV94=AV$33,AX$33+AX$32*(COUNT(AU$61:AU94)-1),IF(AV94=AV$34,AX$34+AX$32*(COUNT(AU$61:AU94)-AX$31-1),IF(AV94=AV$35,AX$33+AX$32*(COUNT(AU$61:AU94)-2*AX$31-1)))))</f>
        <v/>
      </c>
      <c r="AX94" s="180" t="str" cm="1">
        <f t="array" ref="AX94">IF(AV94="","",MAX($C$5,IF(AU94=90,IF(OR(AW94=AX$13,AW94=AX$14,AW94=AU$4-AX$14,AW94=AU$4-AX$13),AV$7,IF(OR(AV94=AV$20,AV94=AV$24),AV$8,IF(OR(AV94=AV$21:AV$23),AV$9))),AV$10)))</f>
        <v/>
      </c>
      <c r="AY94" s="168"/>
      <c r="AZ94" s="185" t="str">
        <f t="shared" si="58"/>
        <v/>
      </c>
      <c r="BA94" s="173" t="str">
        <f>IF(AZ94="","",IF(COUNT(AZ$61:AZ94)&lt;=BC$31,BA$33,IF(COUNT(AZ$61:AZ94)&lt;=2*BC$31,BA$34,IF(COUNT(AZ$61:AZ94)&lt;=3*BC$31,BA$35))))</f>
        <v/>
      </c>
      <c r="BB94" s="173" t="str">
        <f>IF(AZ94="","",IF(BA94=BA$33,BC$33+BC$32*(COUNT(AZ$61:AZ94)-1),IF(BA94=BA$34,BC$34+BC$32*(COUNT(AZ$61:AZ94)-BC$31-1),IF(BA94=BA$35,BC$33+BC$32*(COUNT(AZ$61:AZ94)-2*BC$31-1)))))</f>
        <v/>
      </c>
      <c r="BC94" s="180" t="str" cm="1">
        <f t="array" ref="BC94">IF(BA94="","",MAX($C$5,IF(AZ94=90,IF(OR(BB94=BC$13,BB94=BC$14,BB94=AZ$4-BC$14,BB94=AZ$4-BC$13),BA$7,IF(OR(BA94=BA$20,BA94=BA$24),BA$8,IF(OR(BA94=BA$21:BA$23),BA$9))),BA$10)))</f>
        <v/>
      </c>
      <c r="BD94" s="168"/>
      <c r="BE94" s="185" t="str">
        <f t="shared" si="59"/>
        <v/>
      </c>
      <c r="BF94" s="173" t="str">
        <f>IF(BE94="","",IF(COUNT(BE$61:BE94)&lt;=BH$31,BF$33,IF(COUNT(BE$61:BE94)&lt;=2*BH$31,BF$34,IF(COUNT(BE$61:BE94)&lt;=3*BH$31,BF$35))))</f>
        <v/>
      </c>
      <c r="BG94" s="173" t="str">
        <f>IF(BE94="","",IF(BF94=BF$33,BH$33+BH$32*(COUNT(BE$61:BE94)-1),IF(BF94=BF$34,BH$34+BH$32*(COUNT(BE$61:BE94)-BH$31-1),IF(BF94=BF$35,BH$33+BH$32*(COUNT(BE$61:BE94)-2*BH$31-1)))))</f>
        <v/>
      </c>
      <c r="BH94" s="180" t="str" cm="1">
        <f t="array" ref="BH94">IF(BF94="","",MAX($C$5,IF(BE94=90,IF(OR(BG94=BH$13,BG94=BH$14,BG94=BE$4-BH$14,BG94=BE$4-BH$13),BF$7,IF(OR(BF94=BF$20,BF94=BF$24),BF$8,IF(OR(BF94=BF$21:BF$23),BF$9))),BF$10)))</f>
        <v/>
      </c>
      <c r="BI94" s="277"/>
      <c r="BJ94" s="185" t="str">
        <f t="shared" si="60"/>
        <v/>
      </c>
      <c r="BK94" s="173" t="str">
        <f>IF(BJ94="","",IF(COUNT(BJ$61:BJ94)&lt;=BM$31-1,BK$33,IF(COUNT(BJ$61:BJ94)&lt;=2*BM$31-1,BK$34)))</f>
        <v/>
      </c>
      <c r="BL94" s="173" t="str">
        <f>IF(BJ94="","",IF(BK94=BK$33,BM$33+BM$32*(COUNT(BJ$61:BJ94)-1),IF(BK94=BK$34,BM$34+BM$32*(COUNT(BJ$61:BJ94)-BM$31))))</f>
        <v/>
      </c>
      <c r="BM94" s="180" t="str" cm="1">
        <f t="array" ref="BM94">IF(BK94="","",MAX($C$5,IF(BJ94=90,IF(OR(BL94=BM$13,BL94=BM$14,BL94=BJ$4-BM$14,BL94=BJ$4-BM$13),BK$7,IF(OR(BK94=BK$20,BK94=BK$24),BK$8,IF(OR(BK94=BK$21:BK$23),BK$9))),BK$10)))</f>
        <v/>
      </c>
      <c r="BN94" s="168"/>
      <c r="BO94" s="185" t="str">
        <f t="shared" si="61"/>
        <v/>
      </c>
      <c r="BP94" s="173" t="str">
        <f>IF(BO94="","",IF(COUNT(BO$61:BO94)&lt;=BR$31-1,BP$33,IF(COUNT(BO$61:BO94)&lt;=2*BR$31-1,BP$34)))</f>
        <v/>
      </c>
      <c r="BQ94" s="173" t="str">
        <f>IF(BO94="","",IF(BP94=BP$33,BR$33+BR$32*(COUNT(BO$61:BO94)-1),IF(BP94=BP$34,BR$34+BR$32*(COUNT(BO$61:BO94)-BR$31))))</f>
        <v/>
      </c>
      <c r="BR94" s="180" t="str" cm="1">
        <f t="array" ref="BR94">IF(BP94="","",MAX($C$5,IF(BO94=90,IF(OR(BQ94=BR$13,BQ94=BR$14,BQ94=BO$4-BR$14,BQ94=BO$4-BR$13),BP$7,IF(OR(BP94=BP$20,BP94=BP$24),BP$8,IF(OR(BP94=BP$21:BP$23),BP$9))),BP$10)))</f>
        <v/>
      </c>
      <c r="BS94" s="168"/>
      <c r="BT94" s="185" t="str">
        <f t="shared" si="62"/>
        <v/>
      </c>
      <c r="BU94" s="173" t="str">
        <f>IF(BT94="","",IF(COUNT(BT$61:BT94)&lt;=BW$31-1,BU$33,IF(COUNT(BT$61:BT94)&lt;=2*BW$31-1,BU$34)))</f>
        <v/>
      </c>
      <c r="BV94" s="173" t="str">
        <f>IF(BT94="","",IF(BU94=BU$33,BW$33+BW$32*(COUNT(BT$61:BT94)-1),IF(BU94=BU$34,BW$34+BW$32*(COUNT(BT$61:BT94)-BW$31))))</f>
        <v/>
      </c>
      <c r="BW94" s="180" t="str" cm="1">
        <f t="array" ref="BW94">IF(BU94="","",MAX($C$5,IF(BT94=90,IF(OR(BV94=BW$13,BV94=BW$14,BV94=BT$4-BW$14,BV94=BT$4-BW$13),BU$7,IF(OR(BU94=BU$20,BU94=BU$24),BU$8,IF(OR(BU94=BU$21:BU$23),BU$9))),BU$10)))</f>
        <v/>
      </c>
      <c r="BX94" s="288"/>
    </row>
    <row r="95" spans="1:76">
      <c r="A95" s="168"/>
      <c r="B95" s="185">
        <f t="shared" si="63"/>
        <v>45</v>
      </c>
      <c r="C95" s="173">
        <f>IF(B95="","",IF(COUNT(B$61:B95)&lt;=E$31,C$33,IF(COUNT(B$61:B95)&lt;=2*E$31,C$34,IF(COUNT(B$61:B95)&lt;=3*E$31,C$35,IF(COUNT(B$61:B95)&lt;=4*E$31,C$36)))))</f>
        <v>96.5</v>
      </c>
      <c r="D95" s="173">
        <f>IF(B95="","",IF(C95=C$33,E$33+E$32*(COUNT(B$61:B95)-1),IF(C95=C$34,E$34+E$32*(COUNT(B$61:B95)-E$31-1),IF(C95=C$35,E$34+E$32*(COUNT(B$61:B95)-2*E$31-1),IF(C95=C$36,E$33+E$32*(COUNT(B$61:B95)-3*E$31-1))))))</f>
        <v>691</v>
      </c>
      <c r="E95" s="180" cm="1">
        <f t="array" ref="E95">IF(C95="","",MAX($C$5,IF(B95=90,IF(OR(D95=E$13,D95=E$14,D95=B$4-E$14,D95=B$4-E$13),C$7,IF(OR(C95=C$20,C95=C$24),C$8,IF(OR(C95=C$21:C$23),C$9))),C$10)))</f>
        <v>18</v>
      </c>
      <c r="F95" s="168"/>
      <c r="G95" s="185">
        <f t="shared" si="64"/>
        <v>45</v>
      </c>
      <c r="H95" s="173">
        <f>IF(G95="","",IF(COUNT(G$61:G95)&lt;=J$31,H$33,IF(COUNT(G$61:G95)&lt;=2*J$31,H$34,IF(COUNT(G$61:G95)&lt;=3*J$31,H$35,IF(COUNT(G$61:G95)&lt;=4*J$31,H$36)))))</f>
        <v>96.5</v>
      </c>
      <c r="I95" s="173">
        <f>IF(G95="","",IF(H95=H$33,J$33+J$32*(COUNT(G$61:G95)-1),IF(H95=H$34,J$34+J$32*(COUNT(G$61:G95)-J$31-1),IF(H95=H$35,J$34+J$32*(COUNT(G$61:G95)-2*J$31-1),IF(H95=H$36,J$33+J$32*(COUNT(G$61:G95)-3*J$31-1))))))</f>
        <v>691</v>
      </c>
      <c r="J95" s="180" cm="1">
        <f t="array" ref="J95">IF(H95="","",MAX($C$5,IF(G95=90,IF(OR(I95=J$13,I95=J$14,I95=G$4-J$14,I95=G$4-J$13),H$7,IF(OR(H95=H$20,H95=H$24),H$8,IF(OR(H95=H$21:H$23),H$9))),H$10)))</f>
        <v>18</v>
      </c>
      <c r="K95" s="168"/>
      <c r="L95" s="185">
        <f t="shared" si="65"/>
        <v>45</v>
      </c>
      <c r="M95" s="173">
        <f>IF(L95="","",IF(COUNT(L$61:L95)&lt;=O$31,M$33,IF(COUNT(L$61:L95)&lt;=2*O$31,M$34,IF(COUNT(L$61:L95)&lt;=3*O$31,M$35,IF(COUNT(L$61:L95)&lt;=4*O$31,M$36)))))</f>
        <v>139.5</v>
      </c>
      <c r="N95" s="173">
        <f>IF(L95="","",IF(M95=M$33,O$33+O$32*(COUNT(L$61:L95)-1),IF(M95=M$34,O$34+O$32*(COUNT(L$61:L95)-O$31-1),IF(M95=M$35,O$34+O$32*(COUNT(L$61:L95)-2*O$31-1),IF(M95=M$36,O$33+O$32*(COUNT(L$61:L95)-3*O$31-1))))))</f>
        <v>216</v>
      </c>
      <c r="O95" s="180" cm="1">
        <f t="array" ref="O95">IF(M95="","",MAX($C$5,IF(L95=90,IF(OR(N95=O$13,N95=O$14,N95=L$4-O$14,N95=L$4-O$13),M$7,IF(OR(M95=M$20,M95=M$24),M$8,IF(OR(M95=M$21:M$23),M$9))),M$10)))</f>
        <v>18</v>
      </c>
      <c r="P95" s="168"/>
      <c r="Q95" s="185">
        <f t="shared" si="66"/>
        <v>45</v>
      </c>
      <c r="R95" s="173">
        <f>IF(Q95="","",IF(COUNT(Q$61:Q95)&lt;=T$31,R$33,IF(COUNT(Q$61:Q95)&lt;=2*T$31,R$34,IF(COUNT(Q$61:Q95)&lt;=3*T$31,R$35,IF(COUNT(Q$61:Q95)&lt;=4*T$31,R$36)))))</f>
        <v>139.5</v>
      </c>
      <c r="S95" s="173">
        <f>IF(Q95="","",IF(R95=R$33,T$33+T$32*(COUNT(Q$61:Q95)-1),IF(R95=R$34,T$34+T$32*(COUNT(Q$61:Q95)-T$31-1),IF(R95=R$35,T$34+T$32*(COUNT(Q$61:Q95)-2*T$31-1),IF(R95=R$36,T$33+T$32*(COUNT(Q$61:Q95)-3*T$31-1))))))</f>
        <v>384</v>
      </c>
      <c r="T95" s="180" cm="1">
        <f t="array" ref="T95">IF(R95="","",MAX($C$5,IF(Q95=90,IF(OR(S95=T$13,S95=T$14,S95=Q$4-T$14,S95=Q$4-T$13),R$7,IF(OR(R95=R$20,R95=R$24),R$8,IF(OR(R95=R$21:R$23),R$9))),R$10)))</f>
        <v>18</v>
      </c>
      <c r="U95" s="168"/>
      <c r="V95" s="185" t="str">
        <f t="shared" si="67"/>
        <v/>
      </c>
      <c r="W95" s="173" t="str">
        <f>IF(V95="","",IF(COUNT(V$61:V95)&lt;=Y$31,W$33,IF(COUNT(V$61:V95)&lt;=2*Y$31,W$34,IF(COUNT(V$61:V95)&lt;=3*Y$31,W$35,IF(COUNT(V$61:V95)&lt;=4*Y$31,W$36)))))</f>
        <v/>
      </c>
      <c r="X95" s="173" t="str">
        <f>IF(V95="","",IF(W95=W$33,Y$33+Y$32*(COUNT(V$61:V95)-1),IF(W95=W$34,Y$34+Y$32*(COUNT(V$61:V95)-Y$31-1),IF(W95=W$35,Y$34+Y$32*(COUNT(V$61:V95)-2*Y$31-1),IF(W95=W$36,Y$33+Y$32*(COUNT(V$61:V95)-3*Y$31-1))))))</f>
        <v/>
      </c>
      <c r="Y95" s="180" t="str" cm="1">
        <f t="array" ref="Y95">IF(W95="","",MAX($C$5,IF(V95=90,IF(OR(X95=Y$13,X95=Y$14,X95=V$4-Y$14,X95=V$4-Y$13),W$7,IF(OR(W95=W$20,W95=W$24),W$8,IF(OR(W95=W$21:W$23),W$9))),W$10)))</f>
        <v/>
      </c>
      <c r="Z95" s="168"/>
      <c r="AA95" s="185" t="str">
        <f t="shared" si="68"/>
        <v/>
      </c>
      <c r="AB95" s="173" t="str">
        <f>IF(AA95="","",IF(COUNT(AA$61:AA95)&lt;=AD$31,AB$33,IF(COUNT(AA$61:AA95)&lt;=2*AD$31,AB$34,IF(COUNT(AA$61:AA95)&lt;=3*AD$31,AB$35,IF(COUNT(AA$61:AA95)&lt;=4*AD$31,AB$36)))))</f>
        <v/>
      </c>
      <c r="AC95" s="173" t="str">
        <f>IF(AA95="","",IF(AB95=AB$33,AD$33+AD$32*(COUNT(AA$61:AA95)-1),IF(AB95=AB$34,AD$34+AD$32*(COUNT(AA$61:AA95)-AD$31-1),IF(AB95=AB$35,AD$34+AD$32*(COUNT(AA$61:AA95)-2*AD$31-1),IF(AB95=AB$36,AD$33+AD$32*(COUNT(AA$61:AA95)-3*AD$31-1))))))</f>
        <v/>
      </c>
      <c r="AD95" s="180" t="str" cm="1">
        <f t="array" ref="AD95">IF(AB95="","",MAX($C$5,IF(AA95=90,IF(OR(AC95=AD$13,AC95=AD$14,AC95=AA$4-AD$14,AC95=AA$4-AD$13),AB$7,IF(OR(AB95=AB$20,AB95=AB$24),AB$8,IF(OR(AB95=AB$21:AB$23),AB$9))),AB$10)))</f>
        <v/>
      </c>
      <c r="AE95" s="168"/>
      <c r="AF95" s="185" t="str">
        <f t="shared" si="69"/>
        <v/>
      </c>
      <c r="AG95" s="173" t="str">
        <f>IF(AF95="","",IF(COUNT(AF$61:AF95)&lt;=AI$31,AG$33,IF(COUNT(AF$61:AF95)&lt;=2*AI$31,AG$34,IF(COUNT(AF$61:AF95)&lt;=3*AI$31,AG$35,IF(COUNT(AF$61:AF95)&lt;=4*AI$31,AG$36)))))</f>
        <v/>
      </c>
      <c r="AH95" s="173" t="str">
        <f>IF(AF95="","",IF(AG95=AG$33,AI$33+AI$32*(COUNT(AF$61:AF95)-1),IF(AG95=AG$34,AI$34+AI$32*(COUNT(AF$61:AF95)-AI$31-1),IF(AG95=AG$35,AI$34+AI$32*(COUNT(AF$61:AF95)-2*AI$31-1),IF(AG95=AG$36,AI$33+AI$32*(COUNT(AF$61:AF95)-3*AI$31-1))))))</f>
        <v/>
      </c>
      <c r="AI95" s="180" t="str" cm="1">
        <f t="array" ref="AI95">IF(AG95="","",MAX($C$5,IF(AF95=90,IF(OR(AH95=AI$13,AH95=AI$14,AH95=AF$4-AI$14,AH95=AF$4-AI$13),AG$7,IF(OR(AG95=AG$20,AG95=AG$24),AG$8,IF(OR(AG95=AG$21:AG$23),AG$9))),AG$10)))</f>
        <v/>
      </c>
      <c r="AJ95" s="168"/>
      <c r="AK95" s="185" t="str">
        <f t="shared" si="70"/>
        <v/>
      </c>
      <c r="AL95" s="173" t="str">
        <f>IF(AK95="","",IF(COUNT(AK$61:AK95)&lt;=AN$31,AL$33,IF(COUNT(AK$61:AK95)&lt;=2*AN$31,AL$34,IF(COUNT(AK$61:AK95)&lt;=3*AN$31,AL$35,IF(COUNT(AK$61:AK95)&lt;=4*AN$31,AL$36)))))</f>
        <v/>
      </c>
      <c r="AM95" s="173" t="str">
        <f>IF(AK95="","",IF(AL95=AL$33,AN$33+AN$32*(COUNT(AK$61:AK95)-1),IF(AL95=AL$34,AN$34+AN$32*(COUNT(AK$61:AK95)-AN$31-1),IF(AL95=AL$35,AN$34+AN$32*(COUNT(AK$61:AK95)-2*AN$31-1),IF(AL95=AL$36,AN$33+AN$32*(COUNT(AK$61:AK95)-3*AN$31-1))))))</f>
        <v/>
      </c>
      <c r="AN95" s="180" t="str" cm="1">
        <f t="array" ref="AN95">IF(AL95="","",MAX($C$5,IF(AK95=90,IF(OR(AM95=AN$13,AM95=AN$14,AM95=AK$4-AN$14,AM95=AK$4-AN$13),AL$7,IF(OR(AL95=AL$20,AL95=AL$24),AL$8,IF(OR(AL95=AL$21:AL$23),AL$9))),AL$10)))</f>
        <v/>
      </c>
      <c r="AO95" s="168"/>
      <c r="AP95" s="198">
        <f t="shared" si="56"/>
        <v>45</v>
      </c>
      <c r="AQ95" s="199">
        <f>IF(AP95="","",IF(COUNT(AP$61:AP95)&lt;=AS$31,AQ$33,IF(COUNT(AP$61:AP95)&lt;=2*AS$31,AQ$34,IF(COUNT(AP$61:AP95)&lt;=3*AS$31,AQ$35,IF(COUNT(AP$61:AP95)&lt;=4*AS$31,AQ$36)))))</f>
        <v>139.5</v>
      </c>
      <c r="AR95" s="199">
        <f>IF(AP95="","",IF(AQ95=AQ$33,AS$33+AS$32*(COUNT(AP$61:AP95)-1),IF(AQ95=AQ$34,AS$34+AS$32*(COUNT(AP$61:AP95)-AS$31-1),IF(AQ95=AQ$35,AS$34+AS$32*(COUNT(AP$61:AP95)-2*AS$31-1),IF(AQ95=AQ$36,AS$33+AS$32*(COUNT(AP$61:AP95)-3*AS$31-1))))))</f>
        <v>534</v>
      </c>
      <c r="AS95" s="180" cm="1">
        <f t="array" ref="AS95">IF(AQ95="","",MAX($C$5,IF(AP95=90,IF(OR(AR95=AS$13,AR95=AS$14,AR95=AP$4-AS$14,AR95=AP$4-AS$13),AQ$7,IF(OR(AQ95=AQ$20,AQ95=AQ$24),AQ$8,IF(OR(AQ95=AQ$21:AQ$23),AQ$9))),AQ$10)))</f>
        <v>18</v>
      </c>
      <c r="AT95" s="277"/>
      <c r="AU95" s="185" t="str">
        <f t="shared" si="57"/>
        <v/>
      </c>
      <c r="AV95" s="173" t="str">
        <f>IF(AU95="","",IF(COUNT(AU$61:AU95)&lt;=AX$31,AV$33,IF(COUNT(AU$61:AU95)&lt;=2*AX$31,AV$34,IF(COUNT(AU$61:AU95)&lt;=3*AX$31,AV$35))))</f>
        <v/>
      </c>
      <c r="AW95" s="173" t="str">
        <f>IF(AU95="","",IF(AV95=AV$33,AX$33+AX$32*(COUNT(AU$61:AU95)-1),IF(AV95=AV$34,AX$34+AX$32*(COUNT(AU$61:AU95)-AX$31-1),IF(AV95=AV$35,AX$33+AX$32*(COUNT(AU$61:AU95)-2*AX$31-1)))))</f>
        <v/>
      </c>
      <c r="AX95" s="180" t="str" cm="1">
        <f t="array" ref="AX95">IF(AV95="","",MAX($C$5,IF(AU95=90,IF(OR(AW95=AX$13,AW95=AX$14,AW95=AU$4-AX$14,AW95=AU$4-AX$13),AV$7,IF(OR(AV95=AV$20,AV95=AV$24),AV$8,IF(OR(AV95=AV$21:AV$23),AV$9))),AV$10)))</f>
        <v/>
      </c>
      <c r="AY95" s="168"/>
      <c r="AZ95" s="185" t="str">
        <f t="shared" si="58"/>
        <v/>
      </c>
      <c r="BA95" s="173" t="str">
        <f>IF(AZ95="","",IF(COUNT(AZ$61:AZ95)&lt;=BC$31,BA$33,IF(COUNT(AZ$61:AZ95)&lt;=2*BC$31,BA$34,IF(COUNT(AZ$61:AZ95)&lt;=3*BC$31,BA$35))))</f>
        <v/>
      </c>
      <c r="BB95" s="173" t="str">
        <f>IF(AZ95="","",IF(BA95=BA$33,BC$33+BC$32*(COUNT(AZ$61:AZ95)-1),IF(BA95=BA$34,BC$34+BC$32*(COUNT(AZ$61:AZ95)-BC$31-1),IF(BA95=BA$35,BC$33+BC$32*(COUNT(AZ$61:AZ95)-2*BC$31-1)))))</f>
        <v/>
      </c>
      <c r="BC95" s="180" t="str" cm="1">
        <f t="array" ref="BC95">IF(BA95="","",MAX($C$5,IF(AZ95=90,IF(OR(BB95=BC$13,BB95=BC$14,BB95=AZ$4-BC$14,BB95=AZ$4-BC$13),BA$7,IF(OR(BA95=BA$20,BA95=BA$24),BA$8,IF(OR(BA95=BA$21:BA$23),BA$9))),BA$10)))</f>
        <v/>
      </c>
      <c r="BD95" s="168"/>
      <c r="BE95" s="185" t="str">
        <f t="shared" si="59"/>
        <v/>
      </c>
      <c r="BF95" s="173" t="str">
        <f>IF(BE95="","",IF(COUNT(BE$61:BE95)&lt;=BH$31,BF$33,IF(COUNT(BE$61:BE95)&lt;=2*BH$31,BF$34,IF(COUNT(BE$61:BE95)&lt;=3*BH$31,BF$35))))</f>
        <v/>
      </c>
      <c r="BG95" s="173" t="str">
        <f>IF(BE95="","",IF(BF95=BF$33,BH$33+BH$32*(COUNT(BE$61:BE95)-1),IF(BF95=BF$34,BH$34+BH$32*(COUNT(BE$61:BE95)-BH$31-1),IF(BF95=BF$35,BH$33+BH$32*(COUNT(BE$61:BE95)-2*BH$31-1)))))</f>
        <v/>
      </c>
      <c r="BH95" s="180" t="str" cm="1">
        <f t="array" ref="BH95">IF(BF95="","",MAX($C$5,IF(BE95=90,IF(OR(BG95=BH$13,BG95=BH$14,BG95=BE$4-BH$14,BG95=BE$4-BH$13),BF$7,IF(OR(BF95=BF$20,BF95=BF$24),BF$8,IF(OR(BF95=BF$21:BF$23),BF$9))),BF$10)))</f>
        <v/>
      </c>
      <c r="BI95" s="277"/>
      <c r="BJ95" s="185" t="str">
        <f t="shared" si="60"/>
        <v/>
      </c>
      <c r="BK95" s="173" t="str">
        <f>IF(BJ95="","",IF(COUNT(BJ$61:BJ95)&lt;=BM$31-1,BK$33,IF(COUNT(BJ$61:BJ95)&lt;=2*BM$31-1,BK$34)))</f>
        <v/>
      </c>
      <c r="BL95" s="173" t="str">
        <f>IF(BJ95="","",IF(BK95=BK$33,BM$33+BM$32*(COUNT(BJ$61:BJ95)-1),IF(BK95=BK$34,BM$34+BM$32*(COUNT(BJ$61:BJ95)-BM$31))))</f>
        <v/>
      </c>
      <c r="BM95" s="180" t="str" cm="1">
        <f t="array" ref="BM95">IF(BK95="","",MAX($C$5,IF(BJ95=90,IF(OR(BL95=BM$13,BL95=BM$14,BL95=BJ$4-BM$14,BL95=BJ$4-BM$13),BK$7,IF(OR(BK95=BK$20,BK95=BK$24),BK$8,IF(OR(BK95=BK$21:BK$23),BK$9))),BK$10)))</f>
        <v/>
      </c>
      <c r="BN95" s="168"/>
      <c r="BO95" s="185" t="str">
        <f t="shared" si="61"/>
        <v/>
      </c>
      <c r="BP95" s="173" t="str">
        <f>IF(BO95="","",IF(COUNT(BO$61:BO95)&lt;=BR$31-1,BP$33,IF(COUNT(BO$61:BO95)&lt;=2*BR$31-1,BP$34)))</f>
        <v/>
      </c>
      <c r="BQ95" s="173" t="str">
        <f>IF(BO95="","",IF(BP95=BP$33,BR$33+BR$32*(COUNT(BO$61:BO95)-1),IF(BP95=BP$34,BR$34+BR$32*(COUNT(BO$61:BO95)-BR$31))))</f>
        <v/>
      </c>
      <c r="BR95" s="180" t="str" cm="1">
        <f t="array" ref="BR95">IF(BP95="","",MAX($C$5,IF(BO95=90,IF(OR(BQ95=BR$13,BQ95=BR$14,BQ95=BO$4-BR$14,BQ95=BO$4-BR$13),BP$7,IF(OR(BP95=BP$20,BP95=BP$24),BP$8,IF(OR(BP95=BP$21:BP$23),BP$9))),BP$10)))</f>
        <v/>
      </c>
      <c r="BS95" s="168"/>
      <c r="BT95" s="185" t="str">
        <f t="shared" si="62"/>
        <v/>
      </c>
      <c r="BU95" s="173" t="str">
        <f>IF(BT95="","",IF(COUNT(BT$61:BT95)&lt;=BW$31-1,BU$33,IF(COUNT(BT$61:BT95)&lt;=2*BW$31-1,BU$34)))</f>
        <v/>
      </c>
      <c r="BV95" s="173" t="str">
        <f>IF(BT95="","",IF(BU95=BU$33,BW$33+BW$32*(COUNT(BT$61:BT95)-1),IF(BU95=BU$34,BW$34+BW$32*(COUNT(BT$61:BT95)-BW$31))))</f>
        <v/>
      </c>
      <c r="BW95" s="180" t="str" cm="1">
        <f t="array" ref="BW95">IF(BU95="","",MAX($C$5,IF(BT95=90,IF(OR(BV95=BW$13,BV95=BW$14,BV95=BT$4-BW$14,BV95=BT$4-BW$13),BU$7,IF(OR(BU95=BU$20,BU95=BU$24),BU$8,IF(OR(BU95=BU$21:BU$23),BU$9))),BU$10)))</f>
        <v/>
      </c>
      <c r="BX95" s="288"/>
    </row>
    <row r="96" spans="1:76">
      <c r="A96" s="168"/>
      <c r="B96" s="185">
        <f t="shared" si="63"/>
        <v>45</v>
      </c>
      <c r="C96" s="173">
        <f>IF(B96="","",IF(COUNT(B$61:B96)&lt;=E$31,C$33,IF(COUNT(B$61:B96)&lt;=2*E$31,C$34,IF(COUNT(B$61:B96)&lt;=3*E$31,C$35,IF(COUNT(B$61:B96)&lt;=4*E$31,C$36)))))</f>
        <v>96.5</v>
      </c>
      <c r="D96" s="173">
        <f>IF(B96="","",IF(C96=C$33,E$33+E$32*(COUNT(B$61:B96)-1),IF(C96=C$34,E$34+E$32*(COUNT(B$61:B96)-E$31-1),IF(C96=C$35,E$34+E$32*(COUNT(B$61:B96)-2*E$31-1),IF(C96=C$36,E$33+E$32*(COUNT(B$61:B96)-3*E$31-1))))))</f>
        <v>748</v>
      </c>
      <c r="E96" s="180" cm="1">
        <f t="array" ref="E96">IF(C96="","",MAX($C$5,IF(B96=90,IF(OR(D96=E$13,D96=E$14,D96=B$4-E$14,D96=B$4-E$13),C$7,IF(OR(C96=C$20,C96=C$24),C$8,IF(OR(C96=C$21:C$23),C$9))),C$10)))</f>
        <v>18</v>
      </c>
      <c r="F96" s="168"/>
      <c r="G96" s="185">
        <f t="shared" si="64"/>
        <v>45</v>
      </c>
      <c r="H96" s="173">
        <f>IF(G96="","",IF(COUNT(G$61:G96)&lt;=J$31,H$33,IF(COUNT(G$61:G96)&lt;=2*J$31,H$34,IF(COUNT(G$61:G96)&lt;=3*J$31,H$35,IF(COUNT(G$61:G96)&lt;=4*J$31,H$36)))))</f>
        <v>96.5</v>
      </c>
      <c r="I96" s="173">
        <f>IF(G96="","",IF(H96=H$33,J$33+J$32*(COUNT(G$61:G96)-1),IF(H96=H$34,J$34+J$32*(COUNT(G$61:G96)-J$31-1),IF(H96=H$35,J$34+J$32*(COUNT(G$61:G96)-2*J$31-1),IF(H96=H$36,J$33+J$32*(COUNT(G$61:G96)-3*J$31-1))))))</f>
        <v>748</v>
      </c>
      <c r="J96" s="180" cm="1">
        <f t="array" ref="J96">IF(H96="","",MAX($C$5,IF(G96=90,IF(OR(I96=J$13,I96=J$14,I96=G$4-J$14,I96=G$4-J$13),H$7,IF(OR(H96=H$20,H96=H$24),H$8,IF(OR(H96=H$21:H$23),H$9))),H$10)))</f>
        <v>18</v>
      </c>
      <c r="K96" s="168"/>
      <c r="L96" s="185">
        <f t="shared" si="65"/>
        <v>45</v>
      </c>
      <c r="M96" s="173">
        <f>IF(L96="","",IF(COUNT(L$61:L96)&lt;=O$31,M$33,IF(COUNT(L$61:L96)&lt;=2*O$31,M$34,IF(COUNT(L$61:L96)&lt;=3*O$31,M$35,IF(COUNT(L$61:L96)&lt;=4*O$31,M$36)))))</f>
        <v>139.5</v>
      </c>
      <c r="N96" s="173">
        <f>IF(L96="","",IF(M96=M$33,O$33+O$32*(COUNT(L$61:L96)-1),IF(M96=M$34,O$34+O$32*(COUNT(L$61:L96)-O$31-1),IF(M96=M$35,O$34+O$32*(COUNT(L$61:L96)-2*O$31-1),IF(M96=M$36,O$33+O$32*(COUNT(L$61:L96)-3*O$31-1))))))</f>
        <v>273</v>
      </c>
      <c r="O96" s="180" cm="1">
        <f t="array" ref="O96">IF(M96="","",MAX($C$5,IF(L96=90,IF(OR(N96=O$13,N96=O$14,N96=L$4-O$14,N96=L$4-O$13),M$7,IF(OR(M96=M$20,M96=M$24),M$8,IF(OR(M96=M$21:M$23),M$9))),M$10)))</f>
        <v>18</v>
      </c>
      <c r="P96" s="168"/>
      <c r="Q96" s="185">
        <f t="shared" si="66"/>
        <v>45</v>
      </c>
      <c r="R96" s="173">
        <f>IF(Q96="","",IF(COUNT(Q$61:Q96)&lt;=T$31,R$33,IF(COUNT(Q$61:Q96)&lt;=2*T$31,R$34,IF(COUNT(Q$61:Q96)&lt;=3*T$31,R$35,IF(COUNT(Q$61:Q96)&lt;=4*T$31,R$36)))))</f>
        <v>139.5</v>
      </c>
      <c r="S96" s="173">
        <f>IF(Q96="","",IF(R96=R$33,T$33+T$32*(COUNT(Q$61:Q96)-1),IF(R96=R$34,T$34+T$32*(COUNT(Q$61:Q96)-T$31-1),IF(R96=R$35,T$34+T$32*(COUNT(Q$61:Q96)-2*T$31-1),IF(R96=R$36,T$33+T$32*(COUNT(Q$61:Q96)-3*T$31-1))))))</f>
        <v>441</v>
      </c>
      <c r="T96" s="180" cm="1">
        <f t="array" ref="T96">IF(R96="","",MAX($C$5,IF(Q96=90,IF(OR(S96=T$13,S96=T$14,S96=Q$4-T$14,S96=Q$4-T$13),R$7,IF(OR(R96=R$20,R96=R$24),R$8,IF(OR(R96=R$21:R$23),R$9))),R$10)))</f>
        <v>18</v>
      </c>
      <c r="U96" s="168"/>
      <c r="V96" s="185" t="str">
        <f t="shared" si="67"/>
        <v/>
      </c>
      <c r="W96" s="173" t="str">
        <f>IF(V96="","",IF(COUNT(V$61:V96)&lt;=Y$31,W$33,IF(COUNT(V$61:V96)&lt;=2*Y$31,W$34,IF(COUNT(V$61:V96)&lt;=3*Y$31,W$35,IF(COUNT(V$61:V96)&lt;=4*Y$31,W$36)))))</f>
        <v/>
      </c>
      <c r="X96" s="173" t="str">
        <f>IF(V96="","",IF(W96=W$33,Y$33+Y$32*(COUNT(V$61:V96)-1),IF(W96=W$34,Y$34+Y$32*(COUNT(V$61:V96)-Y$31-1),IF(W96=W$35,Y$34+Y$32*(COUNT(V$61:V96)-2*Y$31-1),IF(W96=W$36,Y$33+Y$32*(COUNT(V$61:V96)-3*Y$31-1))))))</f>
        <v/>
      </c>
      <c r="Y96" s="180" t="str" cm="1">
        <f t="array" ref="Y96">IF(W96="","",MAX($C$5,IF(V96=90,IF(OR(X96=Y$13,X96=Y$14,X96=V$4-Y$14,X96=V$4-Y$13),W$7,IF(OR(W96=W$20,W96=W$24),W$8,IF(OR(W96=W$21:W$23),W$9))),W$10)))</f>
        <v/>
      </c>
      <c r="Z96" s="168"/>
      <c r="AA96" s="185" t="str">
        <f t="shared" si="68"/>
        <v/>
      </c>
      <c r="AB96" s="173" t="str">
        <f>IF(AA96="","",IF(COUNT(AA$61:AA96)&lt;=AD$31,AB$33,IF(COUNT(AA$61:AA96)&lt;=2*AD$31,AB$34,IF(COUNT(AA$61:AA96)&lt;=3*AD$31,AB$35,IF(COUNT(AA$61:AA96)&lt;=4*AD$31,AB$36)))))</f>
        <v/>
      </c>
      <c r="AC96" s="173" t="str">
        <f>IF(AA96="","",IF(AB96=AB$33,AD$33+AD$32*(COUNT(AA$61:AA96)-1),IF(AB96=AB$34,AD$34+AD$32*(COUNT(AA$61:AA96)-AD$31-1),IF(AB96=AB$35,AD$34+AD$32*(COUNT(AA$61:AA96)-2*AD$31-1),IF(AB96=AB$36,AD$33+AD$32*(COUNT(AA$61:AA96)-3*AD$31-1))))))</f>
        <v/>
      </c>
      <c r="AD96" s="180" t="str" cm="1">
        <f t="array" ref="AD96">IF(AB96="","",MAX($C$5,IF(AA96=90,IF(OR(AC96=AD$13,AC96=AD$14,AC96=AA$4-AD$14,AC96=AA$4-AD$13),AB$7,IF(OR(AB96=AB$20,AB96=AB$24),AB$8,IF(OR(AB96=AB$21:AB$23),AB$9))),AB$10)))</f>
        <v/>
      </c>
      <c r="AE96" s="168"/>
      <c r="AF96" s="185" t="str">
        <f t="shared" si="69"/>
        <v/>
      </c>
      <c r="AG96" s="173" t="str">
        <f>IF(AF96="","",IF(COUNT(AF$61:AF96)&lt;=AI$31,AG$33,IF(COUNT(AF$61:AF96)&lt;=2*AI$31,AG$34,IF(COUNT(AF$61:AF96)&lt;=3*AI$31,AG$35,IF(COUNT(AF$61:AF96)&lt;=4*AI$31,AG$36)))))</f>
        <v/>
      </c>
      <c r="AH96" s="173" t="str">
        <f>IF(AF96="","",IF(AG96=AG$33,AI$33+AI$32*(COUNT(AF$61:AF96)-1),IF(AG96=AG$34,AI$34+AI$32*(COUNT(AF$61:AF96)-AI$31-1),IF(AG96=AG$35,AI$34+AI$32*(COUNT(AF$61:AF96)-2*AI$31-1),IF(AG96=AG$36,AI$33+AI$32*(COUNT(AF$61:AF96)-3*AI$31-1))))))</f>
        <v/>
      </c>
      <c r="AI96" s="180" t="str" cm="1">
        <f t="array" ref="AI96">IF(AG96="","",MAX($C$5,IF(AF96=90,IF(OR(AH96=AI$13,AH96=AI$14,AH96=AF$4-AI$14,AH96=AF$4-AI$13),AG$7,IF(OR(AG96=AG$20,AG96=AG$24),AG$8,IF(OR(AG96=AG$21:AG$23),AG$9))),AG$10)))</f>
        <v/>
      </c>
      <c r="AJ96" s="168"/>
      <c r="AK96" s="185" t="str">
        <f t="shared" si="70"/>
        <v/>
      </c>
      <c r="AL96" s="173" t="str">
        <f>IF(AK96="","",IF(COUNT(AK$61:AK96)&lt;=AN$31,AL$33,IF(COUNT(AK$61:AK96)&lt;=2*AN$31,AL$34,IF(COUNT(AK$61:AK96)&lt;=3*AN$31,AL$35,IF(COUNT(AK$61:AK96)&lt;=4*AN$31,AL$36)))))</f>
        <v/>
      </c>
      <c r="AM96" s="173" t="str">
        <f>IF(AK96="","",IF(AL96=AL$33,AN$33+AN$32*(COUNT(AK$61:AK96)-1),IF(AL96=AL$34,AN$34+AN$32*(COUNT(AK$61:AK96)-AN$31-1),IF(AL96=AL$35,AN$34+AN$32*(COUNT(AK$61:AK96)-2*AN$31-1),IF(AL96=AL$36,AN$33+AN$32*(COUNT(AK$61:AK96)-3*AN$31-1))))))</f>
        <v/>
      </c>
      <c r="AN96" s="180" t="str" cm="1">
        <f t="array" ref="AN96">IF(AL96="","",MAX($C$5,IF(AK96=90,IF(OR(AM96=AN$13,AM96=AN$14,AM96=AK$4-AN$14,AM96=AK$4-AN$13),AL$7,IF(OR(AL96=AL$20,AL96=AL$24),AL$8,IF(OR(AL96=AL$21:AL$23),AL$9))),AL$10)))</f>
        <v/>
      </c>
      <c r="AO96" s="168"/>
      <c r="AP96" s="198">
        <f t="shared" si="56"/>
        <v>45</v>
      </c>
      <c r="AQ96" s="199">
        <f>IF(AP96="","",IF(COUNT(AP$61:AP96)&lt;=AS$31,AQ$33,IF(COUNT(AP$61:AP96)&lt;=2*AS$31,AQ$34,IF(COUNT(AP$61:AP96)&lt;=3*AS$31,AQ$35,IF(COUNT(AP$61:AP96)&lt;=4*AS$31,AQ$36)))))</f>
        <v>139.5</v>
      </c>
      <c r="AR96" s="199">
        <f>IF(AP96="","",IF(AQ96=AQ$33,AS$33+AS$32*(COUNT(AP$61:AP96)-1),IF(AQ96=AQ$34,AS$34+AS$32*(COUNT(AP$61:AP96)-AS$31-1),IF(AQ96=AQ$35,AS$34+AS$32*(COUNT(AP$61:AP96)-2*AS$31-1),IF(AQ96=AQ$36,AS$33+AS$32*(COUNT(AP$61:AP96)-3*AS$31-1))))))</f>
        <v>591</v>
      </c>
      <c r="AS96" s="180" cm="1">
        <f t="array" ref="AS96">IF(AQ96="","",MAX($C$5,IF(AP96=90,IF(OR(AR96=AS$13,AR96=AS$14,AR96=AP$4-AS$14,AR96=AP$4-AS$13),AQ$7,IF(OR(AQ96=AQ$20,AQ96=AQ$24),AQ$8,IF(OR(AQ96=AQ$21:AQ$23),AQ$9))),AQ$10)))</f>
        <v>18</v>
      </c>
      <c r="AT96" s="277"/>
      <c r="AU96" s="185" t="str">
        <f t="shared" si="57"/>
        <v/>
      </c>
      <c r="AV96" s="173" t="str">
        <f>IF(AU96="","",IF(COUNT(AU$61:AU96)&lt;=AX$31,AV$33,IF(COUNT(AU$61:AU96)&lt;=2*AX$31,AV$34,IF(COUNT(AU$61:AU96)&lt;=3*AX$31,AV$35))))</f>
        <v/>
      </c>
      <c r="AW96" s="173" t="str">
        <f>IF(AU96="","",IF(AV96=AV$33,AX$33+AX$32*(COUNT(AU$61:AU96)-1),IF(AV96=AV$34,AX$34+AX$32*(COUNT(AU$61:AU96)-AX$31-1),IF(AV96=AV$35,AX$33+AX$32*(COUNT(AU$61:AU96)-2*AX$31-1)))))</f>
        <v/>
      </c>
      <c r="AX96" s="180" t="str" cm="1">
        <f t="array" ref="AX96">IF(AV96="","",MAX($C$5,IF(AU96=90,IF(OR(AW96=AX$13,AW96=AX$14,AW96=AU$4-AX$14,AW96=AU$4-AX$13),AV$7,IF(OR(AV96=AV$20,AV96=AV$24),AV$8,IF(OR(AV96=AV$21:AV$23),AV$9))),AV$10)))</f>
        <v/>
      </c>
      <c r="AY96" s="168"/>
      <c r="AZ96" s="185" t="str">
        <f t="shared" si="58"/>
        <v/>
      </c>
      <c r="BA96" s="173" t="str">
        <f>IF(AZ96="","",IF(COUNT(AZ$61:AZ96)&lt;=BC$31,BA$33,IF(COUNT(AZ$61:AZ96)&lt;=2*BC$31,BA$34,IF(COUNT(AZ$61:AZ96)&lt;=3*BC$31,BA$35))))</f>
        <v/>
      </c>
      <c r="BB96" s="173" t="str">
        <f>IF(AZ96="","",IF(BA96=BA$33,BC$33+BC$32*(COUNT(AZ$61:AZ96)-1),IF(BA96=BA$34,BC$34+BC$32*(COUNT(AZ$61:AZ96)-BC$31-1),IF(BA96=BA$35,BC$33+BC$32*(COUNT(AZ$61:AZ96)-2*BC$31-1)))))</f>
        <v/>
      </c>
      <c r="BC96" s="180" t="str" cm="1">
        <f t="array" ref="BC96">IF(BA96="","",MAX($C$5,IF(AZ96=90,IF(OR(BB96=BC$13,BB96=BC$14,BB96=AZ$4-BC$14,BB96=AZ$4-BC$13),BA$7,IF(OR(BA96=BA$20,BA96=BA$24),BA$8,IF(OR(BA96=BA$21:BA$23),BA$9))),BA$10)))</f>
        <v/>
      </c>
      <c r="BD96" s="168"/>
      <c r="BE96" s="185" t="str">
        <f t="shared" si="59"/>
        <v/>
      </c>
      <c r="BF96" s="173" t="str">
        <f>IF(BE96="","",IF(COUNT(BE$61:BE96)&lt;=BH$31,BF$33,IF(COUNT(BE$61:BE96)&lt;=2*BH$31,BF$34,IF(COUNT(BE$61:BE96)&lt;=3*BH$31,BF$35))))</f>
        <v/>
      </c>
      <c r="BG96" s="173" t="str">
        <f>IF(BE96="","",IF(BF96=BF$33,BH$33+BH$32*(COUNT(BE$61:BE96)-1),IF(BF96=BF$34,BH$34+BH$32*(COUNT(BE$61:BE96)-BH$31-1),IF(BF96=BF$35,BH$33+BH$32*(COUNT(BE$61:BE96)-2*BH$31-1)))))</f>
        <v/>
      </c>
      <c r="BH96" s="180" t="str" cm="1">
        <f t="array" ref="BH96">IF(BF96="","",MAX($C$5,IF(BE96=90,IF(OR(BG96=BH$13,BG96=BH$14,BG96=BE$4-BH$14,BG96=BE$4-BH$13),BF$7,IF(OR(BF96=BF$20,BF96=BF$24),BF$8,IF(OR(BF96=BF$21:BF$23),BF$9))),BF$10)))</f>
        <v/>
      </c>
      <c r="BI96" s="277"/>
      <c r="BJ96" s="185" t="str">
        <f t="shared" si="60"/>
        <v/>
      </c>
      <c r="BK96" s="173" t="str">
        <f>IF(BJ96="","",IF(COUNT(BJ$61:BJ96)&lt;=BM$31-1,BK$33,IF(COUNT(BJ$61:BJ96)&lt;=2*BM$31-1,BK$34)))</f>
        <v/>
      </c>
      <c r="BL96" s="173" t="str">
        <f>IF(BJ96="","",IF(BK96=BK$33,BM$33+BM$32*(COUNT(BJ$61:BJ96)-1),IF(BK96=BK$34,BM$34+BM$32*(COUNT(BJ$61:BJ96)-BM$31))))</f>
        <v/>
      </c>
      <c r="BM96" s="180" t="str" cm="1">
        <f t="array" ref="BM96">IF(BK96="","",MAX($C$5,IF(BJ96=90,IF(OR(BL96=BM$13,BL96=BM$14,BL96=BJ$4-BM$14,BL96=BJ$4-BM$13),BK$7,IF(OR(BK96=BK$20,BK96=BK$24),BK$8,IF(OR(BK96=BK$21:BK$23),BK$9))),BK$10)))</f>
        <v/>
      </c>
      <c r="BN96" s="168"/>
      <c r="BO96" s="185" t="str">
        <f t="shared" si="61"/>
        <v/>
      </c>
      <c r="BP96" s="173" t="str">
        <f>IF(BO96="","",IF(COUNT(BO$61:BO96)&lt;=BR$31-1,BP$33,IF(COUNT(BO$61:BO96)&lt;=2*BR$31-1,BP$34)))</f>
        <v/>
      </c>
      <c r="BQ96" s="173" t="str">
        <f>IF(BO96="","",IF(BP96=BP$33,BR$33+BR$32*(COUNT(BO$61:BO96)-1),IF(BP96=BP$34,BR$34+BR$32*(COUNT(BO$61:BO96)-BR$31))))</f>
        <v/>
      </c>
      <c r="BR96" s="180" t="str" cm="1">
        <f t="array" ref="BR96">IF(BP96="","",MAX($C$5,IF(BO96=90,IF(OR(BQ96=BR$13,BQ96=BR$14,BQ96=BO$4-BR$14,BQ96=BO$4-BR$13),BP$7,IF(OR(BP96=BP$20,BP96=BP$24),BP$8,IF(OR(BP96=BP$21:BP$23),BP$9))),BP$10)))</f>
        <v/>
      </c>
      <c r="BS96" s="168"/>
      <c r="BT96" s="185" t="str">
        <f t="shared" si="62"/>
        <v/>
      </c>
      <c r="BU96" s="173" t="str">
        <f>IF(BT96="","",IF(COUNT(BT$61:BT96)&lt;=BW$31-1,BU$33,IF(COUNT(BT$61:BT96)&lt;=2*BW$31-1,BU$34)))</f>
        <v/>
      </c>
      <c r="BV96" s="173" t="str">
        <f>IF(BT96="","",IF(BU96=BU$33,BW$33+BW$32*(COUNT(BT$61:BT96)-1),IF(BU96=BU$34,BW$34+BW$32*(COUNT(BT$61:BT96)-BW$31))))</f>
        <v/>
      </c>
      <c r="BW96" s="180" t="str" cm="1">
        <f t="array" ref="BW96">IF(BU96="","",MAX($C$5,IF(BT96=90,IF(OR(BV96=BW$13,BV96=BW$14,BV96=BT$4-BW$14,BV96=BT$4-BW$13),BU$7,IF(OR(BU96=BU$20,BU96=BU$24),BU$8,IF(OR(BU96=BU$21:BU$23),BU$9))),BU$10)))</f>
        <v/>
      </c>
      <c r="BX96" s="288"/>
    </row>
    <row r="97" spans="1:76">
      <c r="A97" s="168"/>
      <c r="B97" s="185">
        <f t="shared" si="63"/>
        <v>45</v>
      </c>
      <c r="C97" s="173">
        <f>IF(B97="","",IF(COUNT(B$61:B97)&lt;=E$31,C$33,IF(COUNT(B$61:B97)&lt;=2*E$31,C$34,IF(COUNT(B$61:B97)&lt;=3*E$31,C$35,IF(COUNT(B$61:B97)&lt;=4*E$31,C$36)))))</f>
        <v>139.5</v>
      </c>
      <c r="D97" s="173">
        <f>IF(B97="","",IF(C97=C$33,E$33+E$32*(COUNT(B$61:B97)-1),IF(C97=C$34,E$34+E$32*(COUNT(B$61:B97)-E$31-1),IF(C97=C$35,E$34+E$32*(COUNT(B$61:B97)-2*E$31-1),IF(C97=C$36,E$33+E$32*(COUNT(B$61:B97)-3*E$31-1))))))</f>
        <v>150</v>
      </c>
      <c r="E97" s="180" cm="1">
        <f t="array" ref="E97">IF(C97="","",MAX($C$5,IF(B97=90,IF(OR(D97=E$13,D97=E$14,D97=B$4-E$14,D97=B$4-E$13),C$7,IF(OR(C97=C$20,C97=C$24),C$8,IF(OR(C97=C$21:C$23),C$9))),C$10)))</f>
        <v>18</v>
      </c>
      <c r="F97" s="168"/>
      <c r="G97" s="185">
        <f t="shared" si="64"/>
        <v>45</v>
      </c>
      <c r="H97" s="173">
        <f>IF(G97="","",IF(COUNT(G$61:G97)&lt;=J$31,H$33,IF(COUNT(G$61:G97)&lt;=2*J$31,H$34,IF(COUNT(G$61:G97)&lt;=3*J$31,H$35,IF(COUNT(G$61:G97)&lt;=4*J$31,H$36)))))</f>
        <v>139.5</v>
      </c>
      <c r="I97" s="173">
        <f>IF(G97="","",IF(H97=H$33,J$33+J$32*(COUNT(G$61:G97)-1),IF(H97=H$34,J$34+J$32*(COUNT(G$61:G97)-J$31-1),IF(H97=H$35,J$34+J$32*(COUNT(G$61:G97)-2*J$31-1),IF(H97=H$36,J$33+J$32*(COUNT(G$61:G97)-3*J$31-1))))))</f>
        <v>150</v>
      </c>
      <c r="J97" s="180" cm="1">
        <f t="array" ref="J97">IF(H97="","",MAX($C$5,IF(G97=90,IF(OR(I97=J$13,I97=J$14,I97=G$4-J$14,I97=G$4-J$13),H$7,IF(OR(H97=H$20,H97=H$24),H$8,IF(OR(H97=H$21:H$23),H$9))),H$10)))</f>
        <v>18</v>
      </c>
      <c r="K97" s="168"/>
      <c r="L97" s="185">
        <f t="shared" si="65"/>
        <v>45</v>
      </c>
      <c r="M97" s="173">
        <f>IF(L97="","",IF(COUNT(L$61:L97)&lt;=O$31,M$33,IF(COUNT(L$61:L97)&lt;=2*O$31,M$34,IF(COUNT(L$61:L97)&lt;=3*O$31,M$35,IF(COUNT(L$61:L97)&lt;=4*O$31,M$36)))))</f>
        <v>139.5</v>
      </c>
      <c r="N97" s="173">
        <f>IF(L97="","",IF(M97=M$33,O$33+O$32*(COUNT(L$61:L97)-1),IF(M97=M$34,O$34+O$32*(COUNT(L$61:L97)-O$31-1),IF(M97=M$35,O$34+O$32*(COUNT(L$61:L97)-2*O$31-1),IF(M97=M$36,O$33+O$32*(COUNT(L$61:L97)-3*O$31-1))))))</f>
        <v>330</v>
      </c>
      <c r="O97" s="180" cm="1">
        <f t="array" ref="O97">IF(M97="","",MAX($C$5,IF(L97=90,IF(OR(N97=O$13,N97=O$14,N97=L$4-O$14,N97=L$4-O$13),M$7,IF(OR(M97=M$20,M97=M$24),M$8,IF(OR(M97=M$21:M$23),M$9))),M$10)))</f>
        <v>18</v>
      </c>
      <c r="P97" s="168"/>
      <c r="Q97" s="185">
        <f t="shared" si="66"/>
        <v>45</v>
      </c>
      <c r="R97" s="173">
        <f>IF(Q97="","",IF(COUNT(Q$61:Q97)&lt;=T$31,R$33,IF(COUNT(Q$61:Q97)&lt;=2*T$31,R$34,IF(COUNT(Q$61:Q97)&lt;=3*T$31,R$35,IF(COUNT(Q$61:Q97)&lt;=4*T$31,R$36)))))</f>
        <v>139.5</v>
      </c>
      <c r="S97" s="173">
        <f>IF(Q97="","",IF(R97=R$33,T$33+T$32*(COUNT(Q$61:Q97)-1),IF(R97=R$34,T$34+T$32*(COUNT(Q$61:Q97)-T$31-1),IF(R97=R$35,T$34+T$32*(COUNT(Q$61:Q97)-2*T$31-1),IF(R97=R$36,T$33+T$32*(COUNT(Q$61:Q97)-3*T$31-1))))))</f>
        <v>498</v>
      </c>
      <c r="T97" s="180" cm="1">
        <f t="array" ref="T97">IF(R97="","",MAX($C$5,IF(Q97=90,IF(OR(S97=T$13,S97=T$14,S97=Q$4-T$14,S97=Q$4-T$13),R$7,IF(OR(R97=R$20,R97=R$24),R$8,IF(OR(R97=R$21:R$23),R$9))),R$10)))</f>
        <v>18</v>
      </c>
      <c r="U97" s="168"/>
      <c r="V97" s="185" t="str">
        <f t="shared" si="67"/>
        <v/>
      </c>
      <c r="W97" s="173" t="str">
        <f>IF(V97="","",IF(COUNT(V$61:V97)&lt;=Y$31,W$33,IF(COUNT(V$61:V97)&lt;=2*Y$31,W$34,IF(COUNT(V$61:V97)&lt;=3*Y$31,W$35,IF(COUNT(V$61:V97)&lt;=4*Y$31,W$36)))))</f>
        <v/>
      </c>
      <c r="X97" s="173" t="str">
        <f>IF(V97="","",IF(W97=W$33,Y$33+Y$32*(COUNT(V$61:V97)-1),IF(W97=W$34,Y$34+Y$32*(COUNT(V$61:V97)-Y$31-1),IF(W97=W$35,Y$34+Y$32*(COUNT(V$61:V97)-2*Y$31-1),IF(W97=W$36,Y$33+Y$32*(COUNT(V$61:V97)-3*Y$31-1))))))</f>
        <v/>
      </c>
      <c r="Y97" s="180" t="str" cm="1">
        <f t="array" ref="Y97">IF(W97="","",MAX($C$5,IF(V97=90,IF(OR(X97=Y$13,X97=Y$14,X97=V$4-Y$14,X97=V$4-Y$13),W$7,IF(OR(W97=W$20,W97=W$24),W$8,IF(OR(W97=W$21:W$23),W$9))),W$10)))</f>
        <v/>
      </c>
      <c r="Z97" s="168"/>
      <c r="AA97" s="185" t="str">
        <f t="shared" si="68"/>
        <v/>
      </c>
      <c r="AB97" s="173" t="str">
        <f>IF(AA97="","",IF(COUNT(AA$61:AA97)&lt;=AD$31,AB$33,IF(COUNT(AA$61:AA97)&lt;=2*AD$31,AB$34,IF(COUNT(AA$61:AA97)&lt;=3*AD$31,AB$35,IF(COUNT(AA$61:AA97)&lt;=4*AD$31,AB$36)))))</f>
        <v/>
      </c>
      <c r="AC97" s="173" t="str">
        <f>IF(AA97="","",IF(AB97=AB$33,AD$33+AD$32*(COUNT(AA$61:AA97)-1),IF(AB97=AB$34,AD$34+AD$32*(COUNT(AA$61:AA97)-AD$31-1),IF(AB97=AB$35,AD$34+AD$32*(COUNT(AA$61:AA97)-2*AD$31-1),IF(AB97=AB$36,AD$33+AD$32*(COUNT(AA$61:AA97)-3*AD$31-1))))))</f>
        <v/>
      </c>
      <c r="AD97" s="180" t="str" cm="1">
        <f t="array" ref="AD97">IF(AB97="","",MAX($C$5,IF(AA97=90,IF(OR(AC97=AD$13,AC97=AD$14,AC97=AA$4-AD$14,AC97=AA$4-AD$13),AB$7,IF(OR(AB97=AB$20,AB97=AB$24),AB$8,IF(OR(AB97=AB$21:AB$23),AB$9))),AB$10)))</f>
        <v/>
      </c>
      <c r="AE97" s="168"/>
      <c r="AF97" s="185" t="str">
        <f t="shared" si="69"/>
        <v/>
      </c>
      <c r="AG97" s="173" t="str">
        <f>IF(AF97="","",IF(COUNT(AF$61:AF97)&lt;=AI$31,AG$33,IF(COUNT(AF$61:AF97)&lt;=2*AI$31,AG$34,IF(COUNT(AF$61:AF97)&lt;=3*AI$31,AG$35,IF(COUNT(AF$61:AF97)&lt;=4*AI$31,AG$36)))))</f>
        <v/>
      </c>
      <c r="AH97" s="173" t="str">
        <f>IF(AF97="","",IF(AG97=AG$33,AI$33+AI$32*(COUNT(AF$61:AF97)-1),IF(AG97=AG$34,AI$34+AI$32*(COUNT(AF$61:AF97)-AI$31-1),IF(AG97=AG$35,AI$34+AI$32*(COUNT(AF$61:AF97)-2*AI$31-1),IF(AG97=AG$36,AI$33+AI$32*(COUNT(AF$61:AF97)-3*AI$31-1))))))</f>
        <v/>
      </c>
      <c r="AI97" s="180" t="str" cm="1">
        <f t="array" ref="AI97">IF(AG97="","",MAX($C$5,IF(AF97=90,IF(OR(AH97=AI$13,AH97=AI$14,AH97=AF$4-AI$14,AH97=AF$4-AI$13),AG$7,IF(OR(AG97=AG$20,AG97=AG$24),AG$8,IF(OR(AG97=AG$21:AG$23),AG$9))),AG$10)))</f>
        <v/>
      </c>
      <c r="AJ97" s="168"/>
      <c r="AK97" s="185" t="str">
        <f t="shared" si="70"/>
        <v/>
      </c>
      <c r="AL97" s="173" t="str">
        <f>IF(AK97="","",IF(COUNT(AK$61:AK97)&lt;=AN$31,AL$33,IF(COUNT(AK$61:AK97)&lt;=2*AN$31,AL$34,IF(COUNT(AK$61:AK97)&lt;=3*AN$31,AL$35,IF(COUNT(AK$61:AK97)&lt;=4*AN$31,AL$36)))))</f>
        <v/>
      </c>
      <c r="AM97" s="173" t="str">
        <f>IF(AK97="","",IF(AL97=AL$33,AN$33+AN$32*(COUNT(AK$61:AK97)-1),IF(AL97=AL$34,AN$34+AN$32*(COUNT(AK$61:AK97)-AN$31-1),IF(AL97=AL$35,AN$34+AN$32*(COUNT(AK$61:AK97)-2*AN$31-1),IF(AL97=AL$36,AN$33+AN$32*(COUNT(AK$61:AK97)-3*AN$31-1))))))</f>
        <v/>
      </c>
      <c r="AN97" s="180" t="str" cm="1">
        <f t="array" ref="AN97">IF(AL97="","",MAX($C$5,IF(AK97=90,IF(OR(AM97=AN$13,AM97=AN$14,AM97=AK$4-AN$14,AM97=AK$4-AN$13),AL$7,IF(OR(AL97=AL$20,AL97=AL$24),AL$8,IF(OR(AL97=AL$21:AL$23),AL$9))),AL$10)))</f>
        <v/>
      </c>
      <c r="AO97" s="168"/>
      <c r="AP97" s="198">
        <f t="shared" si="56"/>
        <v>45</v>
      </c>
      <c r="AQ97" s="199">
        <f>IF(AP97="","",IF(COUNT(AP$61:AP97)&lt;=AS$31,AQ$33,IF(COUNT(AP$61:AP97)&lt;=2*AS$31,AQ$34,IF(COUNT(AP$61:AP97)&lt;=3*AS$31,AQ$35,IF(COUNT(AP$61:AP97)&lt;=4*AS$31,AQ$36)))))</f>
        <v>139.5</v>
      </c>
      <c r="AR97" s="199">
        <f>IF(AP97="","",IF(AQ97=AQ$33,AS$33+AS$32*(COUNT(AP$61:AP97)-1),IF(AQ97=AQ$34,AS$34+AS$32*(COUNT(AP$61:AP97)-AS$31-1),IF(AQ97=AQ$35,AS$34+AS$32*(COUNT(AP$61:AP97)-2*AS$31-1),IF(AQ97=AQ$36,AS$33+AS$32*(COUNT(AP$61:AP97)-3*AS$31-1))))))</f>
        <v>648</v>
      </c>
      <c r="AS97" s="180" cm="1">
        <f t="array" ref="AS97">IF(AQ97="","",MAX($C$5,IF(AP97=90,IF(OR(AR97=AS$13,AR97=AS$14,AR97=AP$4-AS$14,AR97=AP$4-AS$13),AQ$7,IF(OR(AQ97=AQ$20,AQ97=AQ$24),AQ$8,IF(OR(AQ97=AQ$21:AQ$23),AQ$9))),AQ$10)))</f>
        <v>18</v>
      </c>
      <c r="AT97" s="277"/>
      <c r="AU97" s="185" t="str">
        <f t="shared" si="57"/>
        <v/>
      </c>
      <c r="AV97" s="173" t="str">
        <f>IF(AU97="","",IF(COUNT(AU$61:AU97)&lt;=AX$31,AV$33,IF(COUNT(AU$61:AU97)&lt;=2*AX$31,AV$34,IF(COUNT(AU$61:AU97)&lt;=3*AX$31,AV$35))))</f>
        <v/>
      </c>
      <c r="AW97" s="173" t="str">
        <f>IF(AU97="","",IF(AV97=AV$33,AX$33+AX$32*(COUNT(AU$61:AU97)-1),IF(AV97=AV$34,AX$34+AX$32*(COUNT(AU$61:AU97)-AX$31-1),IF(AV97=AV$35,AX$33+AX$32*(COUNT(AU$61:AU97)-2*AX$31-1)))))</f>
        <v/>
      </c>
      <c r="AX97" s="180" t="str" cm="1">
        <f t="array" ref="AX97">IF(AV97="","",MAX($C$5,IF(AU97=90,IF(OR(AW97=AX$13,AW97=AX$14,AW97=AU$4-AX$14,AW97=AU$4-AX$13),AV$7,IF(OR(AV97=AV$20,AV97=AV$24),AV$8,IF(OR(AV97=AV$21:AV$23),AV$9))),AV$10)))</f>
        <v/>
      </c>
      <c r="AY97" s="168"/>
      <c r="AZ97" s="185" t="str">
        <f t="shared" si="58"/>
        <v/>
      </c>
      <c r="BA97" s="173" t="str">
        <f>IF(AZ97="","",IF(COUNT(AZ$61:AZ97)&lt;=BC$31,BA$33,IF(COUNT(AZ$61:AZ97)&lt;=2*BC$31,BA$34,IF(COUNT(AZ$61:AZ97)&lt;=3*BC$31,BA$35))))</f>
        <v/>
      </c>
      <c r="BB97" s="173" t="str">
        <f>IF(AZ97="","",IF(BA97=BA$33,BC$33+BC$32*(COUNT(AZ$61:AZ97)-1),IF(BA97=BA$34,BC$34+BC$32*(COUNT(AZ$61:AZ97)-BC$31-1),IF(BA97=BA$35,BC$33+BC$32*(COUNT(AZ$61:AZ97)-2*BC$31-1)))))</f>
        <v/>
      </c>
      <c r="BC97" s="180" t="str" cm="1">
        <f t="array" ref="BC97">IF(BA97="","",MAX($C$5,IF(AZ97=90,IF(OR(BB97=BC$13,BB97=BC$14,BB97=AZ$4-BC$14,BB97=AZ$4-BC$13),BA$7,IF(OR(BA97=BA$20,BA97=BA$24),BA$8,IF(OR(BA97=BA$21:BA$23),BA$9))),BA$10)))</f>
        <v/>
      </c>
      <c r="BD97" s="168"/>
      <c r="BE97" s="185" t="str">
        <f t="shared" si="59"/>
        <v/>
      </c>
      <c r="BF97" s="173" t="str">
        <f>IF(BE97="","",IF(COUNT(BE$61:BE97)&lt;=BH$31,BF$33,IF(COUNT(BE$61:BE97)&lt;=2*BH$31,BF$34,IF(COUNT(BE$61:BE97)&lt;=3*BH$31,BF$35))))</f>
        <v/>
      </c>
      <c r="BG97" s="173" t="str">
        <f>IF(BE97="","",IF(BF97=BF$33,BH$33+BH$32*(COUNT(BE$61:BE97)-1),IF(BF97=BF$34,BH$34+BH$32*(COUNT(BE$61:BE97)-BH$31-1),IF(BF97=BF$35,BH$33+BH$32*(COUNT(BE$61:BE97)-2*BH$31-1)))))</f>
        <v/>
      </c>
      <c r="BH97" s="180" t="str" cm="1">
        <f t="array" ref="BH97">IF(BF97="","",MAX($C$5,IF(BE97=90,IF(OR(BG97=BH$13,BG97=BH$14,BG97=BE$4-BH$14,BG97=BE$4-BH$13),BF$7,IF(OR(BF97=BF$20,BF97=BF$24),BF$8,IF(OR(BF97=BF$21:BF$23),BF$9))),BF$10)))</f>
        <v/>
      </c>
      <c r="BI97" s="277"/>
      <c r="BJ97" s="185" t="str">
        <f t="shared" si="60"/>
        <v/>
      </c>
      <c r="BK97" s="173" t="str">
        <f>IF(BJ97="","",IF(COUNT(BJ$61:BJ97)&lt;=BM$31-1,BK$33,IF(COUNT(BJ$61:BJ97)&lt;=2*BM$31-1,BK$34)))</f>
        <v/>
      </c>
      <c r="BL97" s="173" t="str">
        <f>IF(BJ97="","",IF(BK97=BK$33,BM$33+BM$32*(COUNT(BJ$61:BJ97)-1),IF(BK97=BK$34,BM$34+BM$32*(COUNT(BJ$61:BJ97)-BM$31))))</f>
        <v/>
      </c>
      <c r="BM97" s="180" t="str" cm="1">
        <f t="array" ref="BM97">IF(BK97="","",MAX($C$5,IF(BJ97=90,IF(OR(BL97=BM$13,BL97=BM$14,BL97=BJ$4-BM$14,BL97=BJ$4-BM$13),BK$7,IF(OR(BK97=BK$20,BK97=BK$24),BK$8,IF(OR(BK97=BK$21:BK$23),BK$9))),BK$10)))</f>
        <v/>
      </c>
      <c r="BN97" s="168"/>
      <c r="BO97" s="185" t="str">
        <f t="shared" si="61"/>
        <v/>
      </c>
      <c r="BP97" s="173" t="str">
        <f>IF(BO97="","",IF(COUNT(BO$61:BO97)&lt;=BR$31-1,BP$33,IF(COUNT(BO$61:BO97)&lt;=2*BR$31-1,BP$34)))</f>
        <v/>
      </c>
      <c r="BQ97" s="173" t="str">
        <f>IF(BO97="","",IF(BP97=BP$33,BR$33+BR$32*(COUNT(BO$61:BO97)-1),IF(BP97=BP$34,BR$34+BR$32*(COUNT(BO$61:BO97)-BR$31))))</f>
        <v/>
      </c>
      <c r="BR97" s="180" t="str" cm="1">
        <f t="array" ref="BR97">IF(BP97="","",MAX($C$5,IF(BO97=90,IF(OR(BQ97=BR$13,BQ97=BR$14,BQ97=BO$4-BR$14,BQ97=BO$4-BR$13),BP$7,IF(OR(BP97=BP$20,BP97=BP$24),BP$8,IF(OR(BP97=BP$21:BP$23),BP$9))),BP$10)))</f>
        <v/>
      </c>
      <c r="BS97" s="168"/>
      <c r="BT97" s="185" t="str">
        <f t="shared" si="62"/>
        <v/>
      </c>
      <c r="BU97" s="173" t="str">
        <f>IF(BT97="","",IF(COUNT(BT$61:BT97)&lt;=BW$31-1,BU$33,IF(COUNT(BT$61:BT97)&lt;=2*BW$31-1,BU$34)))</f>
        <v/>
      </c>
      <c r="BV97" s="173" t="str">
        <f>IF(BT97="","",IF(BU97=BU$33,BW$33+BW$32*(COUNT(BT$61:BT97)-1),IF(BU97=BU$34,BW$34+BW$32*(COUNT(BT$61:BT97)-BW$31))))</f>
        <v/>
      </c>
      <c r="BW97" s="180" t="str" cm="1">
        <f t="array" ref="BW97">IF(BU97="","",MAX($C$5,IF(BT97=90,IF(OR(BV97=BW$13,BV97=BW$14,BV97=BT$4-BW$14,BV97=BT$4-BW$13),BU$7,IF(OR(BU97=BU$20,BU97=BU$24),BU$8,IF(OR(BU97=BU$21:BU$23),BU$9))),BU$10)))</f>
        <v/>
      </c>
      <c r="BX97" s="288"/>
    </row>
    <row r="98" spans="1:76">
      <c r="A98" s="168"/>
      <c r="B98" s="185">
        <f t="shared" si="63"/>
        <v>45</v>
      </c>
      <c r="C98" s="173">
        <f>IF(B98="","",IF(COUNT(B$61:B98)&lt;=E$31,C$33,IF(COUNT(B$61:B98)&lt;=2*E$31,C$34,IF(COUNT(B$61:B98)&lt;=3*E$31,C$35,IF(COUNT(B$61:B98)&lt;=4*E$31,C$36)))))</f>
        <v>139.5</v>
      </c>
      <c r="D98" s="173">
        <f>IF(B98="","",IF(C98=C$33,E$33+E$32*(COUNT(B$61:B98)-1),IF(C98=C$34,E$34+E$32*(COUNT(B$61:B98)-E$31-1),IF(C98=C$35,E$34+E$32*(COUNT(B$61:B98)-2*E$31-1),IF(C98=C$36,E$33+E$32*(COUNT(B$61:B98)-3*E$31-1))))))</f>
        <v>207</v>
      </c>
      <c r="E98" s="180" cm="1">
        <f t="array" ref="E98">IF(C98="","",MAX($C$5,IF(B98=90,IF(OR(D98=E$13,D98=E$14,D98=B$4-E$14,D98=B$4-E$13),C$7,IF(OR(C98=C$20,C98=C$24),C$8,IF(OR(C98=C$21:C$23),C$9))),C$10)))</f>
        <v>18</v>
      </c>
      <c r="F98" s="168"/>
      <c r="G98" s="185">
        <f t="shared" si="64"/>
        <v>45</v>
      </c>
      <c r="H98" s="173">
        <f>IF(G98="","",IF(COUNT(G$61:G98)&lt;=J$31,H$33,IF(COUNT(G$61:G98)&lt;=2*J$31,H$34,IF(COUNT(G$61:G98)&lt;=3*J$31,H$35,IF(COUNT(G$61:G98)&lt;=4*J$31,H$36)))))</f>
        <v>139.5</v>
      </c>
      <c r="I98" s="173">
        <f>IF(G98="","",IF(H98=H$33,J$33+J$32*(COUNT(G$61:G98)-1),IF(H98=H$34,J$34+J$32*(COUNT(G$61:G98)-J$31-1),IF(H98=H$35,J$34+J$32*(COUNT(G$61:G98)-2*J$31-1),IF(H98=H$36,J$33+J$32*(COUNT(G$61:G98)-3*J$31-1))))))</f>
        <v>207</v>
      </c>
      <c r="J98" s="180" cm="1">
        <f t="array" ref="J98">IF(H98="","",MAX($C$5,IF(G98=90,IF(OR(I98=J$13,I98=J$14,I98=G$4-J$14,I98=G$4-J$13),H$7,IF(OR(H98=H$20,H98=H$24),H$8,IF(OR(H98=H$21:H$23),H$9))),H$10)))</f>
        <v>18</v>
      </c>
      <c r="K98" s="168"/>
      <c r="L98" s="185">
        <f t="shared" si="65"/>
        <v>45</v>
      </c>
      <c r="M98" s="173">
        <f>IF(L98="","",IF(COUNT(L$61:L98)&lt;=O$31,M$33,IF(COUNT(L$61:L98)&lt;=2*O$31,M$34,IF(COUNT(L$61:L98)&lt;=3*O$31,M$35,IF(COUNT(L$61:L98)&lt;=4*O$31,M$36)))))</f>
        <v>139.5</v>
      </c>
      <c r="N98" s="173">
        <f>IF(L98="","",IF(M98=M$33,O$33+O$32*(COUNT(L$61:L98)-1),IF(M98=M$34,O$34+O$32*(COUNT(L$61:L98)-O$31-1),IF(M98=M$35,O$34+O$32*(COUNT(L$61:L98)-2*O$31-1),IF(M98=M$36,O$33+O$32*(COUNT(L$61:L98)-3*O$31-1))))))</f>
        <v>387</v>
      </c>
      <c r="O98" s="180" cm="1">
        <f t="array" ref="O98">IF(M98="","",MAX($C$5,IF(L98=90,IF(OR(N98=O$13,N98=O$14,N98=L$4-O$14,N98=L$4-O$13),M$7,IF(OR(M98=M$20,M98=M$24),M$8,IF(OR(M98=M$21:M$23),M$9))),M$10)))</f>
        <v>18</v>
      </c>
      <c r="P98" s="168"/>
      <c r="Q98" s="185">
        <f t="shared" si="66"/>
        <v>45</v>
      </c>
      <c r="R98" s="173">
        <f>IF(Q98="","",IF(COUNT(Q$61:Q98)&lt;=T$31,R$33,IF(COUNT(Q$61:Q98)&lt;=2*T$31,R$34,IF(COUNT(Q$61:Q98)&lt;=3*T$31,R$35,IF(COUNT(Q$61:Q98)&lt;=4*T$31,R$36)))))</f>
        <v>139.5</v>
      </c>
      <c r="S98" s="173">
        <f>IF(Q98="","",IF(R98=R$33,T$33+T$32*(COUNT(Q$61:Q98)-1),IF(R98=R$34,T$34+T$32*(COUNT(Q$61:Q98)-T$31-1),IF(R98=R$35,T$34+T$32*(COUNT(Q$61:Q98)-2*T$31-1),IF(R98=R$36,T$33+T$32*(COUNT(Q$61:Q98)-3*T$31-1))))))</f>
        <v>555</v>
      </c>
      <c r="T98" s="180" cm="1">
        <f t="array" ref="T98">IF(R98="","",MAX($C$5,IF(Q98=90,IF(OR(S98=T$13,S98=T$14,S98=Q$4-T$14,S98=Q$4-T$13),R$7,IF(OR(R98=R$20,R98=R$24),R$8,IF(OR(R98=R$21:R$23),R$9))),R$10)))</f>
        <v>18</v>
      </c>
      <c r="U98" s="168"/>
      <c r="V98" s="185" t="str">
        <f t="shared" si="67"/>
        <v/>
      </c>
      <c r="W98" s="173" t="str">
        <f>IF(V98="","",IF(COUNT(V$61:V98)&lt;=Y$31,W$33,IF(COUNT(V$61:V98)&lt;=2*Y$31,W$34,IF(COUNT(V$61:V98)&lt;=3*Y$31,W$35,IF(COUNT(V$61:V98)&lt;=4*Y$31,W$36)))))</f>
        <v/>
      </c>
      <c r="X98" s="173" t="str">
        <f>IF(V98="","",IF(W98=W$33,Y$33+Y$32*(COUNT(V$61:V98)-1),IF(W98=W$34,Y$34+Y$32*(COUNT(V$61:V98)-Y$31-1),IF(W98=W$35,Y$34+Y$32*(COUNT(V$61:V98)-2*Y$31-1),IF(W98=W$36,Y$33+Y$32*(COUNT(V$61:V98)-3*Y$31-1))))))</f>
        <v/>
      </c>
      <c r="Y98" s="180" t="str" cm="1">
        <f t="array" ref="Y98">IF(W98="","",MAX($C$5,IF(V98=90,IF(OR(X98=Y$13,X98=Y$14,X98=V$4-Y$14,X98=V$4-Y$13),W$7,IF(OR(W98=W$20,W98=W$24),W$8,IF(OR(W98=W$21:W$23),W$9))),W$10)))</f>
        <v/>
      </c>
      <c r="Z98" s="168"/>
      <c r="AA98" s="185" t="str">
        <f t="shared" si="68"/>
        <v/>
      </c>
      <c r="AB98" s="173" t="str">
        <f>IF(AA98="","",IF(COUNT(AA$61:AA98)&lt;=AD$31,AB$33,IF(COUNT(AA$61:AA98)&lt;=2*AD$31,AB$34,IF(COUNT(AA$61:AA98)&lt;=3*AD$31,AB$35,IF(COUNT(AA$61:AA98)&lt;=4*AD$31,AB$36)))))</f>
        <v/>
      </c>
      <c r="AC98" s="173" t="str">
        <f>IF(AA98="","",IF(AB98=AB$33,AD$33+AD$32*(COUNT(AA$61:AA98)-1),IF(AB98=AB$34,AD$34+AD$32*(COUNT(AA$61:AA98)-AD$31-1),IF(AB98=AB$35,AD$34+AD$32*(COUNT(AA$61:AA98)-2*AD$31-1),IF(AB98=AB$36,AD$33+AD$32*(COUNT(AA$61:AA98)-3*AD$31-1))))))</f>
        <v/>
      </c>
      <c r="AD98" s="180" t="str" cm="1">
        <f t="array" ref="AD98">IF(AB98="","",MAX($C$5,IF(AA98=90,IF(OR(AC98=AD$13,AC98=AD$14,AC98=AA$4-AD$14,AC98=AA$4-AD$13),AB$7,IF(OR(AB98=AB$20,AB98=AB$24),AB$8,IF(OR(AB98=AB$21:AB$23),AB$9))),AB$10)))</f>
        <v/>
      </c>
      <c r="AE98" s="168"/>
      <c r="AF98" s="185" t="str">
        <f t="shared" si="69"/>
        <v/>
      </c>
      <c r="AG98" s="173" t="str">
        <f>IF(AF98="","",IF(COUNT(AF$61:AF98)&lt;=AI$31,AG$33,IF(COUNT(AF$61:AF98)&lt;=2*AI$31,AG$34,IF(COUNT(AF$61:AF98)&lt;=3*AI$31,AG$35,IF(COUNT(AF$61:AF98)&lt;=4*AI$31,AG$36)))))</f>
        <v/>
      </c>
      <c r="AH98" s="173" t="str">
        <f>IF(AF98="","",IF(AG98=AG$33,AI$33+AI$32*(COUNT(AF$61:AF98)-1),IF(AG98=AG$34,AI$34+AI$32*(COUNT(AF$61:AF98)-AI$31-1),IF(AG98=AG$35,AI$34+AI$32*(COUNT(AF$61:AF98)-2*AI$31-1),IF(AG98=AG$36,AI$33+AI$32*(COUNT(AF$61:AF98)-3*AI$31-1))))))</f>
        <v/>
      </c>
      <c r="AI98" s="180" t="str" cm="1">
        <f t="array" ref="AI98">IF(AG98="","",MAX($C$5,IF(AF98=90,IF(OR(AH98=AI$13,AH98=AI$14,AH98=AF$4-AI$14,AH98=AF$4-AI$13),AG$7,IF(OR(AG98=AG$20,AG98=AG$24),AG$8,IF(OR(AG98=AG$21:AG$23),AG$9))),AG$10)))</f>
        <v/>
      </c>
      <c r="AJ98" s="168"/>
      <c r="AK98" s="185" t="str">
        <f t="shared" si="70"/>
        <v/>
      </c>
      <c r="AL98" s="173" t="str">
        <f>IF(AK98="","",IF(COUNT(AK$61:AK98)&lt;=AN$31,AL$33,IF(COUNT(AK$61:AK98)&lt;=2*AN$31,AL$34,IF(COUNT(AK$61:AK98)&lt;=3*AN$31,AL$35,IF(COUNT(AK$61:AK98)&lt;=4*AN$31,AL$36)))))</f>
        <v/>
      </c>
      <c r="AM98" s="173" t="str">
        <f>IF(AK98="","",IF(AL98=AL$33,AN$33+AN$32*(COUNT(AK$61:AK98)-1),IF(AL98=AL$34,AN$34+AN$32*(COUNT(AK$61:AK98)-AN$31-1),IF(AL98=AL$35,AN$34+AN$32*(COUNT(AK$61:AK98)-2*AN$31-1),IF(AL98=AL$36,AN$33+AN$32*(COUNT(AK$61:AK98)-3*AN$31-1))))))</f>
        <v/>
      </c>
      <c r="AN98" s="180" t="str" cm="1">
        <f t="array" ref="AN98">IF(AL98="","",MAX($C$5,IF(AK98=90,IF(OR(AM98=AN$13,AM98=AN$14,AM98=AK$4-AN$14,AM98=AK$4-AN$13),AL$7,IF(OR(AL98=AL$20,AL98=AL$24),AL$8,IF(OR(AL98=AL$21:AL$23),AL$9))),AL$10)))</f>
        <v/>
      </c>
      <c r="AO98" s="168"/>
      <c r="AP98" s="198">
        <f t="shared" si="56"/>
        <v>45</v>
      </c>
      <c r="AQ98" s="199">
        <f>IF(AP98="","",IF(COUNT(AP$61:AP98)&lt;=AS$31,AQ$33,IF(COUNT(AP$61:AP98)&lt;=2*AS$31,AQ$34,IF(COUNT(AP$61:AP98)&lt;=3*AS$31,AQ$35,IF(COUNT(AP$61:AP98)&lt;=4*AS$31,AQ$36)))))</f>
        <v>139.5</v>
      </c>
      <c r="AR98" s="199">
        <f>IF(AP98="","",IF(AQ98=AQ$33,AS$33+AS$32*(COUNT(AP$61:AP98)-1),IF(AQ98=AQ$34,AS$34+AS$32*(COUNT(AP$61:AP98)-AS$31-1),IF(AQ98=AQ$35,AS$34+AS$32*(COUNT(AP$61:AP98)-2*AS$31-1),IF(AQ98=AQ$36,AS$33+AS$32*(COUNT(AP$61:AP98)-3*AS$31-1))))))</f>
        <v>705</v>
      </c>
      <c r="AS98" s="180" cm="1">
        <f t="array" ref="AS98">IF(AQ98="","",MAX($C$5,IF(AP98=90,IF(OR(AR98=AS$13,AR98=AS$14,AR98=AP$4-AS$14,AR98=AP$4-AS$13),AQ$7,IF(OR(AQ98=AQ$20,AQ98=AQ$24),AQ$8,IF(OR(AQ98=AQ$21:AQ$23),AQ$9))),AQ$10)))</f>
        <v>18</v>
      </c>
      <c r="AT98" s="277"/>
      <c r="AU98" s="185" t="str">
        <f t="shared" si="57"/>
        <v/>
      </c>
      <c r="AV98" s="173" t="str">
        <f>IF(AU98="","",IF(COUNT(AU$61:AU98)&lt;=AX$31,AV$33,IF(COUNT(AU$61:AU98)&lt;=2*AX$31,AV$34,IF(COUNT(AU$61:AU98)&lt;=3*AX$31,AV$35))))</f>
        <v/>
      </c>
      <c r="AW98" s="173" t="str">
        <f>IF(AU98="","",IF(AV98=AV$33,AX$33+AX$32*(COUNT(AU$61:AU98)-1),IF(AV98=AV$34,AX$34+AX$32*(COUNT(AU$61:AU98)-AX$31-1),IF(AV98=AV$35,AX$33+AX$32*(COUNT(AU$61:AU98)-2*AX$31-1)))))</f>
        <v/>
      </c>
      <c r="AX98" s="180" t="str" cm="1">
        <f t="array" ref="AX98">IF(AV98="","",MAX($C$5,IF(AU98=90,IF(OR(AW98=AX$13,AW98=AX$14,AW98=AU$4-AX$14,AW98=AU$4-AX$13),AV$7,IF(OR(AV98=AV$20,AV98=AV$24),AV$8,IF(OR(AV98=AV$21:AV$23),AV$9))),AV$10)))</f>
        <v/>
      </c>
      <c r="AY98" s="168"/>
      <c r="AZ98" s="185" t="str">
        <f t="shared" si="58"/>
        <v/>
      </c>
      <c r="BA98" s="173" t="str">
        <f>IF(AZ98="","",IF(COUNT(AZ$61:AZ98)&lt;=BC$31,BA$33,IF(COUNT(AZ$61:AZ98)&lt;=2*BC$31,BA$34,IF(COUNT(AZ$61:AZ98)&lt;=3*BC$31,BA$35))))</f>
        <v/>
      </c>
      <c r="BB98" s="173" t="str">
        <f>IF(AZ98="","",IF(BA98=BA$33,BC$33+BC$32*(COUNT(AZ$61:AZ98)-1),IF(BA98=BA$34,BC$34+BC$32*(COUNT(AZ$61:AZ98)-BC$31-1),IF(BA98=BA$35,BC$33+BC$32*(COUNT(AZ$61:AZ98)-2*BC$31-1)))))</f>
        <v/>
      </c>
      <c r="BC98" s="180" t="str" cm="1">
        <f t="array" ref="BC98">IF(BA98="","",MAX($C$5,IF(AZ98=90,IF(OR(BB98=BC$13,BB98=BC$14,BB98=AZ$4-BC$14,BB98=AZ$4-BC$13),BA$7,IF(OR(BA98=BA$20,BA98=BA$24),BA$8,IF(OR(BA98=BA$21:BA$23),BA$9))),BA$10)))</f>
        <v/>
      </c>
      <c r="BD98" s="168"/>
      <c r="BE98" s="185" t="str">
        <f t="shared" si="59"/>
        <v/>
      </c>
      <c r="BF98" s="173" t="str">
        <f>IF(BE98="","",IF(COUNT(BE$61:BE98)&lt;=BH$31,BF$33,IF(COUNT(BE$61:BE98)&lt;=2*BH$31,BF$34,IF(COUNT(BE$61:BE98)&lt;=3*BH$31,BF$35))))</f>
        <v/>
      </c>
      <c r="BG98" s="173" t="str">
        <f>IF(BE98="","",IF(BF98=BF$33,BH$33+BH$32*(COUNT(BE$61:BE98)-1),IF(BF98=BF$34,BH$34+BH$32*(COUNT(BE$61:BE98)-BH$31-1),IF(BF98=BF$35,BH$33+BH$32*(COUNT(BE$61:BE98)-2*BH$31-1)))))</f>
        <v/>
      </c>
      <c r="BH98" s="180" t="str" cm="1">
        <f t="array" ref="BH98">IF(BF98="","",MAX($C$5,IF(BE98=90,IF(OR(BG98=BH$13,BG98=BH$14,BG98=BE$4-BH$14,BG98=BE$4-BH$13),BF$7,IF(OR(BF98=BF$20,BF98=BF$24),BF$8,IF(OR(BF98=BF$21:BF$23),BF$9))),BF$10)))</f>
        <v/>
      </c>
      <c r="BI98" s="277"/>
      <c r="BJ98" s="185" t="str">
        <f t="shared" si="60"/>
        <v/>
      </c>
      <c r="BK98" s="173" t="str">
        <f>IF(BJ98="","",IF(COUNT(BJ$61:BJ98)&lt;=BM$31-1,BK$33,IF(COUNT(BJ$61:BJ98)&lt;=2*BM$31-1,BK$34)))</f>
        <v/>
      </c>
      <c r="BL98" s="173" t="str">
        <f>IF(BJ98="","",IF(BK98=BK$33,BM$33+BM$32*(COUNT(BJ$61:BJ98)-1),IF(BK98=BK$34,BM$34+BM$32*(COUNT(BJ$61:BJ98)-BM$31))))</f>
        <v/>
      </c>
      <c r="BM98" s="180" t="str" cm="1">
        <f t="array" ref="BM98">IF(BK98="","",MAX($C$5,IF(BJ98=90,IF(OR(BL98=BM$13,BL98=BM$14,BL98=BJ$4-BM$14,BL98=BJ$4-BM$13),BK$7,IF(OR(BK98=BK$20,BK98=BK$24),BK$8,IF(OR(BK98=BK$21:BK$23),BK$9))),BK$10)))</f>
        <v/>
      </c>
      <c r="BN98" s="168"/>
      <c r="BO98" s="185" t="str">
        <f t="shared" si="61"/>
        <v/>
      </c>
      <c r="BP98" s="173" t="str">
        <f>IF(BO98="","",IF(COUNT(BO$61:BO98)&lt;=BR$31-1,BP$33,IF(COUNT(BO$61:BO98)&lt;=2*BR$31-1,BP$34)))</f>
        <v/>
      </c>
      <c r="BQ98" s="173" t="str">
        <f>IF(BO98="","",IF(BP98=BP$33,BR$33+BR$32*(COUNT(BO$61:BO98)-1),IF(BP98=BP$34,BR$34+BR$32*(COUNT(BO$61:BO98)-BR$31))))</f>
        <v/>
      </c>
      <c r="BR98" s="180" t="str" cm="1">
        <f t="array" ref="BR98">IF(BP98="","",MAX($C$5,IF(BO98=90,IF(OR(BQ98=BR$13,BQ98=BR$14,BQ98=BO$4-BR$14,BQ98=BO$4-BR$13),BP$7,IF(OR(BP98=BP$20,BP98=BP$24),BP$8,IF(OR(BP98=BP$21:BP$23),BP$9))),BP$10)))</f>
        <v/>
      </c>
      <c r="BS98" s="168"/>
      <c r="BT98" s="185" t="str">
        <f t="shared" si="62"/>
        <v/>
      </c>
      <c r="BU98" s="173" t="str">
        <f>IF(BT98="","",IF(COUNT(BT$61:BT98)&lt;=BW$31-1,BU$33,IF(COUNT(BT$61:BT98)&lt;=2*BW$31-1,BU$34)))</f>
        <v/>
      </c>
      <c r="BV98" s="173" t="str">
        <f>IF(BT98="","",IF(BU98=BU$33,BW$33+BW$32*(COUNT(BT$61:BT98)-1),IF(BU98=BU$34,BW$34+BW$32*(COUNT(BT$61:BT98)-BW$31))))</f>
        <v/>
      </c>
      <c r="BW98" s="180" t="str" cm="1">
        <f t="array" ref="BW98">IF(BU98="","",MAX($C$5,IF(BT98=90,IF(OR(BV98=BW$13,BV98=BW$14,BV98=BT$4-BW$14,BV98=BT$4-BW$13),BU$7,IF(OR(BU98=BU$20,BU98=BU$24),BU$8,IF(OR(BU98=BU$21:BU$23),BU$9))),BU$10)))</f>
        <v/>
      </c>
      <c r="BX98" s="288"/>
    </row>
    <row r="99" spans="1:76">
      <c r="A99" s="168"/>
      <c r="B99" s="185">
        <f t="shared" si="63"/>
        <v>45</v>
      </c>
      <c r="C99" s="173">
        <f>IF(B99="","",IF(COUNT(B$61:B99)&lt;=E$31,C$33,IF(COUNT(B$61:B99)&lt;=2*E$31,C$34,IF(COUNT(B$61:B99)&lt;=3*E$31,C$35,IF(COUNT(B$61:B99)&lt;=4*E$31,C$36)))))</f>
        <v>139.5</v>
      </c>
      <c r="D99" s="173">
        <f>IF(B99="","",IF(C99=C$33,E$33+E$32*(COUNT(B$61:B99)-1),IF(C99=C$34,E$34+E$32*(COUNT(B$61:B99)-E$31-1),IF(C99=C$35,E$34+E$32*(COUNT(B$61:B99)-2*E$31-1),IF(C99=C$36,E$33+E$32*(COUNT(B$61:B99)-3*E$31-1))))))</f>
        <v>264</v>
      </c>
      <c r="E99" s="180" cm="1">
        <f t="array" ref="E99">IF(C99="","",MAX($C$5,IF(B99=90,IF(OR(D99=E$13,D99=E$14,D99=B$4-E$14,D99=B$4-E$13),C$7,IF(OR(C99=C$20,C99=C$24),C$8,IF(OR(C99=C$21:C$23),C$9))),C$10)))</f>
        <v>18</v>
      </c>
      <c r="F99" s="168"/>
      <c r="G99" s="185">
        <f t="shared" si="64"/>
        <v>45</v>
      </c>
      <c r="H99" s="173">
        <f>IF(G99="","",IF(COUNT(G$61:G99)&lt;=J$31,H$33,IF(COUNT(G$61:G99)&lt;=2*J$31,H$34,IF(COUNT(G$61:G99)&lt;=3*J$31,H$35,IF(COUNT(G$61:G99)&lt;=4*J$31,H$36)))))</f>
        <v>139.5</v>
      </c>
      <c r="I99" s="173">
        <f>IF(G99="","",IF(H99=H$33,J$33+J$32*(COUNT(G$61:G99)-1),IF(H99=H$34,J$34+J$32*(COUNT(G$61:G99)-J$31-1),IF(H99=H$35,J$34+J$32*(COUNT(G$61:G99)-2*J$31-1),IF(H99=H$36,J$33+J$32*(COUNT(G$61:G99)-3*J$31-1))))))</f>
        <v>264</v>
      </c>
      <c r="J99" s="180" cm="1">
        <f t="array" ref="J99">IF(H99="","",MAX($C$5,IF(G99=90,IF(OR(I99=J$13,I99=J$14,I99=G$4-J$14,I99=G$4-J$13),H$7,IF(OR(H99=H$20,H99=H$24),H$8,IF(OR(H99=H$21:H$23),H$9))),H$10)))</f>
        <v>18</v>
      </c>
      <c r="K99" s="168"/>
      <c r="L99" s="185">
        <f t="shared" si="65"/>
        <v>45</v>
      </c>
      <c r="M99" s="173">
        <f>IF(L99="","",IF(COUNT(L$61:L99)&lt;=O$31,M$33,IF(COUNT(L$61:L99)&lt;=2*O$31,M$34,IF(COUNT(L$61:L99)&lt;=3*O$31,M$35,IF(COUNT(L$61:L99)&lt;=4*O$31,M$36)))))</f>
        <v>139.5</v>
      </c>
      <c r="N99" s="173">
        <f>IF(L99="","",IF(M99=M$33,O$33+O$32*(COUNT(L$61:L99)-1),IF(M99=M$34,O$34+O$32*(COUNT(L$61:L99)-O$31-1),IF(M99=M$35,O$34+O$32*(COUNT(L$61:L99)-2*O$31-1),IF(M99=M$36,O$33+O$32*(COUNT(L$61:L99)-3*O$31-1))))))</f>
        <v>444</v>
      </c>
      <c r="O99" s="180" cm="1">
        <f t="array" ref="O99">IF(M99="","",MAX($C$5,IF(L99=90,IF(OR(N99=O$13,N99=O$14,N99=L$4-O$14,N99=L$4-O$13),M$7,IF(OR(M99=M$20,M99=M$24),M$8,IF(OR(M99=M$21:M$23),M$9))),M$10)))</f>
        <v>18</v>
      </c>
      <c r="P99" s="168"/>
      <c r="Q99" s="185">
        <f t="shared" si="66"/>
        <v>45</v>
      </c>
      <c r="R99" s="173">
        <f>IF(Q99="","",IF(COUNT(Q$61:Q99)&lt;=T$31,R$33,IF(COUNT(Q$61:Q99)&lt;=2*T$31,R$34,IF(COUNT(Q$61:Q99)&lt;=3*T$31,R$35,IF(COUNT(Q$61:Q99)&lt;=4*T$31,R$36)))))</f>
        <v>139.5</v>
      </c>
      <c r="S99" s="173">
        <f>IF(Q99="","",IF(R99=R$33,T$33+T$32*(COUNT(Q$61:Q99)-1),IF(R99=R$34,T$34+T$32*(COUNT(Q$61:Q99)-T$31-1),IF(R99=R$35,T$34+T$32*(COUNT(Q$61:Q99)-2*T$31-1),IF(R99=R$36,T$33+T$32*(COUNT(Q$61:Q99)-3*T$31-1))))))</f>
        <v>612</v>
      </c>
      <c r="T99" s="180" cm="1">
        <f t="array" ref="T99">IF(R99="","",MAX($C$5,IF(Q99=90,IF(OR(S99=T$13,S99=T$14,S99=Q$4-T$14,S99=Q$4-T$13),R$7,IF(OR(R99=R$20,R99=R$24),R$8,IF(OR(R99=R$21:R$23),R$9))),R$10)))</f>
        <v>18</v>
      </c>
      <c r="U99" s="168"/>
      <c r="V99" s="185" t="str">
        <f t="shared" si="67"/>
        <v/>
      </c>
      <c r="W99" s="173" t="str">
        <f>IF(V99="","",IF(COUNT(V$61:V99)&lt;=Y$31,W$33,IF(COUNT(V$61:V99)&lt;=2*Y$31,W$34,IF(COUNT(V$61:V99)&lt;=3*Y$31,W$35,IF(COUNT(V$61:V99)&lt;=4*Y$31,W$36)))))</f>
        <v/>
      </c>
      <c r="X99" s="173" t="str">
        <f>IF(V99="","",IF(W99=W$33,Y$33+Y$32*(COUNT(V$61:V99)-1),IF(W99=W$34,Y$34+Y$32*(COUNT(V$61:V99)-Y$31-1),IF(W99=W$35,Y$34+Y$32*(COUNT(V$61:V99)-2*Y$31-1),IF(W99=W$36,Y$33+Y$32*(COUNT(V$61:V99)-3*Y$31-1))))))</f>
        <v/>
      </c>
      <c r="Y99" s="180" t="str" cm="1">
        <f t="array" ref="Y99">IF(W99="","",MAX($C$5,IF(V99=90,IF(OR(X99=Y$13,X99=Y$14,X99=V$4-Y$14,X99=V$4-Y$13),W$7,IF(OR(W99=W$20,W99=W$24),W$8,IF(OR(W99=W$21:W$23),W$9))),W$10)))</f>
        <v/>
      </c>
      <c r="Z99" s="168"/>
      <c r="AA99" s="185" t="str">
        <f t="shared" si="68"/>
        <v/>
      </c>
      <c r="AB99" s="173" t="str">
        <f>IF(AA99="","",IF(COUNT(AA$61:AA99)&lt;=AD$31,AB$33,IF(COUNT(AA$61:AA99)&lt;=2*AD$31,AB$34,IF(COUNT(AA$61:AA99)&lt;=3*AD$31,AB$35,IF(COUNT(AA$61:AA99)&lt;=4*AD$31,AB$36)))))</f>
        <v/>
      </c>
      <c r="AC99" s="173" t="str">
        <f>IF(AA99="","",IF(AB99=AB$33,AD$33+AD$32*(COUNT(AA$61:AA99)-1),IF(AB99=AB$34,AD$34+AD$32*(COUNT(AA$61:AA99)-AD$31-1),IF(AB99=AB$35,AD$34+AD$32*(COUNT(AA$61:AA99)-2*AD$31-1),IF(AB99=AB$36,AD$33+AD$32*(COUNT(AA$61:AA99)-3*AD$31-1))))))</f>
        <v/>
      </c>
      <c r="AD99" s="180" t="str" cm="1">
        <f t="array" ref="AD99">IF(AB99="","",MAX($C$5,IF(AA99=90,IF(OR(AC99=AD$13,AC99=AD$14,AC99=AA$4-AD$14,AC99=AA$4-AD$13),AB$7,IF(OR(AB99=AB$20,AB99=AB$24),AB$8,IF(OR(AB99=AB$21:AB$23),AB$9))),AB$10)))</f>
        <v/>
      </c>
      <c r="AE99" s="168"/>
      <c r="AF99" s="185" t="str">
        <f t="shared" si="69"/>
        <v/>
      </c>
      <c r="AG99" s="173" t="str">
        <f>IF(AF99="","",IF(COUNT(AF$61:AF99)&lt;=AI$31,AG$33,IF(COUNT(AF$61:AF99)&lt;=2*AI$31,AG$34,IF(COUNT(AF$61:AF99)&lt;=3*AI$31,AG$35,IF(COUNT(AF$61:AF99)&lt;=4*AI$31,AG$36)))))</f>
        <v/>
      </c>
      <c r="AH99" s="173" t="str">
        <f>IF(AF99="","",IF(AG99=AG$33,AI$33+AI$32*(COUNT(AF$61:AF99)-1),IF(AG99=AG$34,AI$34+AI$32*(COUNT(AF$61:AF99)-AI$31-1),IF(AG99=AG$35,AI$34+AI$32*(COUNT(AF$61:AF99)-2*AI$31-1),IF(AG99=AG$36,AI$33+AI$32*(COUNT(AF$61:AF99)-3*AI$31-1))))))</f>
        <v/>
      </c>
      <c r="AI99" s="180" t="str" cm="1">
        <f t="array" ref="AI99">IF(AG99="","",MAX($C$5,IF(AF99=90,IF(OR(AH99=AI$13,AH99=AI$14,AH99=AF$4-AI$14,AH99=AF$4-AI$13),AG$7,IF(OR(AG99=AG$20,AG99=AG$24),AG$8,IF(OR(AG99=AG$21:AG$23),AG$9))),AG$10)))</f>
        <v/>
      </c>
      <c r="AJ99" s="168"/>
      <c r="AK99" s="185" t="str">
        <f t="shared" si="70"/>
        <v/>
      </c>
      <c r="AL99" s="173" t="str">
        <f>IF(AK99="","",IF(COUNT(AK$61:AK99)&lt;=AN$31,AL$33,IF(COUNT(AK$61:AK99)&lt;=2*AN$31,AL$34,IF(COUNT(AK$61:AK99)&lt;=3*AN$31,AL$35,IF(COUNT(AK$61:AK99)&lt;=4*AN$31,AL$36)))))</f>
        <v/>
      </c>
      <c r="AM99" s="173" t="str">
        <f>IF(AK99="","",IF(AL99=AL$33,AN$33+AN$32*(COUNT(AK$61:AK99)-1),IF(AL99=AL$34,AN$34+AN$32*(COUNT(AK$61:AK99)-AN$31-1),IF(AL99=AL$35,AN$34+AN$32*(COUNT(AK$61:AK99)-2*AN$31-1),IF(AL99=AL$36,AN$33+AN$32*(COUNT(AK$61:AK99)-3*AN$31-1))))))</f>
        <v/>
      </c>
      <c r="AN99" s="180" t="str" cm="1">
        <f t="array" ref="AN99">IF(AL99="","",MAX($C$5,IF(AK99=90,IF(OR(AM99=AN$13,AM99=AN$14,AM99=AK$4-AN$14,AM99=AK$4-AN$13),AL$7,IF(OR(AL99=AL$20,AL99=AL$24),AL$8,IF(OR(AL99=AL$21:AL$23),AL$9))),AL$10)))</f>
        <v/>
      </c>
      <c r="AO99" s="168"/>
      <c r="AP99" s="198">
        <f t="shared" si="56"/>
        <v>45</v>
      </c>
      <c r="AQ99" s="199">
        <f>IF(AP99="","",IF(COUNT(AP$61:AP99)&lt;=AS$31,AQ$33,IF(COUNT(AP$61:AP99)&lt;=2*AS$31,AQ$34,IF(COUNT(AP$61:AP99)&lt;=3*AS$31,AQ$35,IF(COUNT(AP$61:AP99)&lt;=4*AS$31,AQ$36)))))</f>
        <v>139.5</v>
      </c>
      <c r="AR99" s="199">
        <f>IF(AP99="","",IF(AQ99=AQ$33,AS$33+AS$32*(COUNT(AP$61:AP99)-1),IF(AQ99=AQ$34,AS$34+AS$32*(COUNT(AP$61:AP99)-AS$31-1),IF(AQ99=AQ$35,AS$34+AS$32*(COUNT(AP$61:AP99)-2*AS$31-1),IF(AQ99=AQ$36,AS$33+AS$32*(COUNT(AP$61:AP99)-3*AS$31-1))))))</f>
        <v>762</v>
      </c>
      <c r="AS99" s="180" cm="1">
        <f t="array" ref="AS99">IF(AQ99="","",MAX($C$5,IF(AP99=90,IF(OR(AR99=AS$13,AR99=AS$14,AR99=AP$4-AS$14,AR99=AP$4-AS$13),AQ$7,IF(OR(AQ99=AQ$20,AQ99=AQ$24),AQ$8,IF(OR(AQ99=AQ$21:AQ$23),AQ$9))),AQ$10)))</f>
        <v>18</v>
      </c>
      <c r="AT99" s="277"/>
      <c r="AU99" s="185" t="str">
        <f t="shared" si="57"/>
        <v/>
      </c>
      <c r="AV99" s="173" t="str">
        <f>IF(AU99="","",IF(COUNT(AU$61:AU99)&lt;=AX$31,AV$33,IF(COUNT(AU$61:AU99)&lt;=2*AX$31,AV$34,IF(COUNT(AU$61:AU99)&lt;=3*AX$31,AV$35))))</f>
        <v/>
      </c>
      <c r="AW99" s="173" t="str">
        <f>IF(AU99="","",IF(AV99=AV$33,AX$33+AX$32*(COUNT(AU$61:AU99)-1),IF(AV99=AV$34,AX$34+AX$32*(COUNT(AU$61:AU99)-AX$31-1),IF(AV99=AV$35,AX$33+AX$32*(COUNT(AU$61:AU99)-2*AX$31-1)))))</f>
        <v/>
      </c>
      <c r="AX99" s="180" t="str" cm="1">
        <f t="array" ref="AX99">IF(AV99="","",MAX($C$5,IF(AU99=90,IF(OR(AW99=AX$13,AW99=AX$14,AW99=AU$4-AX$14,AW99=AU$4-AX$13),AV$7,IF(OR(AV99=AV$20,AV99=AV$24),AV$8,IF(OR(AV99=AV$21:AV$23),AV$9))),AV$10)))</f>
        <v/>
      </c>
      <c r="AY99" s="168"/>
      <c r="AZ99" s="185" t="str">
        <f t="shared" si="58"/>
        <v/>
      </c>
      <c r="BA99" s="173" t="str">
        <f>IF(AZ99="","",IF(COUNT(AZ$61:AZ99)&lt;=BC$31,BA$33,IF(COUNT(AZ$61:AZ99)&lt;=2*BC$31,BA$34,IF(COUNT(AZ$61:AZ99)&lt;=3*BC$31,BA$35))))</f>
        <v/>
      </c>
      <c r="BB99" s="173" t="str">
        <f>IF(AZ99="","",IF(BA99=BA$33,BC$33+BC$32*(COUNT(AZ$61:AZ99)-1),IF(BA99=BA$34,BC$34+BC$32*(COUNT(AZ$61:AZ99)-BC$31-1),IF(BA99=BA$35,BC$33+BC$32*(COUNT(AZ$61:AZ99)-2*BC$31-1)))))</f>
        <v/>
      </c>
      <c r="BC99" s="180" t="str" cm="1">
        <f t="array" ref="BC99">IF(BA99="","",MAX($C$5,IF(AZ99=90,IF(OR(BB99=BC$13,BB99=BC$14,BB99=AZ$4-BC$14,BB99=AZ$4-BC$13),BA$7,IF(OR(BA99=BA$20,BA99=BA$24),BA$8,IF(OR(BA99=BA$21:BA$23),BA$9))),BA$10)))</f>
        <v/>
      </c>
      <c r="BD99" s="168"/>
      <c r="BE99" s="185" t="str">
        <f t="shared" si="59"/>
        <v/>
      </c>
      <c r="BF99" s="173" t="str">
        <f>IF(BE99="","",IF(COUNT(BE$61:BE99)&lt;=BH$31,BF$33,IF(COUNT(BE$61:BE99)&lt;=2*BH$31,BF$34,IF(COUNT(BE$61:BE99)&lt;=3*BH$31,BF$35))))</f>
        <v/>
      </c>
      <c r="BG99" s="173" t="str">
        <f>IF(BE99="","",IF(BF99=BF$33,BH$33+BH$32*(COUNT(BE$61:BE99)-1),IF(BF99=BF$34,BH$34+BH$32*(COUNT(BE$61:BE99)-BH$31-1),IF(BF99=BF$35,BH$33+BH$32*(COUNT(BE$61:BE99)-2*BH$31-1)))))</f>
        <v/>
      </c>
      <c r="BH99" s="180" t="str" cm="1">
        <f t="array" ref="BH99">IF(BF99="","",MAX($C$5,IF(BE99=90,IF(OR(BG99=BH$13,BG99=BH$14,BG99=BE$4-BH$14,BG99=BE$4-BH$13),BF$7,IF(OR(BF99=BF$20,BF99=BF$24),BF$8,IF(OR(BF99=BF$21:BF$23),BF$9))),BF$10)))</f>
        <v/>
      </c>
      <c r="BI99" s="277"/>
      <c r="BJ99" s="185" t="str">
        <f t="shared" si="60"/>
        <v/>
      </c>
      <c r="BK99" s="173" t="str">
        <f>IF(BJ99="","",IF(COUNT(BJ$61:BJ99)&lt;=BM$31-1,BK$33,IF(COUNT(BJ$61:BJ99)&lt;=2*BM$31-1,BK$34)))</f>
        <v/>
      </c>
      <c r="BL99" s="173" t="str">
        <f>IF(BJ99="","",IF(BK99=BK$33,BM$33+BM$32*(COUNT(BJ$61:BJ99)-1),IF(BK99=BK$34,BM$34+BM$32*(COUNT(BJ$61:BJ99)-BM$31))))</f>
        <v/>
      </c>
      <c r="BM99" s="180" t="str" cm="1">
        <f t="array" ref="BM99">IF(BK99="","",MAX($C$5,IF(BJ99=90,IF(OR(BL99=BM$13,BL99=BM$14,BL99=BJ$4-BM$14,BL99=BJ$4-BM$13),BK$7,IF(OR(BK99=BK$20,BK99=BK$24),BK$8,IF(OR(BK99=BK$21:BK$23),BK$9))),BK$10)))</f>
        <v/>
      </c>
      <c r="BN99" s="168"/>
      <c r="BO99" s="185" t="str">
        <f t="shared" si="61"/>
        <v/>
      </c>
      <c r="BP99" s="173" t="str">
        <f>IF(BO99="","",IF(COUNT(BO$61:BO99)&lt;=BR$31-1,BP$33,IF(COUNT(BO$61:BO99)&lt;=2*BR$31-1,BP$34)))</f>
        <v/>
      </c>
      <c r="BQ99" s="173" t="str">
        <f>IF(BO99="","",IF(BP99=BP$33,BR$33+BR$32*(COUNT(BO$61:BO99)-1),IF(BP99=BP$34,BR$34+BR$32*(COUNT(BO$61:BO99)-BR$31))))</f>
        <v/>
      </c>
      <c r="BR99" s="180" t="str" cm="1">
        <f t="array" ref="BR99">IF(BP99="","",MAX($C$5,IF(BO99=90,IF(OR(BQ99=BR$13,BQ99=BR$14,BQ99=BO$4-BR$14,BQ99=BO$4-BR$13),BP$7,IF(OR(BP99=BP$20,BP99=BP$24),BP$8,IF(OR(BP99=BP$21:BP$23),BP$9))),BP$10)))</f>
        <v/>
      </c>
      <c r="BS99" s="168"/>
      <c r="BT99" s="185" t="str">
        <f t="shared" si="62"/>
        <v/>
      </c>
      <c r="BU99" s="173" t="str">
        <f>IF(BT99="","",IF(COUNT(BT$61:BT99)&lt;=BW$31-1,BU$33,IF(COUNT(BT$61:BT99)&lt;=2*BW$31-1,BU$34)))</f>
        <v/>
      </c>
      <c r="BV99" s="173" t="str">
        <f>IF(BT99="","",IF(BU99=BU$33,BW$33+BW$32*(COUNT(BT$61:BT99)-1),IF(BU99=BU$34,BW$34+BW$32*(COUNT(BT$61:BT99)-BW$31))))</f>
        <v/>
      </c>
      <c r="BW99" s="180" t="str" cm="1">
        <f t="array" ref="BW99">IF(BU99="","",MAX($C$5,IF(BT99=90,IF(OR(BV99=BW$13,BV99=BW$14,BV99=BT$4-BW$14,BV99=BT$4-BW$13),BU$7,IF(OR(BU99=BU$20,BU99=BU$24),BU$8,IF(OR(BU99=BU$21:BU$23),BU$9))),BU$10)))</f>
        <v/>
      </c>
      <c r="BX99" s="288"/>
    </row>
    <row r="100" spans="1:76">
      <c r="A100" s="168"/>
      <c r="B100" s="185">
        <f t="shared" si="63"/>
        <v>45</v>
      </c>
      <c r="C100" s="173">
        <f>IF(B100="","",IF(COUNT(B$61:B100)&lt;=E$31,C$33,IF(COUNT(B$61:B100)&lt;=2*E$31,C$34,IF(COUNT(B$61:B100)&lt;=3*E$31,C$35,IF(COUNT(B$61:B100)&lt;=4*E$31,C$36)))))</f>
        <v>139.5</v>
      </c>
      <c r="D100" s="173">
        <f>IF(B100="","",IF(C100=C$33,E$33+E$32*(COUNT(B$61:B100)-1),IF(C100=C$34,E$34+E$32*(COUNT(B$61:B100)-E$31-1),IF(C100=C$35,E$34+E$32*(COUNT(B$61:B100)-2*E$31-1),IF(C100=C$36,E$33+E$32*(COUNT(B$61:B100)-3*E$31-1))))))</f>
        <v>321</v>
      </c>
      <c r="E100" s="180" cm="1">
        <f t="array" ref="E100">IF(C100="","",MAX($C$5,IF(B100=90,IF(OR(D100=E$13,D100=E$14,D100=B$4-E$14,D100=B$4-E$13),C$7,IF(OR(C100=C$20,C100=C$24),C$8,IF(OR(C100=C$21:C$23),C$9))),C$10)))</f>
        <v>18</v>
      </c>
      <c r="F100" s="168"/>
      <c r="G100" s="185">
        <f t="shared" si="64"/>
        <v>45</v>
      </c>
      <c r="H100" s="173">
        <f>IF(G100="","",IF(COUNT(G$61:G100)&lt;=J$31,H$33,IF(COUNT(G$61:G100)&lt;=2*J$31,H$34,IF(COUNT(G$61:G100)&lt;=3*J$31,H$35,IF(COUNT(G$61:G100)&lt;=4*J$31,H$36)))))</f>
        <v>139.5</v>
      </c>
      <c r="I100" s="173">
        <f>IF(G100="","",IF(H100=H$33,J$33+J$32*(COUNT(G$61:G100)-1),IF(H100=H$34,J$34+J$32*(COUNT(G$61:G100)-J$31-1),IF(H100=H$35,J$34+J$32*(COUNT(G$61:G100)-2*J$31-1),IF(H100=H$36,J$33+J$32*(COUNT(G$61:G100)-3*J$31-1))))))</f>
        <v>321</v>
      </c>
      <c r="J100" s="180" cm="1">
        <f t="array" ref="J100">IF(H100="","",MAX($C$5,IF(G100=90,IF(OR(I100=J$13,I100=J$14,I100=G$4-J$14,I100=G$4-J$13),H$7,IF(OR(H100=H$20,H100=H$24),H$8,IF(OR(H100=H$21:H$23),H$9))),H$10)))</f>
        <v>18</v>
      </c>
      <c r="K100" s="168"/>
      <c r="L100" s="185">
        <f t="shared" si="65"/>
        <v>45</v>
      </c>
      <c r="M100" s="173">
        <f>IF(L100="","",IF(COUNT(L$61:L100)&lt;=O$31,M$33,IF(COUNT(L$61:L100)&lt;=2*O$31,M$34,IF(COUNT(L$61:L100)&lt;=3*O$31,M$35,IF(COUNT(L$61:L100)&lt;=4*O$31,M$36)))))</f>
        <v>139.5</v>
      </c>
      <c r="N100" s="173">
        <f>IF(L100="","",IF(M100=M$33,O$33+O$32*(COUNT(L$61:L100)-1),IF(M100=M$34,O$34+O$32*(COUNT(L$61:L100)-O$31-1),IF(M100=M$35,O$34+O$32*(COUNT(L$61:L100)-2*O$31-1),IF(M100=M$36,O$33+O$32*(COUNT(L$61:L100)-3*O$31-1))))))</f>
        <v>501</v>
      </c>
      <c r="O100" s="180" cm="1">
        <f t="array" ref="O100">IF(M100="","",MAX($C$5,IF(L100=90,IF(OR(N100=O$13,N100=O$14,N100=L$4-O$14,N100=L$4-O$13),M$7,IF(OR(M100=M$20,M100=M$24),M$8,IF(OR(M100=M$21:M$23),M$9))),M$10)))</f>
        <v>18</v>
      </c>
      <c r="P100" s="168"/>
      <c r="Q100" s="185">
        <f>IF(ROW(Q100)-ROW(Q$60)&lt;=(R$31*T$31),45,"")</f>
        <v>45</v>
      </c>
      <c r="R100" s="173">
        <f>IF(Q100="","",IF(COUNT(Q$61:Q100)&lt;=T$31,R$33,IF(COUNT(Q$61:Q100)&lt;=2*T$31,R$34,IF(COUNT(Q$61:Q100)&lt;=3*T$31,R$35,IF(COUNT(Q$61:Q100)&lt;=4*T$31,R$36)))))</f>
        <v>139.5</v>
      </c>
      <c r="S100" s="173">
        <f>IF(Q100="","",IF(R100=R$33,T$33+T$32*(COUNT(Q$61:Q100)-1),IF(R100=R$34,T$34+T$32*(COUNT(Q$61:Q100)-T$31-1),IF(R100=R$35,T$34+T$32*(COUNT(Q$61:Q100)-2*T$31-1),IF(R100=R$36,T$33+T$32*(COUNT(Q$61:Q100)-3*T$31-1))))))</f>
        <v>669</v>
      </c>
      <c r="T100" s="180" cm="1">
        <f t="array" ref="T100">IF(R100="","",MAX($C$5,IF(Q100=90,IF(OR(S100=T$13,S100=T$14,S100=Q$4-T$14,S100=Q$4-T$13),R$7,IF(OR(R100=R$20,R100=R$24),R$8,IF(OR(R100=R$21:R$23),R$9))),R$10)))</f>
        <v>18</v>
      </c>
      <c r="U100" s="168"/>
      <c r="V100" s="185" t="str">
        <f t="shared" si="67"/>
        <v/>
      </c>
      <c r="W100" s="173" t="str">
        <f>IF(V100="","",IF(COUNT(V$61:V100)&lt;=Y$31,W$33,IF(COUNT(V$61:V100)&lt;=2*Y$31,W$34,IF(COUNT(V$61:V100)&lt;=3*Y$31,W$35,IF(COUNT(V$61:V100)&lt;=4*Y$31,W$36)))))</f>
        <v/>
      </c>
      <c r="X100" s="173" t="str">
        <f>IF(V100="","",IF(W100=W$33,Y$33+Y$32*(COUNT(V$61:V100)-1),IF(W100=W$34,Y$34+Y$32*(COUNT(V$61:V100)-Y$31-1),IF(W100=W$35,Y$34+Y$32*(COUNT(V$61:V100)-2*Y$31-1),IF(W100=W$36,Y$33+Y$32*(COUNT(V$61:V100)-3*Y$31-1))))))</f>
        <v/>
      </c>
      <c r="Y100" s="180" t="str" cm="1">
        <f t="array" ref="Y100">IF(W100="","",MAX($C$5,IF(V100=90,IF(OR(X100=Y$13,X100=Y$14,X100=V$4-Y$14,X100=V$4-Y$13),W$7,IF(OR(W100=W$20,W100=W$24),W$8,IF(OR(W100=W$21:W$23),W$9))),W$10)))</f>
        <v/>
      </c>
      <c r="Z100" s="168"/>
      <c r="AA100" s="185" t="str">
        <f t="shared" si="68"/>
        <v/>
      </c>
      <c r="AB100" s="173" t="str">
        <f>IF(AA100="","",IF(COUNT(AA$61:AA100)&lt;=AD$31,AB$33,IF(COUNT(AA$61:AA100)&lt;=2*AD$31,AB$34,IF(COUNT(AA$61:AA100)&lt;=3*AD$31,AB$35,IF(COUNT(AA$61:AA100)&lt;=4*AD$31,AB$36)))))</f>
        <v/>
      </c>
      <c r="AC100" s="173" t="str">
        <f>IF(AA100="","",IF(AB100=AB$33,AD$33+AD$32*(COUNT(AA$61:AA100)-1),IF(AB100=AB$34,AD$34+AD$32*(COUNT(AA$61:AA100)-AD$31-1),IF(AB100=AB$35,AD$34+AD$32*(COUNT(AA$61:AA100)-2*AD$31-1),IF(AB100=AB$36,AD$33+AD$32*(COUNT(AA$61:AA100)-3*AD$31-1))))))</f>
        <v/>
      </c>
      <c r="AD100" s="180" t="str" cm="1">
        <f t="array" ref="AD100">IF(AB100="","",MAX($C$5,IF(AA100=90,IF(OR(AC100=AD$13,AC100=AD$14,AC100=AA$4-AD$14,AC100=AA$4-AD$13),AB$7,IF(OR(AB100=AB$20,AB100=AB$24),AB$8,IF(OR(AB100=AB$21:AB$23),AB$9))),AB$10)))</f>
        <v/>
      </c>
      <c r="AE100" s="168"/>
      <c r="AF100" s="185" t="str">
        <f t="shared" si="69"/>
        <v/>
      </c>
      <c r="AG100" s="173" t="str">
        <f>IF(AF100="","",IF(COUNT(AF$61:AF100)&lt;=AI$31,AG$33,IF(COUNT(AF$61:AF100)&lt;=2*AI$31,AG$34,IF(COUNT(AF$61:AF100)&lt;=3*AI$31,AG$35,IF(COUNT(AF$61:AF100)&lt;=4*AI$31,AG$36)))))</f>
        <v/>
      </c>
      <c r="AH100" s="173" t="str">
        <f>IF(AF100="","",IF(AG100=AG$33,AI$33+AI$32*(COUNT(AF$61:AF100)-1),IF(AG100=AG$34,AI$34+AI$32*(COUNT(AF$61:AF100)-AI$31-1),IF(AG100=AG$35,AI$34+AI$32*(COUNT(AF$61:AF100)-2*AI$31-1),IF(AG100=AG$36,AI$33+AI$32*(COUNT(AF$61:AF100)-3*AI$31-1))))))</f>
        <v/>
      </c>
      <c r="AI100" s="180" t="str" cm="1">
        <f t="array" ref="AI100">IF(AG100="","",MAX($C$5,IF(AF100=90,IF(OR(AH100=AI$13,AH100=AI$14,AH100=AF$4-AI$14,AH100=AF$4-AI$13),AG$7,IF(OR(AG100=AG$20,AG100=AG$24),AG$8,IF(OR(AG100=AG$21:AG$23),AG$9))),AG$10)))</f>
        <v/>
      </c>
      <c r="AJ100" s="168"/>
      <c r="AK100" s="185" t="str">
        <f t="shared" si="70"/>
        <v/>
      </c>
      <c r="AL100" s="173" t="str">
        <f>IF(AK100="","",IF(COUNT(AK$61:AK100)&lt;=AN$31,AL$33,IF(COUNT(AK$61:AK100)&lt;=2*AN$31,AL$34,IF(COUNT(AK$61:AK100)&lt;=3*AN$31,AL$35,IF(COUNT(AK$61:AK100)&lt;=4*AN$31,AL$36)))))</f>
        <v/>
      </c>
      <c r="AM100" s="173" t="str">
        <f>IF(AK100="","",IF(AL100=AL$33,AN$33+AN$32*(COUNT(AK$61:AK100)-1),IF(AL100=AL$34,AN$34+AN$32*(COUNT(AK$61:AK100)-AN$31-1),IF(AL100=AL$35,AN$34+AN$32*(COUNT(AK$61:AK100)-2*AN$31-1),IF(AL100=AL$36,AN$33+AN$32*(COUNT(AK$61:AK100)-3*AN$31-1))))))</f>
        <v/>
      </c>
      <c r="AN100" s="180" t="str" cm="1">
        <f t="array" ref="AN100">IF(AL100="","",MAX($C$5,IF(AK100=90,IF(OR(AM100=AN$13,AM100=AN$14,AM100=AK$4-AN$14,AM100=AK$4-AN$13),AL$7,IF(OR(AL100=AL$20,AL100=AL$24),AL$8,IF(OR(AL100=AL$21:AL$23),AL$9))),AL$10)))</f>
        <v/>
      </c>
      <c r="AO100" s="168"/>
      <c r="AP100" s="250">
        <f t="shared" si="56"/>
        <v>45</v>
      </c>
      <c r="AQ100" s="251">
        <f>IF(AP100="","",IF(COUNT(AP$61:AP100)&lt;=AS$31,AQ$33,IF(COUNT(AP$61:AP100)&lt;=2*AS$31,AQ$34,IF(COUNT(AP$61:AP100)&lt;=3*AS$31,AQ$35,IF(COUNT(AP$61:AP100)&lt;=4*AS$31,AQ$36)))))</f>
        <v>139.5</v>
      </c>
      <c r="AR100" s="251">
        <f>IF(AP100="","",IF(AQ100=AQ$33,AS$33+AS$32*(COUNT(AP$61:AP100)-1),IF(AQ100=AQ$34,AS$34+AS$32*(COUNT(AP$61:AP100)-AS$31-1),IF(AQ100=AQ$35,AS$34+AS$32*(COUNT(AP$61:AP100)-2*AS$31-1),IF(AQ100=AQ$36,AS$33+AS$32*(COUNT(AP$61:AP100)-3*AS$31-1))))))</f>
        <v>819</v>
      </c>
      <c r="AS100" s="180" cm="1">
        <f t="array" ref="AS100">IF(AQ100="","",MAX($C$5,IF(AP100=90,IF(OR(AR100=AS$13,AR100=AS$14,AR100=AP$4-AS$14,AR100=AP$4-AS$13),AQ$7,IF(OR(AQ100=AQ$20,AQ100=AQ$24),AQ$8,IF(OR(AQ100=AQ$21:AQ$23),AQ$9))),AQ$10)))</f>
        <v>18</v>
      </c>
      <c r="AT100" s="277"/>
      <c r="AU100" s="185" t="str">
        <f t="shared" si="57"/>
        <v/>
      </c>
      <c r="AV100" s="173" t="str">
        <f>IF(AU100="","",IF(COUNT(AU$61:AU100)&lt;=AX$31,AV$33,IF(COUNT(AU$61:AU100)&lt;=2*AX$31,AV$34,IF(COUNT(AU$61:AU100)&lt;=3*AX$31,AV$35))))</f>
        <v/>
      </c>
      <c r="AW100" s="173" t="str">
        <f>IF(AU100="","",IF(AV100=AV$33,AX$33+AX$32*(COUNT(AU$61:AU100)-1),IF(AV100=AV$34,AX$34+AX$32*(COUNT(AU$61:AU100)-AX$31-1),IF(AV100=AV$35,AX$33+AX$32*(COUNT(AU$61:AU100)-2*AX$31-1)))))</f>
        <v/>
      </c>
      <c r="AX100" s="180" t="str" cm="1">
        <f t="array" ref="AX100">IF(AV100="","",MAX($C$5,IF(AU100=90,IF(OR(AW100=AX$13,AW100=AX$14,AW100=AU$4-AX$14,AW100=AU$4-AX$13),AV$7,IF(OR(AV100=AV$20,AV100=AV$24),AV$8,IF(OR(AV100=AV$21:AV$23),AV$9))),AV$10)))</f>
        <v/>
      </c>
      <c r="AY100" s="168"/>
      <c r="AZ100" s="185" t="str">
        <f t="shared" si="58"/>
        <v/>
      </c>
      <c r="BA100" s="173" t="str">
        <f>IF(AZ100="","",IF(COUNT(AZ$61:AZ100)&lt;=BC$31,BA$33,IF(COUNT(AZ$61:AZ100)&lt;=2*BC$31,BA$34,IF(COUNT(AZ$61:AZ100)&lt;=3*BC$31,BA$35))))</f>
        <v/>
      </c>
      <c r="BB100" s="173" t="str">
        <f>IF(AZ100="","",IF(BA100=BA$33,BC$33+BC$32*(COUNT(AZ$61:AZ100)-1),IF(BA100=BA$34,BC$34+BC$32*(COUNT(AZ$61:AZ100)-BC$31-1),IF(BA100=BA$35,BC$33+BC$32*(COUNT(AZ$61:AZ100)-2*BC$31-1)))))</f>
        <v/>
      </c>
      <c r="BC100" s="180" t="str" cm="1">
        <f t="array" ref="BC100">IF(BA100="","",MAX($C$5,IF(AZ100=90,IF(OR(BB100=BC$13,BB100=BC$14,BB100=AZ$4-BC$14,BB100=AZ$4-BC$13),BA$7,IF(OR(BA100=BA$20,BA100=BA$24),BA$8,IF(OR(BA100=BA$21:BA$23),BA$9))),BA$10)))</f>
        <v/>
      </c>
      <c r="BD100" s="168"/>
      <c r="BE100" s="185" t="str">
        <f t="shared" si="59"/>
        <v/>
      </c>
      <c r="BF100" s="173" t="str">
        <f>IF(BE100="","",IF(COUNT(BE$61:BE100)&lt;=BH$31,BF$33,IF(COUNT(BE$61:BE100)&lt;=2*BH$31,BF$34,IF(COUNT(BE$61:BE100)&lt;=3*BH$31,BF$35))))</f>
        <v/>
      </c>
      <c r="BG100" s="173" t="str">
        <f>IF(BE100="","",IF(BF100=BF$33,BH$33+BH$32*(COUNT(BE$61:BE100)-1),IF(BF100=BF$34,BH$34+BH$32*(COUNT(BE$61:BE100)-BH$31-1),IF(BF100=BF$35,BH$33+BH$32*(COUNT(BE$61:BE100)-2*BH$31-1)))))</f>
        <v/>
      </c>
      <c r="BH100" s="180" t="str" cm="1">
        <f t="array" ref="BH100">IF(BF100="","",MAX($C$5,IF(BE100=90,IF(OR(BG100=BH$13,BG100=BH$14,BG100=BE$4-BH$14,BG100=BE$4-BH$13),BF$7,IF(OR(BF100=BF$20,BF100=BF$24),BF$8,IF(OR(BF100=BF$21:BF$23),BF$9))),BF$10)))</f>
        <v/>
      </c>
      <c r="BI100" s="277"/>
      <c r="BJ100" s="185" t="str">
        <f t="shared" si="60"/>
        <v/>
      </c>
      <c r="BK100" s="173" t="str">
        <f>IF(BJ100="","",IF(COUNT(BJ$61:BJ100)&lt;=BM$31-1,BK$33,IF(COUNT(BJ$61:BJ100)&lt;=2*BM$31-1,BK$34)))</f>
        <v/>
      </c>
      <c r="BL100" s="173" t="str">
        <f>IF(BJ100="","",IF(BK100=BK$33,BM$33+BM$32*(COUNT(BJ$61:BJ100)-1),IF(BK100=BK$34,BM$34+BM$32*(COUNT(BJ$61:BJ100)-BM$31))))</f>
        <v/>
      </c>
      <c r="BM100" s="180" t="str" cm="1">
        <f t="array" ref="BM100">IF(BK100="","",MAX($C$5,IF(BJ100=90,IF(OR(BL100=BM$13,BL100=BM$14,BL100=BJ$4-BM$14,BL100=BJ$4-BM$13),BK$7,IF(OR(BK100=BK$20,BK100=BK$24),BK$8,IF(OR(BK100=BK$21:BK$23),BK$9))),BK$10)))</f>
        <v/>
      </c>
      <c r="BN100" s="168"/>
      <c r="BO100" s="185" t="str">
        <f t="shared" si="61"/>
        <v/>
      </c>
      <c r="BP100" s="173" t="str">
        <f>IF(BO100="","",IF(COUNT(BO$61:BO100)&lt;=BR$31-1,BP$33,IF(COUNT(BO$61:BO100)&lt;=2*BR$31-1,BP$34)))</f>
        <v/>
      </c>
      <c r="BQ100" s="173" t="str">
        <f>IF(BO100="","",IF(BP100=BP$33,BR$33+BR$32*(COUNT(BO$61:BO100)-1),IF(BP100=BP$34,BR$34+BR$32*(COUNT(BO$61:BO100)-BR$31))))</f>
        <v/>
      </c>
      <c r="BR100" s="180" t="str" cm="1">
        <f t="array" ref="BR100">IF(BP100="","",MAX($C$5,IF(BO100=90,IF(OR(BQ100=BR$13,BQ100=BR$14,BQ100=BO$4-BR$14,BQ100=BO$4-BR$13),BP$7,IF(OR(BP100=BP$20,BP100=BP$24),BP$8,IF(OR(BP100=BP$21:BP$23),BP$9))),BP$10)))</f>
        <v/>
      </c>
      <c r="BS100" s="168"/>
      <c r="BT100" s="185" t="str">
        <f t="shared" si="62"/>
        <v/>
      </c>
      <c r="BU100" s="173" t="str">
        <f>IF(BT100="","",IF(COUNT(BT$61:BT100)&lt;=BW$31-1,BU$33,IF(COUNT(BT$61:BT100)&lt;=2*BW$31-1,BU$34)))</f>
        <v/>
      </c>
      <c r="BV100" s="173" t="str">
        <f>IF(BT100="","",IF(BU100=BU$33,BW$33+BW$32*(COUNT(BT$61:BT100)-1),IF(BU100=BU$34,BW$34+BW$32*(COUNT(BT$61:BT100)-BW$31))))</f>
        <v/>
      </c>
      <c r="BW100" s="180" t="str" cm="1">
        <f t="array" ref="BW100">IF(BU100="","",MAX($C$5,IF(BT100=90,IF(OR(BV100=BW$13,BV100=BW$14,BV100=BT$4-BW$14,BV100=BT$4-BW$13),BU$7,IF(OR(BU100=BU$20,BU100=BU$24),BU$8,IF(OR(BU100=BU$21:BU$23),BU$9))),BU$10)))</f>
        <v/>
      </c>
      <c r="BX100" s="288"/>
    </row>
    <row r="101" spans="1:76">
      <c r="A101" s="168"/>
      <c r="B101" s="185">
        <f t="shared" si="63"/>
        <v>45</v>
      </c>
      <c r="C101" s="173">
        <f>IF(B101="","",IF(COUNT(B$61:B101)&lt;=E$31,C$33,IF(COUNT(B$61:B101)&lt;=2*E$31,C$34,IF(COUNT(B$61:B101)&lt;=3*E$31,C$35,IF(COUNT(B$61:B101)&lt;=4*E$31,C$36)))))</f>
        <v>139.5</v>
      </c>
      <c r="D101" s="173">
        <f>IF(B101="","",IF(C101=C$33,E$33+E$32*(COUNT(B$61:B101)-1),IF(C101=C$34,E$34+E$32*(COUNT(B$61:B101)-E$31-1),IF(C101=C$35,E$34+E$32*(COUNT(B$61:B101)-2*E$31-1),IF(C101=C$36,E$33+E$32*(COUNT(B$61:B101)-3*E$31-1))))))</f>
        <v>378</v>
      </c>
      <c r="E101" s="180" cm="1">
        <f t="array" ref="E101">IF(C101="","",MAX($C$5,IF(B101=90,IF(OR(D101=E$13,D101=E$14,D101=B$4-E$14,D101=B$4-E$13),C$7,IF(OR(C101=C$20,C101=C$24),C$8,IF(OR(C101=C$21:C$23),C$9))),C$10)))</f>
        <v>18</v>
      </c>
      <c r="F101" s="168"/>
      <c r="G101" s="185">
        <f t="shared" si="64"/>
        <v>45</v>
      </c>
      <c r="H101" s="173">
        <f>IF(G101="","",IF(COUNT(G$61:G101)&lt;=J$31,H$33,IF(COUNT(G$61:G101)&lt;=2*J$31,H$34,IF(COUNT(G$61:G101)&lt;=3*J$31,H$35,IF(COUNT(G$61:G101)&lt;=4*J$31,H$36)))))</f>
        <v>139.5</v>
      </c>
      <c r="I101" s="173">
        <f>IF(G101="","",IF(H101=H$33,J$33+J$32*(COUNT(G$61:G101)-1),IF(H101=H$34,J$34+J$32*(COUNT(G$61:G101)-J$31-1),IF(H101=H$35,J$34+J$32*(COUNT(G$61:G101)-2*J$31-1),IF(H101=H$36,J$33+J$32*(COUNT(G$61:G101)-3*J$31-1))))))</f>
        <v>378</v>
      </c>
      <c r="J101" s="180" cm="1">
        <f t="array" ref="J101">IF(H101="","",MAX($C$5,IF(G101=90,IF(OR(I101=J$13,I101=J$14,I101=G$4-J$14,I101=G$4-J$13),H$7,IF(OR(H101=H$20,H101=H$24),H$8,IF(OR(H101=H$21:H$23),H$9))),H$10)))</f>
        <v>18</v>
      </c>
      <c r="K101" s="168"/>
      <c r="L101" s="185">
        <f t="shared" si="65"/>
        <v>45</v>
      </c>
      <c r="M101" s="173">
        <f>IF(L101="","",IF(COUNT(L$61:L101)&lt;=O$31,M$33,IF(COUNT(L$61:L101)&lt;=2*O$31,M$34,IF(COUNT(L$61:L101)&lt;=3*O$31,M$35,IF(COUNT(L$61:L101)&lt;=4*O$31,M$36)))))</f>
        <v>139.5</v>
      </c>
      <c r="N101" s="173">
        <f>IF(L101="","",IF(M101=M$33,O$33+O$32*(COUNT(L$61:L101)-1),IF(M101=M$34,O$34+O$32*(COUNT(L$61:L101)-O$31-1),IF(M101=M$35,O$34+O$32*(COUNT(L$61:L101)-2*O$31-1),IF(M101=M$36,O$33+O$32*(COUNT(L$61:L101)-3*O$31-1))))))</f>
        <v>558</v>
      </c>
      <c r="O101" s="180" cm="1">
        <f t="array" ref="O101">IF(M101="","",MAX($C$5,IF(L101=90,IF(OR(N101=O$13,N101=O$14,N101=L$4-O$14,N101=L$4-O$13),M$7,IF(OR(M101=M$20,M101=M$24),M$8,IF(OR(M101=M$21:M$23),M$9))),M$10)))</f>
        <v>18</v>
      </c>
      <c r="P101" s="168"/>
      <c r="Q101" s="185" t="str">
        <f t="shared" ref="Q101:Q119" si="71">IF(ROW(Q101)-ROW(Q$60)&lt;=(R$31*T$31),45,"")</f>
        <v/>
      </c>
      <c r="R101" s="173" t="str">
        <f>IF(Q101="","",IF(COUNT(Q$61:Q101)&lt;=T$31,R$33,IF(COUNT(Q$61:Q101)&lt;=2*T$31,R$34,IF(COUNT(Q$61:Q101)&lt;=3*T$31,R$35,IF(COUNT(Q$61:Q101)&lt;=4*T$31,R$36)))))</f>
        <v/>
      </c>
      <c r="S101" s="173" t="str">
        <f>IF(Q101="","",IF(R101=R$33,T$33+T$32*(COUNT(Q$61:Q101)-1),IF(R101=R$34,T$34+T$32*(COUNT(Q$61:Q101)-T$31-1),IF(R101=R$35,T$34+T$32*(COUNT(Q$61:Q101)-2*T$31-1),IF(R101=R$36,T$33+T$32*(COUNT(Q$61:Q101)-3*T$31-1))))))</f>
        <v/>
      </c>
      <c r="T101" s="180" t="str" cm="1">
        <f t="array" ref="T101">IF(R101="","",MAX($C$5,IF(Q101=90,IF(OR(S101=T$13,S101=T$14,S101=Q$4-T$14,S101=Q$4-T$13),R$7,IF(OR(R101=R$20,R101=R$24),R$8,IF(OR(R101=R$21:R$23),R$9))),R$10)))</f>
        <v/>
      </c>
      <c r="U101" s="168"/>
      <c r="V101" s="185" t="str">
        <f t="shared" si="67"/>
        <v/>
      </c>
      <c r="W101" s="173" t="str">
        <f>IF(V101="","",IF(COUNT(V$61:V101)&lt;=Y$31,W$33,IF(COUNT(V$61:V101)&lt;=2*Y$31,W$34,IF(COUNT(V$61:V101)&lt;=3*Y$31,W$35,IF(COUNT(V$61:V101)&lt;=4*Y$31,W$36)))))</f>
        <v/>
      </c>
      <c r="X101" s="173" t="str">
        <f>IF(V101="","",IF(W101=W$33,Y$33+Y$32*(COUNT(V$61:V101)-1),IF(W101=W$34,Y$34+Y$32*(COUNT(V$61:V101)-Y$31-1),IF(W101=W$35,Y$34+Y$32*(COUNT(V$61:V101)-2*Y$31-1),IF(W101=W$36,Y$33+Y$32*(COUNT(V$61:V101)-3*Y$31-1))))))</f>
        <v/>
      </c>
      <c r="Y101" s="180" t="str" cm="1">
        <f t="array" ref="Y101">IF(W101="","",MAX($C$5,IF(V101=90,IF(OR(X101=Y$13,X101=Y$14,X101=V$4-Y$14,X101=V$4-Y$13),W$7,IF(OR(W101=W$20,W101=W$24),W$8,IF(OR(W101=W$21:W$23),W$9))),W$10)))</f>
        <v/>
      </c>
      <c r="Z101" s="168"/>
      <c r="AA101" s="185" t="str">
        <f t="shared" si="68"/>
        <v/>
      </c>
      <c r="AB101" s="173" t="str">
        <f>IF(AA101="","",IF(COUNT(AA$61:AA101)&lt;=AD$31,AB$33,IF(COUNT(AA$61:AA101)&lt;=2*AD$31,AB$34,IF(COUNT(AA$61:AA101)&lt;=3*AD$31,AB$35,IF(COUNT(AA$61:AA101)&lt;=4*AD$31,AB$36)))))</f>
        <v/>
      </c>
      <c r="AC101" s="173" t="str">
        <f>IF(AA101="","",IF(AB101=AB$33,AD$33+AD$32*(COUNT(AA$61:AA101)-1),IF(AB101=AB$34,AD$34+AD$32*(COUNT(AA$61:AA101)-AD$31-1),IF(AB101=AB$35,AD$34+AD$32*(COUNT(AA$61:AA101)-2*AD$31-1),IF(AB101=AB$36,AD$33+AD$32*(COUNT(AA$61:AA101)-3*AD$31-1))))))</f>
        <v/>
      </c>
      <c r="AD101" s="180" t="str" cm="1">
        <f t="array" ref="AD101">IF(AB101="","",MAX($C$5,IF(AA101=90,IF(OR(AC101=AD$13,AC101=AD$14,AC101=AA$4-AD$14,AC101=AA$4-AD$13),AB$7,IF(OR(AB101=AB$20,AB101=AB$24),AB$8,IF(OR(AB101=AB$21:AB$23),AB$9))),AB$10)))</f>
        <v/>
      </c>
      <c r="AE101" s="168"/>
      <c r="AF101" s="185" t="str">
        <f t="shared" si="69"/>
        <v/>
      </c>
      <c r="AG101" s="173" t="str">
        <f>IF(AF101="","",IF(COUNT(AF$61:AF101)&lt;=AI$31,AG$33,IF(COUNT(AF$61:AF101)&lt;=2*AI$31,AG$34,IF(COUNT(AF$61:AF101)&lt;=3*AI$31,AG$35,IF(COUNT(AF$61:AF101)&lt;=4*AI$31,AG$36)))))</f>
        <v/>
      </c>
      <c r="AH101" s="173" t="str">
        <f>IF(AF101="","",IF(AG101=AG$33,AI$33+AI$32*(COUNT(AF$61:AF101)-1),IF(AG101=AG$34,AI$34+AI$32*(COUNT(AF$61:AF101)-AI$31-1),IF(AG101=AG$35,AI$34+AI$32*(COUNT(AF$61:AF101)-2*AI$31-1),IF(AG101=AG$36,AI$33+AI$32*(COUNT(AF$61:AF101)-3*AI$31-1))))))</f>
        <v/>
      </c>
      <c r="AI101" s="180" t="str" cm="1">
        <f t="array" ref="AI101">IF(AG101="","",MAX($C$5,IF(AF101=90,IF(OR(AH101=AI$13,AH101=AI$14,AH101=AF$4-AI$14,AH101=AF$4-AI$13),AG$7,IF(OR(AG101=AG$20,AG101=AG$24),AG$8,IF(OR(AG101=AG$21:AG$23),AG$9))),AG$10)))</f>
        <v/>
      </c>
      <c r="AJ101" s="168"/>
      <c r="AK101" s="185" t="str">
        <f t="shared" si="70"/>
        <v/>
      </c>
      <c r="AL101" s="173" t="str">
        <f>IF(AK101="","",IF(COUNT(AK$61:AK101)&lt;=AN$31,AL$33,IF(COUNT(AK$61:AK101)&lt;=2*AN$31,AL$34,IF(COUNT(AK$61:AK101)&lt;=3*AN$31,AL$35,IF(COUNT(AK$61:AK101)&lt;=4*AN$31,AL$36)))))</f>
        <v/>
      </c>
      <c r="AM101" s="173" t="str">
        <f>IF(AK101="","",IF(AL101=AL$33,AN$33+AN$32*(COUNT(AK$61:AK101)-1),IF(AL101=AL$34,AN$34+AN$32*(COUNT(AK$61:AK101)-AN$31-1),IF(AL101=AL$35,AN$34+AN$32*(COUNT(AK$61:AK101)-2*AN$31-1),IF(AL101=AL$36,AN$33+AN$32*(COUNT(AK$61:AK101)-3*AN$31-1))))))</f>
        <v/>
      </c>
      <c r="AN101" s="180" t="str" cm="1">
        <f t="array" ref="AN101">IF(AL101="","",MAX($C$5,IF(AK101=90,IF(OR(AM101=AN$13,AM101=AN$14,AM101=AK$4-AN$14,AM101=AK$4-AN$13),AL$7,IF(OR(AL101=AL$20,AL101=AL$24),AL$8,IF(OR(AL101=AL$21:AL$23),AL$9))),AL$10)))</f>
        <v/>
      </c>
      <c r="AO101" s="168" t="s">
        <v>220</v>
      </c>
      <c r="AP101" s="241">
        <v>45</v>
      </c>
      <c r="AQ101" s="242">
        <v>10</v>
      </c>
      <c r="AR101" s="242">
        <v>50</v>
      </c>
      <c r="AS101" s="180" cm="1">
        <f t="array" ref="AS101">IF(AQ101="","",MAX($C$5,IF(AP101=90,IF(OR(AR101=AS$13,AR101=AS$14,AR101=AP$4-AS$14,AR101=AP$4-AS$13),AQ$7,IF(OR(AQ101=AQ$20,AQ101=AQ$24),AQ$8,IF(OR(AQ101=AQ$21:AQ$23),AQ$9))),AQ$10)))</f>
        <v>18</v>
      </c>
      <c r="AT101" s="277"/>
      <c r="AU101" s="185" t="str">
        <f t="shared" si="57"/>
        <v/>
      </c>
      <c r="AV101" s="173" t="str">
        <f>IF(AU101="","",IF(COUNT(AU$61:AU101)&lt;=AX$31,AV$33,IF(COUNT(AU$61:AU101)&lt;=2*AX$31,AV$34,IF(COUNT(AU$61:AU101)&lt;=3*AX$31,AV$35))))</f>
        <v/>
      </c>
      <c r="AW101" s="173" t="str">
        <f>IF(AU101="","",IF(AV101=AV$33,AX$33+AX$32*(COUNT(AU$61:AU101)-1),IF(AV101=AV$34,AX$34+AX$32*(COUNT(AU$61:AU101)-AX$31-1),IF(AV101=AV$35,AX$33+AX$32*(COUNT(AU$61:AU101)-2*AX$31-1)))))</f>
        <v/>
      </c>
      <c r="AX101" s="180" t="str" cm="1">
        <f t="array" ref="AX101">IF(AV101="","",MAX($C$5,IF(AU101=90,IF(OR(AW101=AX$13,AW101=AX$14,AW101=AU$4-AX$14,AW101=AU$4-AX$13),AV$7,IF(OR(AV101=AV$20,AV101=AV$24),AV$8,IF(OR(AV101=AV$21:AV$23),AV$9))),AV$10)))</f>
        <v/>
      </c>
      <c r="AY101" s="168"/>
      <c r="AZ101" s="185" t="str">
        <f t="shared" si="58"/>
        <v/>
      </c>
      <c r="BA101" s="173" t="str">
        <f>IF(AZ101="","",IF(COUNT(AZ$61:AZ101)&lt;=BC$31,BA$33,IF(COUNT(AZ$61:AZ101)&lt;=2*BC$31,BA$34,IF(COUNT(AZ$61:AZ101)&lt;=3*BC$31,BA$35))))</f>
        <v/>
      </c>
      <c r="BB101" s="173" t="str">
        <f>IF(AZ101="","",IF(BA101=BA$33,BC$33+BC$32*(COUNT(AZ$61:AZ101)-1),IF(BA101=BA$34,BC$34+BC$32*(COUNT(AZ$61:AZ101)-BC$31-1),IF(BA101=BA$35,BC$33+BC$32*(COUNT(AZ$61:AZ101)-2*BC$31-1)))))</f>
        <v/>
      </c>
      <c r="BC101" s="180" t="str" cm="1">
        <f t="array" ref="BC101">IF(BA101="","",MAX($C$5,IF(AZ101=90,IF(OR(BB101=BC$13,BB101=BC$14,BB101=AZ$4-BC$14,BB101=AZ$4-BC$13),BA$7,IF(OR(BA101=BA$20,BA101=BA$24),BA$8,IF(OR(BA101=BA$21:BA$23),BA$9))),BA$10)))</f>
        <v/>
      </c>
      <c r="BD101" s="168"/>
      <c r="BE101" s="185" t="str">
        <f t="shared" si="59"/>
        <v/>
      </c>
      <c r="BF101" s="173" t="str">
        <f>IF(BE101="","",IF(COUNT(BE$61:BE101)&lt;=BH$31,BF$33,IF(COUNT(BE$61:BE101)&lt;=2*BH$31,BF$34,IF(COUNT(BE$61:BE101)&lt;=3*BH$31,BF$35))))</f>
        <v/>
      </c>
      <c r="BG101" s="173" t="str">
        <f>IF(BE101="","",IF(BF101=BF$33,BH$33+BH$32*(COUNT(BE$61:BE101)-1),IF(BF101=BF$34,BH$34+BH$32*(COUNT(BE$61:BE101)-BH$31-1),IF(BF101=BF$35,BH$33+BH$32*(COUNT(BE$61:BE101)-2*BH$31-1)))))</f>
        <v/>
      </c>
      <c r="BH101" s="180" t="str" cm="1">
        <f t="array" ref="BH101">IF(BF101="","",MAX($C$5,IF(BE101=90,IF(OR(BG101=BH$13,BG101=BH$14,BG101=BE$4-BH$14,BG101=BE$4-BH$13),BF$7,IF(OR(BF101=BF$20,BF101=BF$24),BF$8,IF(OR(BF101=BF$21:BF$23),BF$9))),BF$10)))</f>
        <v/>
      </c>
      <c r="BI101" s="277"/>
      <c r="BJ101" s="185" t="str">
        <f t="shared" si="60"/>
        <v/>
      </c>
      <c r="BK101" s="173" t="str">
        <f>IF(BJ101="","",IF(COUNT(BJ$61:BJ101)&lt;=BM$31-1,BK$33,IF(COUNT(BJ$61:BJ101)&lt;=2*BM$31-1,BK$34)))</f>
        <v/>
      </c>
      <c r="BL101" s="173" t="str">
        <f>IF(BJ101="","",IF(BK101=BK$33,BM$33+BM$32*(COUNT(BJ$61:BJ101)-1),IF(BK101=BK$34,BM$34+BM$32*(COUNT(BJ$61:BJ101)-BM$31))))</f>
        <v/>
      </c>
      <c r="BM101" s="180" t="str" cm="1">
        <f t="array" ref="BM101">IF(BK101="","",MAX($C$5,IF(BJ101=90,IF(OR(BL101=BM$13,BL101=BM$14,BL101=BJ$4-BM$14,BL101=BJ$4-BM$13),BK$7,IF(OR(BK101=BK$20,BK101=BK$24),BK$8,IF(OR(BK101=BK$21:BK$23),BK$9))),BK$10)))</f>
        <v/>
      </c>
      <c r="BN101" s="168"/>
      <c r="BO101" s="185" t="str">
        <f t="shared" si="61"/>
        <v/>
      </c>
      <c r="BP101" s="173" t="str">
        <f>IF(BO101="","",IF(COUNT(BO$61:BO101)&lt;=BR$31-1,BP$33,IF(COUNT(BO$61:BO101)&lt;=2*BR$31-1,BP$34)))</f>
        <v/>
      </c>
      <c r="BQ101" s="173" t="str">
        <f>IF(BO101="","",IF(BP101=BP$33,BR$33+BR$32*(COUNT(BO$61:BO101)-1),IF(BP101=BP$34,BR$34+BR$32*(COUNT(BO$61:BO101)-BR$31))))</f>
        <v/>
      </c>
      <c r="BR101" s="180" t="str" cm="1">
        <f t="array" ref="BR101">IF(BP101="","",MAX($C$5,IF(BO101=90,IF(OR(BQ101=BR$13,BQ101=BR$14,BQ101=BO$4-BR$14,BQ101=BO$4-BR$13),BP$7,IF(OR(BP101=BP$20,BP101=BP$24),BP$8,IF(OR(BP101=BP$21:BP$23),BP$9))),BP$10)))</f>
        <v/>
      </c>
      <c r="BS101" s="168"/>
      <c r="BT101" s="185" t="str">
        <f t="shared" si="62"/>
        <v/>
      </c>
      <c r="BU101" s="173" t="str">
        <f>IF(BT101="","",IF(COUNT(BT$61:BT101)&lt;=BW$31-1,BU$33,IF(COUNT(BT$61:BT101)&lt;=2*BW$31-1,BU$34)))</f>
        <v/>
      </c>
      <c r="BV101" s="173" t="str">
        <f>IF(BT101="","",IF(BU101=BU$33,BW$33+BW$32*(COUNT(BT$61:BT101)-1),IF(BU101=BU$34,BW$34+BW$32*(COUNT(BT$61:BT101)-BW$31))))</f>
        <v/>
      </c>
      <c r="BW101" s="180" t="str" cm="1">
        <f t="array" ref="BW101">IF(BU101="","",MAX($C$5,IF(BT101=90,IF(OR(BV101=BW$13,BV101=BW$14,BV101=BT$4-BW$14,BV101=BT$4-BW$13),BU$7,IF(OR(BU101=BU$20,BU101=BU$24),BU$8,IF(OR(BU101=BU$21:BU$23),BU$9))),BU$10)))</f>
        <v/>
      </c>
      <c r="BX101" s="288"/>
    </row>
    <row r="102" spans="1:76">
      <c r="A102" s="168"/>
      <c r="B102" s="185">
        <f t="shared" si="63"/>
        <v>45</v>
      </c>
      <c r="C102" s="173">
        <f>IF(B102="","",IF(COUNT(B$61:B102)&lt;=E$31,C$33,IF(COUNT(B$61:B102)&lt;=2*E$31,C$34,IF(COUNT(B$61:B102)&lt;=3*E$31,C$35,IF(COUNT(B$61:B102)&lt;=4*E$31,C$36)))))</f>
        <v>139.5</v>
      </c>
      <c r="D102" s="173">
        <f>IF(B102="","",IF(C102=C$33,E$33+E$32*(COUNT(B$61:B102)-1),IF(C102=C$34,E$34+E$32*(COUNT(B$61:B102)-E$31-1),IF(C102=C$35,E$34+E$32*(COUNT(B$61:B102)-2*E$31-1),IF(C102=C$36,E$33+E$32*(COUNT(B$61:B102)-3*E$31-1))))))</f>
        <v>435</v>
      </c>
      <c r="E102" s="180" cm="1">
        <f t="array" ref="E102">IF(C102="","",MAX($C$5,IF(B102=90,IF(OR(D102=E$13,D102=E$14,D102=B$4-E$14,D102=B$4-E$13),C$7,IF(OR(C102=C$20,C102=C$24),C$8,IF(OR(C102=C$21:C$23),C$9))),C$10)))</f>
        <v>18</v>
      </c>
      <c r="F102" s="168"/>
      <c r="G102" s="185">
        <f t="shared" si="64"/>
        <v>45</v>
      </c>
      <c r="H102" s="173">
        <f>IF(G102="","",IF(COUNT(G$61:G102)&lt;=J$31,H$33,IF(COUNT(G$61:G102)&lt;=2*J$31,H$34,IF(COUNT(G$61:G102)&lt;=3*J$31,H$35,IF(COUNT(G$61:G102)&lt;=4*J$31,H$36)))))</f>
        <v>139.5</v>
      </c>
      <c r="I102" s="173">
        <f>IF(G102="","",IF(H102=H$33,J$33+J$32*(COUNT(G$61:G102)-1),IF(H102=H$34,J$34+J$32*(COUNT(G$61:G102)-J$31-1),IF(H102=H$35,J$34+J$32*(COUNT(G$61:G102)-2*J$31-1),IF(H102=H$36,J$33+J$32*(COUNT(G$61:G102)-3*J$31-1))))))</f>
        <v>435</v>
      </c>
      <c r="J102" s="180" cm="1">
        <f t="array" ref="J102">IF(H102="","",MAX($C$5,IF(G102=90,IF(OR(I102=J$13,I102=J$14,I102=G$4-J$14,I102=G$4-J$13),H$7,IF(OR(H102=H$20,H102=H$24),H$8,IF(OR(H102=H$21:H$23),H$9))),H$10)))</f>
        <v>18</v>
      </c>
      <c r="K102" s="168"/>
      <c r="L102" s="185">
        <f t="shared" si="65"/>
        <v>45</v>
      </c>
      <c r="M102" s="173">
        <f>IF(L102="","",IF(COUNT(L$61:L102)&lt;=O$31,M$33,IF(COUNT(L$61:L102)&lt;=2*O$31,M$34,IF(COUNT(L$61:L102)&lt;=3*O$31,M$35,IF(COUNT(L$61:L102)&lt;=4*O$31,M$36)))))</f>
        <v>139.5</v>
      </c>
      <c r="N102" s="173">
        <f>IF(L102="","",IF(M102=M$33,O$33+O$32*(COUNT(L$61:L102)-1),IF(M102=M$34,O$34+O$32*(COUNT(L$61:L102)-O$31-1),IF(M102=M$35,O$34+O$32*(COUNT(L$61:L102)-2*O$31-1),IF(M102=M$36,O$33+O$32*(COUNT(L$61:L102)-3*O$31-1))))))</f>
        <v>615</v>
      </c>
      <c r="O102" s="180" cm="1">
        <f t="array" ref="O102">IF(M102="","",MAX($C$5,IF(L102=90,IF(OR(N102=O$13,N102=O$14,N102=L$4-O$14,N102=L$4-O$13),M$7,IF(OR(M102=M$20,M102=M$24),M$8,IF(OR(M102=M$21:M$23),M$9))),M$10)))</f>
        <v>18</v>
      </c>
      <c r="P102" s="168"/>
      <c r="Q102" s="185" t="str">
        <f t="shared" si="71"/>
        <v/>
      </c>
      <c r="R102" s="173" t="str">
        <f>IF(Q102="","",IF(COUNT(Q$61:Q102)&lt;=T$31,R$33,IF(COUNT(Q$61:Q102)&lt;=2*T$31,R$34,IF(COUNT(Q$61:Q102)&lt;=3*T$31,R$35,IF(COUNT(Q$61:Q102)&lt;=4*T$31,R$36)))))</f>
        <v/>
      </c>
      <c r="S102" s="173" t="str">
        <f>IF(Q102="","",IF(R102=R$33,T$33+T$32*(COUNT(Q$61:Q102)-1),IF(R102=R$34,T$34+T$32*(COUNT(Q$61:Q102)-T$31-1),IF(R102=R$35,T$34+T$32*(COUNT(Q$61:Q102)-2*T$31-1),IF(R102=R$36,T$33+T$32*(COUNT(Q$61:Q102)-3*T$31-1))))))</f>
        <v/>
      </c>
      <c r="T102" s="180" t="str" cm="1">
        <f t="array" ref="T102">IF(R102="","",MAX($C$5,IF(Q102=90,IF(OR(S102=T$13,S102=T$14,S102=Q$4-T$14,S102=Q$4-T$13),R$7,IF(OR(R102=R$20,R102=R$24),R$8,IF(OR(R102=R$21:R$23),R$9))),R$10)))</f>
        <v/>
      </c>
      <c r="U102" s="168"/>
      <c r="V102" s="185" t="str">
        <f t="shared" si="67"/>
        <v/>
      </c>
      <c r="W102" s="173" t="str">
        <f>IF(V102="","",IF(COUNT(V$61:V102)&lt;=Y$31,W$33,IF(COUNT(V$61:V102)&lt;=2*Y$31,W$34,IF(COUNT(V$61:V102)&lt;=3*Y$31,W$35,IF(COUNT(V$61:V102)&lt;=4*Y$31,W$36)))))</f>
        <v/>
      </c>
      <c r="X102" s="173" t="str">
        <f>IF(V102="","",IF(W102=W$33,Y$33+Y$32*(COUNT(V$61:V102)-1),IF(W102=W$34,Y$34+Y$32*(COUNT(V$61:V102)-Y$31-1),IF(W102=W$35,Y$34+Y$32*(COUNT(V$61:V102)-2*Y$31-1),IF(W102=W$36,Y$33+Y$32*(COUNT(V$61:V102)-3*Y$31-1))))))</f>
        <v/>
      </c>
      <c r="Y102" s="180" t="str" cm="1">
        <f t="array" ref="Y102">IF(W102="","",MAX($C$5,IF(V102=90,IF(OR(X102=Y$13,X102=Y$14,X102=V$4-Y$14,X102=V$4-Y$13),W$7,IF(OR(W102=W$20,W102=W$24),W$8,IF(OR(W102=W$21:W$23),W$9))),W$10)))</f>
        <v/>
      </c>
      <c r="Z102" s="168"/>
      <c r="AA102" s="185" t="str">
        <f t="shared" si="68"/>
        <v/>
      </c>
      <c r="AB102" s="173" t="str">
        <f>IF(AA102="","",IF(COUNT(AA$61:AA102)&lt;=AD$31,AB$33,IF(COUNT(AA$61:AA102)&lt;=2*AD$31,AB$34,IF(COUNT(AA$61:AA102)&lt;=3*AD$31,AB$35,IF(COUNT(AA$61:AA102)&lt;=4*AD$31,AB$36)))))</f>
        <v/>
      </c>
      <c r="AC102" s="173" t="str">
        <f>IF(AA102="","",IF(AB102=AB$33,AD$33+AD$32*(COUNT(AA$61:AA102)-1),IF(AB102=AB$34,AD$34+AD$32*(COUNT(AA$61:AA102)-AD$31-1),IF(AB102=AB$35,AD$34+AD$32*(COUNT(AA$61:AA102)-2*AD$31-1),IF(AB102=AB$36,AD$33+AD$32*(COUNT(AA$61:AA102)-3*AD$31-1))))))</f>
        <v/>
      </c>
      <c r="AD102" s="180" t="str" cm="1">
        <f t="array" ref="AD102">IF(AB102="","",MAX($C$5,IF(AA102=90,IF(OR(AC102=AD$13,AC102=AD$14,AC102=AA$4-AD$14,AC102=AA$4-AD$13),AB$7,IF(OR(AB102=AB$20,AB102=AB$24),AB$8,IF(OR(AB102=AB$21:AB$23),AB$9))),AB$10)))</f>
        <v/>
      </c>
      <c r="AE102" s="168"/>
      <c r="AF102" s="185" t="str">
        <f t="shared" si="69"/>
        <v/>
      </c>
      <c r="AG102" s="173" t="str">
        <f>IF(AF102="","",IF(COUNT(AF$61:AF102)&lt;=AI$31,AG$33,IF(COUNT(AF$61:AF102)&lt;=2*AI$31,AG$34,IF(COUNT(AF$61:AF102)&lt;=3*AI$31,AG$35,IF(COUNT(AF$61:AF102)&lt;=4*AI$31,AG$36)))))</f>
        <v/>
      </c>
      <c r="AH102" s="173" t="str">
        <f>IF(AF102="","",IF(AG102=AG$33,AI$33+AI$32*(COUNT(AF$61:AF102)-1),IF(AG102=AG$34,AI$34+AI$32*(COUNT(AF$61:AF102)-AI$31-1),IF(AG102=AG$35,AI$34+AI$32*(COUNT(AF$61:AF102)-2*AI$31-1),IF(AG102=AG$36,AI$33+AI$32*(COUNT(AF$61:AF102)-3*AI$31-1))))))</f>
        <v/>
      </c>
      <c r="AI102" s="180" t="str" cm="1">
        <f t="array" ref="AI102">IF(AG102="","",MAX($C$5,IF(AF102=90,IF(OR(AH102=AI$13,AH102=AI$14,AH102=AF$4-AI$14,AH102=AF$4-AI$13),AG$7,IF(OR(AG102=AG$20,AG102=AG$24),AG$8,IF(OR(AG102=AG$21:AG$23),AG$9))),AG$10)))</f>
        <v/>
      </c>
      <c r="AJ102" s="168"/>
      <c r="AK102" s="185" t="str">
        <f t="shared" si="70"/>
        <v/>
      </c>
      <c r="AL102" s="173" t="str">
        <f>IF(AK102="","",IF(COUNT(AK$61:AK102)&lt;=AN$31,AL$33,IF(COUNT(AK$61:AK102)&lt;=2*AN$31,AL$34,IF(COUNT(AK$61:AK102)&lt;=3*AN$31,AL$35,IF(COUNT(AK$61:AK102)&lt;=4*AN$31,AL$36)))))</f>
        <v/>
      </c>
      <c r="AM102" s="173" t="str">
        <f>IF(AK102="","",IF(AL102=AL$33,AN$33+AN$32*(COUNT(AK$61:AK102)-1),IF(AL102=AL$34,AN$34+AN$32*(COUNT(AK$61:AK102)-AN$31-1),IF(AL102=AL$35,AN$34+AN$32*(COUNT(AK$61:AK102)-2*AN$31-1),IF(AL102=AL$36,AN$33+AN$32*(COUNT(AK$61:AK102)-3*AN$31-1))))))</f>
        <v/>
      </c>
      <c r="AN102" s="180" t="str" cm="1">
        <f t="array" ref="AN102">IF(AL102="","",MAX($C$5,IF(AK102=90,IF(OR(AM102=AN$13,AM102=AN$14,AM102=AK$4-AN$14,AM102=AK$4-AN$13),AL$7,IF(OR(AL102=AL$20,AL102=AL$24),AL$8,IF(OR(AL102=AL$21:AL$23),AL$9))),AL$10)))</f>
        <v/>
      </c>
      <c r="AO102" s="168"/>
      <c r="AP102" s="244">
        <v>45</v>
      </c>
      <c r="AQ102" s="245">
        <v>10</v>
      </c>
      <c r="AR102" s="245">
        <v>107</v>
      </c>
      <c r="AS102" s="180" cm="1">
        <f t="array" ref="AS102">IF(AQ102="","",MAX($C$5,IF(AP102=90,IF(OR(AR102=AS$13,AR102=AS$14,AR102=AP$4-AS$14,AR102=AP$4-AS$13),AQ$7,IF(OR(AQ102=AQ$20,AQ102=AQ$24),AQ$8,IF(OR(AQ102=AQ$21:AQ$23),AQ$9))),AQ$10)))</f>
        <v>18</v>
      </c>
      <c r="AT102" s="277"/>
      <c r="AU102" s="185" t="str">
        <f t="shared" si="57"/>
        <v/>
      </c>
      <c r="AV102" s="173" t="str">
        <f>IF(AU102="","",IF(COUNT(AU$61:AU102)&lt;=AX$31,AV$33,IF(COUNT(AU$61:AU102)&lt;=2*AX$31,AV$34,IF(COUNT(AU$61:AU102)&lt;=3*AX$31,AV$35))))</f>
        <v/>
      </c>
      <c r="AW102" s="173" t="str">
        <f>IF(AU102="","",IF(AV102=AV$33,AX$33+AX$32*(COUNT(AU$61:AU102)-1),IF(AV102=AV$34,AX$34+AX$32*(COUNT(AU$61:AU102)-AX$31-1),IF(AV102=AV$35,AX$33+AX$32*(COUNT(AU$61:AU102)-2*AX$31-1)))))</f>
        <v/>
      </c>
      <c r="AX102" s="180" t="str" cm="1">
        <f t="array" ref="AX102">IF(AV102="","",MAX($C$5,IF(AU102=90,IF(OR(AW102=AX$13,AW102=AX$14,AW102=AU$4-AX$14,AW102=AU$4-AX$13),AV$7,IF(OR(AV102=AV$20,AV102=AV$24),AV$8,IF(OR(AV102=AV$21:AV$23),AV$9))),AV$10)))</f>
        <v/>
      </c>
      <c r="AY102" s="168"/>
      <c r="AZ102" s="185" t="str">
        <f t="shared" si="58"/>
        <v/>
      </c>
      <c r="BA102" s="173" t="str">
        <f>IF(AZ102="","",IF(COUNT(AZ$61:AZ102)&lt;=BC$31,BA$33,IF(COUNT(AZ$61:AZ102)&lt;=2*BC$31,BA$34,IF(COUNT(AZ$61:AZ102)&lt;=3*BC$31,BA$35))))</f>
        <v/>
      </c>
      <c r="BB102" s="173" t="str">
        <f>IF(AZ102="","",IF(BA102=BA$33,BC$33+BC$32*(COUNT(AZ$61:AZ102)-1),IF(BA102=BA$34,BC$34+BC$32*(COUNT(AZ$61:AZ102)-BC$31-1),IF(BA102=BA$35,BC$33+BC$32*(COUNT(AZ$61:AZ102)-2*BC$31-1)))))</f>
        <v/>
      </c>
      <c r="BC102" s="180" t="str" cm="1">
        <f t="array" ref="BC102">IF(BA102="","",MAX($C$5,IF(AZ102=90,IF(OR(BB102=BC$13,BB102=BC$14,BB102=AZ$4-BC$14,BB102=AZ$4-BC$13),BA$7,IF(OR(BA102=BA$20,BA102=BA$24),BA$8,IF(OR(BA102=BA$21:BA$23),BA$9))),BA$10)))</f>
        <v/>
      </c>
      <c r="BD102" s="168"/>
      <c r="BE102" s="185" t="str">
        <f t="shared" si="59"/>
        <v/>
      </c>
      <c r="BF102" s="173" t="str">
        <f>IF(BE102="","",IF(COUNT(BE$61:BE102)&lt;=BH$31,BF$33,IF(COUNT(BE$61:BE102)&lt;=2*BH$31,BF$34,IF(COUNT(BE$61:BE102)&lt;=3*BH$31,BF$35))))</f>
        <v/>
      </c>
      <c r="BG102" s="173" t="str">
        <f>IF(BE102="","",IF(BF102=BF$33,BH$33+BH$32*(COUNT(BE$61:BE102)-1),IF(BF102=BF$34,BH$34+BH$32*(COUNT(BE$61:BE102)-BH$31-1),IF(BF102=BF$35,BH$33+BH$32*(COUNT(BE$61:BE102)-2*BH$31-1)))))</f>
        <v/>
      </c>
      <c r="BH102" s="180" t="str" cm="1">
        <f t="array" ref="BH102">IF(BF102="","",MAX($C$5,IF(BE102=90,IF(OR(BG102=BH$13,BG102=BH$14,BG102=BE$4-BH$14,BG102=BE$4-BH$13),BF$7,IF(OR(BF102=BF$20,BF102=BF$24),BF$8,IF(OR(BF102=BF$21:BF$23),BF$9))),BF$10)))</f>
        <v/>
      </c>
      <c r="BI102" s="277"/>
      <c r="BJ102" s="185" t="str">
        <f t="shared" si="60"/>
        <v/>
      </c>
      <c r="BK102" s="173" t="str">
        <f>IF(BJ102="","",IF(COUNT(BJ$61:BJ102)&lt;=BM$31-1,BK$33,IF(COUNT(BJ$61:BJ102)&lt;=2*BM$31-1,BK$34)))</f>
        <v/>
      </c>
      <c r="BL102" s="173" t="str">
        <f>IF(BJ102="","",IF(BK102=BK$33,BM$33+BM$32*(COUNT(BJ$61:BJ102)-1),IF(BK102=BK$34,BM$34+BM$32*(COUNT(BJ$61:BJ102)-BM$31))))</f>
        <v/>
      </c>
      <c r="BM102" s="180" t="str" cm="1">
        <f t="array" ref="BM102">IF(BK102="","",MAX($C$5,IF(BJ102=90,IF(OR(BL102=BM$13,BL102=BM$14,BL102=BJ$4-BM$14,BL102=BJ$4-BM$13),BK$7,IF(OR(BK102=BK$20,BK102=BK$24),BK$8,IF(OR(BK102=BK$21:BK$23),BK$9))),BK$10)))</f>
        <v/>
      </c>
      <c r="BN102" s="168"/>
      <c r="BO102" s="185" t="str">
        <f t="shared" si="61"/>
        <v/>
      </c>
      <c r="BP102" s="173" t="str">
        <f>IF(BO102="","",IF(COUNT(BO$61:BO102)&lt;=BR$31-1,BP$33,IF(COUNT(BO$61:BO102)&lt;=2*BR$31-1,BP$34)))</f>
        <v/>
      </c>
      <c r="BQ102" s="173" t="str">
        <f>IF(BO102="","",IF(BP102=BP$33,BR$33+BR$32*(COUNT(BO$61:BO102)-1),IF(BP102=BP$34,BR$34+BR$32*(COUNT(BO$61:BO102)-BR$31))))</f>
        <v/>
      </c>
      <c r="BR102" s="180" t="str" cm="1">
        <f t="array" ref="BR102">IF(BP102="","",MAX($C$5,IF(BO102=90,IF(OR(BQ102=BR$13,BQ102=BR$14,BQ102=BO$4-BR$14,BQ102=BO$4-BR$13),BP$7,IF(OR(BP102=BP$20,BP102=BP$24),BP$8,IF(OR(BP102=BP$21:BP$23),BP$9))),BP$10)))</f>
        <v/>
      </c>
      <c r="BS102" s="168"/>
      <c r="BT102" s="185" t="str">
        <f t="shared" si="62"/>
        <v/>
      </c>
      <c r="BU102" s="173" t="str">
        <f>IF(BT102="","",IF(COUNT(BT$61:BT102)&lt;=BW$31-1,BU$33,IF(COUNT(BT$61:BT102)&lt;=2*BW$31-1,BU$34)))</f>
        <v/>
      </c>
      <c r="BV102" s="173" t="str">
        <f>IF(BT102="","",IF(BU102=BU$33,BW$33+BW$32*(COUNT(BT$61:BT102)-1),IF(BU102=BU$34,BW$34+BW$32*(COUNT(BT$61:BT102)-BW$31))))</f>
        <v/>
      </c>
      <c r="BW102" s="180" t="str" cm="1">
        <f t="array" ref="BW102">IF(BU102="","",MAX($C$5,IF(BT102=90,IF(OR(BV102=BW$13,BV102=BW$14,BV102=BT$4-BW$14,BV102=BT$4-BW$13),BU$7,IF(OR(BU102=BU$20,BU102=BU$24),BU$8,IF(OR(BU102=BU$21:BU$23),BU$9))),BU$10)))</f>
        <v/>
      </c>
      <c r="BX102" s="288"/>
    </row>
    <row r="103" spans="1:76">
      <c r="A103" s="168"/>
      <c r="B103" s="185">
        <f t="shared" si="63"/>
        <v>45</v>
      </c>
      <c r="C103" s="173">
        <f>IF(B103="","",IF(COUNT(B$61:B103)&lt;=E$31,C$33,IF(COUNT(B$61:B103)&lt;=2*E$31,C$34,IF(COUNT(B$61:B103)&lt;=3*E$31,C$35,IF(COUNT(B$61:B103)&lt;=4*E$31,C$36)))))</f>
        <v>139.5</v>
      </c>
      <c r="D103" s="173">
        <f>IF(B103="","",IF(C103=C$33,E$33+E$32*(COUNT(B$61:B103)-1),IF(C103=C$34,E$34+E$32*(COUNT(B$61:B103)-E$31-1),IF(C103=C$35,E$34+E$32*(COUNT(B$61:B103)-2*E$31-1),IF(C103=C$36,E$33+E$32*(COUNT(B$61:B103)-3*E$31-1))))))</f>
        <v>492</v>
      </c>
      <c r="E103" s="180" cm="1">
        <f t="array" ref="E103">IF(C103="","",MAX($C$5,IF(B103=90,IF(OR(D103=E$13,D103=E$14,D103=B$4-E$14,D103=B$4-E$13),C$7,IF(OR(C103=C$20,C103=C$24),C$8,IF(OR(C103=C$21:C$23),C$9))),C$10)))</f>
        <v>18</v>
      </c>
      <c r="F103" s="168"/>
      <c r="G103" s="185">
        <f t="shared" si="64"/>
        <v>45</v>
      </c>
      <c r="H103" s="173">
        <f>IF(G103="","",IF(COUNT(G$61:G103)&lt;=J$31,H$33,IF(COUNT(G$61:G103)&lt;=2*J$31,H$34,IF(COUNT(G$61:G103)&lt;=3*J$31,H$35,IF(COUNT(G$61:G103)&lt;=4*J$31,H$36)))))</f>
        <v>139.5</v>
      </c>
      <c r="I103" s="173">
        <f>IF(G103="","",IF(H103=H$33,J$33+J$32*(COUNT(G$61:G103)-1),IF(H103=H$34,J$34+J$32*(COUNT(G$61:G103)-J$31-1),IF(H103=H$35,J$34+J$32*(COUNT(G$61:G103)-2*J$31-1),IF(H103=H$36,J$33+J$32*(COUNT(G$61:G103)-3*J$31-1))))))</f>
        <v>492</v>
      </c>
      <c r="J103" s="180" cm="1">
        <f t="array" ref="J103">IF(H103="","",MAX($C$5,IF(G103=90,IF(OR(I103=J$13,I103=J$14,I103=G$4-J$14,I103=G$4-J$13),H$7,IF(OR(H103=H$20,H103=H$24),H$8,IF(OR(H103=H$21:H$23),H$9))),H$10)))</f>
        <v>18</v>
      </c>
      <c r="K103" s="168"/>
      <c r="L103" s="185">
        <f t="shared" si="65"/>
        <v>45</v>
      </c>
      <c r="M103" s="173">
        <f>IF(L103="","",IF(COUNT(L$61:L103)&lt;=O$31,M$33,IF(COUNT(L$61:L103)&lt;=2*O$31,M$34,IF(COUNT(L$61:L103)&lt;=3*O$31,M$35,IF(COUNT(L$61:L103)&lt;=4*O$31,M$36)))))</f>
        <v>139.5</v>
      </c>
      <c r="N103" s="173">
        <f>IF(L103="","",IF(M103=M$33,O$33+O$32*(COUNT(L$61:L103)-1),IF(M103=M$34,O$34+O$32*(COUNT(L$61:L103)-O$31-1),IF(M103=M$35,O$34+O$32*(COUNT(L$61:L103)-2*O$31-1),IF(M103=M$36,O$33+O$32*(COUNT(L$61:L103)-3*O$31-1))))))</f>
        <v>672</v>
      </c>
      <c r="O103" s="180" cm="1">
        <f t="array" ref="O103">IF(M103="","",MAX($C$5,IF(L103=90,IF(OR(N103=O$13,N103=O$14,N103=L$4-O$14,N103=L$4-O$13),M$7,IF(OR(M103=M$20,M103=M$24),M$8,IF(OR(M103=M$21:M$23),M$9))),M$10)))</f>
        <v>18</v>
      </c>
      <c r="P103" s="168"/>
      <c r="Q103" s="185" t="str">
        <f t="shared" si="71"/>
        <v/>
      </c>
      <c r="R103" s="173" t="str">
        <f>IF(Q103="","",IF(COUNT(Q$61:Q103)&lt;=T$31,R$33,IF(COUNT(Q$61:Q103)&lt;=2*T$31,R$34,IF(COUNT(Q$61:Q103)&lt;=3*T$31,R$35,IF(COUNT(Q$61:Q103)&lt;=4*T$31,R$36)))))</f>
        <v/>
      </c>
      <c r="S103" s="173" t="str">
        <f>IF(Q103="","",IF(R103=R$33,T$33+T$32*(COUNT(Q$61:Q103)-1),IF(R103=R$34,T$34+T$32*(COUNT(Q$61:Q103)-T$31-1),IF(R103=R$35,T$34+T$32*(COUNT(Q$61:Q103)-2*T$31-1),IF(R103=R$36,T$33+T$32*(COUNT(Q$61:Q103)-3*T$31-1))))))</f>
        <v/>
      </c>
      <c r="T103" s="180" t="str" cm="1">
        <f t="array" ref="T103">IF(R103="","",MAX($C$5,IF(Q103=90,IF(OR(S103=T$13,S103=T$14,S103=Q$4-T$14,S103=Q$4-T$13),R$7,IF(OR(R103=R$20,R103=R$24),R$8,IF(OR(R103=R$21:R$23),R$9))),R$10)))</f>
        <v/>
      </c>
      <c r="U103" s="168"/>
      <c r="V103" s="185" t="str">
        <f t="shared" si="67"/>
        <v/>
      </c>
      <c r="W103" s="173" t="str">
        <f>IF(V103="","",IF(COUNT(V$61:V103)&lt;=Y$31,W$33,IF(COUNT(V$61:V103)&lt;=2*Y$31,W$34,IF(COUNT(V$61:V103)&lt;=3*Y$31,W$35,IF(COUNT(V$61:V103)&lt;=4*Y$31,W$36)))))</f>
        <v/>
      </c>
      <c r="X103" s="173" t="str">
        <f>IF(V103="","",IF(W103=W$33,Y$33+Y$32*(COUNT(V$61:V103)-1),IF(W103=W$34,Y$34+Y$32*(COUNT(V$61:V103)-Y$31-1),IF(W103=W$35,Y$34+Y$32*(COUNT(V$61:V103)-2*Y$31-1),IF(W103=W$36,Y$33+Y$32*(COUNT(V$61:V103)-3*Y$31-1))))))</f>
        <v/>
      </c>
      <c r="Y103" s="180" t="str" cm="1">
        <f t="array" ref="Y103">IF(W103="","",MAX($C$5,IF(V103=90,IF(OR(X103=Y$13,X103=Y$14,X103=V$4-Y$14,X103=V$4-Y$13),W$7,IF(OR(W103=W$20,W103=W$24),W$8,IF(OR(W103=W$21:W$23),W$9))),W$10)))</f>
        <v/>
      </c>
      <c r="Z103" s="168"/>
      <c r="AA103" s="185" t="str">
        <f t="shared" si="68"/>
        <v/>
      </c>
      <c r="AB103" s="173" t="str">
        <f>IF(AA103="","",IF(COUNT(AA$61:AA103)&lt;=AD$31,AB$33,IF(COUNT(AA$61:AA103)&lt;=2*AD$31,AB$34,IF(COUNT(AA$61:AA103)&lt;=3*AD$31,AB$35,IF(COUNT(AA$61:AA103)&lt;=4*AD$31,AB$36)))))</f>
        <v/>
      </c>
      <c r="AC103" s="173" t="str">
        <f>IF(AA103="","",IF(AB103=AB$33,AD$33+AD$32*(COUNT(AA$61:AA103)-1),IF(AB103=AB$34,AD$34+AD$32*(COUNT(AA$61:AA103)-AD$31-1),IF(AB103=AB$35,AD$34+AD$32*(COUNT(AA$61:AA103)-2*AD$31-1),IF(AB103=AB$36,AD$33+AD$32*(COUNT(AA$61:AA103)-3*AD$31-1))))))</f>
        <v/>
      </c>
      <c r="AD103" s="180" t="str" cm="1">
        <f t="array" ref="AD103">IF(AB103="","",MAX($C$5,IF(AA103=90,IF(OR(AC103=AD$13,AC103=AD$14,AC103=AA$4-AD$14,AC103=AA$4-AD$13),AB$7,IF(OR(AB103=AB$20,AB103=AB$24),AB$8,IF(OR(AB103=AB$21:AB$23),AB$9))),AB$10)))</f>
        <v/>
      </c>
      <c r="AE103" s="168"/>
      <c r="AF103" s="185" t="str">
        <f t="shared" si="69"/>
        <v/>
      </c>
      <c r="AG103" s="173" t="str">
        <f>IF(AF103="","",IF(COUNT(AF$61:AF103)&lt;=AI$31,AG$33,IF(COUNT(AF$61:AF103)&lt;=2*AI$31,AG$34,IF(COUNT(AF$61:AF103)&lt;=3*AI$31,AG$35,IF(COUNT(AF$61:AF103)&lt;=4*AI$31,AG$36)))))</f>
        <v/>
      </c>
      <c r="AH103" s="173" t="str">
        <f>IF(AF103="","",IF(AG103=AG$33,AI$33+AI$32*(COUNT(AF$61:AF103)-1),IF(AG103=AG$34,AI$34+AI$32*(COUNT(AF$61:AF103)-AI$31-1),IF(AG103=AG$35,AI$34+AI$32*(COUNT(AF$61:AF103)-2*AI$31-1),IF(AG103=AG$36,AI$33+AI$32*(COUNT(AF$61:AF103)-3*AI$31-1))))))</f>
        <v/>
      </c>
      <c r="AI103" s="180" t="str" cm="1">
        <f t="array" ref="AI103">IF(AG103="","",MAX($C$5,IF(AF103=90,IF(OR(AH103=AI$13,AH103=AI$14,AH103=AF$4-AI$14,AH103=AF$4-AI$13),AG$7,IF(OR(AG103=AG$20,AG103=AG$24),AG$8,IF(OR(AG103=AG$21:AG$23),AG$9))),AG$10)))</f>
        <v/>
      </c>
      <c r="AJ103" s="168"/>
      <c r="AK103" s="185" t="str">
        <f t="shared" si="70"/>
        <v/>
      </c>
      <c r="AL103" s="173" t="str">
        <f>IF(AK103="","",IF(COUNT(AK$61:AK103)&lt;=AN$31,AL$33,IF(COUNT(AK$61:AK103)&lt;=2*AN$31,AL$34,IF(COUNT(AK$61:AK103)&lt;=3*AN$31,AL$35,IF(COUNT(AK$61:AK103)&lt;=4*AN$31,AL$36)))))</f>
        <v/>
      </c>
      <c r="AM103" s="173" t="str">
        <f>IF(AK103="","",IF(AL103=AL$33,AN$33+AN$32*(COUNT(AK$61:AK103)-1),IF(AL103=AL$34,AN$34+AN$32*(COUNT(AK$61:AK103)-AN$31-1),IF(AL103=AL$35,AN$34+AN$32*(COUNT(AK$61:AK103)-2*AN$31-1),IF(AL103=AL$36,AN$33+AN$32*(COUNT(AK$61:AK103)-3*AN$31-1))))))</f>
        <v/>
      </c>
      <c r="AN103" s="180" t="str" cm="1">
        <f t="array" ref="AN103">IF(AL103="","",MAX($C$5,IF(AK103=90,IF(OR(AM103=AN$13,AM103=AN$14,AM103=AK$4-AN$14,AM103=AK$4-AN$13),AL$7,IF(OR(AL103=AL$20,AL103=AL$24),AL$8,IF(OR(AL103=AL$21:AL$23),AL$9))),AL$10)))</f>
        <v/>
      </c>
      <c r="AO103" s="168"/>
      <c r="AP103" s="244">
        <v>45</v>
      </c>
      <c r="AQ103" s="245">
        <v>54</v>
      </c>
      <c r="AR103" s="245">
        <v>50</v>
      </c>
      <c r="AS103" s="180" cm="1">
        <f t="array" ref="AS103">IF(AQ103="","",MAX($C$5,IF(AP103=90,IF(OR(AR103=AS$13,AR103=AS$14,AR103=AP$4-AS$14,AR103=AP$4-AS$13),AQ$7,IF(OR(AQ103=AQ$20,AQ103=AQ$24),AQ$8,IF(OR(AQ103=AQ$21:AQ$23),AQ$9))),AQ$10)))</f>
        <v>18</v>
      </c>
      <c r="AT103" s="277"/>
      <c r="AU103" s="185" t="str">
        <f t="shared" si="57"/>
        <v/>
      </c>
      <c r="AV103" s="173" t="str">
        <f>IF(AU103="","",IF(COUNT(AU$61:AU103)&lt;=AX$31,AV$33,IF(COUNT(AU$61:AU103)&lt;=2*AX$31,AV$34,IF(COUNT(AU$61:AU103)&lt;=3*AX$31,AV$35))))</f>
        <v/>
      </c>
      <c r="AW103" s="173" t="str">
        <f>IF(AU103="","",IF(AV103=AV$33,AX$33+AX$32*(COUNT(AU$61:AU103)-1),IF(AV103=AV$34,AX$34+AX$32*(COUNT(AU$61:AU103)-AX$31-1),IF(AV103=AV$35,AX$33+AX$32*(COUNT(AU$61:AU103)-2*AX$31-1)))))</f>
        <v/>
      </c>
      <c r="AX103" s="180" t="str" cm="1">
        <f t="array" ref="AX103">IF(AV103="","",MAX($C$5,IF(AU103=90,IF(OR(AW103=AX$13,AW103=AX$14,AW103=AU$4-AX$14,AW103=AU$4-AX$13),AV$7,IF(OR(AV103=AV$20,AV103=AV$24),AV$8,IF(OR(AV103=AV$21:AV$23),AV$9))),AV$10)))</f>
        <v/>
      </c>
      <c r="AY103" s="168"/>
      <c r="AZ103" s="185" t="str">
        <f t="shared" si="58"/>
        <v/>
      </c>
      <c r="BA103" s="173" t="str">
        <f>IF(AZ103="","",IF(COUNT(AZ$61:AZ103)&lt;=BC$31,BA$33,IF(COUNT(AZ$61:AZ103)&lt;=2*BC$31,BA$34,IF(COUNT(AZ$61:AZ103)&lt;=3*BC$31,BA$35))))</f>
        <v/>
      </c>
      <c r="BB103" s="173" t="str">
        <f>IF(AZ103="","",IF(BA103=BA$33,BC$33+BC$32*(COUNT(AZ$61:AZ103)-1),IF(BA103=BA$34,BC$34+BC$32*(COUNT(AZ$61:AZ103)-BC$31-1),IF(BA103=BA$35,BC$33+BC$32*(COUNT(AZ$61:AZ103)-2*BC$31-1)))))</f>
        <v/>
      </c>
      <c r="BC103" s="180" t="str" cm="1">
        <f t="array" ref="BC103">IF(BA103="","",MAX($C$5,IF(AZ103=90,IF(OR(BB103=BC$13,BB103=BC$14,BB103=AZ$4-BC$14,BB103=AZ$4-BC$13),BA$7,IF(OR(BA103=BA$20,BA103=BA$24),BA$8,IF(OR(BA103=BA$21:BA$23),BA$9))),BA$10)))</f>
        <v/>
      </c>
      <c r="BD103" s="168"/>
      <c r="BE103" s="185" t="str">
        <f t="shared" si="59"/>
        <v/>
      </c>
      <c r="BF103" s="173" t="str">
        <f>IF(BE103="","",IF(COUNT(BE$61:BE103)&lt;=BH$31,BF$33,IF(COUNT(BE$61:BE103)&lt;=2*BH$31,BF$34,IF(COUNT(BE$61:BE103)&lt;=3*BH$31,BF$35))))</f>
        <v/>
      </c>
      <c r="BG103" s="173" t="str">
        <f>IF(BE103="","",IF(BF103=BF$33,BH$33+BH$32*(COUNT(BE$61:BE103)-1),IF(BF103=BF$34,BH$34+BH$32*(COUNT(BE$61:BE103)-BH$31-1),IF(BF103=BF$35,BH$33+BH$32*(COUNT(BE$61:BE103)-2*BH$31-1)))))</f>
        <v/>
      </c>
      <c r="BH103" s="180" t="str" cm="1">
        <f t="array" ref="BH103">IF(BF103="","",MAX($C$5,IF(BE103=90,IF(OR(BG103=BH$13,BG103=BH$14,BG103=BE$4-BH$14,BG103=BE$4-BH$13),BF$7,IF(OR(BF103=BF$20,BF103=BF$24),BF$8,IF(OR(BF103=BF$21:BF$23),BF$9))),BF$10)))</f>
        <v/>
      </c>
      <c r="BI103" s="277"/>
      <c r="BJ103" s="185" t="str">
        <f t="shared" si="60"/>
        <v/>
      </c>
      <c r="BK103" s="173" t="str">
        <f>IF(BJ103="","",IF(COUNT(BJ$61:BJ103)&lt;=BM$31-1,BK$33,IF(COUNT(BJ$61:BJ103)&lt;=2*BM$31-1,BK$34)))</f>
        <v/>
      </c>
      <c r="BL103" s="173" t="str">
        <f>IF(BJ103="","",IF(BK103=BK$33,BM$33+BM$32*(COUNT(BJ$61:BJ103)-1),IF(BK103=BK$34,BM$34+BM$32*(COUNT(BJ$61:BJ103)-BM$31))))</f>
        <v/>
      </c>
      <c r="BM103" s="180" t="str" cm="1">
        <f t="array" ref="BM103">IF(BK103="","",MAX($C$5,IF(BJ103=90,IF(OR(BL103=BM$13,BL103=BM$14,BL103=BJ$4-BM$14,BL103=BJ$4-BM$13),BK$7,IF(OR(BK103=BK$20,BK103=BK$24),BK$8,IF(OR(BK103=BK$21:BK$23),BK$9))),BK$10)))</f>
        <v/>
      </c>
      <c r="BN103" s="168"/>
      <c r="BO103" s="185" t="str">
        <f t="shared" si="61"/>
        <v/>
      </c>
      <c r="BP103" s="173" t="str">
        <f>IF(BO103="","",IF(COUNT(BO$61:BO103)&lt;=BR$31-1,BP$33,IF(COUNT(BO$61:BO103)&lt;=2*BR$31-1,BP$34)))</f>
        <v/>
      </c>
      <c r="BQ103" s="173" t="str">
        <f>IF(BO103="","",IF(BP103=BP$33,BR$33+BR$32*(COUNT(BO$61:BO103)-1),IF(BP103=BP$34,BR$34+BR$32*(COUNT(BO$61:BO103)-BR$31))))</f>
        <v/>
      </c>
      <c r="BR103" s="180" t="str" cm="1">
        <f t="array" ref="BR103">IF(BP103="","",MAX($C$5,IF(BO103=90,IF(OR(BQ103=BR$13,BQ103=BR$14,BQ103=BO$4-BR$14,BQ103=BO$4-BR$13),BP$7,IF(OR(BP103=BP$20,BP103=BP$24),BP$8,IF(OR(BP103=BP$21:BP$23),BP$9))),BP$10)))</f>
        <v/>
      </c>
      <c r="BS103" s="168"/>
      <c r="BT103" s="185" t="str">
        <f t="shared" si="62"/>
        <v/>
      </c>
      <c r="BU103" s="173" t="str">
        <f>IF(BT103="","",IF(COUNT(BT$61:BT103)&lt;=BW$31-1,BU$33,IF(COUNT(BT$61:BT103)&lt;=2*BW$31-1,BU$34)))</f>
        <v/>
      </c>
      <c r="BV103" s="173" t="str">
        <f>IF(BT103="","",IF(BU103=BU$33,BW$33+BW$32*(COUNT(BT$61:BT103)-1),IF(BU103=BU$34,BW$34+BW$32*(COUNT(BT$61:BT103)-BW$31))))</f>
        <v/>
      </c>
      <c r="BW103" s="180" t="str" cm="1">
        <f t="array" ref="BW103">IF(BU103="","",MAX($C$5,IF(BT103=90,IF(OR(BV103=BW$13,BV103=BW$14,BV103=BT$4-BW$14,BV103=BT$4-BW$13),BU$7,IF(OR(BU103=BU$20,BU103=BU$24),BU$8,IF(OR(BU103=BU$21:BU$23),BU$9))),BU$10)))</f>
        <v/>
      </c>
      <c r="BX103" s="288"/>
    </row>
    <row r="104" spans="1:76">
      <c r="A104" s="168"/>
      <c r="B104" s="185">
        <f t="shared" si="63"/>
        <v>45</v>
      </c>
      <c r="C104" s="173">
        <f>IF(B104="","",IF(COUNT(B$61:B104)&lt;=E$31,C$33,IF(COUNT(B$61:B104)&lt;=2*E$31,C$34,IF(COUNT(B$61:B104)&lt;=3*E$31,C$35,IF(COUNT(B$61:B104)&lt;=4*E$31,C$36)))))</f>
        <v>139.5</v>
      </c>
      <c r="D104" s="173">
        <f>IF(B104="","",IF(C104=C$33,E$33+E$32*(COUNT(B$61:B104)-1),IF(C104=C$34,E$34+E$32*(COUNT(B$61:B104)-E$31-1),IF(C104=C$35,E$34+E$32*(COUNT(B$61:B104)-2*E$31-1),IF(C104=C$36,E$33+E$32*(COUNT(B$61:B104)-3*E$31-1))))))</f>
        <v>549</v>
      </c>
      <c r="E104" s="180" cm="1">
        <f t="array" ref="E104">IF(C104="","",MAX($C$5,IF(B104=90,IF(OR(D104=E$13,D104=E$14,D104=B$4-E$14,D104=B$4-E$13),C$7,IF(OR(C104=C$20,C104=C$24),C$8,IF(OR(C104=C$21:C$23),C$9))),C$10)))</f>
        <v>18</v>
      </c>
      <c r="F104" s="168"/>
      <c r="G104" s="185">
        <f t="shared" si="64"/>
        <v>45</v>
      </c>
      <c r="H104" s="173">
        <f>IF(G104="","",IF(COUNT(G$61:G104)&lt;=J$31,H$33,IF(COUNT(G$61:G104)&lt;=2*J$31,H$34,IF(COUNT(G$61:G104)&lt;=3*J$31,H$35,IF(COUNT(G$61:G104)&lt;=4*J$31,H$36)))))</f>
        <v>139.5</v>
      </c>
      <c r="I104" s="173">
        <f>IF(G104="","",IF(H104=H$33,J$33+J$32*(COUNT(G$61:G104)-1),IF(H104=H$34,J$34+J$32*(COUNT(G$61:G104)-J$31-1),IF(H104=H$35,J$34+J$32*(COUNT(G$61:G104)-2*J$31-1),IF(H104=H$36,J$33+J$32*(COUNT(G$61:G104)-3*J$31-1))))))</f>
        <v>549</v>
      </c>
      <c r="J104" s="180" cm="1">
        <f t="array" ref="J104">IF(H104="","",MAX($C$5,IF(G104=90,IF(OR(I104=J$13,I104=J$14,I104=G$4-J$14,I104=G$4-J$13),H$7,IF(OR(H104=H$20,H104=H$24),H$8,IF(OR(H104=H$21:H$23),H$9))),H$10)))</f>
        <v>18</v>
      </c>
      <c r="K104" s="168"/>
      <c r="L104" s="185">
        <f>IF(ROW(L104)-ROW(L$60)&lt;=(M$31*O$31),45,"")</f>
        <v>45</v>
      </c>
      <c r="M104" s="173">
        <f>IF(L104="","",IF(COUNT(L$61:L104)&lt;=O$31,M$33,IF(COUNT(L$61:L104)&lt;=2*O$31,M$34,IF(COUNT(L$61:L104)&lt;=3*O$31,M$35,IF(COUNT(L$61:L104)&lt;=4*O$31,M$36)))))</f>
        <v>139.5</v>
      </c>
      <c r="N104" s="173">
        <f>IF(L104="","",IF(M104=M$33,O$33+O$32*(COUNT(L$61:L104)-1),IF(M104=M$34,O$34+O$32*(COUNT(L$61:L104)-O$31-1),IF(M104=M$35,O$34+O$32*(COUNT(L$61:L104)-2*O$31-1),IF(M104=M$36,O$33+O$32*(COUNT(L$61:L104)-3*O$31-1))))))</f>
        <v>729</v>
      </c>
      <c r="O104" s="180" cm="1">
        <f t="array" ref="O104">IF(M104="","",MAX($C$5,IF(L104=90,IF(OR(N104=O$13,N104=O$14,N104=L$4-O$14,N104=L$4-O$13),M$7,IF(OR(M104=M$20,M104=M$24),M$8,IF(OR(M104=M$21:M$23),M$9))),M$10)))</f>
        <v>18</v>
      </c>
      <c r="P104" s="168"/>
      <c r="Q104" s="185" t="str">
        <f t="shared" si="71"/>
        <v/>
      </c>
      <c r="R104" s="173" t="str">
        <f>IF(Q104="","",IF(COUNT(Q$61:Q104)&lt;=T$31,R$33,IF(COUNT(Q$61:Q104)&lt;=2*T$31,R$34,IF(COUNT(Q$61:Q104)&lt;=3*T$31,R$35,IF(COUNT(Q$61:Q104)&lt;=4*T$31,R$36)))))</f>
        <v/>
      </c>
      <c r="S104" s="173" t="str">
        <f>IF(Q104="","",IF(R104=R$33,T$33+T$32*(COUNT(Q$61:Q104)-1),IF(R104=R$34,T$34+T$32*(COUNT(Q$61:Q104)-T$31-1),IF(R104=R$35,T$34+T$32*(COUNT(Q$61:Q104)-2*T$31-1),IF(R104=R$36,T$33+T$32*(COUNT(Q$61:Q104)-3*T$31-1))))))</f>
        <v/>
      </c>
      <c r="T104" s="180" t="str" cm="1">
        <f t="array" ref="T104">IF(R104="","",MAX($C$5,IF(Q104=90,IF(OR(S104=T$13,S104=T$14,S104=Q$4-T$14,S104=Q$4-T$13),R$7,IF(OR(R104=R$20,R104=R$24),R$8,IF(OR(R104=R$21:R$23),R$9))),R$10)))</f>
        <v/>
      </c>
      <c r="U104" s="168"/>
      <c r="V104" s="185" t="str">
        <f t="shared" si="67"/>
        <v/>
      </c>
      <c r="W104" s="173" t="str">
        <f>IF(V104="","",IF(COUNT(V$61:V104)&lt;=Y$31,W$33,IF(COUNT(V$61:V104)&lt;=2*Y$31,W$34,IF(COUNT(V$61:V104)&lt;=3*Y$31,W$35,IF(COUNT(V$61:V104)&lt;=4*Y$31,W$36)))))</f>
        <v/>
      </c>
      <c r="X104" s="173" t="str">
        <f>IF(V104="","",IF(W104=W$33,Y$33+Y$32*(COUNT(V$61:V104)-1),IF(W104=W$34,Y$34+Y$32*(COUNT(V$61:V104)-Y$31-1),IF(W104=W$35,Y$34+Y$32*(COUNT(V$61:V104)-2*Y$31-1),IF(W104=W$36,Y$33+Y$32*(COUNT(V$61:V104)-3*Y$31-1))))))</f>
        <v/>
      </c>
      <c r="Y104" s="180" t="str" cm="1">
        <f t="array" ref="Y104">IF(W104="","",MAX($C$5,IF(V104=90,IF(OR(X104=Y$13,X104=Y$14,X104=V$4-Y$14,X104=V$4-Y$13),W$7,IF(OR(W104=W$20,W104=W$24),W$8,IF(OR(W104=W$21:W$23),W$9))),W$10)))</f>
        <v/>
      </c>
      <c r="Z104" s="168"/>
      <c r="AA104" s="185" t="str">
        <f t="shared" si="68"/>
        <v/>
      </c>
      <c r="AB104" s="173" t="str">
        <f>IF(AA104="","",IF(COUNT(AA$61:AA104)&lt;=AD$31,AB$33,IF(COUNT(AA$61:AA104)&lt;=2*AD$31,AB$34,IF(COUNT(AA$61:AA104)&lt;=3*AD$31,AB$35,IF(COUNT(AA$61:AA104)&lt;=4*AD$31,AB$36)))))</f>
        <v/>
      </c>
      <c r="AC104" s="173" t="str">
        <f>IF(AA104="","",IF(AB104=AB$33,AD$33+AD$32*(COUNT(AA$61:AA104)-1),IF(AB104=AB$34,AD$34+AD$32*(COUNT(AA$61:AA104)-AD$31-1),IF(AB104=AB$35,AD$34+AD$32*(COUNT(AA$61:AA104)-2*AD$31-1),IF(AB104=AB$36,AD$33+AD$32*(COUNT(AA$61:AA104)-3*AD$31-1))))))</f>
        <v/>
      </c>
      <c r="AD104" s="180" t="str" cm="1">
        <f t="array" ref="AD104">IF(AB104="","",MAX($C$5,IF(AA104=90,IF(OR(AC104=AD$13,AC104=AD$14,AC104=AA$4-AD$14,AC104=AA$4-AD$13),AB$7,IF(OR(AB104=AB$20,AB104=AB$24),AB$8,IF(OR(AB104=AB$21:AB$23),AB$9))),AB$10)))</f>
        <v/>
      </c>
      <c r="AE104" s="168"/>
      <c r="AF104" s="185" t="str">
        <f t="shared" si="69"/>
        <v/>
      </c>
      <c r="AG104" s="173" t="str">
        <f>IF(AF104="","",IF(COUNT(AF$61:AF104)&lt;=AI$31,AG$33,IF(COUNT(AF$61:AF104)&lt;=2*AI$31,AG$34,IF(COUNT(AF$61:AF104)&lt;=3*AI$31,AG$35,IF(COUNT(AF$61:AF104)&lt;=4*AI$31,AG$36)))))</f>
        <v/>
      </c>
      <c r="AH104" s="173" t="str">
        <f>IF(AF104="","",IF(AG104=AG$33,AI$33+AI$32*(COUNT(AF$61:AF104)-1),IF(AG104=AG$34,AI$34+AI$32*(COUNT(AF$61:AF104)-AI$31-1),IF(AG104=AG$35,AI$34+AI$32*(COUNT(AF$61:AF104)-2*AI$31-1),IF(AG104=AG$36,AI$33+AI$32*(COUNT(AF$61:AF104)-3*AI$31-1))))))</f>
        <v/>
      </c>
      <c r="AI104" s="180" t="str" cm="1">
        <f t="array" ref="AI104">IF(AG104="","",MAX($C$5,IF(AF104=90,IF(OR(AH104=AI$13,AH104=AI$14,AH104=AF$4-AI$14,AH104=AF$4-AI$13),AG$7,IF(OR(AG104=AG$20,AG104=AG$24),AG$8,IF(OR(AG104=AG$21:AG$23),AG$9))),AG$10)))</f>
        <v/>
      </c>
      <c r="AJ104" s="168"/>
      <c r="AK104" s="185" t="str">
        <f t="shared" si="70"/>
        <v/>
      </c>
      <c r="AL104" s="173" t="str">
        <f>IF(AK104="","",IF(COUNT(AK$61:AK104)&lt;=AN$31,AL$33,IF(COUNT(AK$61:AK104)&lt;=2*AN$31,AL$34,IF(COUNT(AK$61:AK104)&lt;=3*AN$31,AL$35,IF(COUNT(AK$61:AK104)&lt;=4*AN$31,AL$36)))))</f>
        <v/>
      </c>
      <c r="AM104" s="173" t="str">
        <f>IF(AK104="","",IF(AL104=AL$33,AN$33+AN$32*(COUNT(AK$61:AK104)-1),IF(AL104=AL$34,AN$34+AN$32*(COUNT(AK$61:AK104)-AN$31-1),IF(AL104=AL$35,AN$34+AN$32*(COUNT(AK$61:AK104)-2*AN$31-1),IF(AL104=AL$36,AN$33+AN$32*(COUNT(AK$61:AK104)-3*AN$31-1))))))</f>
        <v/>
      </c>
      <c r="AN104" s="180" t="str" cm="1">
        <f t="array" ref="AN104">IF(AL104="","",MAX($C$5,IF(AK104=90,IF(OR(AM104=AN$13,AM104=AN$14,AM104=AK$4-AN$14,AM104=AK$4-AN$13),AL$7,IF(OR(AL104=AL$20,AL104=AL$24),AL$8,IF(OR(AL104=AL$21:AL$23),AL$9))),AL$10)))</f>
        <v/>
      </c>
      <c r="AO104" s="168"/>
      <c r="AP104" s="244">
        <v>45</v>
      </c>
      <c r="AQ104" s="245">
        <v>54</v>
      </c>
      <c r="AR104" s="245">
        <v>107</v>
      </c>
      <c r="AS104" s="180" cm="1">
        <f t="array" ref="AS104">IF(AQ104="","",MAX($C$5,IF(AP104=90,IF(OR(AR104=AS$13,AR104=AS$14,AR104=AP$4-AS$14,AR104=AP$4-AS$13),AQ$7,IF(OR(AQ104=AQ$20,AQ104=AQ$24),AQ$8,IF(OR(AQ104=AQ$21:AQ$23),AQ$9))),AQ$10)))</f>
        <v>18</v>
      </c>
      <c r="AT104" s="277"/>
      <c r="AU104" s="185" t="str">
        <f t="shared" si="57"/>
        <v/>
      </c>
      <c r="AV104" s="173" t="str">
        <f>IF(AU104="","",IF(COUNT(AU$61:AU104)&lt;=AX$31,AV$33,IF(COUNT(AU$61:AU104)&lt;=2*AX$31,AV$34,IF(COUNT(AU$61:AU104)&lt;=3*AX$31,AV$35))))</f>
        <v/>
      </c>
      <c r="AW104" s="173" t="str">
        <f>IF(AU104="","",IF(AV104=AV$33,AX$33+AX$32*(COUNT(AU$61:AU104)-1),IF(AV104=AV$34,AX$34+AX$32*(COUNT(AU$61:AU104)-AX$31-1),IF(AV104=AV$35,AX$33+AX$32*(COUNT(AU$61:AU104)-2*AX$31-1)))))</f>
        <v/>
      </c>
      <c r="AX104" s="180" t="str" cm="1">
        <f t="array" ref="AX104">IF(AV104="","",MAX($C$5,IF(AU104=90,IF(OR(AW104=AX$13,AW104=AX$14,AW104=AU$4-AX$14,AW104=AU$4-AX$13),AV$7,IF(OR(AV104=AV$20,AV104=AV$24),AV$8,IF(OR(AV104=AV$21:AV$23),AV$9))),AV$10)))</f>
        <v/>
      </c>
      <c r="AY104" s="168"/>
      <c r="AZ104" s="185" t="str">
        <f t="shared" si="58"/>
        <v/>
      </c>
      <c r="BA104" s="173" t="str">
        <f>IF(AZ104="","",IF(COUNT(AZ$61:AZ104)&lt;=BC$31,BA$33,IF(COUNT(AZ$61:AZ104)&lt;=2*BC$31,BA$34,IF(COUNT(AZ$61:AZ104)&lt;=3*BC$31,BA$35))))</f>
        <v/>
      </c>
      <c r="BB104" s="173" t="str">
        <f>IF(AZ104="","",IF(BA104=BA$33,BC$33+BC$32*(COUNT(AZ$61:AZ104)-1),IF(BA104=BA$34,BC$34+BC$32*(COUNT(AZ$61:AZ104)-BC$31-1),IF(BA104=BA$35,BC$33+BC$32*(COUNT(AZ$61:AZ104)-2*BC$31-1)))))</f>
        <v/>
      </c>
      <c r="BC104" s="180" t="str" cm="1">
        <f t="array" ref="BC104">IF(BA104="","",MAX($C$5,IF(AZ104=90,IF(OR(BB104=BC$13,BB104=BC$14,BB104=AZ$4-BC$14,BB104=AZ$4-BC$13),BA$7,IF(OR(BA104=BA$20,BA104=BA$24),BA$8,IF(OR(BA104=BA$21:BA$23),BA$9))),BA$10)))</f>
        <v/>
      </c>
      <c r="BD104" s="168"/>
      <c r="BE104" s="185" t="str">
        <f t="shared" si="59"/>
        <v/>
      </c>
      <c r="BF104" s="173" t="str">
        <f>IF(BE104="","",IF(COUNT(BE$61:BE104)&lt;=BH$31,BF$33,IF(COUNT(BE$61:BE104)&lt;=2*BH$31,BF$34,IF(COUNT(BE$61:BE104)&lt;=3*BH$31,BF$35))))</f>
        <v/>
      </c>
      <c r="BG104" s="173" t="str">
        <f>IF(BE104="","",IF(BF104=BF$33,BH$33+BH$32*(COUNT(BE$61:BE104)-1),IF(BF104=BF$34,BH$34+BH$32*(COUNT(BE$61:BE104)-BH$31-1),IF(BF104=BF$35,BH$33+BH$32*(COUNT(BE$61:BE104)-2*BH$31-1)))))</f>
        <v/>
      </c>
      <c r="BH104" s="180" t="str" cm="1">
        <f t="array" ref="BH104">IF(BF104="","",MAX($C$5,IF(BE104=90,IF(OR(BG104=BH$13,BG104=BH$14,BG104=BE$4-BH$14,BG104=BE$4-BH$13),BF$7,IF(OR(BF104=BF$20,BF104=BF$24),BF$8,IF(OR(BF104=BF$21:BF$23),BF$9))),BF$10)))</f>
        <v/>
      </c>
      <c r="BI104" s="277"/>
      <c r="BJ104" s="185" t="str">
        <f t="shared" si="60"/>
        <v/>
      </c>
      <c r="BK104" s="173" t="str">
        <f>IF(BJ104="","",IF(COUNT(BJ$61:BJ104)&lt;=BM$31-1,BK$33,IF(COUNT(BJ$61:BJ104)&lt;=2*BM$31-1,BK$34)))</f>
        <v/>
      </c>
      <c r="BL104" s="173" t="str">
        <f>IF(BJ104="","",IF(BK104=BK$33,BM$33+BM$32*(COUNT(BJ$61:BJ104)-1),IF(BK104=BK$34,BM$34+BM$32*(COUNT(BJ$61:BJ104)-BM$31))))</f>
        <v/>
      </c>
      <c r="BM104" s="180" t="str" cm="1">
        <f t="array" ref="BM104">IF(BK104="","",MAX($C$5,IF(BJ104=90,IF(OR(BL104=BM$13,BL104=BM$14,BL104=BJ$4-BM$14,BL104=BJ$4-BM$13),BK$7,IF(OR(BK104=BK$20,BK104=BK$24),BK$8,IF(OR(BK104=BK$21:BK$23),BK$9))),BK$10)))</f>
        <v/>
      </c>
      <c r="BN104" s="168"/>
      <c r="BO104" s="185" t="str">
        <f t="shared" si="61"/>
        <v/>
      </c>
      <c r="BP104" s="173" t="str">
        <f>IF(BO104="","",IF(COUNT(BO$61:BO104)&lt;=BR$31-1,BP$33,IF(COUNT(BO$61:BO104)&lt;=2*BR$31-1,BP$34)))</f>
        <v/>
      </c>
      <c r="BQ104" s="173" t="str">
        <f>IF(BO104="","",IF(BP104=BP$33,BR$33+BR$32*(COUNT(BO$61:BO104)-1),IF(BP104=BP$34,BR$34+BR$32*(COUNT(BO$61:BO104)-BR$31))))</f>
        <v/>
      </c>
      <c r="BR104" s="180" t="str" cm="1">
        <f t="array" ref="BR104">IF(BP104="","",MAX($C$5,IF(BO104=90,IF(OR(BQ104=BR$13,BQ104=BR$14,BQ104=BO$4-BR$14,BQ104=BO$4-BR$13),BP$7,IF(OR(BP104=BP$20,BP104=BP$24),BP$8,IF(OR(BP104=BP$21:BP$23),BP$9))),BP$10)))</f>
        <v/>
      </c>
      <c r="BS104" s="168"/>
      <c r="BT104" s="185" t="str">
        <f t="shared" si="62"/>
        <v/>
      </c>
      <c r="BU104" s="173" t="str">
        <f>IF(BT104="","",IF(COUNT(BT$61:BT104)&lt;=BW$31-1,BU$33,IF(COUNT(BT$61:BT104)&lt;=2*BW$31-1,BU$34)))</f>
        <v/>
      </c>
      <c r="BV104" s="173" t="str">
        <f>IF(BT104="","",IF(BU104=BU$33,BW$33+BW$32*(COUNT(BT$61:BT104)-1),IF(BU104=BU$34,BW$34+BW$32*(COUNT(BT$61:BT104)-BW$31))))</f>
        <v/>
      </c>
      <c r="BW104" s="180" t="str" cm="1">
        <f t="array" ref="BW104">IF(BU104="","",MAX($C$5,IF(BT104=90,IF(OR(BV104=BW$13,BV104=BW$14,BV104=BT$4-BW$14,BV104=BT$4-BW$13),BU$7,IF(OR(BU104=BU$20,BU104=BU$24),BU$8,IF(OR(BU104=BU$21:BU$23),BU$9))),BU$10)))</f>
        <v/>
      </c>
      <c r="BX104" s="288"/>
    </row>
    <row r="105" spans="1:76">
      <c r="A105" s="168"/>
      <c r="B105" s="185">
        <f t="shared" si="63"/>
        <v>45</v>
      </c>
      <c r="C105" s="173">
        <f>IF(B105="","",IF(COUNT(B$61:B105)&lt;=E$31,C$33,IF(COUNT(B$61:B105)&lt;=2*E$31,C$34,IF(COUNT(B$61:B105)&lt;=3*E$31,C$35,IF(COUNT(B$61:B105)&lt;=4*E$31,C$36)))))</f>
        <v>139.5</v>
      </c>
      <c r="D105" s="173">
        <f>IF(B105="","",IF(C105=C$33,E$33+E$32*(COUNT(B$61:B105)-1),IF(C105=C$34,E$34+E$32*(COUNT(B$61:B105)-E$31-1),IF(C105=C$35,E$34+E$32*(COUNT(B$61:B105)-2*E$31-1),IF(C105=C$36,E$33+E$32*(COUNT(B$61:B105)-3*E$31-1))))))</f>
        <v>606</v>
      </c>
      <c r="E105" s="180" cm="1">
        <f t="array" ref="E105">IF(C105="","",MAX($C$5,IF(B105=90,IF(OR(D105=E$13,D105=E$14,D105=B$4-E$14,D105=B$4-E$13),C$7,IF(OR(C105=C$20,C105=C$24),C$8,IF(OR(C105=C$21:C$23),C$9))),C$10)))</f>
        <v>18</v>
      </c>
      <c r="F105" s="168"/>
      <c r="G105" s="185">
        <f t="shared" si="64"/>
        <v>45</v>
      </c>
      <c r="H105" s="173">
        <f>IF(G105="","",IF(COUNT(G$61:G105)&lt;=J$31,H$33,IF(COUNT(G$61:G105)&lt;=2*J$31,H$34,IF(COUNT(G$61:G105)&lt;=3*J$31,H$35,IF(COUNT(G$61:G105)&lt;=4*J$31,H$36)))))</f>
        <v>139.5</v>
      </c>
      <c r="I105" s="173">
        <f>IF(G105="","",IF(H105=H$33,J$33+J$32*(COUNT(G$61:G105)-1),IF(H105=H$34,J$34+J$32*(COUNT(G$61:G105)-J$31-1),IF(H105=H$35,J$34+J$32*(COUNT(G$61:G105)-2*J$31-1),IF(H105=H$36,J$33+J$32*(COUNT(G$61:G105)-3*J$31-1))))))</f>
        <v>606</v>
      </c>
      <c r="J105" s="180" cm="1">
        <f t="array" ref="J105">IF(H105="","",MAX($C$5,IF(G105=90,IF(OR(I105=J$13,I105=J$14,I105=G$4-J$14,I105=G$4-J$13),H$7,IF(OR(H105=H$20,H105=H$24),H$8,IF(OR(H105=H$21:H$23),H$9))),H$10)))</f>
        <v>18</v>
      </c>
      <c r="K105" s="168"/>
      <c r="L105" s="185" t="str">
        <f t="shared" ref="L105:L119" si="72">IF(ROW(L105)-ROW(L$60)&lt;=(M$31*O$31),45,"")</f>
        <v/>
      </c>
      <c r="M105" s="173" t="str">
        <f>IF(L105="","",IF(COUNT(L$61:L105)&lt;=O$31,M$33,IF(COUNT(L$61:L105)&lt;=2*O$31,M$34,IF(COUNT(L$61:L105)&lt;=3*O$31,M$35,IF(COUNT(L$61:L105)&lt;=4*O$31,M$36)))))</f>
        <v/>
      </c>
      <c r="N105" s="173" t="str">
        <f>IF(L105="","",IF(M105=M$33,O$33+O$32*(COUNT(L$61:L105)-1),IF(M105=M$34,O$34+O$32*(COUNT(L$61:L105)-O$31-1),IF(M105=M$35,O$34+O$32*(COUNT(L$61:L105)-2*O$31-1),IF(M105=M$36,O$33+O$32*(COUNT(L$61:L105)-3*O$31-1))))))</f>
        <v/>
      </c>
      <c r="O105" s="180" t="str" cm="1">
        <f t="array" ref="O105">IF(M105="","",MAX($C$5,IF(L105=90,IF(OR(N105=O$13,N105=O$14,N105=L$4-O$14,N105=L$4-O$13),M$7,IF(OR(M105=M$20,M105=M$24),M$8,IF(OR(M105=M$21:M$23),M$9))),M$10)))</f>
        <v/>
      </c>
      <c r="P105" s="168"/>
      <c r="Q105" s="185" t="str">
        <f t="shared" si="71"/>
        <v/>
      </c>
      <c r="R105" s="173" t="str">
        <f>IF(Q105="","",IF(COUNT(Q$61:Q105)&lt;=T$31,R$33,IF(COUNT(Q$61:Q105)&lt;=2*T$31,R$34,IF(COUNT(Q$61:Q105)&lt;=3*T$31,R$35,IF(COUNT(Q$61:Q105)&lt;=4*T$31,R$36)))))</f>
        <v/>
      </c>
      <c r="S105" s="173" t="str">
        <f>IF(Q105="","",IF(R105=R$33,T$33+T$32*(COUNT(Q$61:Q105)-1),IF(R105=R$34,T$34+T$32*(COUNT(Q$61:Q105)-T$31-1),IF(R105=R$35,T$34+T$32*(COUNT(Q$61:Q105)-2*T$31-1),IF(R105=R$36,T$33+T$32*(COUNT(Q$61:Q105)-3*T$31-1))))))</f>
        <v/>
      </c>
      <c r="T105" s="180" t="str" cm="1">
        <f t="array" ref="T105">IF(R105="","",MAX($C$5,IF(Q105=90,IF(OR(S105=T$13,S105=T$14,S105=Q$4-T$14,S105=Q$4-T$13),R$7,IF(OR(R105=R$20,R105=R$24),R$8,IF(OR(R105=R$21:R$23),R$9))),R$10)))</f>
        <v/>
      </c>
      <c r="U105" s="168"/>
      <c r="V105" s="185" t="str">
        <f t="shared" si="67"/>
        <v/>
      </c>
      <c r="W105" s="173" t="str">
        <f>IF(V105="","",IF(COUNT(V$61:V105)&lt;=Y$31,W$33,IF(COUNT(V$61:V105)&lt;=2*Y$31,W$34,IF(COUNT(V$61:V105)&lt;=3*Y$31,W$35,IF(COUNT(V$61:V105)&lt;=4*Y$31,W$36)))))</f>
        <v/>
      </c>
      <c r="X105" s="173" t="str">
        <f>IF(V105="","",IF(W105=W$33,Y$33+Y$32*(COUNT(V$61:V105)-1),IF(W105=W$34,Y$34+Y$32*(COUNT(V$61:V105)-Y$31-1),IF(W105=W$35,Y$34+Y$32*(COUNT(V$61:V105)-2*Y$31-1),IF(W105=W$36,Y$33+Y$32*(COUNT(V$61:V105)-3*Y$31-1))))))</f>
        <v/>
      </c>
      <c r="Y105" s="180" t="str" cm="1">
        <f t="array" ref="Y105">IF(W105="","",MAX($C$5,IF(V105=90,IF(OR(X105=Y$13,X105=Y$14,X105=V$4-Y$14,X105=V$4-Y$13),W$7,IF(OR(W105=W$20,W105=W$24),W$8,IF(OR(W105=W$21:W$23),W$9))),W$10)))</f>
        <v/>
      </c>
      <c r="Z105" s="168"/>
      <c r="AA105" s="185" t="str">
        <f t="shared" si="68"/>
        <v/>
      </c>
      <c r="AB105" s="173" t="str">
        <f>IF(AA105="","",IF(COUNT(AA$61:AA105)&lt;=AD$31,AB$33,IF(COUNT(AA$61:AA105)&lt;=2*AD$31,AB$34,IF(COUNT(AA$61:AA105)&lt;=3*AD$31,AB$35,IF(COUNT(AA$61:AA105)&lt;=4*AD$31,AB$36)))))</f>
        <v/>
      </c>
      <c r="AC105" s="173" t="str">
        <f>IF(AA105="","",IF(AB105=AB$33,AD$33+AD$32*(COUNT(AA$61:AA105)-1),IF(AB105=AB$34,AD$34+AD$32*(COUNT(AA$61:AA105)-AD$31-1),IF(AB105=AB$35,AD$34+AD$32*(COUNT(AA$61:AA105)-2*AD$31-1),IF(AB105=AB$36,AD$33+AD$32*(COUNT(AA$61:AA105)-3*AD$31-1))))))</f>
        <v/>
      </c>
      <c r="AD105" s="180" t="str" cm="1">
        <f t="array" ref="AD105">IF(AB105="","",MAX($C$5,IF(AA105=90,IF(OR(AC105=AD$13,AC105=AD$14,AC105=AA$4-AD$14,AC105=AA$4-AD$13),AB$7,IF(OR(AB105=AB$20,AB105=AB$24),AB$8,IF(OR(AB105=AB$21:AB$23),AB$9))),AB$10)))</f>
        <v/>
      </c>
      <c r="AE105" s="168"/>
      <c r="AF105" s="185" t="str">
        <f t="shared" si="69"/>
        <v/>
      </c>
      <c r="AG105" s="173" t="str">
        <f>IF(AF105="","",IF(COUNT(AF$61:AF105)&lt;=AI$31,AG$33,IF(COUNT(AF$61:AF105)&lt;=2*AI$31,AG$34,IF(COUNT(AF$61:AF105)&lt;=3*AI$31,AG$35,IF(COUNT(AF$61:AF105)&lt;=4*AI$31,AG$36)))))</f>
        <v/>
      </c>
      <c r="AH105" s="173" t="str">
        <f>IF(AF105="","",IF(AG105=AG$33,AI$33+AI$32*(COUNT(AF$61:AF105)-1),IF(AG105=AG$34,AI$34+AI$32*(COUNT(AF$61:AF105)-AI$31-1),IF(AG105=AG$35,AI$34+AI$32*(COUNT(AF$61:AF105)-2*AI$31-1),IF(AG105=AG$36,AI$33+AI$32*(COUNT(AF$61:AF105)-3*AI$31-1))))))</f>
        <v/>
      </c>
      <c r="AI105" s="180" t="str" cm="1">
        <f t="array" ref="AI105">IF(AG105="","",MAX($C$5,IF(AF105=90,IF(OR(AH105=AI$13,AH105=AI$14,AH105=AF$4-AI$14,AH105=AF$4-AI$13),AG$7,IF(OR(AG105=AG$20,AG105=AG$24),AG$8,IF(OR(AG105=AG$21:AG$23),AG$9))),AG$10)))</f>
        <v/>
      </c>
      <c r="AJ105" s="168"/>
      <c r="AK105" s="185" t="str">
        <f t="shared" si="70"/>
        <v/>
      </c>
      <c r="AL105" s="173" t="str">
        <f>IF(AK105="","",IF(COUNT(AK$61:AK105)&lt;=AN$31,AL$33,IF(COUNT(AK$61:AK105)&lt;=2*AN$31,AL$34,IF(COUNT(AK$61:AK105)&lt;=3*AN$31,AL$35,IF(COUNT(AK$61:AK105)&lt;=4*AN$31,AL$36)))))</f>
        <v/>
      </c>
      <c r="AM105" s="173" t="str">
        <f>IF(AK105="","",IF(AL105=AL$33,AN$33+AN$32*(COUNT(AK$61:AK105)-1),IF(AL105=AL$34,AN$34+AN$32*(COUNT(AK$61:AK105)-AN$31-1),IF(AL105=AL$35,AN$34+AN$32*(COUNT(AK$61:AK105)-2*AN$31-1),IF(AL105=AL$36,AN$33+AN$32*(COUNT(AK$61:AK105)-3*AN$31-1))))))</f>
        <v/>
      </c>
      <c r="AN105" s="180" t="str" cm="1">
        <f t="array" ref="AN105">IF(AL105="","",MAX($C$5,IF(AK105=90,IF(OR(AM105=AN$13,AM105=AN$14,AM105=AK$4-AN$14,AM105=AK$4-AN$13),AL$7,IF(OR(AL105=AL$20,AL105=AL$24),AL$8,IF(OR(AL105=AL$21:AL$23),AL$9))),AL$10)))</f>
        <v/>
      </c>
      <c r="AO105" s="168"/>
      <c r="AP105" s="244">
        <v>45</v>
      </c>
      <c r="AQ105" s="245">
        <v>96</v>
      </c>
      <c r="AR105" s="245">
        <v>50</v>
      </c>
      <c r="AS105" s="180" cm="1">
        <f t="array" ref="AS105">IF(AQ105="","",MAX($C$5,IF(AP105=90,IF(OR(AR105=AS$13,AR105=AS$14,AR105=AP$4-AS$14,AR105=AP$4-AS$13),AQ$7,IF(OR(AQ105=AQ$20,AQ105=AQ$24),AQ$8,IF(OR(AQ105=AQ$21:AQ$23),AQ$9))),AQ$10)))</f>
        <v>18</v>
      </c>
      <c r="AT105" s="277"/>
      <c r="AU105" s="185" t="str">
        <f t="shared" si="57"/>
        <v/>
      </c>
      <c r="AV105" s="173" t="str">
        <f>IF(AU105="","",IF(COUNT(AU$61:AU105)&lt;=AX$31,AV$33,IF(COUNT(AU$61:AU105)&lt;=2*AX$31,AV$34,IF(COUNT(AU$61:AU105)&lt;=3*AX$31,AV$35))))</f>
        <v/>
      </c>
      <c r="AW105" s="173" t="str">
        <f>IF(AU105="","",IF(AV105=AV$33,AX$33+AX$32*(COUNT(AU$61:AU105)-1),IF(AV105=AV$34,AX$34+AX$32*(COUNT(AU$61:AU105)-AX$31-1),IF(AV105=AV$35,AX$33+AX$32*(COUNT(AU$61:AU105)-2*AX$31-1)))))</f>
        <v/>
      </c>
      <c r="AX105" s="180" t="str" cm="1">
        <f t="array" ref="AX105">IF(AV105="","",MAX($C$5,IF(AU105=90,IF(OR(AW105=AX$13,AW105=AX$14,AW105=AU$4-AX$14,AW105=AU$4-AX$13),AV$7,IF(OR(AV105=AV$20,AV105=AV$24),AV$8,IF(OR(AV105=AV$21:AV$23),AV$9))),AV$10)))</f>
        <v/>
      </c>
      <c r="AY105" s="168"/>
      <c r="AZ105" s="185" t="str">
        <f t="shared" si="58"/>
        <v/>
      </c>
      <c r="BA105" s="173" t="str">
        <f>IF(AZ105="","",IF(COUNT(AZ$61:AZ105)&lt;=BC$31,BA$33,IF(COUNT(AZ$61:AZ105)&lt;=2*BC$31,BA$34,IF(COUNT(AZ$61:AZ105)&lt;=3*BC$31,BA$35))))</f>
        <v/>
      </c>
      <c r="BB105" s="173" t="str">
        <f>IF(AZ105="","",IF(BA105=BA$33,BC$33+BC$32*(COUNT(AZ$61:AZ105)-1),IF(BA105=BA$34,BC$34+BC$32*(COUNT(AZ$61:AZ105)-BC$31-1),IF(BA105=BA$35,BC$33+BC$32*(COUNT(AZ$61:AZ105)-2*BC$31-1)))))</f>
        <v/>
      </c>
      <c r="BC105" s="180" t="str" cm="1">
        <f t="array" ref="BC105">IF(BA105="","",MAX($C$5,IF(AZ105=90,IF(OR(BB105=BC$13,BB105=BC$14,BB105=AZ$4-BC$14,BB105=AZ$4-BC$13),BA$7,IF(OR(BA105=BA$20,BA105=BA$24),BA$8,IF(OR(BA105=BA$21:BA$23),BA$9))),BA$10)))</f>
        <v/>
      </c>
      <c r="BD105" s="168"/>
      <c r="BE105" s="185" t="str">
        <f t="shared" si="59"/>
        <v/>
      </c>
      <c r="BF105" s="173" t="str">
        <f>IF(BE105="","",IF(COUNT(BE$61:BE105)&lt;=BH$31,BF$33,IF(COUNT(BE$61:BE105)&lt;=2*BH$31,BF$34,IF(COUNT(BE$61:BE105)&lt;=3*BH$31,BF$35))))</f>
        <v/>
      </c>
      <c r="BG105" s="173" t="str">
        <f>IF(BE105="","",IF(BF105=BF$33,BH$33+BH$32*(COUNT(BE$61:BE105)-1),IF(BF105=BF$34,BH$34+BH$32*(COUNT(BE$61:BE105)-BH$31-1),IF(BF105=BF$35,BH$33+BH$32*(COUNT(BE$61:BE105)-2*BH$31-1)))))</f>
        <v/>
      </c>
      <c r="BH105" s="180" t="str" cm="1">
        <f t="array" ref="BH105">IF(BF105="","",MAX($C$5,IF(BE105=90,IF(OR(BG105=BH$13,BG105=BH$14,BG105=BE$4-BH$14,BG105=BE$4-BH$13),BF$7,IF(OR(BF105=BF$20,BF105=BF$24),BF$8,IF(OR(BF105=BF$21:BF$23),BF$9))),BF$10)))</f>
        <v/>
      </c>
      <c r="BI105" s="277"/>
      <c r="BJ105" s="185" t="str">
        <f t="shared" si="60"/>
        <v/>
      </c>
      <c r="BK105" s="173" t="str">
        <f>IF(BJ105="","",IF(COUNT(BJ$61:BJ105)&lt;=BM$31-1,BK$33,IF(COUNT(BJ$61:BJ105)&lt;=2*BM$31-1,BK$34)))</f>
        <v/>
      </c>
      <c r="BL105" s="173" t="str">
        <f>IF(BJ105="","",IF(BK105=BK$33,BM$33+BM$32*(COUNT(BJ$61:BJ105)-1),IF(BK105=BK$34,BM$34+BM$32*(COUNT(BJ$61:BJ105)-BM$31))))</f>
        <v/>
      </c>
      <c r="BM105" s="180" t="str" cm="1">
        <f t="array" ref="BM105">IF(BK105="","",MAX($C$5,IF(BJ105=90,IF(OR(BL105=BM$13,BL105=BM$14,BL105=BJ$4-BM$14,BL105=BJ$4-BM$13),BK$7,IF(OR(BK105=BK$20,BK105=BK$24),BK$8,IF(OR(BK105=BK$21:BK$23),BK$9))),BK$10)))</f>
        <v/>
      </c>
      <c r="BN105" s="168"/>
      <c r="BO105" s="185" t="str">
        <f t="shared" si="61"/>
        <v/>
      </c>
      <c r="BP105" s="173" t="str">
        <f>IF(BO105="","",IF(COUNT(BO$61:BO105)&lt;=BR$31-1,BP$33,IF(COUNT(BO$61:BO105)&lt;=2*BR$31-1,BP$34)))</f>
        <v/>
      </c>
      <c r="BQ105" s="173" t="str">
        <f>IF(BO105="","",IF(BP105=BP$33,BR$33+BR$32*(COUNT(BO$61:BO105)-1),IF(BP105=BP$34,BR$34+BR$32*(COUNT(BO$61:BO105)-BR$31))))</f>
        <v/>
      </c>
      <c r="BR105" s="180" t="str" cm="1">
        <f t="array" ref="BR105">IF(BP105="","",MAX($C$5,IF(BO105=90,IF(OR(BQ105=BR$13,BQ105=BR$14,BQ105=BO$4-BR$14,BQ105=BO$4-BR$13),BP$7,IF(OR(BP105=BP$20,BP105=BP$24),BP$8,IF(OR(BP105=BP$21:BP$23),BP$9))),BP$10)))</f>
        <v/>
      </c>
      <c r="BS105" s="168"/>
      <c r="BT105" s="185" t="str">
        <f t="shared" si="62"/>
        <v/>
      </c>
      <c r="BU105" s="173" t="str">
        <f>IF(BT105="","",IF(COUNT(BT$61:BT105)&lt;=BW$31-1,BU$33,IF(COUNT(BT$61:BT105)&lt;=2*BW$31-1,BU$34)))</f>
        <v/>
      </c>
      <c r="BV105" s="173" t="str">
        <f>IF(BT105="","",IF(BU105=BU$33,BW$33+BW$32*(COUNT(BT$61:BT105)-1),IF(BU105=BU$34,BW$34+BW$32*(COUNT(BT$61:BT105)-BW$31))))</f>
        <v/>
      </c>
      <c r="BW105" s="180" t="str" cm="1">
        <f t="array" ref="BW105">IF(BU105="","",MAX($C$5,IF(BT105=90,IF(OR(BV105=BW$13,BV105=BW$14,BV105=BT$4-BW$14,BV105=BT$4-BW$13),BU$7,IF(OR(BU105=BU$20,BU105=BU$24),BU$8,IF(OR(BU105=BU$21:BU$23),BU$9))),BU$10)))</f>
        <v/>
      </c>
      <c r="BX105" s="288"/>
    </row>
    <row r="106" spans="1:76">
      <c r="A106" s="168"/>
      <c r="B106" s="185">
        <f t="shared" si="63"/>
        <v>45</v>
      </c>
      <c r="C106" s="173">
        <f>IF(B106="","",IF(COUNT(B$61:B106)&lt;=E$31,C$33,IF(COUNT(B$61:B106)&lt;=2*E$31,C$34,IF(COUNT(B$61:B106)&lt;=3*E$31,C$35,IF(COUNT(B$61:B106)&lt;=4*E$31,C$36)))))</f>
        <v>139.5</v>
      </c>
      <c r="D106" s="173">
        <f>IF(B106="","",IF(C106=C$33,E$33+E$32*(COUNT(B$61:B106)-1),IF(C106=C$34,E$34+E$32*(COUNT(B$61:B106)-E$31-1),IF(C106=C$35,E$34+E$32*(COUNT(B$61:B106)-2*E$31-1),IF(C106=C$36,E$33+E$32*(COUNT(B$61:B106)-3*E$31-1))))))</f>
        <v>663</v>
      </c>
      <c r="E106" s="180" cm="1">
        <f t="array" ref="E106">IF(C106="","",MAX($C$5,IF(B106=90,IF(OR(D106=E$13,D106=E$14,D106=B$4-E$14,D106=B$4-E$13),C$7,IF(OR(C106=C$20,C106=C$24),C$8,IF(OR(C106=C$21:C$23),C$9))),C$10)))</f>
        <v>18</v>
      </c>
      <c r="F106" s="168"/>
      <c r="G106" s="185">
        <f>IF(ROW(G106)-ROW(G$60)&lt;=(H$31*J$31),45,"")</f>
        <v>45</v>
      </c>
      <c r="H106" s="173">
        <f>IF(G106="","",IF(COUNT(G$61:G106)&lt;=J$31,H$33,IF(COUNT(G$61:G106)&lt;=2*J$31,H$34,IF(COUNT(G$61:G106)&lt;=3*J$31,H$35,IF(COUNT(G$61:G106)&lt;=4*J$31,H$36)))))</f>
        <v>139.5</v>
      </c>
      <c r="I106" s="173">
        <f>IF(G106="","",IF(H106=H$33,J$33+J$32*(COUNT(G$61:G106)-1),IF(H106=H$34,J$34+J$32*(COUNT(G$61:G106)-J$31-1),IF(H106=H$35,J$34+J$32*(COUNT(G$61:G106)-2*J$31-1),IF(H106=H$36,J$33+J$32*(COUNT(G$61:G106)-3*J$31-1))))))</f>
        <v>663</v>
      </c>
      <c r="J106" s="180" cm="1">
        <f t="array" ref="J106">IF(H106="","",MAX($C$5,IF(G106=90,IF(OR(I106=J$13,I106=J$14,I106=G$4-J$14,I106=G$4-J$13),H$7,IF(OR(H106=H$20,H106=H$24),H$8,IF(OR(H106=H$21:H$23),H$9))),H$10)))</f>
        <v>18</v>
      </c>
      <c r="K106" s="168"/>
      <c r="L106" s="185" t="str">
        <f t="shared" si="72"/>
        <v/>
      </c>
      <c r="M106" s="173" t="str">
        <f>IF(L106="","",IF(COUNT(L$61:L106)&lt;=O$31,M$33,IF(COUNT(L$61:L106)&lt;=2*O$31,M$34,IF(COUNT(L$61:L106)&lt;=3*O$31,M$35,IF(COUNT(L$61:L106)&lt;=4*O$31,M$36)))))</f>
        <v/>
      </c>
      <c r="N106" s="173" t="str">
        <f>IF(L106="","",IF(M106=M$33,O$33+O$32*(COUNT(L$61:L106)-1),IF(M106=M$34,O$34+O$32*(COUNT(L$61:L106)-O$31-1),IF(M106=M$35,O$34+O$32*(COUNT(L$61:L106)-2*O$31-1),IF(M106=M$36,O$33+O$32*(COUNT(L$61:L106)-3*O$31-1))))))</f>
        <v/>
      </c>
      <c r="O106" s="180" t="str" cm="1">
        <f t="array" ref="O106">IF(M106="","",MAX($C$5,IF(L106=90,IF(OR(N106=O$13,N106=O$14,N106=L$4-O$14,N106=L$4-O$13),M$7,IF(OR(M106=M$20,M106=M$24),M$8,IF(OR(M106=M$21:M$23),M$9))),M$10)))</f>
        <v/>
      </c>
      <c r="P106" s="168"/>
      <c r="Q106" s="185" t="str">
        <f t="shared" si="71"/>
        <v/>
      </c>
      <c r="R106" s="173" t="str">
        <f>IF(Q106="","",IF(COUNT(Q$61:Q106)&lt;=T$31,R$33,IF(COUNT(Q$61:Q106)&lt;=2*T$31,R$34,IF(COUNT(Q$61:Q106)&lt;=3*T$31,R$35,IF(COUNT(Q$61:Q106)&lt;=4*T$31,R$36)))))</f>
        <v/>
      </c>
      <c r="S106" s="173" t="str">
        <f>IF(Q106="","",IF(R106=R$33,T$33+T$32*(COUNT(Q$61:Q106)-1),IF(R106=R$34,T$34+T$32*(COUNT(Q$61:Q106)-T$31-1),IF(R106=R$35,T$34+T$32*(COUNT(Q$61:Q106)-2*T$31-1),IF(R106=R$36,T$33+T$32*(COUNT(Q$61:Q106)-3*T$31-1))))))</f>
        <v/>
      </c>
      <c r="T106" s="180" t="str" cm="1">
        <f t="array" ref="T106">IF(R106="","",MAX($C$5,IF(Q106=90,IF(OR(S106=T$13,S106=T$14,S106=Q$4-T$14,S106=Q$4-T$13),R$7,IF(OR(R106=R$20,R106=R$24),R$8,IF(OR(R106=R$21:R$23),R$9))),R$10)))</f>
        <v/>
      </c>
      <c r="U106" s="168"/>
      <c r="V106" s="185" t="str">
        <f t="shared" si="67"/>
        <v/>
      </c>
      <c r="W106" s="173" t="str">
        <f>IF(V106="","",IF(COUNT(V$61:V106)&lt;=Y$31,W$33,IF(COUNT(V$61:V106)&lt;=2*Y$31,W$34,IF(COUNT(V$61:V106)&lt;=3*Y$31,W$35,IF(COUNT(V$61:V106)&lt;=4*Y$31,W$36)))))</f>
        <v/>
      </c>
      <c r="X106" s="173" t="str">
        <f>IF(V106="","",IF(W106=W$33,Y$33+Y$32*(COUNT(V$61:V106)-1),IF(W106=W$34,Y$34+Y$32*(COUNT(V$61:V106)-Y$31-1),IF(W106=W$35,Y$34+Y$32*(COUNT(V$61:V106)-2*Y$31-1),IF(W106=W$36,Y$33+Y$32*(COUNT(V$61:V106)-3*Y$31-1))))))</f>
        <v/>
      </c>
      <c r="Y106" s="180" t="str" cm="1">
        <f t="array" ref="Y106">IF(W106="","",MAX($C$5,IF(V106=90,IF(OR(X106=Y$13,X106=Y$14,X106=V$4-Y$14,X106=V$4-Y$13),W$7,IF(OR(W106=W$20,W106=W$24),W$8,IF(OR(W106=W$21:W$23),W$9))),W$10)))</f>
        <v/>
      </c>
      <c r="Z106" s="168"/>
      <c r="AA106" s="185" t="str">
        <f t="shared" si="68"/>
        <v/>
      </c>
      <c r="AB106" s="173" t="str">
        <f>IF(AA106="","",IF(COUNT(AA$61:AA106)&lt;=AD$31,AB$33,IF(COUNT(AA$61:AA106)&lt;=2*AD$31,AB$34,IF(COUNT(AA$61:AA106)&lt;=3*AD$31,AB$35,IF(COUNT(AA$61:AA106)&lt;=4*AD$31,AB$36)))))</f>
        <v/>
      </c>
      <c r="AC106" s="173" t="str">
        <f>IF(AA106="","",IF(AB106=AB$33,AD$33+AD$32*(COUNT(AA$61:AA106)-1),IF(AB106=AB$34,AD$34+AD$32*(COUNT(AA$61:AA106)-AD$31-1),IF(AB106=AB$35,AD$34+AD$32*(COUNT(AA$61:AA106)-2*AD$31-1),IF(AB106=AB$36,AD$33+AD$32*(COUNT(AA$61:AA106)-3*AD$31-1))))))</f>
        <v/>
      </c>
      <c r="AD106" s="180" t="str" cm="1">
        <f t="array" ref="AD106">IF(AB106="","",MAX($C$5,IF(AA106=90,IF(OR(AC106=AD$13,AC106=AD$14,AC106=AA$4-AD$14,AC106=AA$4-AD$13),AB$7,IF(OR(AB106=AB$20,AB106=AB$24),AB$8,IF(OR(AB106=AB$21:AB$23),AB$9))),AB$10)))</f>
        <v/>
      </c>
      <c r="AE106" s="168"/>
      <c r="AF106" s="185" t="str">
        <f t="shared" si="69"/>
        <v/>
      </c>
      <c r="AG106" s="173" t="str">
        <f>IF(AF106="","",IF(COUNT(AF$61:AF106)&lt;=AI$31,AG$33,IF(COUNT(AF$61:AF106)&lt;=2*AI$31,AG$34,IF(COUNT(AF$61:AF106)&lt;=3*AI$31,AG$35,IF(COUNT(AF$61:AF106)&lt;=4*AI$31,AG$36)))))</f>
        <v/>
      </c>
      <c r="AH106" s="173" t="str">
        <f>IF(AF106="","",IF(AG106=AG$33,AI$33+AI$32*(COUNT(AF$61:AF106)-1),IF(AG106=AG$34,AI$34+AI$32*(COUNT(AF$61:AF106)-AI$31-1),IF(AG106=AG$35,AI$34+AI$32*(COUNT(AF$61:AF106)-2*AI$31-1),IF(AG106=AG$36,AI$33+AI$32*(COUNT(AF$61:AF106)-3*AI$31-1))))))</f>
        <v/>
      </c>
      <c r="AI106" s="180" t="str" cm="1">
        <f t="array" ref="AI106">IF(AG106="","",MAX($C$5,IF(AF106=90,IF(OR(AH106=AI$13,AH106=AI$14,AH106=AF$4-AI$14,AH106=AF$4-AI$13),AG$7,IF(OR(AG106=AG$20,AG106=AG$24),AG$8,IF(OR(AG106=AG$21:AG$23),AG$9))),AG$10)))</f>
        <v/>
      </c>
      <c r="AJ106" s="168"/>
      <c r="AK106" s="185" t="str">
        <f t="shared" si="70"/>
        <v/>
      </c>
      <c r="AL106" s="173" t="str">
        <f>IF(AK106="","",IF(COUNT(AK$61:AK106)&lt;=AN$31,AL$33,IF(COUNT(AK$61:AK106)&lt;=2*AN$31,AL$34,IF(COUNT(AK$61:AK106)&lt;=3*AN$31,AL$35,IF(COUNT(AK$61:AK106)&lt;=4*AN$31,AL$36)))))</f>
        <v/>
      </c>
      <c r="AM106" s="173" t="str">
        <f>IF(AK106="","",IF(AL106=AL$33,AN$33+AN$32*(COUNT(AK$61:AK106)-1),IF(AL106=AL$34,AN$34+AN$32*(COUNT(AK$61:AK106)-AN$31-1),IF(AL106=AL$35,AN$34+AN$32*(COUNT(AK$61:AK106)-2*AN$31-1),IF(AL106=AL$36,AN$33+AN$32*(COUNT(AK$61:AK106)-3*AN$31-1))))))</f>
        <v/>
      </c>
      <c r="AN106" s="180" t="str" cm="1">
        <f t="array" ref="AN106">IF(AL106="","",MAX($C$5,IF(AK106=90,IF(OR(AM106=AN$13,AM106=AN$14,AM106=AK$4-AN$14,AM106=AK$4-AN$13),AL$7,IF(OR(AL106=AL$20,AL106=AL$24),AL$8,IF(OR(AL106=AL$21:AL$23),AL$9))),AL$10)))</f>
        <v/>
      </c>
      <c r="AO106" s="168"/>
      <c r="AP106" s="244">
        <v>45</v>
      </c>
      <c r="AQ106" s="245">
        <v>96</v>
      </c>
      <c r="AR106" s="245">
        <v>107</v>
      </c>
      <c r="AS106" s="180" cm="1">
        <f t="array" ref="AS106">IF(AQ106="","",MAX($C$5,IF(AP106=90,IF(OR(AR106=AS$13,AR106=AS$14,AR106=AP$4-AS$14,AR106=AP$4-AS$13),AQ$7,IF(OR(AQ106=AQ$20,AQ106=AQ$24),AQ$8,IF(OR(AQ106=AQ$21:AQ$23),AQ$9))),AQ$10)))</f>
        <v>18</v>
      </c>
      <c r="AT106" s="277"/>
      <c r="AU106" s="185" t="str">
        <f t="shared" si="57"/>
        <v/>
      </c>
      <c r="AV106" s="173" t="str">
        <f>IF(AU106="","",IF(COUNT(AU$61:AU106)&lt;=AX$31,AV$33,IF(COUNT(AU$61:AU106)&lt;=2*AX$31,AV$34,IF(COUNT(AU$61:AU106)&lt;=3*AX$31,AV$35))))</f>
        <v/>
      </c>
      <c r="AW106" s="173" t="str">
        <f>IF(AU106="","",IF(AV106=AV$33,AX$33+AX$32*(COUNT(AU$61:AU106)-1),IF(AV106=AV$34,AX$34+AX$32*(COUNT(AU$61:AU106)-AX$31-1),IF(AV106=AV$35,AX$33+AX$32*(COUNT(AU$61:AU106)-2*AX$31-1)))))</f>
        <v/>
      </c>
      <c r="AX106" s="180" t="str" cm="1">
        <f t="array" ref="AX106">IF(AV106="","",MAX($C$5,IF(AU106=90,IF(OR(AW106=AX$13,AW106=AX$14,AW106=AU$4-AX$14,AW106=AU$4-AX$13),AV$7,IF(OR(AV106=AV$20,AV106=AV$24),AV$8,IF(OR(AV106=AV$21:AV$23),AV$9))),AV$10)))</f>
        <v/>
      </c>
      <c r="AY106" s="168"/>
      <c r="AZ106" s="185" t="str">
        <f t="shared" si="58"/>
        <v/>
      </c>
      <c r="BA106" s="173" t="str">
        <f>IF(AZ106="","",IF(COUNT(AZ$61:AZ106)&lt;=BC$31,BA$33,IF(COUNT(AZ$61:AZ106)&lt;=2*BC$31,BA$34,IF(COUNT(AZ$61:AZ106)&lt;=3*BC$31,BA$35))))</f>
        <v/>
      </c>
      <c r="BB106" s="173" t="str">
        <f>IF(AZ106="","",IF(BA106=BA$33,BC$33+BC$32*(COUNT(AZ$61:AZ106)-1),IF(BA106=BA$34,BC$34+BC$32*(COUNT(AZ$61:AZ106)-BC$31-1),IF(BA106=BA$35,BC$33+BC$32*(COUNT(AZ$61:AZ106)-2*BC$31-1)))))</f>
        <v/>
      </c>
      <c r="BC106" s="180" t="str" cm="1">
        <f t="array" ref="BC106">IF(BA106="","",MAX($C$5,IF(AZ106=90,IF(OR(BB106=BC$13,BB106=BC$14,BB106=AZ$4-BC$14,BB106=AZ$4-BC$13),BA$7,IF(OR(BA106=BA$20,BA106=BA$24),BA$8,IF(OR(BA106=BA$21:BA$23),BA$9))),BA$10)))</f>
        <v/>
      </c>
      <c r="BD106" s="168"/>
      <c r="BE106" s="185" t="str">
        <f t="shared" si="59"/>
        <v/>
      </c>
      <c r="BF106" s="173" t="str">
        <f>IF(BE106="","",IF(COUNT(BE$61:BE106)&lt;=BH$31,BF$33,IF(COUNT(BE$61:BE106)&lt;=2*BH$31,BF$34,IF(COUNT(BE$61:BE106)&lt;=3*BH$31,BF$35))))</f>
        <v/>
      </c>
      <c r="BG106" s="173" t="str">
        <f>IF(BE106="","",IF(BF106=BF$33,BH$33+BH$32*(COUNT(BE$61:BE106)-1),IF(BF106=BF$34,BH$34+BH$32*(COUNT(BE$61:BE106)-BH$31-1),IF(BF106=BF$35,BH$33+BH$32*(COUNT(BE$61:BE106)-2*BH$31-1)))))</f>
        <v/>
      </c>
      <c r="BH106" s="180" t="str" cm="1">
        <f t="array" ref="BH106">IF(BF106="","",MAX($C$5,IF(BE106=90,IF(OR(BG106=BH$13,BG106=BH$14,BG106=BE$4-BH$14,BG106=BE$4-BH$13),BF$7,IF(OR(BF106=BF$20,BF106=BF$24),BF$8,IF(OR(BF106=BF$21:BF$23),BF$9))),BF$10)))</f>
        <v/>
      </c>
      <c r="BI106" s="277"/>
      <c r="BJ106" s="185" t="str">
        <f t="shared" si="60"/>
        <v/>
      </c>
      <c r="BK106" s="173" t="str">
        <f>IF(BJ106="","",IF(COUNT(BJ$61:BJ106)&lt;=BM$31-1,BK$33,IF(COUNT(BJ$61:BJ106)&lt;=2*BM$31-1,BK$34)))</f>
        <v/>
      </c>
      <c r="BL106" s="173" t="str">
        <f>IF(BJ106="","",IF(BK106=BK$33,BM$33+BM$32*(COUNT(BJ$61:BJ106)-1),IF(BK106=BK$34,BM$34+BM$32*(COUNT(BJ$61:BJ106)-BM$31))))</f>
        <v/>
      </c>
      <c r="BM106" s="180" t="str" cm="1">
        <f t="array" ref="BM106">IF(BK106="","",MAX($C$5,IF(BJ106=90,IF(OR(BL106=BM$13,BL106=BM$14,BL106=BJ$4-BM$14,BL106=BJ$4-BM$13),BK$7,IF(OR(BK106=BK$20,BK106=BK$24),BK$8,IF(OR(BK106=BK$21:BK$23),BK$9))),BK$10)))</f>
        <v/>
      </c>
      <c r="BN106" s="168"/>
      <c r="BO106" s="185" t="str">
        <f t="shared" si="61"/>
        <v/>
      </c>
      <c r="BP106" s="173" t="str">
        <f>IF(BO106="","",IF(COUNT(BO$61:BO106)&lt;=BR$31-1,BP$33,IF(COUNT(BO$61:BO106)&lt;=2*BR$31-1,BP$34)))</f>
        <v/>
      </c>
      <c r="BQ106" s="173" t="str">
        <f>IF(BO106="","",IF(BP106=BP$33,BR$33+BR$32*(COUNT(BO$61:BO106)-1),IF(BP106=BP$34,BR$34+BR$32*(COUNT(BO$61:BO106)-BR$31))))</f>
        <v/>
      </c>
      <c r="BR106" s="180" t="str" cm="1">
        <f t="array" ref="BR106">IF(BP106="","",MAX($C$5,IF(BO106=90,IF(OR(BQ106=BR$13,BQ106=BR$14,BQ106=BO$4-BR$14,BQ106=BO$4-BR$13),BP$7,IF(OR(BP106=BP$20,BP106=BP$24),BP$8,IF(OR(BP106=BP$21:BP$23),BP$9))),BP$10)))</f>
        <v/>
      </c>
      <c r="BS106" s="168"/>
      <c r="BT106" s="185" t="str">
        <f t="shared" si="62"/>
        <v/>
      </c>
      <c r="BU106" s="173" t="str">
        <f>IF(BT106="","",IF(COUNT(BT$61:BT106)&lt;=BW$31-1,BU$33,IF(COUNT(BT$61:BT106)&lt;=2*BW$31-1,BU$34)))</f>
        <v/>
      </c>
      <c r="BV106" s="173" t="str">
        <f>IF(BT106="","",IF(BU106=BU$33,BW$33+BW$32*(COUNT(BT$61:BT106)-1),IF(BU106=BU$34,BW$34+BW$32*(COUNT(BT$61:BT106)-BW$31))))</f>
        <v/>
      </c>
      <c r="BW106" s="180" t="str" cm="1">
        <f t="array" ref="BW106">IF(BU106="","",MAX($C$5,IF(BT106=90,IF(OR(BV106=BW$13,BV106=BW$14,BV106=BT$4-BW$14,BV106=BT$4-BW$13),BU$7,IF(OR(BU106=BU$20,BU106=BU$24),BU$8,IF(OR(BU106=BU$21:BU$23),BU$9))),BU$10)))</f>
        <v/>
      </c>
      <c r="BX106" s="288"/>
    </row>
    <row r="107" spans="1:76">
      <c r="A107" s="168"/>
      <c r="B107" s="185">
        <f t="shared" si="63"/>
        <v>45</v>
      </c>
      <c r="C107" s="173">
        <f>IF(B107="","",IF(COUNT(B$61:B107)&lt;=E$31,C$33,IF(COUNT(B$61:B107)&lt;=2*E$31,C$34,IF(COUNT(B$61:B107)&lt;=3*E$31,C$35,IF(COUNT(B$61:B107)&lt;=4*E$31,C$36)))))</f>
        <v>139.5</v>
      </c>
      <c r="D107" s="173">
        <f>IF(B107="","",IF(C107=C$33,E$33+E$32*(COUNT(B$61:B107)-1),IF(C107=C$34,E$34+E$32*(COUNT(B$61:B107)-E$31-1),IF(C107=C$35,E$34+E$32*(COUNT(B$61:B107)-2*E$31-1),IF(C107=C$36,E$33+E$32*(COUNT(B$61:B107)-3*E$31-1))))))</f>
        <v>720</v>
      </c>
      <c r="E107" s="180" cm="1">
        <f t="array" ref="E107">IF(C107="","",MAX($C$5,IF(B107=90,IF(OR(D107=E$13,D107=E$14,D107=B$4-E$14,D107=B$4-E$13),C$7,IF(OR(C107=C$20,C107=C$24),C$8,IF(OR(C107=C$21:C$23),C$9))),C$10)))</f>
        <v>18</v>
      </c>
      <c r="F107" s="168"/>
      <c r="G107" s="185">
        <f>IF(ROW(G107)-ROW(G$60)&lt;=(H$31*J$31),45,"")</f>
        <v>45</v>
      </c>
      <c r="H107" s="173">
        <f>IF(G107="","",IF(COUNT(G$61:G107)&lt;=J$31,H$33,IF(COUNT(G$61:G107)&lt;=2*J$31,H$34,IF(COUNT(G$61:G107)&lt;=3*J$31,H$35,IF(COUNT(G$61:G107)&lt;=4*J$31,H$36)))))</f>
        <v>139.5</v>
      </c>
      <c r="I107" s="173">
        <f>IF(G107="","",IF(H107=H$33,J$33+J$32*(COUNT(G$61:G107)-1),IF(H107=H$34,J$34+J$32*(COUNT(G$61:G107)-J$31-1),IF(H107=H$35,J$34+J$32*(COUNT(G$61:G107)-2*J$31-1),IF(H107=H$36,J$33+J$32*(COUNT(G$61:G107)-3*J$31-1))))))</f>
        <v>720</v>
      </c>
      <c r="J107" s="180" cm="1">
        <f t="array" ref="J107">IF(H107="","",MAX($C$5,IF(G107=90,IF(OR(I107=J$13,I107=J$14,I107=G$4-J$14,I107=G$4-J$13),H$7,IF(OR(H107=H$20,H107=H$24),H$8,IF(OR(H107=H$21:H$23),H$9))),H$10)))</f>
        <v>18</v>
      </c>
      <c r="K107" s="168"/>
      <c r="L107" s="185" t="str">
        <f t="shared" si="72"/>
        <v/>
      </c>
      <c r="M107" s="173" t="str">
        <f>IF(L107="","",IF(COUNT(L$61:L107)&lt;=O$31,M$33,IF(COUNT(L$61:L107)&lt;=2*O$31,M$34,IF(COUNT(L$61:L107)&lt;=3*O$31,M$35,IF(COUNT(L$61:L107)&lt;=4*O$31,M$36)))))</f>
        <v/>
      </c>
      <c r="N107" s="173" t="str">
        <f>IF(L107="","",IF(M107=M$33,O$33+O$32*(COUNT(L$61:L107)-1),IF(M107=M$34,O$34+O$32*(COUNT(L$61:L107)-O$31-1),IF(M107=M$35,O$34+O$32*(COUNT(L$61:L107)-2*O$31-1),IF(M107=M$36,O$33+O$32*(COUNT(L$61:L107)-3*O$31-1))))))</f>
        <v/>
      </c>
      <c r="O107" s="180" t="str" cm="1">
        <f t="array" ref="O107">IF(M107="","",MAX($C$5,IF(L107=90,IF(OR(N107=O$13,N107=O$14,N107=L$4-O$14,N107=L$4-O$13),M$7,IF(OR(M107=M$20,M107=M$24),M$8,IF(OR(M107=M$21:M$23),M$9))),M$10)))</f>
        <v/>
      </c>
      <c r="P107" s="168"/>
      <c r="Q107" s="185" t="str">
        <f t="shared" si="71"/>
        <v/>
      </c>
      <c r="R107" s="173" t="str">
        <f>IF(Q107="","",IF(COUNT(Q$61:Q107)&lt;=T$31,R$33,IF(COUNT(Q$61:Q107)&lt;=2*T$31,R$34,IF(COUNT(Q$61:Q107)&lt;=3*T$31,R$35,IF(COUNT(Q$61:Q107)&lt;=4*T$31,R$36)))))</f>
        <v/>
      </c>
      <c r="S107" s="173" t="str">
        <f>IF(Q107="","",IF(R107=R$33,T$33+T$32*(COUNT(Q$61:Q107)-1),IF(R107=R$34,T$34+T$32*(COUNT(Q$61:Q107)-T$31-1),IF(R107=R$35,T$34+T$32*(COUNT(Q$61:Q107)-2*T$31-1),IF(R107=R$36,T$33+T$32*(COUNT(Q$61:Q107)-3*T$31-1))))))</f>
        <v/>
      </c>
      <c r="T107" s="180" t="str" cm="1">
        <f t="array" ref="T107">IF(R107="","",MAX($C$5,IF(Q107=90,IF(OR(S107=T$13,S107=T$14,S107=Q$4-T$14,S107=Q$4-T$13),R$7,IF(OR(R107=R$20,R107=R$24),R$8,IF(OR(R107=R$21:R$23),R$9))),R$10)))</f>
        <v/>
      </c>
      <c r="U107" s="168"/>
      <c r="V107" s="185" t="str">
        <f t="shared" si="67"/>
        <v/>
      </c>
      <c r="W107" s="173" t="str">
        <f>IF(V107="","",IF(COUNT(V$61:V107)&lt;=Y$31,W$33,IF(COUNT(V$61:V107)&lt;=2*Y$31,W$34,IF(COUNT(V$61:V107)&lt;=3*Y$31,W$35,IF(COUNT(V$61:V107)&lt;=4*Y$31,W$36)))))</f>
        <v/>
      </c>
      <c r="X107" s="173" t="str">
        <f>IF(V107="","",IF(W107=W$33,Y$33+Y$32*(COUNT(V$61:V107)-1),IF(W107=W$34,Y$34+Y$32*(COUNT(V$61:V107)-Y$31-1),IF(W107=W$35,Y$34+Y$32*(COUNT(V$61:V107)-2*Y$31-1),IF(W107=W$36,Y$33+Y$32*(COUNT(V$61:V107)-3*Y$31-1))))))</f>
        <v/>
      </c>
      <c r="Y107" s="180" t="str" cm="1">
        <f t="array" ref="Y107">IF(W107="","",MAX($C$5,IF(V107=90,IF(OR(X107=Y$13,X107=Y$14,X107=V$4-Y$14,X107=V$4-Y$13),W$7,IF(OR(W107=W$20,W107=W$24),W$8,IF(OR(W107=W$21:W$23),W$9))),W$10)))</f>
        <v/>
      </c>
      <c r="Z107" s="168"/>
      <c r="AA107" s="185" t="str">
        <f t="shared" si="68"/>
        <v/>
      </c>
      <c r="AB107" s="173" t="str">
        <f>IF(AA107="","",IF(COUNT(AA$61:AA107)&lt;=AD$31,AB$33,IF(COUNT(AA$61:AA107)&lt;=2*AD$31,AB$34,IF(COUNT(AA$61:AA107)&lt;=3*AD$31,AB$35,IF(COUNT(AA$61:AA107)&lt;=4*AD$31,AB$36)))))</f>
        <v/>
      </c>
      <c r="AC107" s="173" t="str">
        <f>IF(AA107="","",IF(AB107=AB$33,AD$33+AD$32*(COUNT(AA$61:AA107)-1),IF(AB107=AB$34,AD$34+AD$32*(COUNT(AA$61:AA107)-AD$31-1),IF(AB107=AB$35,AD$34+AD$32*(COUNT(AA$61:AA107)-2*AD$31-1),IF(AB107=AB$36,AD$33+AD$32*(COUNT(AA$61:AA107)-3*AD$31-1))))))</f>
        <v/>
      </c>
      <c r="AD107" s="180" t="str" cm="1">
        <f t="array" ref="AD107">IF(AB107="","",MAX($C$5,IF(AA107=90,IF(OR(AC107=AD$13,AC107=AD$14,AC107=AA$4-AD$14,AC107=AA$4-AD$13),AB$7,IF(OR(AB107=AB$20,AB107=AB$24),AB$8,IF(OR(AB107=AB$21:AB$23),AB$9))),AB$10)))</f>
        <v/>
      </c>
      <c r="AE107" s="168"/>
      <c r="AF107" s="185" t="str">
        <f t="shared" si="69"/>
        <v/>
      </c>
      <c r="AG107" s="173" t="str">
        <f>IF(AF107="","",IF(COUNT(AF$61:AF107)&lt;=AI$31,AG$33,IF(COUNT(AF$61:AF107)&lt;=2*AI$31,AG$34,IF(COUNT(AF$61:AF107)&lt;=3*AI$31,AG$35,IF(COUNT(AF$61:AF107)&lt;=4*AI$31,AG$36)))))</f>
        <v/>
      </c>
      <c r="AH107" s="173" t="str">
        <f>IF(AF107="","",IF(AG107=AG$33,AI$33+AI$32*(COUNT(AF$61:AF107)-1),IF(AG107=AG$34,AI$34+AI$32*(COUNT(AF$61:AF107)-AI$31-1),IF(AG107=AG$35,AI$34+AI$32*(COUNT(AF$61:AF107)-2*AI$31-1),IF(AG107=AG$36,AI$33+AI$32*(COUNT(AF$61:AF107)-3*AI$31-1))))))</f>
        <v/>
      </c>
      <c r="AI107" s="180" t="str" cm="1">
        <f t="array" ref="AI107">IF(AG107="","",MAX($C$5,IF(AF107=90,IF(OR(AH107=AI$13,AH107=AI$14,AH107=AF$4-AI$14,AH107=AF$4-AI$13),AG$7,IF(OR(AG107=AG$20,AG107=AG$24),AG$8,IF(OR(AG107=AG$21:AG$23),AG$9))),AG$10)))</f>
        <v/>
      </c>
      <c r="AJ107" s="168"/>
      <c r="AK107" s="185" t="str">
        <f t="shared" si="70"/>
        <v/>
      </c>
      <c r="AL107" s="173" t="str">
        <f>IF(AK107="","",IF(COUNT(AK$61:AK107)&lt;=AN$31,AL$33,IF(COUNT(AK$61:AK107)&lt;=2*AN$31,AL$34,IF(COUNT(AK$61:AK107)&lt;=3*AN$31,AL$35,IF(COUNT(AK$61:AK107)&lt;=4*AN$31,AL$36)))))</f>
        <v/>
      </c>
      <c r="AM107" s="173" t="str">
        <f>IF(AK107="","",IF(AL107=AL$33,AN$33+AN$32*(COUNT(AK$61:AK107)-1),IF(AL107=AL$34,AN$34+AN$32*(COUNT(AK$61:AK107)-AN$31-1),IF(AL107=AL$35,AN$34+AN$32*(COUNT(AK$61:AK107)-2*AN$31-1),IF(AL107=AL$36,AN$33+AN$32*(COUNT(AK$61:AK107)-3*AN$31-1))))))</f>
        <v/>
      </c>
      <c r="AN107" s="180" t="str" cm="1">
        <f t="array" ref="AN107">IF(AL107="","",MAX($C$5,IF(AK107=90,IF(OR(AM107=AN$13,AM107=AN$14,AM107=AK$4-AN$14,AM107=AK$4-AN$13),AL$7,IF(OR(AL107=AL$20,AL107=AL$24),AL$8,IF(OR(AL107=AL$21:AL$23),AL$9))),AL$10)))</f>
        <v/>
      </c>
      <c r="AO107" s="168"/>
      <c r="AP107" s="244">
        <v>45</v>
      </c>
      <c r="AQ107" s="245">
        <v>140</v>
      </c>
      <c r="AR107" s="245">
        <v>50</v>
      </c>
      <c r="AS107" s="180" cm="1">
        <f t="array" ref="AS107">IF(AQ107="","",MAX($C$5,IF(AP107=90,IF(OR(AR107=AS$13,AR107=AS$14,AR107=AP$4-AS$14,AR107=AP$4-AS$13),AQ$7,IF(OR(AQ107=AQ$20,AQ107=AQ$24),AQ$8,IF(OR(AQ107=AQ$21:AQ$23),AQ$9))),AQ$10)))</f>
        <v>18</v>
      </c>
      <c r="AT107" s="277"/>
      <c r="AU107" s="185" t="str">
        <f t="shared" si="57"/>
        <v/>
      </c>
      <c r="AV107" s="173" t="str">
        <f>IF(AU107="","",IF(COUNT(AU$61:AU107)&lt;=AX$31,AV$33,IF(COUNT(AU$61:AU107)&lt;=2*AX$31,AV$34,IF(COUNT(AU$61:AU107)&lt;=3*AX$31,AV$35))))</f>
        <v/>
      </c>
      <c r="AW107" s="173" t="str">
        <f>IF(AU107="","",IF(AV107=AV$33,AX$33+AX$32*(COUNT(AU$61:AU107)-1),IF(AV107=AV$34,AX$34+AX$32*(COUNT(AU$61:AU107)-AX$31-1),IF(AV107=AV$35,AX$33+AX$32*(COUNT(AU$61:AU107)-2*AX$31-1)))))</f>
        <v/>
      </c>
      <c r="AX107" s="180" t="str" cm="1">
        <f t="array" ref="AX107">IF(AV107="","",MAX($C$5,IF(AU107=90,IF(OR(AW107=AX$13,AW107=AX$14,AW107=AU$4-AX$14,AW107=AU$4-AX$13),AV$7,IF(OR(AV107=AV$20,AV107=AV$24),AV$8,IF(OR(AV107=AV$21:AV$23),AV$9))),AV$10)))</f>
        <v/>
      </c>
      <c r="AY107" s="168"/>
      <c r="AZ107" s="185" t="str">
        <f t="shared" si="58"/>
        <v/>
      </c>
      <c r="BA107" s="173" t="str">
        <f>IF(AZ107="","",IF(COUNT(AZ$61:AZ107)&lt;=BC$31,BA$33,IF(COUNT(AZ$61:AZ107)&lt;=2*BC$31,BA$34,IF(COUNT(AZ$61:AZ107)&lt;=3*BC$31,BA$35))))</f>
        <v/>
      </c>
      <c r="BB107" s="173" t="str">
        <f>IF(AZ107="","",IF(BA107=BA$33,BC$33+BC$32*(COUNT(AZ$61:AZ107)-1),IF(BA107=BA$34,BC$34+BC$32*(COUNT(AZ$61:AZ107)-BC$31-1),IF(BA107=BA$35,BC$33+BC$32*(COUNT(AZ$61:AZ107)-2*BC$31-1)))))</f>
        <v/>
      </c>
      <c r="BC107" s="180" t="str" cm="1">
        <f t="array" ref="BC107">IF(BA107="","",MAX($C$5,IF(AZ107=90,IF(OR(BB107=BC$13,BB107=BC$14,BB107=AZ$4-BC$14,BB107=AZ$4-BC$13),BA$7,IF(OR(BA107=BA$20,BA107=BA$24),BA$8,IF(OR(BA107=BA$21:BA$23),BA$9))),BA$10)))</f>
        <v/>
      </c>
      <c r="BD107" s="168"/>
      <c r="BE107" s="185" t="str">
        <f t="shared" si="59"/>
        <v/>
      </c>
      <c r="BF107" s="173" t="str">
        <f>IF(BE107="","",IF(COUNT(BE$61:BE107)&lt;=BH$31,BF$33,IF(COUNT(BE$61:BE107)&lt;=2*BH$31,BF$34,IF(COUNT(BE$61:BE107)&lt;=3*BH$31,BF$35))))</f>
        <v/>
      </c>
      <c r="BG107" s="173" t="str">
        <f>IF(BE107="","",IF(BF107=BF$33,BH$33+BH$32*(COUNT(BE$61:BE107)-1),IF(BF107=BF$34,BH$34+BH$32*(COUNT(BE$61:BE107)-BH$31-1),IF(BF107=BF$35,BH$33+BH$32*(COUNT(BE$61:BE107)-2*BH$31-1)))))</f>
        <v/>
      </c>
      <c r="BH107" s="180" t="str" cm="1">
        <f t="array" ref="BH107">IF(BF107="","",MAX($C$5,IF(BE107=90,IF(OR(BG107=BH$13,BG107=BH$14,BG107=BE$4-BH$14,BG107=BE$4-BH$13),BF$7,IF(OR(BF107=BF$20,BF107=BF$24),BF$8,IF(OR(BF107=BF$21:BF$23),BF$9))),BF$10)))</f>
        <v/>
      </c>
      <c r="BI107" s="277"/>
      <c r="BJ107" s="185" t="str">
        <f t="shared" si="60"/>
        <v/>
      </c>
      <c r="BK107" s="173" t="str">
        <f>IF(BJ107="","",IF(COUNT(BJ$61:BJ107)&lt;=BM$31-1,BK$33,IF(COUNT(BJ$61:BJ107)&lt;=2*BM$31-1,BK$34)))</f>
        <v/>
      </c>
      <c r="BL107" s="173" t="str">
        <f>IF(BJ107="","",IF(BK107=BK$33,BM$33+BM$32*(COUNT(BJ$61:BJ107)-1),IF(BK107=BK$34,BM$34+BM$32*(COUNT(BJ$61:BJ107)-BM$31))))</f>
        <v/>
      </c>
      <c r="BM107" s="180" t="str" cm="1">
        <f t="array" ref="BM107">IF(BK107="","",MAX($C$5,IF(BJ107=90,IF(OR(BL107=BM$13,BL107=BM$14,BL107=BJ$4-BM$14,BL107=BJ$4-BM$13),BK$7,IF(OR(BK107=BK$20,BK107=BK$24),BK$8,IF(OR(BK107=BK$21:BK$23),BK$9))),BK$10)))</f>
        <v/>
      </c>
      <c r="BN107" s="168"/>
      <c r="BO107" s="185" t="str">
        <f t="shared" si="61"/>
        <v/>
      </c>
      <c r="BP107" s="173" t="str">
        <f>IF(BO107="","",IF(COUNT(BO$61:BO107)&lt;=BR$31-1,BP$33,IF(COUNT(BO$61:BO107)&lt;=2*BR$31-1,BP$34)))</f>
        <v/>
      </c>
      <c r="BQ107" s="173" t="str">
        <f>IF(BO107="","",IF(BP107=BP$33,BR$33+BR$32*(COUNT(BO$61:BO107)-1),IF(BP107=BP$34,BR$34+BR$32*(COUNT(BO$61:BO107)-BR$31))))</f>
        <v/>
      </c>
      <c r="BR107" s="180" t="str" cm="1">
        <f t="array" ref="BR107">IF(BP107="","",MAX($C$5,IF(BO107=90,IF(OR(BQ107=BR$13,BQ107=BR$14,BQ107=BO$4-BR$14,BQ107=BO$4-BR$13),BP$7,IF(OR(BP107=BP$20,BP107=BP$24),BP$8,IF(OR(BP107=BP$21:BP$23),BP$9))),BP$10)))</f>
        <v/>
      </c>
      <c r="BS107" s="168"/>
      <c r="BT107" s="185" t="str">
        <f t="shared" si="62"/>
        <v/>
      </c>
      <c r="BU107" s="173" t="str">
        <f>IF(BT107="","",IF(COUNT(BT$61:BT107)&lt;=BW$31-1,BU$33,IF(COUNT(BT$61:BT107)&lt;=2*BW$31-1,BU$34)))</f>
        <v/>
      </c>
      <c r="BV107" s="173" t="str">
        <f>IF(BT107="","",IF(BU107=BU$33,BW$33+BW$32*(COUNT(BT$61:BT107)-1),IF(BU107=BU$34,BW$34+BW$32*(COUNT(BT$61:BT107)-BW$31))))</f>
        <v/>
      </c>
      <c r="BW107" s="180" t="str" cm="1">
        <f t="array" ref="BW107">IF(BU107="","",MAX($C$5,IF(BT107=90,IF(OR(BV107=BW$13,BV107=BW$14,BV107=BT$4-BW$14,BV107=BT$4-BW$13),BU$7,IF(OR(BU107=BU$20,BU107=BU$24),BU$8,IF(OR(BU107=BU$21:BU$23),BU$9))),BU$10)))</f>
        <v/>
      </c>
      <c r="BX107" s="288"/>
    </row>
    <row r="108" spans="1:76">
      <c r="A108" s="168"/>
      <c r="B108" s="185">
        <f>IF(ROW(B108)-ROW(B$60)&lt;=(C$31*E$31),45,"")</f>
        <v>45</v>
      </c>
      <c r="C108" s="173">
        <f>IF(B108="","",IF(COUNT(B$61:B108)&lt;=E$31,C$33,IF(COUNT(B$61:B108)&lt;=2*E$31,C$34,IF(COUNT(B$61:B108)&lt;=3*E$31,C$35,IF(COUNT(B$61:B108)&lt;=4*E$31,C$36)))))</f>
        <v>139.5</v>
      </c>
      <c r="D108" s="173">
        <f>IF(B108="","",IF(C108=C$33,E$33+E$32*(COUNT(B$61:B108)-1),IF(C108=C$34,E$34+E$32*(COUNT(B$61:B108)-E$31-1),IF(C108=C$35,E$34+E$32*(COUNT(B$61:B108)-2*E$31-1),IF(C108=C$36,E$33+E$32*(COUNT(B$61:B108)-3*E$31-1))))))</f>
        <v>777</v>
      </c>
      <c r="E108" s="180" cm="1">
        <f t="array" ref="E108">IF(C108="","",MAX($C$5,IF(B108=90,IF(OR(D108=E$13,D108=E$14,D108=B$4-E$14,D108=B$4-E$13),C$7,IF(OR(C108=C$20,C108=C$24),C$8,IF(OR(C108=C$21:C$23),C$9))),C$10)))</f>
        <v>18</v>
      </c>
      <c r="F108" s="168"/>
      <c r="G108" s="185">
        <f>IF(ROW(G108)-ROW(G$60)&lt;=(H$31*J$31),45,"")</f>
        <v>45</v>
      </c>
      <c r="H108" s="173">
        <f>IF(G108="","",IF(COUNT(G$61:G108)&lt;=J$31,H$33,IF(COUNT(G$61:G108)&lt;=2*J$31,H$34,IF(COUNT(G$61:G108)&lt;=3*J$31,H$35,IF(COUNT(G$61:G108)&lt;=4*J$31,H$36)))))</f>
        <v>139.5</v>
      </c>
      <c r="I108" s="173">
        <f>IF(G108="","",IF(H108=H$33,J$33+J$32*(COUNT(G$61:G108)-1),IF(H108=H$34,J$34+J$32*(COUNT(G$61:G108)-J$31-1),IF(H108=H$35,J$34+J$32*(COUNT(G$61:G108)-2*J$31-1),IF(H108=H$36,J$33+J$32*(COUNT(G$61:G108)-3*J$31-1))))))</f>
        <v>777</v>
      </c>
      <c r="J108" s="180" cm="1">
        <f t="array" ref="J108">IF(H108="","",MAX($C$5,IF(G108=90,IF(OR(I108=J$13,I108=J$14,I108=G$4-J$14,I108=G$4-J$13),H$7,IF(OR(H108=H$20,H108=H$24),H$8,IF(OR(H108=H$21:H$23),H$9))),H$10)))</f>
        <v>18</v>
      </c>
      <c r="K108" s="168"/>
      <c r="L108" s="185" t="str">
        <f t="shared" si="72"/>
        <v/>
      </c>
      <c r="M108" s="173" t="str">
        <f>IF(L108="","",IF(COUNT(L$61:L108)&lt;=O$31,M$33,IF(COUNT(L$61:L108)&lt;=2*O$31,M$34,IF(COUNT(L$61:L108)&lt;=3*O$31,M$35,IF(COUNT(L$61:L108)&lt;=4*O$31,M$36)))))</f>
        <v/>
      </c>
      <c r="N108" s="173" t="str">
        <f>IF(L108="","",IF(M108=M$33,O$33+O$32*(COUNT(L$61:L108)-1),IF(M108=M$34,O$34+O$32*(COUNT(L$61:L108)-O$31-1),IF(M108=M$35,O$34+O$32*(COUNT(L$61:L108)-2*O$31-1),IF(M108=M$36,O$33+O$32*(COUNT(L$61:L108)-3*O$31-1))))))</f>
        <v/>
      </c>
      <c r="O108" s="180" t="str" cm="1">
        <f t="array" ref="O108">IF(M108="","",MAX($C$5,IF(L108=90,IF(OR(N108=O$13,N108=O$14,N108=L$4-O$14,N108=L$4-O$13),M$7,IF(OR(M108=M$20,M108=M$24),M$8,IF(OR(M108=M$21:M$23),M$9))),M$10)))</f>
        <v/>
      </c>
      <c r="P108" s="168"/>
      <c r="Q108" s="185" t="str">
        <f t="shared" si="71"/>
        <v/>
      </c>
      <c r="R108" s="173" t="str">
        <f>IF(Q108="","",IF(COUNT(Q$61:Q108)&lt;=T$31,R$33,IF(COUNT(Q$61:Q108)&lt;=2*T$31,R$34,IF(COUNT(Q$61:Q108)&lt;=3*T$31,R$35,IF(COUNT(Q$61:Q108)&lt;=4*T$31,R$36)))))</f>
        <v/>
      </c>
      <c r="S108" s="173" t="str">
        <f>IF(Q108="","",IF(R108=R$33,T$33+T$32*(COUNT(Q$61:Q108)-1),IF(R108=R$34,T$34+T$32*(COUNT(Q$61:Q108)-T$31-1),IF(R108=R$35,T$34+T$32*(COUNT(Q$61:Q108)-2*T$31-1),IF(R108=R$36,T$33+T$32*(COUNT(Q$61:Q108)-3*T$31-1))))))</f>
        <v/>
      </c>
      <c r="T108" s="180" t="str" cm="1">
        <f t="array" ref="T108">IF(R108="","",MAX($C$5,IF(Q108=90,IF(OR(S108=T$13,S108=T$14,S108=Q$4-T$14,S108=Q$4-T$13),R$7,IF(OR(R108=R$20,R108=R$24),R$8,IF(OR(R108=R$21:R$23),R$9))),R$10)))</f>
        <v/>
      </c>
      <c r="U108" s="168"/>
      <c r="V108" s="185" t="str">
        <f t="shared" si="67"/>
        <v/>
      </c>
      <c r="W108" s="173" t="str">
        <f>IF(V108="","",IF(COUNT(V$61:V108)&lt;=Y$31,W$33,IF(COUNT(V$61:V108)&lt;=2*Y$31,W$34,IF(COUNT(V$61:V108)&lt;=3*Y$31,W$35,IF(COUNT(V$61:V108)&lt;=4*Y$31,W$36)))))</f>
        <v/>
      </c>
      <c r="X108" s="173" t="str">
        <f>IF(V108="","",IF(W108=W$33,Y$33+Y$32*(COUNT(V$61:V108)-1),IF(W108=W$34,Y$34+Y$32*(COUNT(V$61:V108)-Y$31-1),IF(W108=W$35,Y$34+Y$32*(COUNT(V$61:V108)-2*Y$31-1),IF(W108=W$36,Y$33+Y$32*(COUNT(V$61:V108)-3*Y$31-1))))))</f>
        <v/>
      </c>
      <c r="Y108" s="180" t="str" cm="1">
        <f t="array" ref="Y108">IF(W108="","",MAX($C$5,IF(V108=90,IF(OR(X108=Y$13,X108=Y$14,X108=V$4-Y$14,X108=V$4-Y$13),W$7,IF(OR(W108=W$20,W108=W$24),W$8,IF(OR(W108=W$21:W$23),W$9))),W$10)))</f>
        <v/>
      </c>
      <c r="Z108" s="168"/>
      <c r="AA108" s="185" t="str">
        <f t="shared" si="68"/>
        <v/>
      </c>
      <c r="AB108" s="173" t="str">
        <f>IF(AA108="","",IF(COUNT(AA$61:AA108)&lt;=AD$31,AB$33,IF(COUNT(AA$61:AA108)&lt;=2*AD$31,AB$34,IF(COUNT(AA$61:AA108)&lt;=3*AD$31,AB$35,IF(COUNT(AA$61:AA108)&lt;=4*AD$31,AB$36)))))</f>
        <v/>
      </c>
      <c r="AC108" s="173" t="str">
        <f>IF(AA108="","",IF(AB108=AB$33,AD$33+AD$32*(COUNT(AA$61:AA108)-1),IF(AB108=AB$34,AD$34+AD$32*(COUNT(AA$61:AA108)-AD$31-1),IF(AB108=AB$35,AD$34+AD$32*(COUNT(AA$61:AA108)-2*AD$31-1),IF(AB108=AB$36,AD$33+AD$32*(COUNT(AA$61:AA108)-3*AD$31-1))))))</f>
        <v/>
      </c>
      <c r="AD108" s="180" t="str" cm="1">
        <f t="array" ref="AD108">IF(AB108="","",MAX($C$5,IF(AA108=90,IF(OR(AC108=AD$13,AC108=AD$14,AC108=AA$4-AD$14,AC108=AA$4-AD$13),AB$7,IF(OR(AB108=AB$20,AB108=AB$24),AB$8,IF(OR(AB108=AB$21:AB$23),AB$9))),AB$10)))</f>
        <v/>
      </c>
      <c r="AE108" s="168"/>
      <c r="AF108" s="185" t="str">
        <f t="shared" si="69"/>
        <v/>
      </c>
      <c r="AG108" s="173" t="str">
        <f>IF(AF108="","",IF(COUNT(AF$61:AF108)&lt;=AI$31,AG$33,IF(COUNT(AF$61:AF108)&lt;=2*AI$31,AG$34,IF(COUNT(AF$61:AF108)&lt;=3*AI$31,AG$35,IF(COUNT(AF$61:AF108)&lt;=4*AI$31,AG$36)))))</f>
        <v/>
      </c>
      <c r="AH108" s="173" t="str">
        <f>IF(AF108="","",IF(AG108=AG$33,AI$33+AI$32*(COUNT(AF$61:AF108)-1),IF(AG108=AG$34,AI$34+AI$32*(COUNT(AF$61:AF108)-AI$31-1),IF(AG108=AG$35,AI$34+AI$32*(COUNT(AF$61:AF108)-2*AI$31-1),IF(AG108=AG$36,AI$33+AI$32*(COUNT(AF$61:AF108)-3*AI$31-1))))))</f>
        <v/>
      </c>
      <c r="AI108" s="180" t="str" cm="1">
        <f t="array" ref="AI108">IF(AG108="","",MAX($C$5,IF(AF108=90,IF(OR(AH108=AI$13,AH108=AI$14,AH108=AF$4-AI$14,AH108=AF$4-AI$13),AG$7,IF(OR(AG108=AG$20,AG108=AG$24),AG$8,IF(OR(AG108=AG$21:AG$23),AG$9))),AG$10)))</f>
        <v/>
      </c>
      <c r="AJ108" s="168"/>
      <c r="AK108" s="185" t="str">
        <f t="shared" si="70"/>
        <v/>
      </c>
      <c r="AL108" s="173" t="str">
        <f>IF(AK108="","",IF(COUNT(AK$61:AK108)&lt;=AN$31,AL$33,IF(COUNT(AK$61:AK108)&lt;=2*AN$31,AL$34,IF(COUNT(AK$61:AK108)&lt;=3*AN$31,AL$35,IF(COUNT(AK$61:AK108)&lt;=4*AN$31,AL$36)))))</f>
        <v/>
      </c>
      <c r="AM108" s="173" t="str">
        <f>IF(AK108="","",IF(AL108=AL$33,AN$33+AN$32*(COUNT(AK$61:AK108)-1),IF(AL108=AL$34,AN$34+AN$32*(COUNT(AK$61:AK108)-AN$31-1),IF(AL108=AL$35,AN$34+AN$32*(COUNT(AK$61:AK108)-2*AN$31-1),IF(AL108=AL$36,AN$33+AN$32*(COUNT(AK$61:AK108)-3*AN$31-1))))))</f>
        <v/>
      </c>
      <c r="AN108" s="180" t="str" cm="1">
        <f t="array" ref="AN108">IF(AL108="","",MAX($C$5,IF(AK108=90,IF(OR(AM108=AN$13,AM108=AN$14,AM108=AK$4-AN$14,AM108=AK$4-AN$13),AL$7,IF(OR(AL108=AL$20,AL108=AL$24),AL$8,IF(OR(AL108=AL$21:AL$23),AL$9))),AL$10)))</f>
        <v/>
      </c>
      <c r="AO108" s="168"/>
      <c r="AP108" s="247">
        <v>45</v>
      </c>
      <c r="AQ108" s="248">
        <v>140</v>
      </c>
      <c r="AR108" s="248">
        <v>107</v>
      </c>
      <c r="AS108" s="180" cm="1">
        <f t="array" ref="AS108">IF(AQ108="","",MAX($C$5,IF(AP108=90,IF(OR(AR108=AS$13,AR108=AS$14,AR108=AP$4-AS$14,AR108=AP$4-AS$13),AQ$7,IF(OR(AQ108=AQ$20,AQ108=AQ$24),AQ$8,IF(OR(AQ108=AQ$21:AQ$23),AQ$9))),AQ$10)))</f>
        <v>18</v>
      </c>
      <c r="AT108" s="277"/>
      <c r="AU108" s="185" t="str">
        <f t="shared" si="57"/>
        <v/>
      </c>
      <c r="AV108" s="173" t="str">
        <f>IF(AU108="","",IF(COUNT(AU$61:AU108)&lt;=AX$31,AV$33,IF(COUNT(AU$61:AU108)&lt;=2*AX$31,AV$34,IF(COUNT(AU$61:AU108)&lt;=3*AX$31,AV$35))))</f>
        <v/>
      </c>
      <c r="AW108" s="173" t="str">
        <f>IF(AU108="","",IF(AV108=AV$33,AX$33+AX$32*(COUNT(AU$61:AU108)-1),IF(AV108=AV$34,AX$34+AX$32*(COUNT(AU$61:AU108)-AX$31-1),IF(AV108=AV$35,AX$33+AX$32*(COUNT(AU$61:AU108)-2*AX$31-1)))))</f>
        <v/>
      </c>
      <c r="AX108" s="180" t="str" cm="1">
        <f t="array" ref="AX108">IF(AV108="","",MAX($C$5,IF(AU108=90,IF(OR(AW108=AX$13,AW108=AX$14,AW108=AU$4-AX$14,AW108=AU$4-AX$13),AV$7,IF(OR(AV108=AV$20,AV108=AV$24),AV$8,IF(OR(AV108=AV$21:AV$23),AV$9))),AV$10)))</f>
        <v/>
      </c>
      <c r="AY108" s="168"/>
      <c r="AZ108" s="185" t="str">
        <f t="shared" si="58"/>
        <v/>
      </c>
      <c r="BA108" s="173" t="str">
        <f>IF(AZ108="","",IF(COUNT(AZ$61:AZ108)&lt;=BC$31,BA$33,IF(COUNT(AZ$61:AZ108)&lt;=2*BC$31,BA$34,IF(COUNT(AZ$61:AZ108)&lt;=3*BC$31,BA$35))))</f>
        <v/>
      </c>
      <c r="BB108" s="173" t="str">
        <f>IF(AZ108="","",IF(BA108=BA$33,BC$33+BC$32*(COUNT(AZ$61:AZ108)-1),IF(BA108=BA$34,BC$34+BC$32*(COUNT(AZ$61:AZ108)-BC$31-1),IF(BA108=BA$35,BC$33+BC$32*(COUNT(AZ$61:AZ108)-2*BC$31-1)))))</f>
        <v/>
      </c>
      <c r="BC108" s="180" t="str" cm="1">
        <f t="array" ref="BC108">IF(BA108="","",MAX($C$5,IF(AZ108=90,IF(OR(BB108=BC$13,BB108=BC$14,BB108=AZ$4-BC$14,BB108=AZ$4-BC$13),BA$7,IF(OR(BA108=BA$20,BA108=BA$24),BA$8,IF(OR(BA108=BA$21:BA$23),BA$9))),BA$10)))</f>
        <v/>
      </c>
      <c r="BD108" s="168"/>
      <c r="BE108" s="185" t="str">
        <f t="shared" si="59"/>
        <v/>
      </c>
      <c r="BF108" s="173" t="str">
        <f>IF(BE108="","",IF(COUNT(BE$61:BE108)&lt;=BH$31,BF$33,IF(COUNT(BE$61:BE108)&lt;=2*BH$31,BF$34,IF(COUNT(BE$61:BE108)&lt;=3*BH$31,BF$35))))</f>
        <v/>
      </c>
      <c r="BG108" s="173" t="str">
        <f>IF(BE108="","",IF(BF108=BF$33,BH$33+BH$32*(COUNT(BE$61:BE108)-1),IF(BF108=BF$34,BH$34+BH$32*(COUNT(BE$61:BE108)-BH$31-1),IF(BF108=BF$35,BH$33+BH$32*(COUNT(BE$61:BE108)-2*BH$31-1)))))</f>
        <v/>
      </c>
      <c r="BH108" s="180" t="str" cm="1">
        <f t="array" ref="BH108">IF(BF108="","",MAX($C$5,IF(BE108=90,IF(OR(BG108=BH$13,BG108=BH$14,BG108=BE$4-BH$14,BG108=BE$4-BH$13),BF$7,IF(OR(BF108=BF$20,BF108=BF$24),BF$8,IF(OR(BF108=BF$21:BF$23),BF$9))),BF$10)))</f>
        <v/>
      </c>
      <c r="BI108" s="277"/>
      <c r="BJ108" s="185" t="str">
        <f t="shared" si="60"/>
        <v/>
      </c>
      <c r="BK108" s="173" t="str">
        <f>IF(BJ108="","",IF(COUNT(BJ$61:BJ108)&lt;=BM$31-1,BK$33,IF(COUNT(BJ$61:BJ108)&lt;=2*BM$31-1,BK$34)))</f>
        <v/>
      </c>
      <c r="BL108" s="173" t="str">
        <f>IF(BJ108="","",IF(BK108=BK$33,BM$33+BM$32*(COUNT(BJ$61:BJ108)-1),IF(BK108=BK$34,BM$34+BM$32*(COUNT(BJ$61:BJ108)-BM$31))))</f>
        <v/>
      </c>
      <c r="BM108" s="180" t="str" cm="1">
        <f t="array" ref="BM108">IF(BK108="","",MAX($C$5,IF(BJ108=90,IF(OR(BL108=BM$13,BL108=BM$14,BL108=BJ$4-BM$14,BL108=BJ$4-BM$13),BK$7,IF(OR(BK108=BK$20,BK108=BK$24),BK$8,IF(OR(BK108=BK$21:BK$23),BK$9))),BK$10)))</f>
        <v/>
      </c>
      <c r="BN108" s="168"/>
      <c r="BO108" s="185" t="str">
        <f t="shared" si="61"/>
        <v/>
      </c>
      <c r="BP108" s="173" t="str">
        <f>IF(BO108="","",IF(COUNT(BO$61:BO108)&lt;=BR$31-1,BP$33,IF(COUNT(BO$61:BO108)&lt;=2*BR$31-1,BP$34)))</f>
        <v/>
      </c>
      <c r="BQ108" s="173" t="str">
        <f>IF(BO108="","",IF(BP108=BP$33,BR$33+BR$32*(COUNT(BO$61:BO108)-1),IF(BP108=BP$34,BR$34+BR$32*(COUNT(BO$61:BO108)-BR$31))))</f>
        <v/>
      </c>
      <c r="BR108" s="180" t="str" cm="1">
        <f t="array" ref="BR108">IF(BP108="","",MAX($C$5,IF(BO108=90,IF(OR(BQ108=BR$13,BQ108=BR$14,BQ108=BO$4-BR$14,BQ108=BO$4-BR$13),BP$7,IF(OR(BP108=BP$20,BP108=BP$24),BP$8,IF(OR(BP108=BP$21:BP$23),BP$9))),BP$10)))</f>
        <v/>
      </c>
      <c r="BS108" s="168"/>
      <c r="BT108" s="185" t="str">
        <f t="shared" si="62"/>
        <v/>
      </c>
      <c r="BU108" s="173" t="str">
        <f>IF(BT108="","",IF(COUNT(BT$61:BT108)&lt;=BW$31-1,BU$33,IF(COUNT(BT$61:BT108)&lt;=2*BW$31-1,BU$34)))</f>
        <v/>
      </c>
      <c r="BV108" s="173" t="str">
        <f>IF(BT108="","",IF(BU108=BU$33,BW$33+BW$32*(COUNT(BT$61:BT108)-1),IF(BU108=BU$34,BW$34+BW$32*(COUNT(BT$61:BT108)-BW$31))))</f>
        <v/>
      </c>
      <c r="BW108" s="180" t="str" cm="1">
        <f t="array" ref="BW108">IF(BU108="","",MAX($C$5,IF(BT108=90,IF(OR(BV108=BW$13,BV108=BW$14,BV108=BT$4-BW$14,BV108=BT$4-BW$13),BU$7,IF(OR(BU108=BU$20,BU108=BU$24),BU$8,IF(OR(BU108=BU$21:BU$23),BU$9))),BU$10)))</f>
        <v/>
      </c>
      <c r="BX108" s="288"/>
    </row>
    <row r="109" spans="1:76">
      <c r="A109" s="168"/>
      <c r="B109" s="185" t="str">
        <f t="shared" ref="B109:B119" si="73">IF(ROW(B109)-ROW(B$60)&lt;=(C$31*E$31),45,"")</f>
        <v/>
      </c>
      <c r="C109" s="173" t="str">
        <f>IF(B109="","",IF(COUNT(B$61:B109)&lt;=E$31,C$33,IF(COUNT(B$61:B109)&lt;=2*E$31,C$34,IF(COUNT(B$61:B109)&lt;=3*E$31,C$35,IF(COUNT(B$61:B109)&lt;=4*E$31,C$36)))))</f>
        <v/>
      </c>
      <c r="D109" s="173" t="str">
        <f>IF(B109="","",IF(C109=C$33,E$33+E$32*(COUNT(B$61:B109)-1),IF(C109=C$34,E$34+E$32*(COUNT(B$61:B109)-E$31-1),IF(C109=C$35,E$34+E$32*(COUNT(B$61:B109)-2*E$31-1),IF(C109=C$36,E$33+E$32*(COUNT(B$61:B109)-3*E$31-1))))))</f>
        <v/>
      </c>
      <c r="E109" s="180" t="str" cm="1">
        <f t="array" ref="E109">IF(C109="","",MAX($C$5,IF(B109=90,IF(OR(D109=E$13,D109=E$14,D109=B$4-E$14,D109=B$4-E$13),C$7,IF(OR(C109=C$20,C109=C$24),C$8,IF(OR(C109=C$21:C$23),C$9))),C$10)))</f>
        <v/>
      </c>
      <c r="F109" s="168"/>
      <c r="G109" s="185" t="str">
        <f t="shared" ref="G109:G119" si="74">IF(ROW(G109)-ROW(G$60)&lt;=(H$31*J$31),45,"")</f>
        <v/>
      </c>
      <c r="H109" s="173" t="str">
        <f>IF(G109="","",IF(COUNT(G$61:G109)&lt;=J$31,H$33,IF(COUNT(G$61:G109)&lt;=2*J$31,H$34,IF(COUNT(G$61:G109)&lt;=3*J$31,H$35,IF(COUNT(G$61:G109)&lt;=4*J$31,H$36)))))</f>
        <v/>
      </c>
      <c r="I109" s="173" t="str">
        <f>IF(G109="","",IF(H109=H$33,J$33+J$32*(COUNT(G$61:G109)-1),IF(H109=H$34,J$34+J$32*(COUNT(G$61:G109)-J$31-1),IF(H109=H$35,J$34+J$32*(COUNT(G$61:G109)-2*J$31-1),IF(H109=H$36,J$33+J$32*(COUNT(G$61:G109)-3*J$31-1))))))</f>
        <v/>
      </c>
      <c r="J109" s="180" t="str" cm="1">
        <f t="array" ref="J109">IF(H109="","",MAX($C$5,IF(G109=90,IF(OR(I109=J$13,I109=J$14,I109=G$4-J$14,I109=G$4-J$13),H$7,IF(OR(H109=H$20,H109=H$24),H$8,IF(OR(H109=H$21:H$23),H$9))),H$10)))</f>
        <v/>
      </c>
      <c r="K109" s="168"/>
      <c r="L109" s="185" t="str">
        <f t="shared" si="72"/>
        <v/>
      </c>
      <c r="M109" s="173" t="str">
        <f>IF(L109="","",IF(COUNT(L$61:L109)&lt;=O$31,M$33,IF(COUNT(L$61:L109)&lt;=2*O$31,M$34,IF(COUNT(L$61:L109)&lt;=3*O$31,M$35,IF(COUNT(L$61:L109)&lt;=4*O$31,M$36)))))</f>
        <v/>
      </c>
      <c r="N109" s="173" t="str">
        <f>IF(L109="","",IF(M109=M$33,O$33+O$32*(COUNT(L$61:L109)-1),IF(M109=M$34,O$34+O$32*(COUNT(L$61:L109)-O$31-1),IF(M109=M$35,O$34+O$32*(COUNT(L$61:L109)-2*O$31-1),IF(M109=M$36,O$33+O$32*(COUNT(L$61:L109)-3*O$31-1))))))</f>
        <v/>
      </c>
      <c r="O109" s="180" t="str" cm="1">
        <f t="array" ref="O109">IF(M109="","",MAX($C$5,IF(L109=90,IF(OR(N109=O$13,N109=O$14,N109=L$4-O$14,N109=L$4-O$13),M$7,IF(OR(M109=M$20,M109=M$24),M$8,IF(OR(M109=M$21:M$23),M$9))),M$10)))</f>
        <v/>
      </c>
      <c r="P109" s="168"/>
      <c r="Q109" s="185" t="str">
        <f t="shared" si="71"/>
        <v/>
      </c>
      <c r="R109" s="173" t="str">
        <f>IF(Q109="","",IF(COUNT(Q$61:Q109)&lt;=T$31,R$33,IF(COUNT(Q$61:Q109)&lt;=2*T$31,R$34,IF(COUNT(Q$61:Q109)&lt;=3*T$31,R$35,IF(COUNT(Q$61:Q109)&lt;=4*T$31,R$36)))))</f>
        <v/>
      </c>
      <c r="S109" s="173" t="str">
        <f>IF(Q109="","",IF(R109=R$33,T$33+T$32*(COUNT(Q$61:Q109)-1),IF(R109=R$34,T$34+T$32*(COUNT(Q$61:Q109)-T$31-1),IF(R109=R$35,T$34+T$32*(COUNT(Q$61:Q109)-2*T$31-1),IF(R109=R$36,T$33+T$32*(COUNT(Q$61:Q109)-3*T$31-1))))))</f>
        <v/>
      </c>
      <c r="T109" s="180" t="str" cm="1">
        <f t="array" ref="T109">IF(R109="","",MAX($C$5,IF(Q109=90,IF(OR(S109=T$13,S109=T$14,S109=Q$4-T$14,S109=Q$4-T$13),R$7,IF(OR(R109=R$20,R109=R$24),R$8,IF(OR(R109=R$21:R$23),R$9))),R$10)))</f>
        <v/>
      </c>
      <c r="U109" s="168"/>
      <c r="V109" s="185" t="str">
        <f t="shared" si="67"/>
        <v/>
      </c>
      <c r="W109" s="173" t="str">
        <f>IF(V109="","",IF(COUNT(V$61:V109)&lt;=Y$31,W$33,IF(COUNT(V$61:V109)&lt;=2*Y$31,W$34,IF(COUNT(V$61:V109)&lt;=3*Y$31,W$35,IF(COUNT(V$61:V109)&lt;=4*Y$31,W$36)))))</f>
        <v/>
      </c>
      <c r="X109" s="173" t="str">
        <f>IF(V109="","",IF(W109=W$33,Y$33+Y$32*(COUNT(V$61:V109)-1),IF(W109=W$34,Y$34+Y$32*(COUNT(V$61:V109)-Y$31-1),IF(W109=W$35,Y$34+Y$32*(COUNT(V$61:V109)-2*Y$31-1),IF(W109=W$36,Y$33+Y$32*(COUNT(V$61:V109)-3*Y$31-1))))))</f>
        <v/>
      </c>
      <c r="Y109" s="180" t="str" cm="1">
        <f t="array" ref="Y109">IF(W109="","",MAX($C$5,IF(V109=90,IF(OR(X109=Y$13,X109=Y$14,X109=V$4-Y$14,X109=V$4-Y$13),W$7,IF(OR(W109=W$20,W109=W$24),W$8,IF(OR(W109=W$21:W$23),W$9))),W$10)))</f>
        <v/>
      </c>
      <c r="Z109" s="168"/>
      <c r="AA109" s="185" t="str">
        <f t="shared" si="68"/>
        <v/>
      </c>
      <c r="AB109" s="173" t="str">
        <f>IF(AA109="","",IF(COUNT(AA$61:AA109)&lt;=AD$31,AB$33,IF(COUNT(AA$61:AA109)&lt;=2*AD$31,AB$34,IF(COUNT(AA$61:AA109)&lt;=3*AD$31,AB$35,IF(COUNT(AA$61:AA109)&lt;=4*AD$31,AB$36)))))</f>
        <v/>
      </c>
      <c r="AC109" s="173" t="str">
        <f>IF(AA109="","",IF(AB109=AB$33,AD$33+AD$32*(COUNT(AA$61:AA109)-1),IF(AB109=AB$34,AD$34+AD$32*(COUNT(AA$61:AA109)-AD$31-1),IF(AB109=AB$35,AD$34+AD$32*(COUNT(AA$61:AA109)-2*AD$31-1),IF(AB109=AB$36,AD$33+AD$32*(COUNT(AA$61:AA109)-3*AD$31-1))))))</f>
        <v/>
      </c>
      <c r="AD109" s="180" t="str" cm="1">
        <f t="array" ref="AD109">IF(AB109="","",MAX($C$5,IF(AA109=90,IF(OR(AC109=AD$13,AC109=AD$14,AC109=AA$4-AD$14,AC109=AA$4-AD$13),AB$7,IF(OR(AB109=AB$20,AB109=AB$24),AB$8,IF(OR(AB109=AB$21:AB$23),AB$9))),AB$10)))</f>
        <v/>
      </c>
      <c r="AE109" s="168"/>
      <c r="AF109" s="185" t="str">
        <f t="shared" si="69"/>
        <v/>
      </c>
      <c r="AG109" s="173" t="str">
        <f>IF(AF109="","",IF(COUNT(AF$61:AF109)&lt;=AI$31,AG$33,IF(COUNT(AF$61:AF109)&lt;=2*AI$31,AG$34,IF(COUNT(AF$61:AF109)&lt;=3*AI$31,AG$35,IF(COUNT(AF$61:AF109)&lt;=4*AI$31,AG$36)))))</f>
        <v/>
      </c>
      <c r="AH109" s="173" t="str">
        <f>IF(AF109="","",IF(AG109=AG$33,AI$33+AI$32*(COUNT(AF$61:AF109)-1),IF(AG109=AG$34,AI$34+AI$32*(COUNT(AF$61:AF109)-AI$31-1),IF(AG109=AG$35,AI$34+AI$32*(COUNT(AF$61:AF109)-2*AI$31-1),IF(AG109=AG$36,AI$33+AI$32*(COUNT(AF$61:AF109)-3*AI$31-1))))))</f>
        <v/>
      </c>
      <c r="AI109" s="180" t="str" cm="1">
        <f t="array" ref="AI109">IF(AG109="","",MAX($C$5,IF(AF109=90,IF(OR(AH109=AI$13,AH109=AI$14,AH109=AF$4-AI$14,AH109=AF$4-AI$13),AG$7,IF(OR(AG109=AG$20,AG109=AG$24),AG$8,IF(OR(AG109=AG$21:AG$23),AG$9))),AG$10)))</f>
        <v/>
      </c>
      <c r="AJ109" s="168"/>
      <c r="AK109" s="185" t="str">
        <f t="shared" si="70"/>
        <v/>
      </c>
      <c r="AL109" s="173" t="str">
        <f>IF(AK109="","",IF(COUNT(AK$61:AK109)&lt;=AN$31,AL$33,IF(COUNT(AK$61:AK109)&lt;=2*AN$31,AL$34,IF(COUNT(AK$61:AK109)&lt;=3*AN$31,AL$35,IF(COUNT(AK$61:AK109)&lt;=4*AN$31,AL$36)))))</f>
        <v/>
      </c>
      <c r="AM109" s="173" t="str">
        <f>IF(AK109="","",IF(AL109=AL$33,AN$33+AN$32*(COUNT(AK$61:AK109)-1),IF(AL109=AL$34,AN$34+AN$32*(COUNT(AK$61:AK109)-AN$31-1),IF(AL109=AL$35,AN$34+AN$32*(COUNT(AK$61:AK109)-2*AN$31-1),IF(AL109=AL$36,AN$33+AN$32*(COUNT(AK$61:AK109)-3*AN$31-1))))))</f>
        <v/>
      </c>
      <c r="AN109" s="180" t="str" cm="1">
        <f t="array" ref="AN109">IF(AL109="","",MAX($C$5,IF(AK109=90,IF(OR(AM109=AN$13,AM109=AN$14,AM109=AK$4-AN$14,AM109=AK$4-AN$13),AL$7,IF(OR(AL109=AL$20,AL109=AL$24),AL$8,IF(OR(AL109=AL$21:AL$23),AL$9))),AL$10)))</f>
        <v/>
      </c>
      <c r="AO109" s="168" t="s">
        <v>217</v>
      </c>
      <c r="AP109" s="244">
        <v>90</v>
      </c>
      <c r="AQ109" s="245">
        <v>32</v>
      </c>
      <c r="AR109" s="245">
        <v>900</v>
      </c>
      <c r="AS109" s="180" cm="1">
        <f t="array" ref="AS109">IF(AQ109="","",MAX($C$5,IF(AP109=90,IF(OR(AR109=AS$13,AR109=AS$14,AR109=AP$4-AS$14,AR109=AP$4-AS$13),AQ$7,IF(OR(AQ109=AQ$20,AQ109=AQ$24),AQ$8,IF(OR(AQ109=AQ$21:AQ$23),AQ$9))),AQ$10)))</f>
        <v>14</v>
      </c>
      <c r="AT109" s="277"/>
      <c r="AU109" s="185" t="str">
        <f t="shared" si="57"/>
        <v/>
      </c>
      <c r="AV109" s="173" t="str">
        <f>IF(AU109="","",IF(COUNT(AU$61:AU109)&lt;=AX$31,AV$33,IF(COUNT(AU$61:AU109)&lt;=2*AX$31,AV$34,IF(COUNT(AU$61:AU109)&lt;=3*AX$31,AV$35))))</f>
        <v/>
      </c>
      <c r="AW109" s="173" t="str">
        <f>IF(AU109="","",IF(AV109=AV$33,AX$33+AX$32*(COUNT(AU$61:AU109)-1),IF(AV109=AV$34,AX$34+AX$32*(COUNT(AU$61:AU109)-AX$31-1),IF(AV109=AV$35,AX$33+AX$32*(COUNT(AU$61:AU109)-2*AX$31-1)))))</f>
        <v/>
      </c>
      <c r="AX109" s="180" t="str" cm="1">
        <f t="array" ref="AX109">IF(AV109="","",MAX($C$5,IF(AU109=90,IF(OR(AW109=AX$13,AW109=AX$14,AW109=AU$4-AX$14,AW109=AU$4-AX$13),AV$7,IF(OR(AV109=AV$20,AV109=AV$24),AV$8,IF(OR(AV109=AV$21:AV$23),AV$9))),AV$10)))</f>
        <v/>
      </c>
      <c r="AY109" s="168"/>
      <c r="AZ109" s="185" t="str">
        <f t="shared" si="58"/>
        <v/>
      </c>
      <c r="BA109" s="173" t="str">
        <f>IF(AZ109="","",IF(COUNT(AZ$61:AZ109)&lt;=BC$31,BA$33,IF(COUNT(AZ$61:AZ109)&lt;=2*BC$31,BA$34,IF(COUNT(AZ$61:AZ109)&lt;=3*BC$31,BA$35))))</f>
        <v/>
      </c>
      <c r="BB109" s="173" t="str">
        <f>IF(AZ109="","",IF(BA109=BA$33,BC$33+BC$32*(COUNT(AZ$61:AZ109)-1),IF(BA109=BA$34,BC$34+BC$32*(COUNT(AZ$61:AZ109)-BC$31-1),IF(BA109=BA$35,BC$33+BC$32*(COUNT(AZ$61:AZ109)-2*BC$31-1)))))</f>
        <v/>
      </c>
      <c r="BC109" s="180" t="str" cm="1">
        <f t="array" ref="BC109">IF(BA109="","",MAX($C$5,IF(AZ109=90,IF(OR(BB109=BC$13,BB109=BC$14,BB109=AZ$4-BC$14,BB109=AZ$4-BC$13),BA$7,IF(OR(BA109=BA$20,BA109=BA$24),BA$8,IF(OR(BA109=BA$21:BA$23),BA$9))),BA$10)))</f>
        <v/>
      </c>
      <c r="BD109" s="168"/>
      <c r="BE109" s="185" t="str">
        <f t="shared" si="59"/>
        <v/>
      </c>
      <c r="BF109" s="173" t="str">
        <f>IF(BE109="","",IF(COUNT(BE$61:BE109)&lt;=BH$31,BF$33,IF(COUNT(BE$61:BE109)&lt;=2*BH$31,BF$34,IF(COUNT(BE$61:BE109)&lt;=3*BH$31,BF$35))))</f>
        <v/>
      </c>
      <c r="BG109" s="173" t="str">
        <f>IF(BE109="","",IF(BF109=BF$33,BH$33+BH$32*(COUNT(BE$61:BE109)-1),IF(BF109=BF$34,BH$34+BH$32*(COUNT(BE$61:BE109)-BH$31-1),IF(BF109=BF$35,BH$33+BH$32*(COUNT(BE$61:BE109)-2*BH$31-1)))))</f>
        <v/>
      </c>
      <c r="BH109" s="180" t="str" cm="1">
        <f t="array" ref="BH109">IF(BF109="","",MAX($C$5,IF(BE109=90,IF(OR(BG109=BH$13,BG109=BH$14,BG109=BE$4-BH$14,BG109=BE$4-BH$13),BF$7,IF(OR(BF109=BF$20,BF109=BF$24),BF$8,IF(OR(BF109=BF$21:BF$23),BF$9))),BF$10)))</f>
        <v/>
      </c>
      <c r="BI109" s="277"/>
      <c r="BJ109" s="185" t="str">
        <f t="shared" si="60"/>
        <v/>
      </c>
      <c r="BK109" s="173" t="str">
        <f>IF(BJ109="","",IF(COUNT(BJ$61:BJ109)&lt;=BM$31-1,BK$33,IF(COUNT(BJ$61:BJ109)&lt;=2*BM$31-1,BK$34)))</f>
        <v/>
      </c>
      <c r="BL109" s="173" t="str">
        <f>IF(BJ109="","",IF(BK109=BK$33,BM$33+BM$32*(COUNT(BJ$61:BJ109)-1),IF(BK109=BK$34,BM$34+BM$32*(COUNT(BJ$61:BJ109)-BM$31))))</f>
        <v/>
      </c>
      <c r="BM109" s="180" t="str" cm="1">
        <f t="array" ref="BM109">IF(BK109="","",MAX($C$5,IF(BJ109=90,IF(OR(BL109=BM$13,BL109=BM$14,BL109=BJ$4-BM$14,BL109=BJ$4-BM$13),BK$7,IF(OR(BK109=BK$20,BK109=BK$24),BK$8,IF(OR(BK109=BK$21:BK$23),BK$9))),BK$10)))</f>
        <v/>
      </c>
      <c r="BN109" s="168"/>
      <c r="BO109" s="185" t="str">
        <f t="shared" si="61"/>
        <v/>
      </c>
      <c r="BP109" s="173" t="str">
        <f>IF(BO109="","",IF(COUNT(BO$61:BO109)&lt;=BR$31-1,BP$33,IF(COUNT(BO$61:BO109)&lt;=2*BR$31-1,BP$34)))</f>
        <v/>
      </c>
      <c r="BQ109" s="173" t="str">
        <f>IF(BO109="","",IF(BP109=BP$33,BR$33+BR$32*(COUNT(BO$61:BO109)-1),IF(BP109=BP$34,BR$34+BR$32*(COUNT(BO$61:BO109)-BR$31))))</f>
        <v/>
      </c>
      <c r="BR109" s="180" t="str" cm="1">
        <f t="array" ref="BR109">IF(BP109="","",MAX($C$5,IF(BO109=90,IF(OR(BQ109=BR$13,BQ109=BR$14,BQ109=BO$4-BR$14,BQ109=BO$4-BR$13),BP$7,IF(OR(BP109=BP$20,BP109=BP$24),BP$8,IF(OR(BP109=BP$21:BP$23),BP$9))),BP$10)))</f>
        <v/>
      </c>
      <c r="BS109" s="168"/>
      <c r="BT109" s="185" t="str">
        <f t="shared" si="62"/>
        <v/>
      </c>
      <c r="BU109" s="173" t="str">
        <f>IF(BT109="","",IF(COUNT(BT$61:BT109)&lt;=BW$31-1,BU$33,IF(COUNT(BT$61:BT109)&lt;=2*BW$31-1,BU$34)))</f>
        <v/>
      </c>
      <c r="BV109" s="173" t="str">
        <f>IF(BT109="","",IF(BU109=BU$33,BW$33+BW$32*(COUNT(BT$61:BT109)-1),IF(BU109=BU$34,BW$34+BW$32*(COUNT(BT$61:BT109)-BW$31))))</f>
        <v/>
      </c>
      <c r="BW109" s="180" t="str" cm="1">
        <f t="array" ref="BW109">IF(BU109="","",MAX($C$5,IF(BT109=90,IF(OR(BV109=BW$13,BV109=BW$14,BV109=BT$4-BW$14,BV109=BT$4-BW$13),BU$7,IF(OR(BU109=BU$20,BU109=BU$24),BU$8,IF(OR(BU109=BU$21:BU$23),BU$9))),BU$10)))</f>
        <v/>
      </c>
      <c r="BX109" s="288"/>
    </row>
    <row r="110" spans="1:76">
      <c r="A110" s="168"/>
      <c r="B110" s="185" t="str">
        <f t="shared" si="73"/>
        <v/>
      </c>
      <c r="C110" s="173" t="str">
        <f>IF(B110="","",IF(COUNT(B$61:B110)&lt;=E$31,C$33,IF(COUNT(B$61:B110)&lt;=2*E$31,C$34,IF(COUNT(B$61:B110)&lt;=3*E$31,C$35,IF(COUNT(B$61:B110)&lt;=4*E$31,C$36)))))</f>
        <v/>
      </c>
      <c r="D110" s="173" t="str">
        <f>IF(B110="","",IF(C110=C$33,E$33+E$32*(COUNT(B$61:B110)-1),IF(C110=C$34,E$34+E$32*(COUNT(B$61:B110)-E$31-1),IF(C110=C$35,E$34+E$32*(COUNT(B$61:B110)-2*E$31-1),IF(C110=C$36,E$33+E$32*(COUNT(B$61:B110)-3*E$31-1))))))</f>
        <v/>
      </c>
      <c r="E110" s="180" t="str" cm="1">
        <f t="array" ref="E110">IF(C110="","",MAX($C$5,IF(B110=90,IF(OR(D110=E$13,D110=E$14,D110=B$4-E$14,D110=B$4-E$13),C$7,IF(OR(C110=C$20,C110=C$24),C$8,IF(OR(C110=C$21:C$23),C$9))),C$10)))</f>
        <v/>
      </c>
      <c r="F110" s="168"/>
      <c r="G110" s="185" t="str">
        <f t="shared" si="74"/>
        <v/>
      </c>
      <c r="H110" s="173" t="str">
        <f>IF(G110="","",IF(COUNT(G$61:G110)&lt;=J$31,H$33,IF(COUNT(G$61:G110)&lt;=2*J$31,H$34,IF(COUNT(G$61:G110)&lt;=3*J$31,H$35,IF(COUNT(G$61:G110)&lt;=4*J$31,H$36)))))</f>
        <v/>
      </c>
      <c r="I110" s="173" t="str">
        <f>IF(G110="","",IF(H110=H$33,J$33+J$32*(COUNT(G$61:G110)-1),IF(H110=H$34,J$34+J$32*(COUNT(G$61:G110)-J$31-1),IF(H110=H$35,J$34+J$32*(COUNT(G$61:G110)-2*J$31-1),IF(H110=H$36,J$33+J$32*(COUNT(G$61:G110)-3*J$31-1))))))</f>
        <v/>
      </c>
      <c r="J110" s="180" t="str" cm="1">
        <f t="array" ref="J110">IF(H110="","",MAX($C$5,IF(G110=90,IF(OR(I110=J$13,I110=J$14,I110=G$4-J$14,I110=G$4-J$13),H$7,IF(OR(H110=H$20,H110=H$24),H$8,IF(OR(H110=H$21:H$23),H$9))),H$10)))</f>
        <v/>
      </c>
      <c r="K110" s="168"/>
      <c r="L110" s="185" t="str">
        <f t="shared" si="72"/>
        <v/>
      </c>
      <c r="M110" s="173" t="str">
        <f>IF(L110="","",IF(COUNT(L$61:L110)&lt;=O$31,M$33,IF(COUNT(L$61:L110)&lt;=2*O$31,M$34,IF(COUNT(L$61:L110)&lt;=3*O$31,M$35,IF(COUNT(L$61:L110)&lt;=4*O$31,M$36)))))</f>
        <v/>
      </c>
      <c r="N110" s="173" t="str">
        <f>IF(L110="","",IF(M110=M$33,O$33+O$32*(COUNT(L$61:L110)-1),IF(M110=M$34,O$34+O$32*(COUNT(L$61:L110)-O$31-1),IF(M110=M$35,O$34+O$32*(COUNT(L$61:L110)-2*O$31-1),IF(M110=M$36,O$33+O$32*(COUNT(L$61:L110)-3*O$31-1))))))</f>
        <v/>
      </c>
      <c r="O110" s="180" t="str" cm="1">
        <f t="array" ref="O110">IF(M110="","",MAX($C$5,IF(L110=90,IF(OR(N110=O$13,N110=O$14,N110=L$4-O$14,N110=L$4-O$13),M$7,IF(OR(M110=M$20,M110=M$24),M$8,IF(OR(M110=M$21:M$23),M$9))),M$10)))</f>
        <v/>
      </c>
      <c r="P110" s="168"/>
      <c r="Q110" s="185" t="str">
        <f t="shared" si="71"/>
        <v/>
      </c>
      <c r="R110" s="173" t="str">
        <f>IF(Q110="","",IF(COUNT(Q$61:Q110)&lt;=T$31,R$33,IF(COUNT(Q$61:Q110)&lt;=2*T$31,R$34,IF(COUNT(Q$61:Q110)&lt;=3*T$31,R$35,IF(COUNT(Q$61:Q110)&lt;=4*T$31,R$36)))))</f>
        <v/>
      </c>
      <c r="S110" s="173" t="str">
        <f>IF(Q110="","",IF(R110=R$33,T$33+T$32*(COUNT(Q$61:Q110)-1),IF(R110=R$34,T$34+T$32*(COUNT(Q$61:Q110)-T$31-1),IF(R110=R$35,T$34+T$32*(COUNT(Q$61:Q110)-2*T$31-1),IF(R110=R$36,T$33+T$32*(COUNT(Q$61:Q110)-3*T$31-1))))))</f>
        <v/>
      </c>
      <c r="T110" s="180" t="str" cm="1">
        <f t="array" ref="T110">IF(R110="","",MAX($C$5,IF(Q110=90,IF(OR(S110=T$13,S110=T$14,S110=Q$4-T$14,S110=Q$4-T$13),R$7,IF(OR(R110=R$20,R110=R$24),R$8,IF(OR(R110=R$21:R$23),R$9))),R$10)))</f>
        <v/>
      </c>
      <c r="U110" s="168"/>
      <c r="V110" s="185" t="str">
        <f t="shared" si="67"/>
        <v/>
      </c>
      <c r="W110" s="173" t="str">
        <f>IF(V110="","",IF(COUNT(V$61:V110)&lt;=Y$31,W$33,IF(COUNT(V$61:V110)&lt;=2*Y$31,W$34,IF(COUNT(V$61:V110)&lt;=3*Y$31,W$35,IF(COUNT(V$61:V110)&lt;=4*Y$31,W$36)))))</f>
        <v/>
      </c>
      <c r="X110" s="173" t="str">
        <f>IF(V110="","",IF(W110=W$33,Y$33+Y$32*(COUNT(V$61:V110)-1),IF(W110=W$34,Y$34+Y$32*(COUNT(V$61:V110)-Y$31-1),IF(W110=W$35,Y$34+Y$32*(COUNT(V$61:V110)-2*Y$31-1),IF(W110=W$36,Y$33+Y$32*(COUNT(V$61:V110)-3*Y$31-1))))))</f>
        <v/>
      </c>
      <c r="Y110" s="180" t="str" cm="1">
        <f t="array" ref="Y110">IF(W110="","",MAX($C$5,IF(V110=90,IF(OR(X110=Y$13,X110=Y$14,X110=V$4-Y$14,X110=V$4-Y$13),W$7,IF(OR(W110=W$20,W110=W$24),W$8,IF(OR(W110=W$21:W$23),W$9))),W$10)))</f>
        <v/>
      </c>
      <c r="Z110" s="168"/>
      <c r="AA110" s="185" t="str">
        <f t="shared" si="68"/>
        <v/>
      </c>
      <c r="AB110" s="173" t="str">
        <f>IF(AA110="","",IF(COUNT(AA$61:AA110)&lt;=AD$31,AB$33,IF(COUNT(AA$61:AA110)&lt;=2*AD$31,AB$34,IF(COUNT(AA$61:AA110)&lt;=3*AD$31,AB$35,IF(COUNT(AA$61:AA110)&lt;=4*AD$31,AB$36)))))</f>
        <v/>
      </c>
      <c r="AC110" s="173" t="str">
        <f>IF(AA110="","",IF(AB110=AB$33,AD$33+AD$32*(COUNT(AA$61:AA110)-1),IF(AB110=AB$34,AD$34+AD$32*(COUNT(AA$61:AA110)-AD$31-1),IF(AB110=AB$35,AD$34+AD$32*(COUNT(AA$61:AA110)-2*AD$31-1),IF(AB110=AB$36,AD$33+AD$32*(COUNT(AA$61:AA110)-3*AD$31-1))))))</f>
        <v/>
      </c>
      <c r="AD110" s="180" t="str" cm="1">
        <f t="array" ref="AD110">IF(AB110="","",MAX($C$5,IF(AA110=90,IF(OR(AC110=AD$13,AC110=AD$14,AC110=AA$4-AD$14,AC110=AA$4-AD$13),AB$7,IF(OR(AB110=AB$20,AB110=AB$24),AB$8,IF(OR(AB110=AB$21:AB$23),AB$9))),AB$10)))</f>
        <v/>
      </c>
      <c r="AE110" s="168"/>
      <c r="AF110" s="185" t="str">
        <f t="shared" si="69"/>
        <v/>
      </c>
      <c r="AG110" s="173" t="str">
        <f>IF(AF110="","",IF(COUNT(AF$61:AF110)&lt;=AI$31,AG$33,IF(COUNT(AF$61:AF110)&lt;=2*AI$31,AG$34,IF(COUNT(AF$61:AF110)&lt;=3*AI$31,AG$35,IF(COUNT(AF$61:AF110)&lt;=4*AI$31,AG$36)))))</f>
        <v/>
      </c>
      <c r="AH110" s="173" t="str">
        <f>IF(AF110="","",IF(AG110=AG$33,AI$33+AI$32*(COUNT(AF$61:AF110)-1),IF(AG110=AG$34,AI$34+AI$32*(COUNT(AF$61:AF110)-AI$31-1),IF(AG110=AG$35,AI$34+AI$32*(COUNT(AF$61:AF110)-2*AI$31-1),IF(AG110=AG$36,AI$33+AI$32*(COUNT(AF$61:AF110)-3*AI$31-1))))))</f>
        <v/>
      </c>
      <c r="AI110" s="180" t="str" cm="1">
        <f t="array" ref="AI110">IF(AG110="","",MAX($C$5,IF(AF110=90,IF(OR(AH110=AI$13,AH110=AI$14,AH110=AF$4-AI$14,AH110=AF$4-AI$13),AG$7,IF(OR(AG110=AG$20,AG110=AG$24),AG$8,IF(OR(AG110=AG$21:AG$23),AG$9))),AG$10)))</f>
        <v/>
      </c>
      <c r="AJ110" s="168"/>
      <c r="AK110" s="185" t="str">
        <f t="shared" si="70"/>
        <v/>
      </c>
      <c r="AL110" s="173" t="str">
        <f>IF(AK110="","",IF(COUNT(AK$61:AK110)&lt;=AN$31,AL$33,IF(COUNT(AK$61:AK110)&lt;=2*AN$31,AL$34,IF(COUNT(AK$61:AK110)&lt;=3*AN$31,AL$35,IF(COUNT(AK$61:AK110)&lt;=4*AN$31,AL$36)))))</f>
        <v/>
      </c>
      <c r="AM110" s="173" t="str">
        <f>IF(AK110="","",IF(AL110=AL$33,AN$33+AN$32*(COUNT(AK$61:AK110)-1),IF(AL110=AL$34,AN$34+AN$32*(COUNT(AK$61:AK110)-AN$31-1),IF(AL110=AL$35,AN$34+AN$32*(COUNT(AK$61:AK110)-2*AN$31-1),IF(AL110=AL$36,AN$33+AN$32*(COUNT(AK$61:AK110)-3*AN$31-1))))))</f>
        <v/>
      </c>
      <c r="AN110" s="180" t="str" cm="1">
        <f t="array" ref="AN110">IF(AL110="","",MAX($C$5,IF(AK110=90,IF(OR(AM110=AN$13,AM110=AN$14,AM110=AK$4-AN$14,AM110=AK$4-AN$13),AL$7,IF(OR(AL110=AL$20,AL110=AL$24),AL$8,IF(OR(AL110=AL$21:AL$23),AL$9))),AL$10)))</f>
        <v/>
      </c>
      <c r="AO110" s="168"/>
      <c r="AP110" s="244">
        <v>90</v>
      </c>
      <c r="AQ110" s="245">
        <v>75</v>
      </c>
      <c r="AR110" s="245">
        <v>900</v>
      </c>
      <c r="AS110" s="180" cm="1">
        <f t="array" ref="AS110">IF(AQ110="","",MAX($C$5,IF(AP110=90,IF(OR(AR110=AS$13,AR110=AS$14,AR110=AP$4-AS$14,AR110=AP$4-AS$13),AQ$7,IF(OR(AQ110=AQ$20,AQ110=AQ$24),AQ$8,IF(OR(AQ110=AQ$21:AQ$23),AQ$9))),AQ$10)))</f>
        <v>14</v>
      </c>
      <c r="AT110" s="277"/>
      <c r="AU110" s="185" t="str">
        <f t="shared" si="57"/>
        <v/>
      </c>
      <c r="AV110" s="173" t="str">
        <f>IF(AU110="","",IF(COUNT(AU$61:AU110)&lt;=AX$31,AV$33,IF(COUNT(AU$61:AU110)&lt;=2*AX$31,AV$34,IF(COUNT(AU$61:AU110)&lt;=3*AX$31,AV$35))))</f>
        <v/>
      </c>
      <c r="AW110" s="173" t="str">
        <f>IF(AU110="","",IF(AV110=AV$33,AX$33+AX$32*(COUNT(AU$61:AU110)-1),IF(AV110=AV$34,AX$34+AX$32*(COUNT(AU$61:AU110)-AX$31-1),IF(AV110=AV$35,AX$33+AX$32*(COUNT(AU$61:AU110)-2*AX$31-1)))))</f>
        <v/>
      </c>
      <c r="AX110" s="180" t="str" cm="1">
        <f t="array" ref="AX110">IF(AV110="","",MAX($C$5,IF(AU110=90,IF(OR(AW110=AX$13,AW110=AX$14,AW110=AU$4-AX$14,AW110=AU$4-AX$13),AV$7,IF(OR(AV110=AV$20,AV110=AV$24),AV$8,IF(OR(AV110=AV$21:AV$23),AV$9))),AV$10)))</f>
        <v/>
      </c>
      <c r="AY110" s="168"/>
      <c r="AZ110" s="185" t="str">
        <f t="shared" si="58"/>
        <v/>
      </c>
      <c r="BA110" s="173" t="str">
        <f>IF(AZ110="","",IF(COUNT(AZ$61:AZ110)&lt;=BC$31,BA$33,IF(COUNT(AZ$61:AZ110)&lt;=2*BC$31,BA$34,IF(COUNT(AZ$61:AZ110)&lt;=3*BC$31,BA$35))))</f>
        <v/>
      </c>
      <c r="BB110" s="173" t="str">
        <f>IF(AZ110="","",IF(BA110=BA$33,BC$33+BC$32*(COUNT(AZ$61:AZ110)-1),IF(BA110=BA$34,BC$34+BC$32*(COUNT(AZ$61:AZ110)-BC$31-1),IF(BA110=BA$35,BC$33+BC$32*(COUNT(AZ$61:AZ110)-2*BC$31-1)))))</f>
        <v/>
      </c>
      <c r="BC110" s="180" t="str" cm="1">
        <f t="array" ref="BC110">IF(BA110="","",MAX($C$5,IF(AZ110=90,IF(OR(BB110=BC$13,BB110=BC$14,BB110=AZ$4-BC$14,BB110=AZ$4-BC$13),BA$7,IF(OR(BA110=BA$20,BA110=BA$24),BA$8,IF(OR(BA110=BA$21:BA$23),BA$9))),BA$10)))</f>
        <v/>
      </c>
      <c r="BD110" s="168"/>
      <c r="BE110" s="185" t="str">
        <f t="shared" si="59"/>
        <v/>
      </c>
      <c r="BF110" s="173" t="str">
        <f>IF(BE110="","",IF(COUNT(BE$61:BE110)&lt;=BH$31,BF$33,IF(COUNT(BE$61:BE110)&lt;=2*BH$31,BF$34,IF(COUNT(BE$61:BE110)&lt;=3*BH$31,BF$35))))</f>
        <v/>
      </c>
      <c r="BG110" s="173" t="str">
        <f>IF(BE110="","",IF(BF110=BF$33,BH$33+BH$32*(COUNT(BE$61:BE110)-1),IF(BF110=BF$34,BH$34+BH$32*(COUNT(BE$61:BE110)-BH$31-1),IF(BF110=BF$35,BH$33+BH$32*(COUNT(BE$61:BE110)-2*BH$31-1)))))</f>
        <v/>
      </c>
      <c r="BH110" s="180" t="str" cm="1">
        <f t="array" ref="BH110">IF(BF110="","",MAX($C$5,IF(BE110=90,IF(OR(BG110=BH$13,BG110=BH$14,BG110=BE$4-BH$14,BG110=BE$4-BH$13),BF$7,IF(OR(BF110=BF$20,BF110=BF$24),BF$8,IF(OR(BF110=BF$21:BF$23),BF$9))),BF$10)))</f>
        <v/>
      </c>
      <c r="BI110" s="277"/>
      <c r="BJ110" s="185" t="str">
        <f t="shared" si="60"/>
        <v/>
      </c>
      <c r="BK110" s="173" t="str">
        <f>IF(BJ110="","",IF(COUNT(BJ$61:BJ110)&lt;=BM$31-1,BK$33,IF(COUNT(BJ$61:BJ110)&lt;=2*BM$31-1,BK$34)))</f>
        <v/>
      </c>
      <c r="BL110" s="173" t="str">
        <f>IF(BJ110="","",IF(BK110=BK$33,BM$33+BM$32*(COUNT(BJ$61:BJ110)-1),IF(BK110=BK$34,BM$34+BM$32*(COUNT(BJ$61:BJ110)-BM$31))))</f>
        <v/>
      </c>
      <c r="BM110" s="180" t="str" cm="1">
        <f t="array" ref="BM110">IF(BK110="","",MAX($C$5,IF(BJ110=90,IF(OR(BL110=BM$13,BL110=BM$14,BL110=BJ$4-BM$14,BL110=BJ$4-BM$13),BK$7,IF(OR(BK110=BK$20,BK110=BK$24),BK$8,IF(OR(BK110=BK$21:BK$23),BK$9))),BK$10)))</f>
        <v/>
      </c>
      <c r="BN110" s="168"/>
      <c r="BO110" s="185" t="str">
        <f t="shared" si="61"/>
        <v/>
      </c>
      <c r="BP110" s="173" t="str">
        <f>IF(BO110="","",IF(COUNT(BO$61:BO110)&lt;=BR$31-1,BP$33,IF(COUNT(BO$61:BO110)&lt;=2*BR$31-1,BP$34)))</f>
        <v/>
      </c>
      <c r="BQ110" s="173" t="str">
        <f>IF(BO110="","",IF(BP110=BP$33,BR$33+BR$32*(COUNT(BO$61:BO110)-1),IF(BP110=BP$34,BR$34+BR$32*(COUNT(BO$61:BO110)-BR$31))))</f>
        <v/>
      </c>
      <c r="BR110" s="180" t="str" cm="1">
        <f t="array" ref="BR110">IF(BP110="","",MAX($C$5,IF(BO110=90,IF(OR(BQ110=BR$13,BQ110=BR$14,BQ110=BO$4-BR$14,BQ110=BO$4-BR$13),BP$7,IF(OR(BP110=BP$20,BP110=BP$24),BP$8,IF(OR(BP110=BP$21:BP$23),BP$9))),BP$10)))</f>
        <v/>
      </c>
      <c r="BS110" s="168"/>
      <c r="BT110" s="185" t="str">
        <f t="shared" si="62"/>
        <v/>
      </c>
      <c r="BU110" s="173" t="str">
        <f>IF(BT110="","",IF(COUNT(BT$61:BT110)&lt;=BW$31-1,BU$33,IF(COUNT(BT$61:BT110)&lt;=2*BW$31-1,BU$34)))</f>
        <v/>
      </c>
      <c r="BV110" s="173" t="str">
        <f>IF(BT110="","",IF(BU110=BU$33,BW$33+BW$32*(COUNT(BT$61:BT110)-1),IF(BU110=BU$34,BW$34+BW$32*(COUNT(BT$61:BT110)-BW$31))))</f>
        <v/>
      </c>
      <c r="BW110" s="180" t="str" cm="1">
        <f t="array" ref="BW110">IF(BU110="","",MAX($C$5,IF(BT110=90,IF(OR(BV110=BW$13,BV110=BW$14,BV110=BT$4-BW$14,BV110=BT$4-BW$13),BU$7,IF(OR(BU110=BU$20,BU110=BU$24),BU$8,IF(OR(BU110=BU$21:BU$23),BU$9))),BU$10)))</f>
        <v/>
      </c>
      <c r="BX110" s="288"/>
    </row>
    <row r="111" spans="1:76">
      <c r="A111" s="168"/>
      <c r="B111" s="185" t="str">
        <f t="shared" si="73"/>
        <v/>
      </c>
      <c r="C111" s="173" t="str">
        <f>IF(B111="","",IF(COUNT(B$61:B111)&lt;=E$31,C$33,IF(COUNT(B$61:B111)&lt;=2*E$31,C$34,IF(COUNT(B$61:B111)&lt;=3*E$31,C$35,IF(COUNT(B$61:B111)&lt;=4*E$31,C$36)))))</f>
        <v/>
      </c>
      <c r="D111" s="173" t="str">
        <f>IF(B111="","",IF(C111=C$33,E$33+E$32*(COUNT(B$61:B111)-1),IF(C111=C$34,E$34+E$32*(COUNT(B$61:B111)-E$31-1),IF(C111=C$35,E$34+E$32*(COUNT(B$61:B111)-2*E$31-1),IF(C111=C$36,E$33+E$32*(COUNT(B$61:B111)-3*E$31-1))))))</f>
        <v/>
      </c>
      <c r="E111" s="180" t="str" cm="1">
        <f t="array" ref="E111">IF(C111="","",MAX($C$5,IF(B111=90,IF(OR(D111=E$13,D111=E$14,D111=B$4-E$14,D111=B$4-E$13),C$7,IF(OR(C111=C$20,C111=C$24),C$8,IF(OR(C111=C$21:C$23),C$9))),C$10)))</f>
        <v/>
      </c>
      <c r="F111" s="168"/>
      <c r="G111" s="185" t="str">
        <f t="shared" si="74"/>
        <v/>
      </c>
      <c r="H111" s="173" t="str">
        <f>IF(G111="","",IF(COUNT(G$61:G111)&lt;=J$31,H$33,IF(COUNT(G$61:G111)&lt;=2*J$31,H$34,IF(COUNT(G$61:G111)&lt;=3*J$31,H$35,IF(COUNT(G$61:G111)&lt;=4*J$31,H$36)))))</f>
        <v/>
      </c>
      <c r="I111" s="173" t="str">
        <f>IF(G111="","",IF(H111=H$33,J$33+J$32*(COUNT(G$61:G111)-1),IF(H111=H$34,J$34+J$32*(COUNT(G$61:G111)-J$31-1),IF(H111=H$35,J$34+J$32*(COUNT(G$61:G111)-2*J$31-1),IF(H111=H$36,J$33+J$32*(COUNT(G$61:G111)-3*J$31-1))))))</f>
        <v/>
      </c>
      <c r="J111" s="180" t="str" cm="1">
        <f t="array" ref="J111">IF(H111="","",MAX($C$5,IF(G111=90,IF(OR(I111=J$13,I111=J$14,I111=G$4-J$14,I111=G$4-J$13),H$7,IF(OR(H111=H$20,H111=H$24),H$8,IF(OR(H111=H$21:H$23),H$9))),H$10)))</f>
        <v/>
      </c>
      <c r="K111" s="168"/>
      <c r="L111" s="185" t="str">
        <f t="shared" si="72"/>
        <v/>
      </c>
      <c r="M111" s="173" t="str">
        <f>IF(L111="","",IF(COUNT(L$61:L111)&lt;=O$31,M$33,IF(COUNT(L$61:L111)&lt;=2*O$31,M$34,IF(COUNT(L$61:L111)&lt;=3*O$31,M$35,IF(COUNT(L$61:L111)&lt;=4*O$31,M$36)))))</f>
        <v/>
      </c>
      <c r="N111" s="173" t="str">
        <f>IF(L111="","",IF(M111=M$33,O$33+O$32*(COUNT(L$61:L111)-1),IF(M111=M$34,O$34+O$32*(COUNT(L$61:L111)-O$31-1),IF(M111=M$35,O$34+O$32*(COUNT(L$61:L111)-2*O$31-1),IF(M111=M$36,O$33+O$32*(COUNT(L$61:L111)-3*O$31-1))))))</f>
        <v/>
      </c>
      <c r="O111" s="180" t="str" cm="1">
        <f t="array" ref="O111">IF(M111="","",MAX($C$5,IF(L111=90,IF(OR(N111=O$13,N111=O$14,N111=L$4-O$14,N111=L$4-O$13),M$7,IF(OR(M111=M$20,M111=M$24),M$8,IF(OR(M111=M$21:M$23),M$9))),M$10)))</f>
        <v/>
      </c>
      <c r="P111" s="168"/>
      <c r="Q111" s="185" t="str">
        <f t="shared" si="71"/>
        <v/>
      </c>
      <c r="R111" s="173" t="str">
        <f>IF(Q111="","",IF(COUNT(Q$61:Q111)&lt;=T$31,R$33,IF(COUNT(Q$61:Q111)&lt;=2*T$31,R$34,IF(COUNT(Q$61:Q111)&lt;=3*T$31,R$35,IF(COUNT(Q$61:Q111)&lt;=4*T$31,R$36)))))</f>
        <v/>
      </c>
      <c r="S111" s="173" t="str">
        <f>IF(Q111="","",IF(R111=R$33,T$33+T$32*(COUNT(Q$61:Q111)-1),IF(R111=R$34,T$34+T$32*(COUNT(Q$61:Q111)-T$31-1),IF(R111=R$35,T$34+T$32*(COUNT(Q$61:Q111)-2*T$31-1),IF(R111=R$36,T$33+T$32*(COUNT(Q$61:Q111)-3*T$31-1))))))</f>
        <v/>
      </c>
      <c r="T111" s="180" t="str" cm="1">
        <f t="array" ref="T111">IF(R111="","",MAX($C$5,IF(Q111=90,IF(OR(S111=T$13,S111=T$14,S111=Q$4-T$14,S111=Q$4-T$13),R$7,IF(OR(R111=R$20,R111=R$24),R$8,IF(OR(R111=R$21:R$23),R$9))),R$10)))</f>
        <v/>
      </c>
      <c r="U111" s="168"/>
      <c r="V111" s="185" t="str">
        <f t="shared" si="67"/>
        <v/>
      </c>
      <c r="W111" s="173" t="str">
        <f>IF(V111="","",IF(COUNT(V$61:V111)&lt;=Y$31,W$33,IF(COUNT(V$61:V111)&lt;=2*Y$31,W$34,IF(COUNT(V$61:V111)&lt;=3*Y$31,W$35,IF(COUNT(V$61:V111)&lt;=4*Y$31,W$36)))))</f>
        <v/>
      </c>
      <c r="X111" s="173" t="str">
        <f>IF(V111="","",IF(W111=W$33,Y$33+Y$32*(COUNT(V$61:V111)-1),IF(W111=W$34,Y$34+Y$32*(COUNT(V$61:V111)-Y$31-1),IF(W111=W$35,Y$34+Y$32*(COUNT(V$61:V111)-2*Y$31-1),IF(W111=W$36,Y$33+Y$32*(COUNT(V$61:V111)-3*Y$31-1))))))</f>
        <v/>
      </c>
      <c r="Y111" s="180" t="str" cm="1">
        <f t="array" ref="Y111">IF(W111="","",MAX($C$5,IF(V111=90,IF(OR(X111=Y$13,X111=Y$14,X111=V$4-Y$14,X111=V$4-Y$13),W$7,IF(OR(W111=W$20,W111=W$24),W$8,IF(OR(W111=W$21:W$23),W$9))),W$10)))</f>
        <v/>
      </c>
      <c r="Z111" s="168"/>
      <c r="AA111" s="185" t="str">
        <f t="shared" si="68"/>
        <v/>
      </c>
      <c r="AB111" s="173" t="str">
        <f>IF(AA111="","",IF(COUNT(AA$61:AA111)&lt;=AD$31,AB$33,IF(COUNT(AA$61:AA111)&lt;=2*AD$31,AB$34,IF(COUNT(AA$61:AA111)&lt;=3*AD$31,AB$35,IF(COUNT(AA$61:AA111)&lt;=4*AD$31,AB$36)))))</f>
        <v/>
      </c>
      <c r="AC111" s="173" t="str">
        <f>IF(AA111="","",IF(AB111=AB$33,AD$33+AD$32*(COUNT(AA$61:AA111)-1),IF(AB111=AB$34,AD$34+AD$32*(COUNT(AA$61:AA111)-AD$31-1),IF(AB111=AB$35,AD$34+AD$32*(COUNT(AA$61:AA111)-2*AD$31-1),IF(AB111=AB$36,AD$33+AD$32*(COUNT(AA$61:AA111)-3*AD$31-1))))))</f>
        <v/>
      </c>
      <c r="AD111" s="180" t="str" cm="1">
        <f t="array" ref="AD111">IF(AB111="","",MAX($C$5,IF(AA111=90,IF(OR(AC111=AD$13,AC111=AD$14,AC111=AA$4-AD$14,AC111=AA$4-AD$13),AB$7,IF(OR(AB111=AB$20,AB111=AB$24),AB$8,IF(OR(AB111=AB$21:AB$23),AB$9))),AB$10)))</f>
        <v/>
      </c>
      <c r="AE111" s="168"/>
      <c r="AF111" s="185" t="str">
        <f t="shared" si="69"/>
        <v/>
      </c>
      <c r="AG111" s="173" t="str">
        <f>IF(AF111="","",IF(COUNT(AF$61:AF111)&lt;=AI$31,AG$33,IF(COUNT(AF$61:AF111)&lt;=2*AI$31,AG$34,IF(COUNT(AF$61:AF111)&lt;=3*AI$31,AG$35,IF(COUNT(AF$61:AF111)&lt;=4*AI$31,AG$36)))))</f>
        <v/>
      </c>
      <c r="AH111" s="173" t="str">
        <f>IF(AF111="","",IF(AG111=AG$33,AI$33+AI$32*(COUNT(AF$61:AF111)-1),IF(AG111=AG$34,AI$34+AI$32*(COUNT(AF$61:AF111)-AI$31-1),IF(AG111=AG$35,AI$34+AI$32*(COUNT(AF$61:AF111)-2*AI$31-1),IF(AG111=AG$36,AI$33+AI$32*(COUNT(AF$61:AF111)-3*AI$31-1))))))</f>
        <v/>
      </c>
      <c r="AI111" s="180" t="str" cm="1">
        <f t="array" ref="AI111">IF(AG111="","",MAX($C$5,IF(AF111=90,IF(OR(AH111=AI$13,AH111=AI$14,AH111=AF$4-AI$14,AH111=AF$4-AI$13),AG$7,IF(OR(AG111=AG$20,AG111=AG$24),AG$8,IF(OR(AG111=AG$21:AG$23),AG$9))),AG$10)))</f>
        <v/>
      </c>
      <c r="AJ111" s="168"/>
      <c r="AK111" s="185" t="str">
        <f t="shared" si="70"/>
        <v/>
      </c>
      <c r="AL111" s="173" t="str">
        <f>IF(AK111="","",IF(COUNT(AK$61:AK111)&lt;=AN$31,AL$33,IF(COUNT(AK$61:AK111)&lt;=2*AN$31,AL$34,IF(COUNT(AK$61:AK111)&lt;=3*AN$31,AL$35,IF(COUNT(AK$61:AK111)&lt;=4*AN$31,AL$36)))))</f>
        <v/>
      </c>
      <c r="AM111" s="173" t="str">
        <f>IF(AK111="","",IF(AL111=AL$33,AN$33+AN$32*(COUNT(AK$61:AK111)-1),IF(AL111=AL$34,AN$34+AN$32*(COUNT(AK$61:AK111)-AN$31-1),IF(AL111=AL$35,AN$34+AN$32*(COUNT(AK$61:AK111)-2*AN$31-1),IF(AL111=AL$36,AN$33+AN$32*(COUNT(AK$61:AK111)-3*AN$31-1))))))</f>
        <v/>
      </c>
      <c r="AN111" s="180" t="str" cm="1">
        <f t="array" ref="AN111">IF(AL111="","",MAX($C$5,IF(AK111=90,IF(OR(AM111=AN$13,AM111=AN$14,AM111=AK$4-AN$14,AM111=AK$4-AN$13),AL$7,IF(OR(AL111=AL$20,AL111=AL$24),AL$8,IF(OR(AL111=AL$21:AL$23),AL$9))),AL$10)))</f>
        <v/>
      </c>
      <c r="AO111" s="168"/>
      <c r="AP111" s="244">
        <v>90</v>
      </c>
      <c r="AQ111" s="245">
        <v>118</v>
      </c>
      <c r="AR111" s="245">
        <v>900</v>
      </c>
      <c r="AS111" s="180" cm="1">
        <f t="array" ref="AS111">IF(AQ111="","",MAX($C$5,IF(AP111=90,IF(OR(AR111=AS$13,AR111=AS$14,AR111=AP$4-AS$14,AR111=AP$4-AS$13),AQ$7,IF(OR(AQ111=AQ$20,AQ111=AQ$24),AQ$8,IF(OR(AQ111=AQ$21:AQ$23),AQ$9))),AQ$10)))</f>
        <v>14</v>
      </c>
      <c r="AT111" s="277"/>
      <c r="AU111" s="185" t="str">
        <f t="shared" si="57"/>
        <v/>
      </c>
      <c r="AV111" s="173" t="str">
        <f>IF(AU111="","",IF(COUNT(AU$61:AU111)&lt;=AX$31,AV$33,IF(COUNT(AU$61:AU111)&lt;=2*AX$31,AV$34,IF(COUNT(AU$61:AU111)&lt;=3*AX$31,AV$35))))</f>
        <v/>
      </c>
      <c r="AW111" s="173" t="str">
        <f>IF(AU111="","",IF(AV111=AV$33,AX$33+AX$32*(COUNT(AU$61:AU111)-1),IF(AV111=AV$34,AX$34+AX$32*(COUNT(AU$61:AU111)-AX$31-1),IF(AV111=AV$35,AX$33+AX$32*(COUNT(AU$61:AU111)-2*AX$31-1)))))</f>
        <v/>
      </c>
      <c r="AX111" s="180" t="str" cm="1">
        <f t="array" ref="AX111">IF(AV111="","",MAX($C$5,IF(AU111=90,IF(OR(AW111=AX$13,AW111=AX$14,AW111=AU$4-AX$14,AW111=AU$4-AX$13),AV$7,IF(OR(AV111=AV$20,AV111=AV$24),AV$8,IF(OR(AV111=AV$21:AV$23),AV$9))),AV$10)))</f>
        <v/>
      </c>
      <c r="AY111" s="168"/>
      <c r="AZ111" s="185" t="str">
        <f t="shared" si="58"/>
        <v/>
      </c>
      <c r="BA111" s="173" t="str">
        <f>IF(AZ111="","",IF(COUNT(AZ$61:AZ111)&lt;=BC$31,BA$33,IF(COUNT(AZ$61:AZ111)&lt;=2*BC$31,BA$34,IF(COUNT(AZ$61:AZ111)&lt;=3*BC$31,BA$35))))</f>
        <v/>
      </c>
      <c r="BB111" s="173" t="str">
        <f>IF(AZ111="","",IF(BA111=BA$33,BC$33+BC$32*(COUNT(AZ$61:AZ111)-1),IF(BA111=BA$34,BC$34+BC$32*(COUNT(AZ$61:AZ111)-BC$31-1),IF(BA111=BA$35,BC$33+BC$32*(COUNT(AZ$61:AZ111)-2*BC$31-1)))))</f>
        <v/>
      </c>
      <c r="BC111" s="180" t="str" cm="1">
        <f t="array" ref="BC111">IF(BA111="","",MAX($C$5,IF(AZ111=90,IF(OR(BB111=BC$13,BB111=BC$14,BB111=AZ$4-BC$14,BB111=AZ$4-BC$13),BA$7,IF(OR(BA111=BA$20,BA111=BA$24),BA$8,IF(OR(BA111=BA$21:BA$23),BA$9))),BA$10)))</f>
        <v/>
      </c>
      <c r="BD111" s="168"/>
      <c r="BE111" s="185" t="str">
        <f t="shared" si="59"/>
        <v/>
      </c>
      <c r="BF111" s="173" t="str">
        <f>IF(BE111="","",IF(COUNT(BE$61:BE111)&lt;=BH$31,BF$33,IF(COUNT(BE$61:BE111)&lt;=2*BH$31,BF$34,IF(COUNT(BE$61:BE111)&lt;=3*BH$31,BF$35))))</f>
        <v/>
      </c>
      <c r="BG111" s="173" t="str">
        <f>IF(BE111="","",IF(BF111=BF$33,BH$33+BH$32*(COUNT(BE$61:BE111)-1),IF(BF111=BF$34,BH$34+BH$32*(COUNT(BE$61:BE111)-BH$31-1),IF(BF111=BF$35,BH$33+BH$32*(COUNT(BE$61:BE111)-2*BH$31-1)))))</f>
        <v/>
      </c>
      <c r="BH111" s="180" t="str" cm="1">
        <f t="array" ref="BH111">IF(BF111="","",MAX($C$5,IF(BE111=90,IF(OR(BG111=BH$13,BG111=BH$14,BG111=BE$4-BH$14,BG111=BE$4-BH$13),BF$7,IF(OR(BF111=BF$20,BF111=BF$24),BF$8,IF(OR(BF111=BF$21:BF$23),BF$9))),BF$10)))</f>
        <v/>
      </c>
      <c r="BI111" s="277"/>
      <c r="BJ111" s="185" t="str">
        <f t="shared" si="60"/>
        <v/>
      </c>
      <c r="BK111" s="173" t="str">
        <f>IF(BJ111="","",IF(COUNT(BJ$61:BJ111)&lt;=BM$31-1,BK$33,IF(COUNT(BJ$61:BJ111)&lt;=2*BM$31-1,BK$34)))</f>
        <v/>
      </c>
      <c r="BL111" s="173" t="str">
        <f>IF(BJ111="","",IF(BK111=BK$33,BM$33+BM$32*(COUNT(BJ$61:BJ111)-1),IF(BK111=BK$34,BM$34+BM$32*(COUNT(BJ$61:BJ111)-BM$31))))</f>
        <v/>
      </c>
      <c r="BM111" s="180" t="str" cm="1">
        <f t="array" ref="BM111">IF(BK111="","",MAX($C$5,IF(BJ111=90,IF(OR(BL111=BM$13,BL111=BM$14,BL111=BJ$4-BM$14,BL111=BJ$4-BM$13),BK$7,IF(OR(BK111=BK$20,BK111=BK$24),BK$8,IF(OR(BK111=BK$21:BK$23),BK$9))),BK$10)))</f>
        <v/>
      </c>
      <c r="BN111" s="168"/>
      <c r="BO111" s="185" t="str">
        <f t="shared" si="61"/>
        <v/>
      </c>
      <c r="BP111" s="173" t="str">
        <f>IF(BO111="","",IF(COUNT(BO$61:BO111)&lt;=BR$31-1,BP$33,IF(COUNT(BO$61:BO111)&lt;=2*BR$31-1,BP$34)))</f>
        <v/>
      </c>
      <c r="BQ111" s="173" t="str">
        <f>IF(BO111="","",IF(BP111=BP$33,BR$33+BR$32*(COUNT(BO$61:BO111)-1),IF(BP111=BP$34,BR$34+BR$32*(COUNT(BO$61:BO111)-BR$31))))</f>
        <v/>
      </c>
      <c r="BR111" s="180" t="str" cm="1">
        <f t="array" ref="BR111">IF(BP111="","",MAX($C$5,IF(BO111=90,IF(OR(BQ111=BR$13,BQ111=BR$14,BQ111=BO$4-BR$14,BQ111=BO$4-BR$13),BP$7,IF(OR(BP111=BP$20,BP111=BP$24),BP$8,IF(OR(BP111=BP$21:BP$23),BP$9))),BP$10)))</f>
        <v/>
      </c>
      <c r="BS111" s="168"/>
      <c r="BT111" s="185" t="str">
        <f t="shared" si="62"/>
        <v/>
      </c>
      <c r="BU111" s="173" t="str">
        <f>IF(BT111="","",IF(COUNT(BT$61:BT111)&lt;=BW$31-1,BU$33,IF(COUNT(BT$61:BT111)&lt;=2*BW$31-1,BU$34)))</f>
        <v/>
      </c>
      <c r="BV111" s="173" t="str">
        <f>IF(BT111="","",IF(BU111=BU$33,BW$33+BW$32*(COUNT(BT$61:BT111)-1),IF(BU111=BU$34,BW$34+BW$32*(COUNT(BT$61:BT111)-BW$31))))</f>
        <v/>
      </c>
      <c r="BW111" s="180" t="str" cm="1">
        <f t="array" ref="BW111">IF(BU111="","",MAX($C$5,IF(BT111=90,IF(OR(BV111=BW$13,BV111=BW$14,BV111=BT$4-BW$14,BV111=BT$4-BW$13),BU$7,IF(OR(BU111=BU$20,BU111=BU$24),BU$8,IF(OR(BU111=BU$21:BU$23),BU$9))),BU$10)))</f>
        <v/>
      </c>
      <c r="BX111" s="288"/>
    </row>
    <row r="112" spans="1:76">
      <c r="A112" s="168"/>
      <c r="B112" s="185" t="str">
        <f t="shared" si="73"/>
        <v/>
      </c>
      <c r="C112" s="173" t="str">
        <f>IF(B112="","",IF(COUNT(B$61:B112)&lt;=E$31,C$33,IF(COUNT(B$61:B112)&lt;=2*E$31,C$34,IF(COUNT(B$61:B112)&lt;=3*E$31,C$35,IF(COUNT(B$61:B112)&lt;=4*E$31,C$36)))))</f>
        <v/>
      </c>
      <c r="D112" s="173" t="str">
        <f>IF(B112="","",IF(C112=C$33,E$33+E$32*(COUNT(B$61:B112)-1),IF(C112=C$34,E$34+E$32*(COUNT(B$61:B112)-E$31-1),IF(C112=C$35,E$34+E$32*(COUNT(B$61:B112)-2*E$31-1),IF(C112=C$36,E$33+E$32*(COUNT(B$61:B112)-3*E$31-1))))))</f>
        <v/>
      </c>
      <c r="E112" s="180" t="str" cm="1">
        <f t="array" ref="E112">IF(C112="","",MAX($C$5,IF(B112=90,IF(OR(D112=E$13,D112=E$14,D112=B$4-E$14,D112=B$4-E$13),C$7,IF(OR(C112=C$20,C112=C$24),C$8,IF(OR(C112=C$21:C$23),C$9))),C$10)))</f>
        <v/>
      </c>
      <c r="F112" s="168"/>
      <c r="G112" s="185" t="str">
        <f t="shared" si="74"/>
        <v/>
      </c>
      <c r="H112" s="173" t="str">
        <f>IF(G112="","",IF(COUNT(G$61:G112)&lt;=J$31,H$33,IF(COUNT(G$61:G112)&lt;=2*J$31,H$34,IF(COUNT(G$61:G112)&lt;=3*J$31,H$35,IF(COUNT(G$61:G112)&lt;=4*J$31,H$36)))))</f>
        <v/>
      </c>
      <c r="I112" s="173" t="str">
        <f>IF(G112="","",IF(H112=H$33,J$33+J$32*(COUNT(G$61:G112)-1),IF(H112=H$34,J$34+J$32*(COUNT(G$61:G112)-J$31-1),IF(H112=H$35,J$34+J$32*(COUNT(G$61:G112)-2*J$31-1),IF(H112=H$36,J$33+J$32*(COUNT(G$61:G112)-3*J$31-1))))))</f>
        <v/>
      </c>
      <c r="J112" s="180" t="str" cm="1">
        <f t="array" ref="J112">IF(H112="","",MAX($C$5,IF(G112=90,IF(OR(I112=J$13,I112=J$14,I112=G$4-J$14,I112=G$4-J$13),H$7,IF(OR(H112=H$20,H112=H$24),H$8,IF(OR(H112=H$21:H$23),H$9))),H$10)))</f>
        <v/>
      </c>
      <c r="K112" s="168"/>
      <c r="L112" s="185" t="str">
        <f t="shared" si="72"/>
        <v/>
      </c>
      <c r="M112" s="173" t="str">
        <f>IF(L112="","",IF(COUNT(L$61:L112)&lt;=O$31,M$33,IF(COUNT(L$61:L112)&lt;=2*O$31,M$34,IF(COUNT(L$61:L112)&lt;=3*O$31,M$35,IF(COUNT(L$61:L112)&lt;=4*O$31,M$36)))))</f>
        <v/>
      </c>
      <c r="N112" s="173" t="str">
        <f>IF(L112="","",IF(M112=M$33,O$33+O$32*(COUNT(L$61:L112)-1),IF(M112=M$34,O$34+O$32*(COUNT(L$61:L112)-O$31-1),IF(M112=M$35,O$34+O$32*(COUNT(L$61:L112)-2*O$31-1),IF(M112=M$36,O$33+O$32*(COUNT(L$61:L112)-3*O$31-1))))))</f>
        <v/>
      </c>
      <c r="O112" s="180" t="str" cm="1">
        <f t="array" ref="O112">IF(M112="","",MAX($C$5,IF(L112=90,IF(OR(N112=O$13,N112=O$14,N112=L$4-O$14,N112=L$4-O$13),M$7,IF(OR(M112=M$20,M112=M$24),M$8,IF(OR(M112=M$21:M$23),M$9))),M$10)))</f>
        <v/>
      </c>
      <c r="P112" s="168"/>
      <c r="Q112" s="185" t="str">
        <f t="shared" si="71"/>
        <v/>
      </c>
      <c r="R112" s="173" t="str">
        <f>IF(Q112="","",IF(COUNT(Q$61:Q112)&lt;=T$31,R$33,IF(COUNT(Q$61:Q112)&lt;=2*T$31,R$34,IF(COUNT(Q$61:Q112)&lt;=3*T$31,R$35,IF(COUNT(Q$61:Q112)&lt;=4*T$31,R$36)))))</f>
        <v/>
      </c>
      <c r="S112" s="173" t="str">
        <f>IF(Q112="","",IF(R112=R$33,T$33+T$32*(COUNT(Q$61:Q112)-1),IF(R112=R$34,T$34+T$32*(COUNT(Q$61:Q112)-T$31-1),IF(R112=R$35,T$34+T$32*(COUNT(Q$61:Q112)-2*T$31-1),IF(R112=R$36,T$33+T$32*(COUNT(Q$61:Q112)-3*T$31-1))))))</f>
        <v/>
      </c>
      <c r="T112" s="180" t="str" cm="1">
        <f t="array" ref="T112">IF(R112="","",MAX($C$5,IF(Q112=90,IF(OR(S112=T$13,S112=T$14,S112=Q$4-T$14,S112=Q$4-T$13),R$7,IF(OR(R112=R$20,R112=R$24),R$8,IF(OR(R112=R$21:R$23),R$9))),R$10)))</f>
        <v/>
      </c>
      <c r="U112" s="168"/>
      <c r="V112" s="185" t="str">
        <f t="shared" si="67"/>
        <v/>
      </c>
      <c r="W112" s="173" t="str">
        <f>IF(V112="","",IF(COUNT(V$61:V112)&lt;=Y$31,W$33,IF(COUNT(V$61:V112)&lt;=2*Y$31,W$34,IF(COUNT(V$61:V112)&lt;=3*Y$31,W$35,IF(COUNT(V$61:V112)&lt;=4*Y$31,W$36)))))</f>
        <v/>
      </c>
      <c r="X112" s="173" t="str">
        <f>IF(V112="","",IF(W112=W$33,Y$33+Y$32*(COUNT(V$61:V112)-1),IF(W112=W$34,Y$34+Y$32*(COUNT(V$61:V112)-Y$31-1),IF(W112=W$35,Y$34+Y$32*(COUNT(V$61:V112)-2*Y$31-1),IF(W112=W$36,Y$33+Y$32*(COUNT(V$61:V112)-3*Y$31-1))))))</f>
        <v/>
      </c>
      <c r="Y112" s="180" t="str" cm="1">
        <f t="array" ref="Y112">IF(W112="","",MAX($C$5,IF(V112=90,IF(OR(X112=Y$13,X112=Y$14,X112=V$4-Y$14,X112=V$4-Y$13),W$7,IF(OR(W112=W$20,W112=W$24),W$8,IF(OR(W112=W$21:W$23),W$9))),W$10)))</f>
        <v/>
      </c>
      <c r="Z112" s="168"/>
      <c r="AA112" s="185" t="str">
        <f t="shared" si="68"/>
        <v/>
      </c>
      <c r="AB112" s="173" t="str">
        <f>IF(AA112="","",IF(COUNT(AA$61:AA112)&lt;=AD$31,AB$33,IF(COUNT(AA$61:AA112)&lt;=2*AD$31,AB$34,IF(COUNT(AA$61:AA112)&lt;=3*AD$31,AB$35,IF(COUNT(AA$61:AA112)&lt;=4*AD$31,AB$36)))))</f>
        <v/>
      </c>
      <c r="AC112" s="173" t="str">
        <f>IF(AA112="","",IF(AB112=AB$33,AD$33+AD$32*(COUNT(AA$61:AA112)-1),IF(AB112=AB$34,AD$34+AD$32*(COUNT(AA$61:AA112)-AD$31-1),IF(AB112=AB$35,AD$34+AD$32*(COUNT(AA$61:AA112)-2*AD$31-1),IF(AB112=AB$36,AD$33+AD$32*(COUNT(AA$61:AA112)-3*AD$31-1))))))</f>
        <v/>
      </c>
      <c r="AD112" s="180" t="str" cm="1">
        <f t="array" ref="AD112">IF(AB112="","",MAX($C$5,IF(AA112=90,IF(OR(AC112=AD$13,AC112=AD$14,AC112=AA$4-AD$14,AC112=AA$4-AD$13),AB$7,IF(OR(AB112=AB$20,AB112=AB$24),AB$8,IF(OR(AB112=AB$21:AB$23),AB$9))),AB$10)))</f>
        <v/>
      </c>
      <c r="AE112" s="168"/>
      <c r="AF112" s="185" t="str">
        <f t="shared" si="69"/>
        <v/>
      </c>
      <c r="AG112" s="173" t="str">
        <f>IF(AF112="","",IF(COUNT(AF$61:AF112)&lt;=AI$31,AG$33,IF(COUNT(AF$61:AF112)&lt;=2*AI$31,AG$34,IF(COUNT(AF$61:AF112)&lt;=3*AI$31,AG$35,IF(COUNT(AF$61:AF112)&lt;=4*AI$31,AG$36)))))</f>
        <v/>
      </c>
      <c r="AH112" s="173" t="str">
        <f>IF(AF112="","",IF(AG112=AG$33,AI$33+AI$32*(COUNT(AF$61:AF112)-1),IF(AG112=AG$34,AI$34+AI$32*(COUNT(AF$61:AF112)-AI$31-1),IF(AG112=AG$35,AI$34+AI$32*(COUNT(AF$61:AF112)-2*AI$31-1),IF(AG112=AG$36,AI$33+AI$32*(COUNT(AF$61:AF112)-3*AI$31-1))))))</f>
        <v/>
      </c>
      <c r="AI112" s="180" t="str" cm="1">
        <f t="array" ref="AI112">IF(AG112="","",MAX($C$5,IF(AF112=90,IF(OR(AH112=AI$13,AH112=AI$14,AH112=AF$4-AI$14,AH112=AF$4-AI$13),AG$7,IF(OR(AG112=AG$20,AG112=AG$24),AG$8,IF(OR(AG112=AG$21:AG$23),AG$9))),AG$10)))</f>
        <v/>
      </c>
      <c r="AJ112" s="168"/>
      <c r="AK112" s="185" t="str">
        <f t="shared" si="70"/>
        <v/>
      </c>
      <c r="AL112" s="173" t="str">
        <f>IF(AK112="","",IF(COUNT(AK$61:AK112)&lt;=AN$31,AL$33,IF(COUNT(AK$61:AK112)&lt;=2*AN$31,AL$34,IF(COUNT(AK$61:AK112)&lt;=3*AN$31,AL$35,IF(COUNT(AK$61:AK112)&lt;=4*AN$31,AL$36)))))</f>
        <v/>
      </c>
      <c r="AM112" s="173" t="str">
        <f>IF(AK112="","",IF(AL112=AL$33,AN$33+AN$32*(COUNT(AK$61:AK112)-1),IF(AL112=AL$34,AN$34+AN$32*(COUNT(AK$61:AK112)-AN$31-1),IF(AL112=AL$35,AN$34+AN$32*(COUNT(AK$61:AK112)-2*AN$31-1),IF(AL112=AL$36,AN$33+AN$32*(COUNT(AK$61:AK112)-3*AN$31-1))))))</f>
        <v/>
      </c>
      <c r="AN112" s="180" t="str" cm="1">
        <f t="array" ref="AN112">IF(AL112="","",MAX($C$5,IF(AK112=90,IF(OR(AM112=AN$13,AM112=AN$14,AM112=AK$4-AN$14,AM112=AK$4-AN$13),AL$7,IF(OR(AL112=AL$20,AL112=AL$24),AL$8,IF(OR(AL112=AL$21:AL$23),AL$9))),AL$10)))</f>
        <v/>
      </c>
      <c r="AO112" s="168"/>
      <c r="AP112" s="241">
        <v>45</v>
      </c>
      <c r="AQ112" s="242">
        <v>10</v>
      </c>
      <c r="AR112" s="242">
        <f t="shared" ref="AR112:AR119" si="75">AP$4-AR101</f>
        <v>980</v>
      </c>
      <c r="AS112" s="180" cm="1">
        <f t="array" ref="AS112">IF(AQ112="","",MAX($C$5,IF(AP112=90,IF(OR(AR112=AS$13,AR112=AS$14,AR112=AP$4-AS$14,AR112=AP$4-AS$13),AQ$7,IF(OR(AQ112=AQ$20,AQ112=AQ$24),AQ$8,IF(OR(AQ112=AQ$21:AQ$23),AQ$9))),AQ$10)))</f>
        <v>18</v>
      </c>
      <c r="AT112" s="277"/>
      <c r="AU112" s="185" t="str">
        <f t="shared" si="57"/>
        <v/>
      </c>
      <c r="AV112" s="173" t="str">
        <f>IF(AU112="","",IF(COUNT(AU$61:AU112)&lt;=AX$31,AV$33,IF(COUNT(AU$61:AU112)&lt;=2*AX$31,AV$34,IF(COUNT(AU$61:AU112)&lt;=3*AX$31,AV$35))))</f>
        <v/>
      </c>
      <c r="AW112" s="173" t="str">
        <f>IF(AU112="","",IF(AV112=AV$33,AX$33+AX$32*(COUNT(AU$61:AU112)-1),IF(AV112=AV$34,AX$34+AX$32*(COUNT(AU$61:AU112)-AX$31-1),IF(AV112=AV$35,AX$33+AX$32*(COUNT(AU$61:AU112)-2*AX$31-1)))))</f>
        <v/>
      </c>
      <c r="AX112" s="180" t="str" cm="1">
        <f t="array" ref="AX112">IF(AV112="","",MAX($C$5,IF(AU112=90,IF(OR(AW112=AX$13,AW112=AX$14,AW112=AU$4-AX$14,AW112=AU$4-AX$13),AV$7,IF(OR(AV112=AV$20,AV112=AV$24),AV$8,IF(OR(AV112=AV$21:AV$23),AV$9))),AV$10)))</f>
        <v/>
      </c>
      <c r="AY112" s="168"/>
      <c r="AZ112" s="185" t="str">
        <f t="shared" si="58"/>
        <v/>
      </c>
      <c r="BA112" s="173" t="str">
        <f>IF(AZ112="","",IF(COUNT(AZ$61:AZ112)&lt;=BC$31,BA$33,IF(COUNT(AZ$61:AZ112)&lt;=2*BC$31,BA$34,IF(COUNT(AZ$61:AZ112)&lt;=3*BC$31,BA$35))))</f>
        <v/>
      </c>
      <c r="BB112" s="173" t="str">
        <f>IF(AZ112="","",IF(BA112=BA$33,BC$33+BC$32*(COUNT(AZ$61:AZ112)-1),IF(BA112=BA$34,BC$34+BC$32*(COUNT(AZ$61:AZ112)-BC$31-1),IF(BA112=BA$35,BC$33+BC$32*(COUNT(AZ$61:AZ112)-2*BC$31-1)))))</f>
        <v/>
      </c>
      <c r="BC112" s="180" t="str" cm="1">
        <f t="array" ref="BC112">IF(BA112="","",MAX($C$5,IF(AZ112=90,IF(OR(BB112=BC$13,BB112=BC$14,BB112=AZ$4-BC$14,BB112=AZ$4-BC$13),BA$7,IF(OR(BA112=BA$20,BA112=BA$24),BA$8,IF(OR(BA112=BA$21:BA$23),BA$9))),BA$10)))</f>
        <v/>
      </c>
      <c r="BD112" s="168"/>
      <c r="BE112" s="185" t="str">
        <f t="shared" si="59"/>
        <v/>
      </c>
      <c r="BF112" s="173" t="str">
        <f>IF(BE112="","",IF(COUNT(BE$61:BE112)&lt;=BH$31,BF$33,IF(COUNT(BE$61:BE112)&lt;=2*BH$31,BF$34,IF(COUNT(BE$61:BE112)&lt;=3*BH$31,BF$35))))</f>
        <v/>
      </c>
      <c r="BG112" s="173" t="str">
        <f>IF(BE112="","",IF(BF112=BF$33,BH$33+BH$32*(COUNT(BE$61:BE112)-1),IF(BF112=BF$34,BH$34+BH$32*(COUNT(BE$61:BE112)-BH$31-1),IF(BF112=BF$35,BH$33+BH$32*(COUNT(BE$61:BE112)-2*BH$31-1)))))</f>
        <v/>
      </c>
      <c r="BH112" s="180" t="str" cm="1">
        <f t="array" ref="BH112">IF(BF112="","",MAX($C$5,IF(BE112=90,IF(OR(BG112=BH$13,BG112=BH$14,BG112=BE$4-BH$14,BG112=BE$4-BH$13),BF$7,IF(OR(BF112=BF$20,BF112=BF$24),BF$8,IF(OR(BF112=BF$21:BF$23),BF$9))),BF$10)))</f>
        <v/>
      </c>
      <c r="BI112" s="277"/>
      <c r="BJ112" s="185" t="str">
        <f t="shared" si="60"/>
        <v/>
      </c>
      <c r="BK112" s="173" t="str">
        <f>IF(BJ112="","",IF(COUNT(BJ$61:BJ112)&lt;=BM$31-1,BK$33,IF(COUNT(BJ$61:BJ112)&lt;=2*BM$31-1,BK$34)))</f>
        <v/>
      </c>
      <c r="BL112" s="173" t="str">
        <f>IF(BJ112="","",IF(BK112=BK$33,BM$33+BM$32*(COUNT(BJ$61:BJ112)-1),IF(BK112=BK$34,BM$34+BM$32*(COUNT(BJ$61:BJ112)-BM$31))))</f>
        <v/>
      </c>
      <c r="BM112" s="180" t="str" cm="1">
        <f t="array" ref="BM112">IF(BK112="","",MAX($C$5,IF(BJ112=90,IF(OR(BL112=BM$13,BL112=BM$14,BL112=BJ$4-BM$14,BL112=BJ$4-BM$13),BK$7,IF(OR(BK112=BK$20,BK112=BK$24),BK$8,IF(OR(BK112=BK$21:BK$23),BK$9))),BK$10)))</f>
        <v/>
      </c>
      <c r="BN112" s="168"/>
      <c r="BO112" s="185" t="str">
        <f t="shared" si="61"/>
        <v/>
      </c>
      <c r="BP112" s="173" t="str">
        <f>IF(BO112="","",IF(COUNT(BO$61:BO112)&lt;=BR$31-1,BP$33,IF(COUNT(BO$61:BO112)&lt;=2*BR$31-1,BP$34)))</f>
        <v/>
      </c>
      <c r="BQ112" s="173" t="str">
        <f>IF(BO112="","",IF(BP112=BP$33,BR$33+BR$32*(COUNT(BO$61:BO112)-1),IF(BP112=BP$34,BR$34+BR$32*(COUNT(BO$61:BO112)-BR$31))))</f>
        <v/>
      </c>
      <c r="BR112" s="180" t="str" cm="1">
        <f t="array" ref="BR112">IF(BP112="","",MAX($C$5,IF(BO112=90,IF(OR(BQ112=BR$13,BQ112=BR$14,BQ112=BO$4-BR$14,BQ112=BO$4-BR$13),BP$7,IF(OR(BP112=BP$20,BP112=BP$24),BP$8,IF(OR(BP112=BP$21:BP$23),BP$9))),BP$10)))</f>
        <v/>
      </c>
      <c r="BS112" s="168"/>
      <c r="BT112" s="185" t="str">
        <f t="shared" si="62"/>
        <v/>
      </c>
      <c r="BU112" s="173" t="str">
        <f>IF(BT112="","",IF(COUNT(BT$61:BT112)&lt;=BW$31-1,BU$33,IF(COUNT(BT$61:BT112)&lt;=2*BW$31-1,BU$34)))</f>
        <v/>
      </c>
      <c r="BV112" s="173" t="str">
        <f>IF(BT112="","",IF(BU112=BU$33,BW$33+BW$32*(COUNT(BT$61:BT112)-1),IF(BU112=BU$34,BW$34+BW$32*(COUNT(BT$61:BT112)-BW$31))))</f>
        <v/>
      </c>
      <c r="BW112" s="180" t="str" cm="1">
        <f t="array" ref="BW112">IF(BU112="","",MAX($C$5,IF(BT112=90,IF(OR(BV112=BW$13,BV112=BW$14,BV112=BT$4-BW$14,BV112=BT$4-BW$13),BU$7,IF(OR(BU112=BU$20,BU112=BU$24),BU$8,IF(OR(BU112=BU$21:BU$23),BU$9))),BU$10)))</f>
        <v/>
      </c>
      <c r="BX112" s="288"/>
    </row>
    <row r="113" spans="1:91">
      <c r="A113" s="168"/>
      <c r="B113" s="185" t="str">
        <f t="shared" si="73"/>
        <v/>
      </c>
      <c r="C113" s="173" t="str">
        <f>IF(B113="","",IF(COUNT(B$61:B113)&lt;=E$31,C$33,IF(COUNT(B$61:B113)&lt;=2*E$31,C$34,IF(COUNT(B$61:B113)&lt;=3*E$31,C$35,IF(COUNT(B$61:B113)&lt;=4*E$31,C$36)))))</f>
        <v/>
      </c>
      <c r="D113" s="173" t="str">
        <f>IF(B113="","",IF(C113=C$33,E$33+E$32*(COUNT(B$61:B113)-1),IF(C113=C$34,E$34+E$32*(COUNT(B$61:B113)-E$31-1),IF(C113=C$35,E$34+E$32*(COUNT(B$61:B113)-2*E$31-1),IF(C113=C$36,E$33+E$32*(COUNT(B$61:B113)-3*E$31-1))))))</f>
        <v/>
      </c>
      <c r="E113" s="180" t="str" cm="1">
        <f t="array" ref="E113">IF(C113="","",MAX($C$5,IF(B113=90,IF(OR(D113=E$13,D113=E$14,D113=B$4-E$14,D113=B$4-E$13),C$7,IF(OR(C113=C$20,C113=C$24),C$8,IF(OR(C113=C$21:C$23),C$9))),C$10)))</f>
        <v/>
      </c>
      <c r="F113" s="168"/>
      <c r="G113" s="185" t="str">
        <f t="shared" si="74"/>
        <v/>
      </c>
      <c r="H113" s="173" t="str">
        <f>IF(G113="","",IF(COUNT(G$61:G113)&lt;=J$31,H$33,IF(COUNT(G$61:G113)&lt;=2*J$31,H$34,IF(COUNT(G$61:G113)&lt;=3*J$31,H$35,IF(COUNT(G$61:G113)&lt;=4*J$31,H$36)))))</f>
        <v/>
      </c>
      <c r="I113" s="173" t="str">
        <f>IF(G113="","",IF(H113=H$33,J$33+J$32*(COUNT(G$61:G113)-1),IF(H113=H$34,J$34+J$32*(COUNT(G$61:G113)-J$31-1),IF(H113=H$35,J$34+J$32*(COUNT(G$61:G113)-2*J$31-1),IF(H113=H$36,J$33+J$32*(COUNT(G$61:G113)-3*J$31-1))))))</f>
        <v/>
      </c>
      <c r="J113" s="180" t="str" cm="1">
        <f t="array" ref="J113">IF(H113="","",MAX($C$5,IF(G113=90,IF(OR(I113=J$13,I113=J$14,I113=G$4-J$14,I113=G$4-J$13),H$7,IF(OR(H113=H$20,H113=H$24),H$8,IF(OR(H113=H$21:H$23),H$9))),H$10)))</f>
        <v/>
      </c>
      <c r="K113" s="168"/>
      <c r="L113" s="185" t="str">
        <f t="shared" si="72"/>
        <v/>
      </c>
      <c r="M113" s="173" t="str">
        <f>IF(L113="","",IF(COUNT(L$61:L113)&lt;=O$31,M$33,IF(COUNT(L$61:L113)&lt;=2*O$31,M$34,IF(COUNT(L$61:L113)&lt;=3*O$31,M$35,IF(COUNT(L$61:L113)&lt;=4*O$31,M$36)))))</f>
        <v/>
      </c>
      <c r="N113" s="173" t="str">
        <f>IF(L113="","",IF(M113=M$33,O$33+O$32*(COUNT(L$61:L113)-1),IF(M113=M$34,O$34+O$32*(COUNT(L$61:L113)-O$31-1),IF(M113=M$35,O$34+O$32*(COUNT(L$61:L113)-2*O$31-1),IF(M113=M$36,O$33+O$32*(COUNT(L$61:L113)-3*O$31-1))))))</f>
        <v/>
      </c>
      <c r="O113" s="180" t="str" cm="1">
        <f t="array" ref="O113">IF(M113="","",MAX($C$5,IF(L113=90,IF(OR(N113=O$13,N113=O$14,N113=L$4-O$14,N113=L$4-O$13),M$7,IF(OR(M113=M$20,M113=M$24),M$8,IF(OR(M113=M$21:M$23),M$9))),M$10)))</f>
        <v/>
      </c>
      <c r="P113" s="168"/>
      <c r="Q113" s="185" t="str">
        <f t="shared" si="71"/>
        <v/>
      </c>
      <c r="R113" s="173" t="str">
        <f>IF(Q113="","",IF(COUNT(Q$61:Q113)&lt;=T$31,R$33,IF(COUNT(Q$61:Q113)&lt;=2*T$31,R$34,IF(COUNT(Q$61:Q113)&lt;=3*T$31,R$35,IF(COUNT(Q$61:Q113)&lt;=4*T$31,R$36)))))</f>
        <v/>
      </c>
      <c r="S113" s="173" t="str">
        <f>IF(Q113="","",IF(R113=R$33,T$33+T$32*(COUNT(Q$61:Q113)-1),IF(R113=R$34,T$34+T$32*(COUNT(Q$61:Q113)-T$31-1),IF(R113=R$35,T$34+T$32*(COUNT(Q$61:Q113)-2*T$31-1),IF(R113=R$36,T$33+T$32*(COUNT(Q$61:Q113)-3*T$31-1))))))</f>
        <v/>
      </c>
      <c r="T113" s="180" t="str" cm="1">
        <f t="array" ref="T113">IF(R113="","",MAX($C$5,IF(Q113=90,IF(OR(S113=T$13,S113=T$14,S113=Q$4-T$14,S113=Q$4-T$13),R$7,IF(OR(R113=R$20,R113=R$24),R$8,IF(OR(R113=R$21:R$23),R$9))),R$10)))</f>
        <v/>
      </c>
      <c r="U113" s="168"/>
      <c r="V113" s="185" t="str">
        <f t="shared" si="67"/>
        <v/>
      </c>
      <c r="W113" s="173" t="str">
        <f>IF(V113="","",IF(COUNT(V$61:V113)&lt;=Y$31,W$33,IF(COUNT(V$61:V113)&lt;=2*Y$31,W$34,IF(COUNT(V$61:V113)&lt;=3*Y$31,W$35,IF(COUNT(V$61:V113)&lt;=4*Y$31,W$36)))))</f>
        <v/>
      </c>
      <c r="X113" s="173" t="str">
        <f>IF(V113="","",IF(W113=W$33,Y$33+Y$32*(COUNT(V$61:V113)-1),IF(W113=W$34,Y$34+Y$32*(COUNT(V$61:V113)-Y$31-1),IF(W113=W$35,Y$34+Y$32*(COUNT(V$61:V113)-2*Y$31-1),IF(W113=W$36,Y$33+Y$32*(COUNT(V$61:V113)-3*Y$31-1))))))</f>
        <v/>
      </c>
      <c r="Y113" s="180" t="str" cm="1">
        <f t="array" ref="Y113">IF(W113="","",MAX($C$5,IF(V113=90,IF(OR(X113=Y$13,X113=Y$14,X113=V$4-Y$14,X113=V$4-Y$13),W$7,IF(OR(W113=W$20,W113=W$24),W$8,IF(OR(W113=W$21:W$23),W$9))),W$10)))</f>
        <v/>
      </c>
      <c r="Z113" s="168"/>
      <c r="AA113" s="185" t="str">
        <f t="shared" si="68"/>
        <v/>
      </c>
      <c r="AB113" s="173" t="str">
        <f>IF(AA113="","",IF(COUNT(AA$61:AA113)&lt;=AD$31,AB$33,IF(COUNT(AA$61:AA113)&lt;=2*AD$31,AB$34,IF(COUNT(AA$61:AA113)&lt;=3*AD$31,AB$35,IF(COUNT(AA$61:AA113)&lt;=4*AD$31,AB$36)))))</f>
        <v/>
      </c>
      <c r="AC113" s="173" t="str">
        <f>IF(AA113="","",IF(AB113=AB$33,AD$33+AD$32*(COUNT(AA$61:AA113)-1),IF(AB113=AB$34,AD$34+AD$32*(COUNT(AA$61:AA113)-AD$31-1),IF(AB113=AB$35,AD$34+AD$32*(COUNT(AA$61:AA113)-2*AD$31-1),IF(AB113=AB$36,AD$33+AD$32*(COUNT(AA$61:AA113)-3*AD$31-1))))))</f>
        <v/>
      </c>
      <c r="AD113" s="180" t="str" cm="1">
        <f t="array" ref="AD113">IF(AB113="","",MAX($C$5,IF(AA113=90,IF(OR(AC113=AD$13,AC113=AD$14,AC113=AA$4-AD$14,AC113=AA$4-AD$13),AB$7,IF(OR(AB113=AB$20,AB113=AB$24),AB$8,IF(OR(AB113=AB$21:AB$23),AB$9))),AB$10)))</f>
        <v/>
      </c>
      <c r="AE113" s="168"/>
      <c r="AF113" s="185" t="str">
        <f t="shared" si="69"/>
        <v/>
      </c>
      <c r="AG113" s="173" t="str">
        <f>IF(AF113="","",IF(COUNT(AF$61:AF113)&lt;=AI$31,AG$33,IF(COUNT(AF$61:AF113)&lt;=2*AI$31,AG$34,IF(COUNT(AF$61:AF113)&lt;=3*AI$31,AG$35,IF(COUNT(AF$61:AF113)&lt;=4*AI$31,AG$36)))))</f>
        <v/>
      </c>
      <c r="AH113" s="173" t="str">
        <f>IF(AF113="","",IF(AG113=AG$33,AI$33+AI$32*(COUNT(AF$61:AF113)-1),IF(AG113=AG$34,AI$34+AI$32*(COUNT(AF$61:AF113)-AI$31-1),IF(AG113=AG$35,AI$34+AI$32*(COUNT(AF$61:AF113)-2*AI$31-1),IF(AG113=AG$36,AI$33+AI$32*(COUNT(AF$61:AF113)-3*AI$31-1))))))</f>
        <v/>
      </c>
      <c r="AI113" s="180" t="str" cm="1">
        <f t="array" ref="AI113">IF(AG113="","",MAX($C$5,IF(AF113=90,IF(OR(AH113=AI$13,AH113=AI$14,AH113=AF$4-AI$14,AH113=AF$4-AI$13),AG$7,IF(OR(AG113=AG$20,AG113=AG$24),AG$8,IF(OR(AG113=AG$21:AG$23),AG$9))),AG$10)))</f>
        <v/>
      </c>
      <c r="AJ113" s="168"/>
      <c r="AK113" s="185" t="str">
        <f t="shared" si="70"/>
        <v/>
      </c>
      <c r="AL113" s="173" t="str">
        <f>IF(AK113="","",IF(COUNT(AK$61:AK113)&lt;=AN$31,AL$33,IF(COUNT(AK$61:AK113)&lt;=2*AN$31,AL$34,IF(COUNT(AK$61:AK113)&lt;=3*AN$31,AL$35,IF(COUNT(AK$61:AK113)&lt;=4*AN$31,AL$36)))))</f>
        <v/>
      </c>
      <c r="AM113" s="173" t="str">
        <f>IF(AK113="","",IF(AL113=AL$33,AN$33+AN$32*(COUNT(AK$61:AK113)-1),IF(AL113=AL$34,AN$34+AN$32*(COUNT(AK$61:AK113)-AN$31-1),IF(AL113=AL$35,AN$34+AN$32*(COUNT(AK$61:AK113)-2*AN$31-1),IF(AL113=AL$36,AN$33+AN$32*(COUNT(AK$61:AK113)-3*AN$31-1))))))</f>
        <v/>
      </c>
      <c r="AN113" s="180" t="str" cm="1">
        <f t="array" ref="AN113">IF(AL113="","",MAX($C$5,IF(AK113=90,IF(OR(AM113=AN$13,AM113=AN$14,AM113=AK$4-AN$14,AM113=AK$4-AN$13),AL$7,IF(OR(AL113=AL$20,AL113=AL$24),AL$8,IF(OR(AL113=AL$21:AL$23),AL$9))),AL$10)))</f>
        <v/>
      </c>
      <c r="AO113" s="168"/>
      <c r="AP113" s="244">
        <v>45</v>
      </c>
      <c r="AQ113" s="245">
        <v>10</v>
      </c>
      <c r="AR113" s="245">
        <f t="shared" si="75"/>
        <v>923</v>
      </c>
      <c r="AS113" s="180" cm="1">
        <f t="array" ref="AS113">IF(AQ113="","",MAX($C$5,IF(AP113=90,IF(OR(AR113=AS$13,AR113=AS$14,AR113=AP$4-AS$14,AR113=AP$4-AS$13),AQ$7,IF(OR(AQ113=AQ$20,AQ113=AQ$24),AQ$8,IF(OR(AQ113=AQ$21:AQ$23),AQ$9))),AQ$10)))</f>
        <v>18</v>
      </c>
      <c r="AT113" s="277"/>
      <c r="AU113" s="185" t="str">
        <f t="shared" si="57"/>
        <v/>
      </c>
      <c r="AV113" s="173" t="str">
        <f>IF(AU113="","",IF(COUNT(AU$61:AU113)&lt;=AX$31,AV$33,IF(COUNT(AU$61:AU113)&lt;=2*AX$31,AV$34,IF(COUNT(AU$61:AU113)&lt;=3*AX$31,AV$35))))</f>
        <v/>
      </c>
      <c r="AW113" s="173" t="str">
        <f>IF(AU113="","",IF(AV113=AV$33,AX$33+AX$32*(COUNT(AU$61:AU113)-1),IF(AV113=AV$34,AX$34+AX$32*(COUNT(AU$61:AU113)-AX$31-1),IF(AV113=AV$35,AX$33+AX$32*(COUNT(AU$61:AU113)-2*AX$31-1)))))</f>
        <v/>
      </c>
      <c r="AX113" s="180" t="str" cm="1">
        <f t="array" ref="AX113">IF(AV113="","",MAX($C$5,IF(AU113=90,IF(OR(AW113=AX$13,AW113=AX$14,AW113=AU$4-AX$14,AW113=AU$4-AX$13),AV$7,IF(OR(AV113=AV$20,AV113=AV$24),AV$8,IF(OR(AV113=AV$21:AV$23),AV$9))),AV$10)))</f>
        <v/>
      </c>
      <c r="AY113" s="168"/>
      <c r="AZ113" s="185" t="str">
        <f t="shared" si="58"/>
        <v/>
      </c>
      <c r="BA113" s="173" t="str">
        <f>IF(AZ113="","",IF(COUNT(AZ$61:AZ113)&lt;=BC$31,BA$33,IF(COUNT(AZ$61:AZ113)&lt;=2*BC$31,BA$34,IF(COUNT(AZ$61:AZ113)&lt;=3*BC$31,BA$35))))</f>
        <v/>
      </c>
      <c r="BB113" s="173" t="str">
        <f>IF(AZ113="","",IF(BA113=BA$33,BC$33+BC$32*(COUNT(AZ$61:AZ113)-1),IF(BA113=BA$34,BC$34+BC$32*(COUNT(AZ$61:AZ113)-BC$31-1),IF(BA113=BA$35,BC$33+BC$32*(COUNT(AZ$61:AZ113)-2*BC$31-1)))))</f>
        <v/>
      </c>
      <c r="BC113" s="180" t="str" cm="1">
        <f t="array" ref="BC113">IF(BA113="","",MAX($C$5,IF(AZ113=90,IF(OR(BB113=BC$13,BB113=BC$14,BB113=AZ$4-BC$14,BB113=AZ$4-BC$13),BA$7,IF(OR(BA113=BA$20,BA113=BA$24),BA$8,IF(OR(BA113=BA$21:BA$23),BA$9))),BA$10)))</f>
        <v/>
      </c>
      <c r="BD113" s="168"/>
      <c r="BE113" s="185" t="str">
        <f t="shared" si="59"/>
        <v/>
      </c>
      <c r="BF113" s="173" t="str">
        <f>IF(BE113="","",IF(COUNT(BE$61:BE113)&lt;=BH$31,BF$33,IF(COUNT(BE$61:BE113)&lt;=2*BH$31,BF$34,IF(COUNT(BE$61:BE113)&lt;=3*BH$31,BF$35))))</f>
        <v/>
      </c>
      <c r="BG113" s="173" t="str">
        <f>IF(BE113="","",IF(BF113=BF$33,BH$33+BH$32*(COUNT(BE$61:BE113)-1),IF(BF113=BF$34,BH$34+BH$32*(COUNT(BE$61:BE113)-BH$31-1),IF(BF113=BF$35,BH$33+BH$32*(COUNT(BE$61:BE113)-2*BH$31-1)))))</f>
        <v/>
      </c>
      <c r="BH113" s="180" t="str" cm="1">
        <f t="array" ref="BH113">IF(BF113="","",MAX($C$5,IF(BE113=90,IF(OR(BG113=BH$13,BG113=BH$14,BG113=BE$4-BH$14,BG113=BE$4-BH$13),BF$7,IF(OR(BF113=BF$20,BF113=BF$24),BF$8,IF(OR(BF113=BF$21:BF$23),BF$9))),BF$10)))</f>
        <v/>
      </c>
      <c r="BI113" s="277"/>
      <c r="BJ113" s="185" t="str">
        <f t="shared" si="60"/>
        <v/>
      </c>
      <c r="BK113" s="173" t="str">
        <f>IF(BJ113="","",IF(COUNT(BJ$61:BJ113)&lt;=BM$31-1,BK$33,IF(COUNT(BJ$61:BJ113)&lt;=2*BM$31-1,BK$34)))</f>
        <v/>
      </c>
      <c r="BL113" s="173" t="str">
        <f>IF(BJ113="","",IF(BK113=BK$33,BM$33+BM$32*(COUNT(BJ$61:BJ113)-1),IF(BK113=BK$34,BM$34+BM$32*(COUNT(BJ$61:BJ113)-BM$31))))</f>
        <v/>
      </c>
      <c r="BM113" s="180" t="str" cm="1">
        <f t="array" ref="BM113">IF(BK113="","",MAX($C$5,IF(BJ113=90,IF(OR(BL113=BM$13,BL113=BM$14,BL113=BJ$4-BM$14,BL113=BJ$4-BM$13),BK$7,IF(OR(BK113=BK$20,BK113=BK$24),BK$8,IF(OR(BK113=BK$21:BK$23),BK$9))),BK$10)))</f>
        <v/>
      </c>
      <c r="BN113" s="168"/>
      <c r="BO113" s="185" t="str">
        <f t="shared" si="61"/>
        <v/>
      </c>
      <c r="BP113" s="173" t="str">
        <f>IF(BO113="","",IF(COUNT(BO$61:BO113)&lt;=BR$31-1,BP$33,IF(COUNT(BO$61:BO113)&lt;=2*BR$31-1,BP$34)))</f>
        <v/>
      </c>
      <c r="BQ113" s="173" t="str">
        <f>IF(BO113="","",IF(BP113=BP$33,BR$33+BR$32*(COUNT(BO$61:BO113)-1),IF(BP113=BP$34,BR$34+BR$32*(COUNT(BO$61:BO113)-BR$31))))</f>
        <v/>
      </c>
      <c r="BR113" s="180" t="str" cm="1">
        <f t="array" ref="BR113">IF(BP113="","",MAX($C$5,IF(BO113=90,IF(OR(BQ113=BR$13,BQ113=BR$14,BQ113=BO$4-BR$14,BQ113=BO$4-BR$13),BP$7,IF(OR(BP113=BP$20,BP113=BP$24),BP$8,IF(OR(BP113=BP$21:BP$23),BP$9))),BP$10)))</f>
        <v/>
      </c>
      <c r="BS113" s="168"/>
      <c r="BT113" s="185" t="str">
        <f t="shared" si="62"/>
        <v/>
      </c>
      <c r="BU113" s="173" t="str">
        <f>IF(BT113="","",IF(COUNT(BT$61:BT113)&lt;=BW$31-1,BU$33,IF(COUNT(BT$61:BT113)&lt;=2*BW$31-1,BU$34)))</f>
        <v/>
      </c>
      <c r="BV113" s="173" t="str">
        <f>IF(BT113="","",IF(BU113=BU$33,BW$33+BW$32*(COUNT(BT$61:BT113)-1),IF(BU113=BU$34,BW$34+BW$32*(COUNT(BT$61:BT113)-BW$31))))</f>
        <v/>
      </c>
      <c r="BW113" s="180" t="str" cm="1">
        <f t="array" ref="BW113">IF(BU113="","",MAX($C$5,IF(BT113=90,IF(OR(BV113=BW$13,BV113=BW$14,BV113=BT$4-BW$14,BV113=BT$4-BW$13),BU$7,IF(OR(BU113=BU$20,BU113=BU$24),BU$8,IF(OR(BU113=BU$21:BU$23),BU$9))),BU$10)))</f>
        <v/>
      </c>
      <c r="BX113" s="288"/>
    </row>
    <row r="114" spans="1:91">
      <c r="A114" s="168"/>
      <c r="B114" s="185" t="str">
        <f t="shared" si="73"/>
        <v/>
      </c>
      <c r="C114" s="173" t="str">
        <f>IF(B114="","",IF(COUNT(B$61:B114)&lt;=E$31,C$33,IF(COUNT(B$61:B114)&lt;=2*E$31,C$34,IF(COUNT(B$61:B114)&lt;=3*E$31,C$35,IF(COUNT(B$61:B114)&lt;=4*E$31,C$36)))))</f>
        <v/>
      </c>
      <c r="D114" s="173" t="str">
        <f>IF(B114="","",IF(C114=C$33,E$33+E$32*(COUNT(B$61:B114)-1),IF(C114=C$34,E$34+E$32*(COUNT(B$61:B114)-E$31-1),IF(C114=C$35,E$34+E$32*(COUNT(B$61:B114)-2*E$31-1),IF(C114=C$36,E$33+E$32*(COUNT(B$61:B114)-3*E$31-1))))))</f>
        <v/>
      </c>
      <c r="E114" s="180" t="str" cm="1">
        <f t="array" ref="E114">IF(C114="","",MAX($C$5,IF(B114=90,IF(OR(D114=E$13,D114=E$14,D114=B$4-E$14,D114=B$4-E$13),C$7,IF(OR(C114=C$20,C114=C$24),C$8,IF(OR(C114=C$21:C$23),C$9))),C$10)))</f>
        <v/>
      </c>
      <c r="F114" s="168"/>
      <c r="G114" s="185" t="str">
        <f t="shared" si="74"/>
        <v/>
      </c>
      <c r="H114" s="173" t="str">
        <f>IF(G114="","",IF(COUNT(G$61:G114)&lt;=J$31,H$33,IF(COUNT(G$61:G114)&lt;=2*J$31,H$34,IF(COUNT(G$61:G114)&lt;=3*J$31,H$35,IF(COUNT(G$61:G114)&lt;=4*J$31,H$36)))))</f>
        <v/>
      </c>
      <c r="I114" s="173" t="str">
        <f>IF(G114="","",IF(H114=H$33,J$33+J$32*(COUNT(G$61:G114)-1),IF(H114=H$34,J$34+J$32*(COUNT(G$61:G114)-J$31-1),IF(H114=H$35,J$34+J$32*(COUNT(G$61:G114)-2*J$31-1),IF(H114=H$36,J$33+J$32*(COUNT(G$61:G114)-3*J$31-1))))))</f>
        <v/>
      </c>
      <c r="J114" s="180" t="str" cm="1">
        <f t="array" ref="J114">IF(H114="","",MAX($C$5,IF(G114=90,IF(OR(I114=J$13,I114=J$14,I114=G$4-J$14,I114=G$4-J$13),H$7,IF(OR(H114=H$20,H114=H$24),H$8,IF(OR(H114=H$21:H$23),H$9))),H$10)))</f>
        <v/>
      </c>
      <c r="K114" s="168"/>
      <c r="L114" s="185" t="str">
        <f t="shared" si="72"/>
        <v/>
      </c>
      <c r="M114" s="173" t="str">
        <f>IF(L114="","",IF(COUNT(L$61:L114)&lt;=O$31,M$33,IF(COUNT(L$61:L114)&lt;=2*O$31,M$34,IF(COUNT(L$61:L114)&lt;=3*O$31,M$35,IF(COUNT(L$61:L114)&lt;=4*O$31,M$36)))))</f>
        <v/>
      </c>
      <c r="N114" s="173" t="str">
        <f>IF(L114="","",IF(M114=M$33,O$33+O$32*(COUNT(L$61:L114)-1),IF(M114=M$34,O$34+O$32*(COUNT(L$61:L114)-O$31-1),IF(M114=M$35,O$34+O$32*(COUNT(L$61:L114)-2*O$31-1),IF(M114=M$36,O$33+O$32*(COUNT(L$61:L114)-3*O$31-1))))))</f>
        <v/>
      </c>
      <c r="O114" s="180" t="str" cm="1">
        <f t="array" ref="O114">IF(M114="","",MAX($C$5,IF(L114=90,IF(OR(N114=O$13,N114=O$14,N114=L$4-O$14,N114=L$4-O$13),M$7,IF(OR(M114=M$20,M114=M$24),M$8,IF(OR(M114=M$21:M$23),M$9))),M$10)))</f>
        <v/>
      </c>
      <c r="P114" s="168"/>
      <c r="Q114" s="185" t="str">
        <f t="shared" si="71"/>
        <v/>
      </c>
      <c r="R114" s="173" t="str">
        <f>IF(Q114="","",IF(COUNT(Q$61:Q114)&lt;=T$31,R$33,IF(COUNT(Q$61:Q114)&lt;=2*T$31,R$34,IF(COUNT(Q$61:Q114)&lt;=3*T$31,R$35,IF(COUNT(Q$61:Q114)&lt;=4*T$31,R$36)))))</f>
        <v/>
      </c>
      <c r="S114" s="173" t="str">
        <f>IF(Q114="","",IF(R114=R$33,T$33+T$32*(COUNT(Q$61:Q114)-1),IF(R114=R$34,T$34+T$32*(COUNT(Q$61:Q114)-T$31-1),IF(R114=R$35,T$34+T$32*(COUNT(Q$61:Q114)-2*T$31-1),IF(R114=R$36,T$33+T$32*(COUNT(Q$61:Q114)-3*T$31-1))))))</f>
        <v/>
      </c>
      <c r="T114" s="180" t="str" cm="1">
        <f t="array" ref="T114">IF(R114="","",MAX($C$5,IF(Q114=90,IF(OR(S114=T$13,S114=T$14,S114=Q$4-T$14,S114=Q$4-T$13),R$7,IF(OR(R114=R$20,R114=R$24),R$8,IF(OR(R114=R$21:R$23),R$9))),R$10)))</f>
        <v/>
      </c>
      <c r="U114" s="168"/>
      <c r="V114" s="185" t="str">
        <f t="shared" si="67"/>
        <v/>
      </c>
      <c r="W114" s="173" t="str">
        <f>IF(V114="","",IF(COUNT(V$61:V114)&lt;=Y$31,W$33,IF(COUNT(V$61:V114)&lt;=2*Y$31,W$34,IF(COUNT(V$61:V114)&lt;=3*Y$31,W$35,IF(COUNT(V$61:V114)&lt;=4*Y$31,W$36)))))</f>
        <v/>
      </c>
      <c r="X114" s="173" t="str">
        <f>IF(V114="","",IF(W114=W$33,Y$33+Y$32*(COUNT(V$61:V114)-1),IF(W114=W$34,Y$34+Y$32*(COUNT(V$61:V114)-Y$31-1),IF(W114=W$35,Y$34+Y$32*(COUNT(V$61:V114)-2*Y$31-1),IF(W114=W$36,Y$33+Y$32*(COUNT(V$61:V114)-3*Y$31-1))))))</f>
        <v/>
      </c>
      <c r="Y114" s="180" t="str" cm="1">
        <f t="array" ref="Y114">IF(W114="","",MAX($C$5,IF(V114=90,IF(OR(X114=Y$13,X114=Y$14,X114=V$4-Y$14,X114=V$4-Y$13),W$7,IF(OR(W114=W$20,W114=W$24),W$8,IF(OR(W114=W$21:W$23),W$9))),W$10)))</f>
        <v/>
      </c>
      <c r="Z114" s="168"/>
      <c r="AA114" s="185" t="str">
        <f t="shared" si="68"/>
        <v/>
      </c>
      <c r="AB114" s="173" t="str">
        <f>IF(AA114="","",IF(COUNT(AA$61:AA114)&lt;=AD$31,AB$33,IF(COUNT(AA$61:AA114)&lt;=2*AD$31,AB$34,IF(COUNT(AA$61:AA114)&lt;=3*AD$31,AB$35,IF(COUNT(AA$61:AA114)&lt;=4*AD$31,AB$36)))))</f>
        <v/>
      </c>
      <c r="AC114" s="173" t="str">
        <f>IF(AA114="","",IF(AB114=AB$33,AD$33+AD$32*(COUNT(AA$61:AA114)-1),IF(AB114=AB$34,AD$34+AD$32*(COUNT(AA$61:AA114)-AD$31-1),IF(AB114=AB$35,AD$34+AD$32*(COUNT(AA$61:AA114)-2*AD$31-1),IF(AB114=AB$36,AD$33+AD$32*(COUNT(AA$61:AA114)-3*AD$31-1))))))</f>
        <v/>
      </c>
      <c r="AD114" s="180" t="str" cm="1">
        <f t="array" ref="AD114">IF(AB114="","",MAX($C$5,IF(AA114=90,IF(OR(AC114=AD$13,AC114=AD$14,AC114=AA$4-AD$14,AC114=AA$4-AD$13),AB$7,IF(OR(AB114=AB$20,AB114=AB$24),AB$8,IF(OR(AB114=AB$21:AB$23),AB$9))),AB$10)))</f>
        <v/>
      </c>
      <c r="AE114" s="168"/>
      <c r="AF114" s="185" t="str">
        <f t="shared" si="69"/>
        <v/>
      </c>
      <c r="AG114" s="173" t="str">
        <f>IF(AF114="","",IF(COUNT(AF$61:AF114)&lt;=AI$31,AG$33,IF(COUNT(AF$61:AF114)&lt;=2*AI$31,AG$34,IF(COUNT(AF$61:AF114)&lt;=3*AI$31,AG$35,IF(COUNT(AF$61:AF114)&lt;=4*AI$31,AG$36)))))</f>
        <v/>
      </c>
      <c r="AH114" s="173" t="str">
        <f>IF(AF114="","",IF(AG114=AG$33,AI$33+AI$32*(COUNT(AF$61:AF114)-1),IF(AG114=AG$34,AI$34+AI$32*(COUNT(AF$61:AF114)-AI$31-1),IF(AG114=AG$35,AI$34+AI$32*(COUNT(AF$61:AF114)-2*AI$31-1),IF(AG114=AG$36,AI$33+AI$32*(COUNT(AF$61:AF114)-3*AI$31-1))))))</f>
        <v/>
      </c>
      <c r="AI114" s="180" t="str" cm="1">
        <f t="array" ref="AI114">IF(AG114="","",MAX($C$5,IF(AF114=90,IF(OR(AH114=AI$13,AH114=AI$14,AH114=AF$4-AI$14,AH114=AF$4-AI$13),AG$7,IF(OR(AG114=AG$20,AG114=AG$24),AG$8,IF(OR(AG114=AG$21:AG$23),AG$9))),AG$10)))</f>
        <v/>
      </c>
      <c r="AJ114" s="168"/>
      <c r="AK114" s="185" t="str">
        <f t="shared" si="70"/>
        <v/>
      </c>
      <c r="AL114" s="173" t="str">
        <f>IF(AK114="","",IF(COUNT(AK$61:AK114)&lt;=AN$31,AL$33,IF(COUNT(AK$61:AK114)&lt;=2*AN$31,AL$34,IF(COUNT(AK$61:AK114)&lt;=3*AN$31,AL$35,IF(COUNT(AK$61:AK114)&lt;=4*AN$31,AL$36)))))</f>
        <v/>
      </c>
      <c r="AM114" s="173" t="str">
        <f>IF(AK114="","",IF(AL114=AL$33,AN$33+AN$32*(COUNT(AK$61:AK114)-1),IF(AL114=AL$34,AN$34+AN$32*(COUNT(AK$61:AK114)-AN$31-1),IF(AL114=AL$35,AN$34+AN$32*(COUNT(AK$61:AK114)-2*AN$31-1),IF(AL114=AL$36,AN$33+AN$32*(COUNT(AK$61:AK114)-3*AN$31-1))))))</f>
        <v/>
      </c>
      <c r="AN114" s="180" t="str" cm="1">
        <f t="array" ref="AN114">IF(AL114="","",MAX($C$5,IF(AK114=90,IF(OR(AM114=AN$13,AM114=AN$14,AM114=AK$4-AN$14,AM114=AK$4-AN$13),AL$7,IF(OR(AL114=AL$20,AL114=AL$24),AL$8,IF(OR(AL114=AL$21:AL$23),AL$9))),AL$10)))</f>
        <v/>
      </c>
      <c r="AO114" s="168"/>
      <c r="AP114" s="244">
        <v>45</v>
      </c>
      <c r="AQ114" s="245">
        <v>54</v>
      </c>
      <c r="AR114" s="245">
        <f t="shared" si="75"/>
        <v>980</v>
      </c>
      <c r="AS114" s="180" cm="1">
        <f t="array" ref="AS114">IF(AQ114="","",MAX($C$5,IF(AP114=90,IF(OR(AR114=AS$13,AR114=AS$14,AR114=AP$4-AS$14,AR114=AP$4-AS$13),AQ$7,IF(OR(AQ114=AQ$20,AQ114=AQ$24),AQ$8,IF(OR(AQ114=AQ$21:AQ$23),AQ$9))),AQ$10)))</f>
        <v>18</v>
      </c>
      <c r="AT114" s="277"/>
      <c r="AU114" s="185" t="str">
        <f t="shared" si="57"/>
        <v/>
      </c>
      <c r="AV114" s="173" t="str">
        <f>IF(AU114="","",IF(COUNT(AU$61:AU114)&lt;=AX$31,AV$33,IF(COUNT(AU$61:AU114)&lt;=2*AX$31,AV$34,IF(COUNT(AU$61:AU114)&lt;=3*AX$31,AV$35))))</f>
        <v/>
      </c>
      <c r="AW114" s="173" t="str">
        <f>IF(AU114="","",IF(AV114=AV$33,AX$33+AX$32*(COUNT(AU$61:AU114)-1),IF(AV114=AV$34,AX$34+AX$32*(COUNT(AU$61:AU114)-AX$31-1),IF(AV114=AV$35,AX$33+AX$32*(COUNT(AU$61:AU114)-2*AX$31-1)))))</f>
        <v/>
      </c>
      <c r="AX114" s="180" t="str" cm="1">
        <f t="array" ref="AX114">IF(AV114="","",MAX($C$5,IF(AU114=90,IF(OR(AW114=AX$13,AW114=AX$14,AW114=AU$4-AX$14,AW114=AU$4-AX$13),AV$7,IF(OR(AV114=AV$20,AV114=AV$24),AV$8,IF(OR(AV114=AV$21:AV$23),AV$9))),AV$10)))</f>
        <v/>
      </c>
      <c r="AY114" s="168"/>
      <c r="AZ114" s="185" t="str">
        <f t="shared" si="58"/>
        <v/>
      </c>
      <c r="BA114" s="173" t="str">
        <f>IF(AZ114="","",IF(COUNT(AZ$61:AZ114)&lt;=BC$31,BA$33,IF(COUNT(AZ$61:AZ114)&lt;=2*BC$31,BA$34,IF(COUNT(AZ$61:AZ114)&lt;=3*BC$31,BA$35))))</f>
        <v/>
      </c>
      <c r="BB114" s="173" t="str">
        <f>IF(AZ114="","",IF(BA114=BA$33,BC$33+BC$32*(COUNT(AZ$61:AZ114)-1),IF(BA114=BA$34,BC$34+BC$32*(COUNT(AZ$61:AZ114)-BC$31-1),IF(BA114=BA$35,BC$33+BC$32*(COUNT(AZ$61:AZ114)-2*BC$31-1)))))</f>
        <v/>
      </c>
      <c r="BC114" s="180" t="str" cm="1">
        <f t="array" ref="BC114">IF(BA114="","",MAX($C$5,IF(AZ114=90,IF(OR(BB114=BC$13,BB114=BC$14,BB114=AZ$4-BC$14,BB114=AZ$4-BC$13),BA$7,IF(OR(BA114=BA$20,BA114=BA$24),BA$8,IF(OR(BA114=BA$21:BA$23),BA$9))),BA$10)))</f>
        <v/>
      </c>
      <c r="BD114" s="168"/>
      <c r="BE114" s="185" t="str">
        <f t="shared" si="59"/>
        <v/>
      </c>
      <c r="BF114" s="173" t="str">
        <f>IF(BE114="","",IF(COUNT(BE$61:BE114)&lt;=BH$31,BF$33,IF(COUNT(BE$61:BE114)&lt;=2*BH$31,BF$34,IF(COUNT(BE$61:BE114)&lt;=3*BH$31,BF$35))))</f>
        <v/>
      </c>
      <c r="BG114" s="173" t="str">
        <f>IF(BE114="","",IF(BF114=BF$33,BH$33+BH$32*(COUNT(BE$61:BE114)-1),IF(BF114=BF$34,BH$34+BH$32*(COUNT(BE$61:BE114)-BH$31-1),IF(BF114=BF$35,BH$33+BH$32*(COUNT(BE$61:BE114)-2*BH$31-1)))))</f>
        <v/>
      </c>
      <c r="BH114" s="180" t="str" cm="1">
        <f t="array" ref="BH114">IF(BF114="","",MAX($C$5,IF(BE114=90,IF(OR(BG114=BH$13,BG114=BH$14,BG114=BE$4-BH$14,BG114=BE$4-BH$13),BF$7,IF(OR(BF114=BF$20,BF114=BF$24),BF$8,IF(OR(BF114=BF$21:BF$23),BF$9))),BF$10)))</f>
        <v/>
      </c>
      <c r="BI114" s="277"/>
      <c r="BJ114" s="185" t="str">
        <f t="shared" si="60"/>
        <v/>
      </c>
      <c r="BK114" s="173" t="str">
        <f>IF(BJ114="","",IF(COUNT(BJ$61:BJ114)&lt;=BM$31-1,BK$33,IF(COUNT(BJ$61:BJ114)&lt;=2*BM$31-1,BK$34)))</f>
        <v/>
      </c>
      <c r="BL114" s="173" t="str">
        <f>IF(BJ114="","",IF(BK114=BK$33,BM$33+BM$32*(COUNT(BJ$61:BJ114)-1),IF(BK114=BK$34,BM$34+BM$32*(COUNT(BJ$61:BJ114)-BM$31))))</f>
        <v/>
      </c>
      <c r="BM114" s="180" t="str" cm="1">
        <f t="array" ref="BM114">IF(BK114="","",MAX($C$5,IF(BJ114=90,IF(OR(BL114=BM$13,BL114=BM$14,BL114=BJ$4-BM$14,BL114=BJ$4-BM$13),BK$7,IF(OR(BK114=BK$20,BK114=BK$24),BK$8,IF(OR(BK114=BK$21:BK$23),BK$9))),BK$10)))</f>
        <v/>
      </c>
      <c r="BN114" s="168"/>
      <c r="BO114" s="185" t="str">
        <f t="shared" si="61"/>
        <v/>
      </c>
      <c r="BP114" s="173" t="str">
        <f>IF(BO114="","",IF(COUNT(BO$61:BO114)&lt;=BR$31-1,BP$33,IF(COUNT(BO$61:BO114)&lt;=2*BR$31-1,BP$34)))</f>
        <v/>
      </c>
      <c r="BQ114" s="173" t="str">
        <f>IF(BO114="","",IF(BP114=BP$33,BR$33+BR$32*(COUNT(BO$61:BO114)-1),IF(BP114=BP$34,BR$34+BR$32*(COUNT(BO$61:BO114)-BR$31))))</f>
        <v/>
      </c>
      <c r="BR114" s="180" t="str" cm="1">
        <f t="array" ref="BR114">IF(BP114="","",MAX($C$5,IF(BO114=90,IF(OR(BQ114=BR$13,BQ114=BR$14,BQ114=BO$4-BR$14,BQ114=BO$4-BR$13),BP$7,IF(OR(BP114=BP$20,BP114=BP$24),BP$8,IF(OR(BP114=BP$21:BP$23),BP$9))),BP$10)))</f>
        <v/>
      </c>
      <c r="BS114" s="168"/>
      <c r="BT114" s="185" t="str">
        <f t="shared" si="62"/>
        <v/>
      </c>
      <c r="BU114" s="173" t="str">
        <f>IF(BT114="","",IF(COUNT(BT$61:BT114)&lt;=BW$31-1,BU$33,IF(COUNT(BT$61:BT114)&lt;=2*BW$31-1,BU$34)))</f>
        <v/>
      </c>
      <c r="BV114" s="173" t="str">
        <f>IF(BT114="","",IF(BU114=BU$33,BW$33+BW$32*(COUNT(BT$61:BT114)-1),IF(BU114=BU$34,BW$34+BW$32*(COUNT(BT$61:BT114)-BW$31))))</f>
        <v/>
      </c>
      <c r="BW114" s="180" t="str" cm="1">
        <f t="array" ref="BW114">IF(BU114="","",MAX($C$5,IF(BT114=90,IF(OR(BV114=BW$13,BV114=BW$14,BV114=BT$4-BW$14,BV114=BT$4-BW$13),BU$7,IF(OR(BU114=BU$20,BU114=BU$24),BU$8,IF(OR(BU114=BU$21:BU$23),BU$9))),BU$10)))</f>
        <v/>
      </c>
      <c r="BX114" s="288"/>
    </row>
    <row r="115" spans="1:91">
      <c r="A115" s="168"/>
      <c r="B115" s="185" t="str">
        <f t="shared" si="73"/>
        <v/>
      </c>
      <c r="C115" s="173" t="str">
        <f>IF(B115="","",IF(COUNT(B$61:B115)&lt;=E$31,C$33,IF(COUNT(B$61:B115)&lt;=2*E$31,C$34,IF(COUNT(B$61:B115)&lt;=3*E$31,C$35,IF(COUNT(B$61:B115)&lt;=4*E$31,C$36)))))</f>
        <v/>
      </c>
      <c r="D115" s="173" t="str">
        <f>IF(B115="","",IF(C115=C$33,E$33+E$32*(COUNT(B$61:B115)-1),IF(C115=C$34,E$34+E$32*(COUNT(B$61:B115)-E$31-1),IF(C115=C$35,E$34+E$32*(COUNT(B$61:B115)-2*E$31-1),IF(C115=C$36,E$33+E$32*(COUNT(B$61:B115)-3*E$31-1))))))</f>
        <v/>
      </c>
      <c r="E115" s="180" t="str" cm="1">
        <f t="array" ref="E115">IF(C115="","",MAX($C$5,IF(B115=90,IF(OR(D115=E$13,D115=E$14,D115=B$4-E$14,D115=B$4-E$13),C$7,IF(OR(C115=C$20,C115=C$24),C$8,IF(OR(C115=C$21:C$23),C$9))),C$10)))</f>
        <v/>
      </c>
      <c r="F115" s="168"/>
      <c r="G115" s="185" t="str">
        <f t="shared" si="74"/>
        <v/>
      </c>
      <c r="H115" s="173" t="str">
        <f>IF(G115="","",IF(COUNT(G$61:G115)&lt;=J$31,H$33,IF(COUNT(G$61:G115)&lt;=2*J$31,H$34,IF(COUNT(G$61:G115)&lt;=3*J$31,H$35,IF(COUNT(G$61:G115)&lt;=4*J$31,H$36)))))</f>
        <v/>
      </c>
      <c r="I115" s="173" t="str">
        <f>IF(G115="","",IF(H115=H$33,J$33+J$32*(COUNT(G$61:G115)-1),IF(H115=H$34,J$34+J$32*(COUNT(G$61:G115)-J$31-1),IF(H115=H$35,J$34+J$32*(COUNT(G$61:G115)-2*J$31-1),IF(H115=H$36,J$33+J$32*(COUNT(G$61:G115)-3*J$31-1))))))</f>
        <v/>
      </c>
      <c r="J115" s="180" t="str" cm="1">
        <f t="array" ref="J115">IF(H115="","",MAX($C$5,IF(G115=90,IF(OR(I115=J$13,I115=J$14,I115=G$4-J$14,I115=G$4-J$13),H$7,IF(OR(H115=H$20,H115=H$24),H$8,IF(OR(H115=H$21:H$23),H$9))),H$10)))</f>
        <v/>
      </c>
      <c r="K115" s="168"/>
      <c r="L115" s="185" t="str">
        <f t="shared" si="72"/>
        <v/>
      </c>
      <c r="M115" s="173" t="str">
        <f>IF(L115="","",IF(COUNT(L$61:L115)&lt;=O$31,M$33,IF(COUNT(L$61:L115)&lt;=2*O$31,M$34,IF(COUNT(L$61:L115)&lt;=3*O$31,M$35,IF(COUNT(L$61:L115)&lt;=4*O$31,M$36)))))</f>
        <v/>
      </c>
      <c r="N115" s="173" t="str">
        <f>IF(L115="","",IF(M115=M$33,O$33+O$32*(COUNT(L$61:L115)-1),IF(M115=M$34,O$34+O$32*(COUNT(L$61:L115)-O$31-1),IF(M115=M$35,O$34+O$32*(COUNT(L$61:L115)-2*O$31-1),IF(M115=M$36,O$33+O$32*(COUNT(L$61:L115)-3*O$31-1))))))</f>
        <v/>
      </c>
      <c r="O115" s="180" t="str" cm="1">
        <f t="array" ref="O115">IF(M115="","",MAX($C$5,IF(L115=90,IF(OR(N115=O$13,N115=O$14,N115=L$4-O$14,N115=L$4-O$13),M$7,IF(OR(M115=M$20,M115=M$24),M$8,IF(OR(M115=M$21:M$23),M$9))),M$10)))</f>
        <v/>
      </c>
      <c r="P115" s="168"/>
      <c r="Q115" s="185" t="str">
        <f t="shared" si="71"/>
        <v/>
      </c>
      <c r="R115" s="173" t="str">
        <f>IF(Q115="","",IF(COUNT(Q$61:Q115)&lt;=T$31,R$33,IF(COUNT(Q$61:Q115)&lt;=2*T$31,R$34,IF(COUNT(Q$61:Q115)&lt;=3*T$31,R$35,IF(COUNT(Q$61:Q115)&lt;=4*T$31,R$36)))))</f>
        <v/>
      </c>
      <c r="S115" s="173" t="str">
        <f>IF(Q115="","",IF(R115=R$33,T$33+T$32*(COUNT(Q$61:Q115)-1),IF(R115=R$34,T$34+T$32*(COUNT(Q$61:Q115)-T$31-1),IF(R115=R$35,T$34+T$32*(COUNT(Q$61:Q115)-2*T$31-1),IF(R115=R$36,T$33+T$32*(COUNT(Q$61:Q115)-3*T$31-1))))))</f>
        <v/>
      </c>
      <c r="T115" s="180" t="str" cm="1">
        <f t="array" ref="T115">IF(R115="","",MAX($C$5,IF(Q115=90,IF(OR(S115=T$13,S115=T$14,S115=Q$4-T$14,S115=Q$4-T$13),R$7,IF(OR(R115=R$20,R115=R$24),R$8,IF(OR(R115=R$21:R$23),R$9))),R$10)))</f>
        <v/>
      </c>
      <c r="U115" s="168"/>
      <c r="V115" s="185" t="str">
        <f t="shared" si="67"/>
        <v/>
      </c>
      <c r="W115" s="173" t="str">
        <f>IF(V115="","",IF(COUNT(V$61:V115)&lt;=Y$31,W$33,IF(COUNT(V$61:V115)&lt;=2*Y$31,W$34,IF(COUNT(V$61:V115)&lt;=3*Y$31,W$35,IF(COUNT(V$61:V115)&lt;=4*Y$31,W$36)))))</f>
        <v/>
      </c>
      <c r="X115" s="173" t="str">
        <f>IF(V115="","",IF(W115=W$33,Y$33+Y$32*(COUNT(V$61:V115)-1),IF(W115=W$34,Y$34+Y$32*(COUNT(V$61:V115)-Y$31-1),IF(W115=W$35,Y$34+Y$32*(COUNT(V$61:V115)-2*Y$31-1),IF(W115=W$36,Y$33+Y$32*(COUNT(V$61:V115)-3*Y$31-1))))))</f>
        <v/>
      </c>
      <c r="Y115" s="180" t="str" cm="1">
        <f t="array" ref="Y115">IF(W115="","",MAX($C$5,IF(V115=90,IF(OR(X115=Y$13,X115=Y$14,X115=V$4-Y$14,X115=V$4-Y$13),W$7,IF(OR(W115=W$20,W115=W$24),W$8,IF(OR(W115=W$21:W$23),W$9))),W$10)))</f>
        <v/>
      </c>
      <c r="Z115" s="168"/>
      <c r="AA115" s="185" t="str">
        <f t="shared" si="68"/>
        <v/>
      </c>
      <c r="AB115" s="173" t="str">
        <f>IF(AA115="","",IF(COUNT(AA$61:AA115)&lt;=AD$31,AB$33,IF(COUNT(AA$61:AA115)&lt;=2*AD$31,AB$34,IF(COUNT(AA$61:AA115)&lt;=3*AD$31,AB$35,IF(COUNT(AA$61:AA115)&lt;=4*AD$31,AB$36)))))</f>
        <v/>
      </c>
      <c r="AC115" s="173" t="str">
        <f>IF(AA115="","",IF(AB115=AB$33,AD$33+AD$32*(COUNT(AA$61:AA115)-1),IF(AB115=AB$34,AD$34+AD$32*(COUNT(AA$61:AA115)-AD$31-1),IF(AB115=AB$35,AD$34+AD$32*(COUNT(AA$61:AA115)-2*AD$31-1),IF(AB115=AB$36,AD$33+AD$32*(COUNT(AA$61:AA115)-3*AD$31-1))))))</f>
        <v/>
      </c>
      <c r="AD115" s="180" t="str" cm="1">
        <f t="array" ref="AD115">IF(AB115="","",MAX($C$5,IF(AA115=90,IF(OR(AC115=AD$13,AC115=AD$14,AC115=AA$4-AD$14,AC115=AA$4-AD$13),AB$7,IF(OR(AB115=AB$20,AB115=AB$24),AB$8,IF(OR(AB115=AB$21:AB$23),AB$9))),AB$10)))</f>
        <v/>
      </c>
      <c r="AE115" s="168"/>
      <c r="AF115" s="185" t="str">
        <f t="shared" si="69"/>
        <v/>
      </c>
      <c r="AG115" s="173" t="str">
        <f>IF(AF115="","",IF(COUNT(AF$61:AF115)&lt;=AI$31,AG$33,IF(COUNT(AF$61:AF115)&lt;=2*AI$31,AG$34,IF(COUNT(AF$61:AF115)&lt;=3*AI$31,AG$35,IF(COUNT(AF$61:AF115)&lt;=4*AI$31,AG$36)))))</f>
        <v/>
      </c>
      <c r="AH115" s="173" t="str">
        <f>IF(AF115="","",IF(AG115=AG$33,AI$33+AI$32*(COUNT(AF$61:AF115)-1),IF(AG115=AG$34,AI$34+AI$32*(COUNT(AF$61:AF115)-AI$31-1),IF(AG115=AG$35,AI$34+AI$32*(COUNT(AF$61:AF115)-2*AI$31-1),IF(AG115=AG$36,AI$33+AI$32*(COUNT(AF$61:AF115)-3*AI$31-1))))))</f>
        <v/>
      </c>
      <c r="AI115" s="180" t="str" cm="1">
        <f t="array" ref="AI115">IF(AG115="","",MAX($C$5,IF(AF115=90,IF(OR(AH115=AI$13,AH115=AI$14,AH115=AF$4-AI$14,AH115=AF$4-AI$13),AG$7,IF(OR(AG115=AG$20,AG115=AG$24),AG$8,IF(OR(AG115=AG$21:AG$23),AG$9))),AG$10)))</f>
        <v/>
      </c>
      <c r="AJ115" s="168"/>
      <c r="AK115" s="185" t="str">
        <f t="shared" si="70"/>
        <v/>
      </c>
      <c r="AL115" s="173" t="str">
        <f>IF(AK115="","",IF(COUNT(AK$61:AK115)&lt;=AN$31,AL$33,IF(COUNT(AK$61:AK115)&lt;=2*AN$31,AL$34,IF(COUNT(AK$61:AK115)&lt;=3*AN$31,AL$35,IF(COUNT(AK$61:AK115)&lt;=4*AN$31,AL$36)))))</f>
        <v/>
      </c>
      <c r="AM115" s="173" t="str">
        <f>IF(AK115="","",IF(AL115=AL$33,AN$33+AN$32*(COUNT(AK$61:AK115)-1),IF(AL115=AL$34,AN$34+AN$32*(COUNT(AK$61:AK115)-AN$31-1),IF(AL115=AL$35,AN$34+AN$32*(COUNT(AK$61:AK115)-2*AN$31-1),IF(AL115=AL$36,AN$33+AN$32*(COUNT(AK$61:AK115)-3*AN$31-1))))))</f>
        <v/>
      </c>
      <c r="AN115" s="180" t="str" cm="1">
        <f t="array" ref="AN115">IF(AL115="","",MAX($C$5,IF(AK115=90,IF(OR(AM115=AN$13,AM115=AN$14,AM115=AK$4-AN$14,AM115=AK$4-AN$13),AL$7,IF(OR(AL115=AL$20,AL115=AL$24),AL$8,IF(OR(AL115=AL$21:AL$23),AL$9))),AL$10)))</f>
        <v/>
      </c>
      <c r="AO115" s="168"/>
      <c r="AP115" s="244">
        <v>45</v>
      </c>
      <c r="AQ115" s="245">
        <v>54</v>
      </c>
      <c r="AR115" s="245">
        <f t="shared" si="75"/>
        <v>923</v>
      </c>
      <c r="AS115" s="180" cm="1">
        <f t="array" ref="AS115">IF(AQ115="","",MAX($C$5,IF(AP115=90,IF(OR(AR115=AS$13,AR115=AS$14,AR115=AP$4-AS$14,AR115=AP$4-AS$13),AQ$7,IF(OR(AQ115=AQ$20,AQ115=AQ$24),AQ$8,IF(OR(AQ115=AQ$21:AQ$23),AQ$9))),AQ$10)))</f>
        <v>18</v>
      </c>
      <c r="AT115" s="277"/>
      <c r="AU115" s="185" t="str">
        <f t="shared" si="57"/>
        <v/>
      </c>
      <c r="AV115" s="173" t="str">
        <f>IF(AU115="","",IF(COUNT(AU$61:AU115)&lt;=AX$31,AV$33,IF(COUNT(AU$61:AU115)&lt;=2*AX$31,AV$34,IF(COUNT(AU$61:AU115)&lt;=3*AX$31,AV$35))))</f>
        <v/>
      </c>
      <c r="AW115" s="173" t="str">
        <f>IF(AU115="","",IF(AV115=AV$33,AX$33+AX$32*(COUNT(AU$61:AU115)-1),IF(AV115=AV$34,AX$34+AX$32*(COUNT(AU$61:AU115)-AX$31-1),IF(AV115=AV$35,AX$33+AX$32*(COUNT(AU$61:AU115)-2*AX$31-1)))))</f>
        <v/>
      </c>
      <c r="AX115" s="180" t="str" cm="1">
        <f t="array" ref="AX115">IF(AV115="","",MAX($C$5,IF(AU115=90,IF(OR(AW115=AX$13,AW115=AX$14,AW115=AU$4-AX$14,AW115=AU$4-AX$13),AV$7,IF(OR(AV115=AV$20,AV115=AV$24),AV$8,IF(OR(AV115=AV$21:AV$23),AV$9))),AV$10)))</f>
        <v/>
      </c>
      <c r="AY115" s="168"/>
      <c r="AZ115" s="185" t="str">
        <f t="shared" si="58"/>
        <v/>
      </c>
      <c r="BA115" s="173" t="str">
        <f>IF(AZ115="","",IF(COUNT(AZ$61:AZ115)&lt;=BC$31,BA$33,IF(COUNT(AZ$61:AZ115)&lt;=2*BC$31,BA$34,IF(COUNT(AZ$61:AZ115)&lt;=3*BC$31,BA$35))))</f>
        <v/>
      </c>
      <c r="BB115" s="173" t="str">
        <f>IF(AZ115="","",IF(BA115=BA$33,BC$33+BC$32*(COUNT(AZ$61:AZ115)-1),IF(BA115=BA$34,BC$34+BC$32*(COUNT(AZ$61:AZ115)-BC$31-1),IF(BA115=BA$35,BC$33+BC$32*(COUNT(AZ$61:AZ115)-2*BC$31-1)))))</f>
        <v/>
      </c>
      <c r="BC115" s="180" t="str" cm="1">
        <f t="array" ref="BC115">IF(BA115="","",MAX($C$5,IF(AZ115=90,IF(OR(BB115=BC$13,BB115=BC$14,BB115=AZ$4-BC$14,BB115=AZ$4-BC$13),BA$7,IF(OR(BA115=BA$20,BA115=BA$24),BA$8,IF(OR(BA115=BA$21:BA$23),BA$9))),BA$10)))</f>
        <v/>
      </c>
      <c r="BD115" s="168"/>
      <c r="BE115" s="185" t="str">
        <f t="shared" si="59"/>
        <v/>
      </c>
      <c r="BF115" s="173" t="str">
        <f>IF(BE115="","",IF(COUNT(BE$61:BE115)&lt;=BH$31,BF$33,IF(COUNT(BE$61:BE115)&lt;=2*BH$31,BF$34,IF(COUNT(BE$61:BE115)&lt;=3*BH$31,BF$35))))</f>
        <v/>
      </c>
      <c r="BG115" s="173" t="str">
        <f>IF(BE115="","",IF(BF115=BF$33,BH$33+BH$32*(COUNT(BE$61:BE115)-1),IF(BF115=BF$34,BH$34+BH$32*(COUNT(BE$61:BE115)-BH$31-1),IF(BF115=BF$35,BH$33+BH$32*(COUNT(BE$61:BE115)-2*BH$31-1)))))</f>
        <v/>
      </c>
      <c r="BH115" s="180" t="str" cm="1">
        <f t="array" ref="BH115">IF(BF115="","",MAX($C$5,IF(BE115=90,IF(OR(BG115=BH$13,BG115=BH$14,BG115=BE$4-BH$14,BG115=BE$4-BH$13),BF$7,IF(OR(BF115=BF$20,BF115=BF$24),BF$8,IF(OR(BF115=BF$21:BF$23),BF$9))),BF$10)))</f>
        <v/>
      </c>
      <c r="BI115" s="277"/>
      <c r="BJ115" s="185" t="str">
        <f t="shared" si="60"/>
        <v/>
      </c>
      <c r="BK115" s="173" t="str">
        <f>IF(BJ115="","",IF(COUNT(BJ$61:BJ115)&lt;=BM$31-1,BK$33,IF(COUNT(BJ$61:BJ115)&lt;=2*BM$31-1,BK$34)))</f>
        <v/>
      </c>
      <c r="BL115" s="173" t="str">
        <f>IF(BJ115="","",IF(BK115=BK$33,BM$33+BM$32*(COUNT(BJ$61:BJ115)-1),IF(BK115=BK$34,BM$34+BM$32*(COUNT(BJ$61:BJ115)-BM$31))))</f>
        <v/>
      </c>
      <c r="BM115" s="180" t="str" cm="1">
        <f t="array" ref="BM115">IF(BK115="","",MAX($C$5,IF(BJ115=90,IF(OR(BL115=BM$13,BL115=BM$14,BL115=BJ$4-BM$14,BL115=BJ$4-BM$13),BK$7,IF(OR(BK115=BK$20,BK115=BK$24),BK$8,IF(OR(BK115=BK$21:BK$23),BK$9))),BK$10)))</f>
        <v/>
      </c>
      <c r="BN115" s="168"/>
      <c r="BO115" s="185" t="str">
        <f t="shared" si="61"/>
        <v/>
      </c>
      <c r="BP115" s="173" t="str">
        <f>IF(BO115="","",IF(COUNT(BO$61:BO115)&lt;=BR$31-1,BP$33,IF(COUNT(BO$61:BO115)&lt;=2*BR$31-1,BP$34)))</f>
        <v/>
      </c>
      <c r="BQ115" s="173" t="str">
        <f>IF(BO115="","",IF(BP115=BP$33,BR$33+BR$32*(COUNT(BO$61:BO115)-1),IF(BP115=BP$34,BR$34+BR$32*(COUNT(BO$61:BO115)-BR$31))))</f>
        <v/>
      </c>
      <c r="BR115" s="180" t="str" cm="1">
        <f t="array" ref="BR115">IF(BP115="","",MAX($C$5,IF(BO115=90,IF(OR(BQ115=BR$13,BQ115=BR$14,BQ115=BO$4-BR$14,BQ115=BO$4-BR$13),BP$7,IF(OR(BP115=BP$20,BP115=BP$24),BP$8,IF(OR(BP115=BP$21:BP$23),BP$9))),BP$10)))</f>
        <v/>
      </c>
      <c r="BS115" s="168"/>
      <c r="BT115" s="185" t="str">
        <f t="shared" si="62"/>
        <v/>
      </c>
      <c r="BU115" s="173" t="str">
        <f>IF(BT115="","",IF(COUNT(BT$61:BT115)&lt;=BW$31-1,BU$33,IF(COUNT(BT$61:BT115)&lt;=2*BW$31-1,BU$34)))</f>
        <v/>
      </c>
      <c r="BV115" s="173" t="str">
        <f>IF(BT115="","",IF(BU115=BU$33,BW$33+BW$32*(COUNT(BT$61:BT115)-1),IF(BU115=BU$34,BW$34+BW$32*(COUNT(BT$61:BT115)-BW$31))))</f>
        <v/>
      </c>
      <c r="BW115" s="180" t="str" cm="1">
        <f t="array" ref="BW115">IF(BU115="","",MAX($C$5,IF(BT115=90,IF(OR(BV115=BW$13,BV115=BW$14,BV115=BT$4-BW$14,BV115=BT$4-BW$13),BU$7,IF(OR(BU115=BU$20,BU115=BU$24),BU$8,IF(OR(BU115=BU$21:BU$23),BU$9))),BU$10)))</f>
        <v/>
      </c>
      <c r="BX115" s="288"/>
    </row>
    <row r="116" spans="1:91">
      <c r="A116" s="168"/>
      <c r="B116" s="185" t="str">
        <f t="shared" si="73"/>
        <v/>
      </c>
      <c r="C116" s="173" t="str">
        <f>IF(B116="","",IF(COUNT(B$61:B116)&lt;=E$31,C$33,IF(COUNT(B$61:B116)&lt;=2*E$31,C$34,IF(COUNT(B$61:B116)&lt;=3*E$31,C$35,IF(COUNT(B$61:B116)&lt;=4*E$31,C$36)))))</f>
        <v/>
      </c>
      <c r="D116" s="173" t="str">
        <f>IF(B116="","",IF(C116=C$33,E$33+E$32*(COUNT(B$61:B116)-1),IF(C116=C$34,E$34+E$32*(COUNT(B$61:B116)-E$31-1),IF(C116=C$35,E$34+E$32*(COUNT(B$61:B116)-2*E$31-1),IF(C116=C$36,E$33+E$32*(COUNT(B$61:B116)-3*E$31-1))))))</f>
        <v/>
      </c>
      <c r="E116" s="180" t="str" cm="1">
        <f t="array" ref="E116">IF(C116="","",MAX($C$5,IF(B116=90,IF(OR(D116=E$13,D116=E$14,D116=B$4-E$14,D116=B$4-E$13),C$7,IF(OR(C116=C$20,C116=C$24),C$8,IF(OR(C116=C$21:C$23),C$9))),C$10)))</f>
        <v/>
      </c>
      <c r="F116" s="168"/>
      <c r="G116" s="185" t="str">
        <f t="shared" si="74"/>
        <v/>
      </c>
      <c r="H116" s="173" t="str">
        <f>IF(G116="","",IF(COUNT(G$61:G116)&lt;=J$31,H$33,IF(COUNT(G$61:G116)&lt;=2*J$31,H$34,IF(COUNT(G$61:G116)&lt;=3*J$31,H$35,IF(COUNT(G$61:G116)&lt;=4*J$31,H$36)))))</f>
        <v/>
      </c>
      <c r="I116" s="173" t="str">
        <f>IF(G116="","",IF(H116=H$33,J$33+J$32*(COUNT(G$61:G116)-1),IF(H116=H$34,J$34+J$32*(COUNT(G$61:G116)-J$31-1),IF(H116=H$35,J$34+J$32*(COUNT(G$61:G116)-2*J$31-1),IF(H116=H$36,J$33+J$32*(COUNT(G$61:G116)-3*J$31-1))))))</f>
        <v/>
      </c>
      <c r="J116" s="180" t="str" cm="1">
        <f t="array" ref="J116">IF(H116="","",MAX($C$5,IF(G116=90,IF(OR(I116=J$13,I116=J$14,I116=G$4-J$14,I116=G$4-J$13),H$7,IF(OR(H116=H$20,H116=H$24),H$8,IF(OR(H116=H$21:H$23),H$9))),H$10)))</f>
        <v/>
      </c>
      <c r="K116" s="168"/>
      <c r="L116" s="185" t="str">
        <f t="shared" si="72"/>
        <v/>
      </c>
      <c r="M116" s="173" t="str">
        <f>IF(L116="","",IF(COUNT(L$61:L116)&lt;=O$31,M$33,IF(COUNT(L$61:L116)&lt;=2*O$31,M$34,IF(COUNT(L$61:L116)&lt;=3*O$31,M$35,IF(COUNT(L$61:L116)&lt;=4*O$31,M$36)))))</f>
        <v/>
      </c>
      <c r="N116" s="173" t="str">
        <f>IF(L116="","",IF(M116=M$33,O$33+O$32*(COUNT(L$61:L116)-1),IF(M116=M$34,O$34+O$32*(COUNT(L$61:L116)-O$31-1),IF(M116=M$35,O$34+O$32*(COUNT(L$61:L116)-2*O$31-1),IF(M116=M$36,O$33+O$32*(COUNT(L$61:L116)-3*O$31-1))))))</f>
        <v/>
      </c>
      <c r="O116" s="180" t="str" cm="1">
        <f t="array" ref="O116">IF(M116="","",MAX($C$5,IF(L116=90,IF(OR(N116=O$13,N116=O$14,N116=L$4-O$14,N116=L$4-O$13),M$7,IF(OR(M116=M$20,M116=M$24),M$8,IF(OR(M116=M$21:M$23),M$9))),M$10)))</f>
        <v/>
      </c>
      <c r="P116" s="168"/>
      <c r="Q116" s="185" t="str">
        <f t="shared" si="71"/>
        <v/>
      </c>
      <c r="R116" s="173" t="str">
        <f>IF(Q116="","",IF(COUNT(Q$61:Q116)&lt;=T$31,R$33,IF(COUNT(Q$61:Q116)&lt;=2*T$31,R$34,IF(COUNT(Q$61:Q116)&lt;=3*T$31,R$35,IF(COUNT(Q$61:Q116)&lt;=4*T$31,R$36)))))</f>
        <v/>
      </c>
      <c r="S116" s="173" t="str">
        <f>IF(Q116="","",IF(R116=R$33,T$33+T$32*(COUNT(Q$61:Q116)-1),IF(R116=R$34,T$34+T$32*(COUNT(Q$61:Q116)-T$31-1),IF(R116=R$35,T$34+T$32*(COUNT(Q$61:Q116)-2*T$31-1),IF(R116=R$36,T$33+T$32*(COUNT(Q$61:Q116)-3*T$31-1))))))</f>
        <v/>
      </c>
      <c r="T116" s="180" t="str" cm="1">
        <f t="array" ref="T116">IF(R116="","",MAX($C$5,IF(Q116=90,IF(OR(S116=T$13,S116=T$14,S116=Q$4-T$14,S116=Q$4-T$13),R$7,IF(OR(R116=R$20,R116=R$24),R$8,IF(OR(R116=R$21:R$23),R$9))),R$10)))</f>
        <v/>
      </c>
      <c r="U116" s="168"/>
      <c r="V116" s="185" t="str">
        <f t="shared" si="67"/>
        <v/>
      </c>
      <c r="W116" s="173" t="str">
        <f>IF(V116="","",IF(COUNT(V$61:V116)&lt;=Y$31,W$33,IF(COUNT(V$61:V116)&lt;=2*Y$31,W$34,IF(COUNT(V$61:V116)&lt;=3*Y$31,W$35,IF(COUNT(V$61:V116)&lt;=4*Y$31,W$36)))))</f>
        <v/>
      </c>
      <c r="X116" s="173" t="str">
        <f>IF(V116="","",IF(W116=W$33,Y$33+Y$32*(COUNT(V$61:V116)-1),IF(W116=W$34,Y$34+Y$32*(COUNT(V$61:V116)-Y$31-1),IF(W116=W$35,Y$34+Y$32*(COUNT(V$61:V116)-2*Y$31-1),IF(W116=W$36,Y$33+Y$32*(COUNT(V$61:V116)-3*Y$31-1))))))</f>
        <v/>
      </c>
      <c r="Y116" s="180" t="str" cm="1">
        <f t="array" ref="Y116">IF(W116="","",MAX($C$5,IF(V116=90,IF(OR(X116=Y$13,X116=Y$14,X116=V$4-Y$14,X116=V$4-Y$13),W$7,IF(OR(W116=W$20,W116=W$24),W$8,IF(OR(W116=W$21:W$23),W$9))),W$10)))</f>
        <v/>
      </c>
      <c r="Z116" s="168"/>
      <c r="AA116" s="185" t="str">
        <f t="shared" si="68"/>
        <v/>
      </c>
      <c r="AB116" s="173" t="str">
        <f>IF(AA116="","",IF(COUNT(AA$61:AA116)&lt;=AD$31,AB$33,IF(COUNT(AA$61:AA116)&lt;=2*AD$31,AB$34,IF(COUNT(AA$61:AA116)&lt;=3*AD$31,AB$35,IF(COUNT(AA$61:AA116)&lt;=4*AD$31,AB$36)))))</f>
        <v/>
      </c>
      <c r="AC116" s="173" t="str">
        <f>IF(AA116="","",IF(AB116=AB$33,AD$33+AD$32*(COUNT(AA$61:AA116)-1),IF(AB116=AB$34,AD$34+AD$32*(COUNT(AA$61:AA116)-AD$31-1),IF(AB116=AB$35,AD$34+AD$32*(COUNT(AA$61:AA116)-2*AD$31-1),IF(AB116=AB$36,AD$33+AD$32*(COUNT(AA$61:AA116)-3*AD$31-1))))))</f>
        <v/>
      </c>
      <c r="AD116" s="180" t="str" cm="1">
        <f t="array" ref="AD116">IF(AB116="","",MAX($C$5,IF(AA116=90,IF(OR(AC116=AD$13,AC116=AD$14,AC116=AA$4-AD$14,AC116=AA$4-AD$13),AB$7,IF(OR(AB116=AB$20,AB116=AB$24),AB$8,IF(OR(AB116=AB$21:AB$23),AB$9))),AB$10)))</f>
        <v/>
      </c>
      <c r="AE116" s="168"/>
      <c r="AF116" s="185" t="str">
        <f t="shared" si="69"/>
        <v/>
      </c>
      <c r="AG116" s="173" t="str">
        <f>IF(AF116="","",IF(COUNT(AF$61:AF116)&lt;=AI$31,AG$33,IF(COUNT(AF$61:AF116)&lt;=2*AI$31,AG$34,IF(COUNT(AF$61:AF116)&lt;=3*AI$31,AG$35,IF(COUNT(AF$61:AF116)&lt;=4*AI$31,AG$36)))))</f>
        <v/>
      </c>
      <c r="AH116" s="173" t="str">
        <f>IF(AF116="","",IF(AG116=AG$33,AI$33+AI$32*(COUNT(AF$61:AF116)-1),IF(AG116=AG$34,AI$34+AI$32*(COUNT(AF$61:AF116)-AI$31-1),IF(AG116=AG$35,AI$34+AI$32*(COUNT(AF$61:AF116)-2*AI$31-1),IF(AG116=AG$36,AI$33+AI$32*(COUNT(AF$61:AF116)-3*AI$31-1))))))</f>
        <v/>
      </c>
      <c r="AI116" s="180" t="str" cm="1">
        <f t="array" ref="AI116">IF(AG116="","",MAX($C$5,IF(AF116=90,IF(OR(AH116=AI$13,AH116=AI$14,AH116=AF$4-AI$14,AH116=AF$4-AI$13),AG$7,IF(OR(AG116=AG$20,AG116=AG$24),AG$8,IF(OR(AG116=AG$21:AG$23),AG$9))),AG$10)))</f>
        <v/>
      </c>
      <c r="AJ116" s="168"/>
      <c r="AK116" s="185" t="str">
        <f t="shared" si="70"/>
        <v/>
      </c>
      <c r="AL116" s="173" t="str">
        <f>IF(AK116="","",IF(COUNT(AK$61:AK116)&lt;=AN$31,AL$33,IF(COUNT(AK$61:AK116)&lt;=2*AN$31,AL$34,IF(COUNT(AK$61:AK116)&lt;=3*AN$31,AL$35,IF(COUNT(AK$61:AK116)&lt;=4*AN$31,AL$36)))))</f>
        <v/>
      </c>
      <c r="AM116" s="173" t="str">
        <f>IF(AK116="","",IF(AL116=AL$33,AN$33+AN$32*(COUNT(AK$61:AK116)-1),IF(AL116=AL$34,AN$34+AN$32*(COUNT(AK$61:AK116)-AN$31-1),IF(AL116=AL$35,AN$34+AN$32*(COUNT(AK$61:AK116)-2*AN$31-1),IF(AL116=AL$36,AN$33+AN$32*(COUNT(AK$61:AK116)-3*AN$31-1))))))</f>
        <v/>
      </c>
      <c r="AN116" s="180" t="str" cm="1">
        <f t="array" ref="AN116">IF(AL116="","",MAX($C$5,IF(AK116=90,IF(OR(AM116=AN$13,AM116=AN$14,AM116=AK$4-AN$14,AM116=AK$4-AN$13),AL$7,IF(OR(AL116=AL$20,AL116=AL$24),AL$8,IF(OR(AL116=AL$21:AL$23),AL$9))),AL$10)))</f>
        <v/>
      </c>
      <c r="AO116" s="168"/>
      <c r="AP116" s="244">
        <v>45</v>
      </c>
      <c r="AQ116" s="245">
        <v>96</v>
      </c>
      <c r="AR116" s="245">
        <f t="shared" si="75"/>
        <v>980</v>
      </c>
      <c r="AS116" s="180" cm="1">
        <f t="array" ref="AS116">IF(AQ116="","",MAX($C$5,IF(AP116=90,IF(OR(AR116=AS$13,AR116=AS$14,AR116=AP$4-AS$14,AR116=AP$4-AS$13),AQ$7,IF(OR(AQ116=AQ$20,AQ116=AQ$24),AQ$8,IF(OR(AQ116=AQ$21:AQ$23),AQ$9))),AQ$10)))</f>
        <v>18</v>
      </c>
      <c r="AT116" s="277"/>
      <c r="AU116" s="185" t="str">
        <f t="shared" si="57"/>
        <v/>
      </c>
      <c r="AV116" s="173" t="str">
        <f>IF(AU116="","",IF(COUNT(AU$61:AU116)&lt;=AX$31,AV$33,IF(COUNT(AU$61:AU116)&lt;=2*AX$31,AV$34,IF(COUNT(AU$61:AU116)&lt;=3*AX$31,AV$35))))</f>
        <v/>
      </c>
      <c r="AW116" s="173" t="str">
        <f>IF(AU116="","",IF(AV116=AV$33,AX$33+AX$32*(COUNT(AU$61:AU116)-1),IF(AV116=AV$34,AX$34+AX$32*(COUNT(AU$61:AU116)-AX$31-1),IF(AV116=AV$35,AX$33+AX$32*(COUNT(AU$61:AU116)-2*AX$31-1)))))</f>
        <v/>
      </c>
      <c r="AX116" s="180" t="str" cm="1">
        <f t="array" ref="AX116">IF(AV116="","",MAX($C$5,IF(AU116=90,IF(OR(AW116=AX$13,AW116=AX$14,AW116=AU$4-AX$14,AW116=AU$4-AX$13),AV$7,IF(OR(AV116=AV$20,AV116=AV$24),AV$8,IF(OR(AV116=AV$21:AV$23),AV$9))),AV$10)))</f>
        <v/>
      </c>
      <c r="AY116" s="168"/>
      <c r="AZ116" s="185" t="str">
        <f t="shared" si="58"/>
        <v/>
      </c>
      <c r="BA116" s="173" t="str">
        <f>IF(AZ116="","",IF(COUNT(AZ$61:AZ116)&lt;=BC$31,BA$33,IF(COUNT(AZ$61:AZ116)&lt;=2*BC$31,BA$34,IF(COUNT(AZ$61:AZ116)&lt;=3*BC$31,BA$35))))</f>
        <v/>
      </c>
      <c r="BB116" s="173" t="str">
        <f>IF(AZ116="","",IF(BA116=BA$33,BC$33+BC$32*(COUNT(AZ$61:AZ116)-1),IF(BA116=BA$34,BC$34+BC$32*(COUNT(AZ$61:AZ116)-BC$31-1),IF(BA116=BA$35,BC$33+BC$32*(COUNT(AZ$61:AZ116)-2*BC$31-1)))))</f>
        <v/>
      </c>
      <c r="BC116" s="180" t="str" cm="1">
        <f t="array" ref="BC116">IF(BA116="","",MAX($C$5,IF(AZ116=90,IF(OR(BB116=BC$13,BB116=BC$14,BB116=AZ$4-BC$14,BB116=AZ$4-BC$13),BA$7,IF(OR(BA116=BA$20,BA116=BA$24),BA$8,IF(OR(BA116=BA$21:BA$23),BA$9))),BA$10)))</f>
        <v/>
      </c>
      <c r="BD116" s="168"/>
      <c r="BE116" s="185" t="str">
        <f t="shared" si="59"/>
        <v/>
      </c>
      <c r="BF116" s="173" t="str">
        <f>IF(BE116="","",IF(COUNT(BE$61:BE116)&lt;=BH$31,BF$33,IF(COUNT(BE$61:BE116)&lt;=2*BH$31,BF$34,IF(COUNT(BE$61:BE116)&lt;=3*BH$31,BF$35))))</f>
        <v/>
      </c>
      <c r="BG116" s="173" t="str">
        <f>IF(BE116="","",IF(BF116=BF$33,BH$33+BH$32*(COUNT(BE$61:BE116)-1),IF(BF116=BF$34,BH$34+BH$32*(COUNT(BE$61:BE116)-BH$31-1),IF(BF116=BF$35,BH$33+BH$32*(COUNT(BE$61:BE116)-2*BH$31-1)))))</f>
        <v/>
      </c>
      <c r="BH116" s="180" t="str" cm="1">
        <f t="array" ref="BH116">IF(BF116="","",MAX($C$5,IF(BE116=90,IF(OR(BG116=BH$13,BG116=BH$14,BG116=BE$4-BH$14,BG116=BE$4-BH$13),BF$7,IF(OR(BF116=BF$20,BF116=BF$24),BF$8,IF(OR(BF116=BF$21:BF$23),BF$9))),BF$10)))</f>
        <v/>
      </c>
      <c r="BI116" s="277"/>
      <c r="BJ116" s="185" t="str">
        <f t="shared" si="60"/>
        <v/>
      </c>
      <c r="BK116" s="173" t="str">
        <f>IF(BJ116="","",IF(COUNT(BJ$61:BJ116)&lt;=BM$31-1,BK$33,IF(COUNT(BJ$61:BJ116)&lt;=2*BM$31-1,BK$34)))</f>
        <v/>
      </c>
      <c r="BL116" s="173" t="str">
        <f>IF(BJ116="","",IF(BK116=BK$33,BM$33+BM$32*(COUNT(BJ$61:BJ116)-1),IF(BK116=BK$34,BM$34+BM$32*(COUNT(BJ$61:BJ116)-BM$31))))</f>
        <v/>
      </c>
      <c r="BM116" s="180" t="str" cm="1">
        <f t="array" ref="BM116">IF(BK116="","",MAX($C$5,IF(BJ116=90,IF(OR(BL116=BM$13,BL116=BM$14,BL116=BJ$4-BM$14,BL116=BJ$4-BM$13),BK$7,IF(OR(BK116=BK$20,BK116=BK$24),BK$8,IF(OR(BK116=BK$21:BK$23),BK$9))),BK$10)))</f>
        <v/>
      </c>
      <c r="BN116" s="168"/>
      <c r="BO116" s="185" t="str">
        <f t="shared" si="61"/>
        <v/>
      </c>
      <c r="BP116" s="173" t="str">
        <f>IF(BO116="","",IF(COUNT(BO$61:BO116)&lt;=BR$31-1,BP$33,IF(COUNT(BO$61:BO116)&lt;=2*BR$31-1,BP$34)))</f>
        <v/>
      </c>
      <c r="BQ116" s="173" t="str">
        <f>IF(BO116="","",IF(BP116=BP$33,BR$33+BR$32*(COUNT(BO$61:BO116)-1),IF(BP116=BP$34,BR$34+BR$32*(COUNT(BO$61:BO116)-BR$31))))</f>
        <v/>
      </c>
      <c r="BR116" s="180" t="str" cm="1">
        <f t="array" ref="BR116">IF(BP116="","",MAX($C$5,IF(BO116=90,IF(OR(BQ116=BR$13,BQ116=BR$14,BQ116=BO$4-BR$14,BQ116=BO$4-BR$13),BP$7,IF(OR(BP116=BP$20,BP116=BP$24),BP$8,IF(OR(BP116=BP$21:BP$23),BP$9))),BP$10)))</f>
        <v/>
      </c>
      <c r="BS116" s="168"/>
      <c r="BT116" s="185" t="str">
        <f t="shared" si="62"/>
        <v/>
      </c>
      <c r="BU116" s="173" t="str">
        <f>IF(BT116="","",IF(COUNT(BT$61:BT116)&lt;=BW$31-1,BU$33,IF(COUNT(BT$61:BT116)&lt;=2*BW$31-1,BU$34)))</f>
        <v/>
      </c>
      <c r="BV116" s="173" t="str">
        <f>IF(BT116="","",IF(BU116=BU$33,BW$33+BW$32*(COUNT(BT$61:BT116)-1),IF(BU116=BU$34,BW$34+BW$32*(COUNT(BT$61:BT116)-BW$31))))</f>
        <v/>
      </c>
      <c r="BW116" s="180" t="str" cm="1">
        <f t="array" ref="BW116">IF(BU116="","",MAX($C$5,IF(BT116=90,IF(OR(BV116=BW$13,BV116=BW$14,BV116=BT$4-BW$14,BV116=BT$4-BW$13),BU$7,IF(OR(BU116=BU$20,BU116=BU$24),BU$8,IF(OR(BU116=BU$21:BU$23),BU$9))),BU$10)))</f>
        <v/>
      </c>
      <c r="BX116" s="288"/>
    </row>
    <row r="117" spans="1:91">
      <c r="A117" s="168"/>
      <c r="B117" s="185" t="str">
        <f t="shared" si="73"/>
        <v/>
      </c>
      <c r="C117" s="173" t="str">
        <f>IF(B117="","",IF(COUNT(B$61:B117)&lt;=E$31,C$33,IF(COUNT(B$61:B117)&lt;=2*E$31,C$34,IF(COUNT(B$61:B117)&lt;=3*E$31,C$35,IF(COUNT(B$61:B117)&lt;=4*E$31,C$36)))))</f>
        <v/>
      </c>
      <c r="D117" s="173" t="str">
        <f>IF(B117="","",IF(C117=C$33,E$33+E$32*(COUNT(B$61:B117)-1),IF(C117=C$34,E$34+E$32*(COUNT(B$61:B117)-E$31-1),IF(C117=C$35,E$34+E$32*(COUNT(B$61:B117)-2*E$31-1),IF(C117=C$36,E$33+E$32*(COUNT(B$61:B117)-3*E$31-1))))))</f>
        <v/>
      </c>
      <c r="E117" s="180" t="str" cm="1">
        <f t="array" ref="E117">IF(C117="","",MAX($C$5,IF(B117=90,IF(OR(D117=E$13,D117=E$14,D117=B$4-E$14,D117=B$4-E$13),C$7,IF(OR(C117=C$20,C117=C$24),C$8,IF(OR(C117=C$21:C$23),C$9))),C$10)))</f>
        <v/>
      </c>
      <c r="F117" s="168"/>
      <c r="G117" s="185" t="str">
        <f t="shared" si="74"/>
        <v/>
      </c>
      <c r="H117" s="173" t="str">
        <f>IF(G117="","",IF(COUNT(G$61:G117)&lt;=J$31,H$33,IF(COUNT(G$61:G117)&lt;=2*J$31,H$34,IF(COUNT(G$61:G117)&lt;=3*J$31,H$35,IF(COUNT(G$61:G117)&lt;=4*J$31,H$36)))))</f>
        <v/>
      </c>
      <c r="I117" s="173" t="str">
        <f>IF(G117="","",IF(H117=H$33,J$33+J$32*(COUNT(G$61:G117)-1),IF(H117=H$34,J$34+J$32*(COUNT(G$61:G117)-J$31-1),IF(H117=H$35,J$34+J$32*(COUNT(G$61:G117)-2*J$31-1),IF(H117=H$36,J$33+J$32*(COUNT(G$61:G117)-3*J$31-1))))))</f>
        <v/>
      </c>
      <c r="J117" s="180" t="str" cm="1">
        <f t="array" ref="J117">IF(H117="","",MAX($C$5,IF(G117=90,IF(OR(I117=J$13,I117=J$14,I117=G$4-J$14,I117=G$4-J$13),H$7,IF(OR(H117=H$20,H117=H$24),H$8,IF(OR(H117=H$21:H$23),H$9))),H$10)))</f>
        <v/>
      </c>
      <c r="K117" s="168"/>
      <c r="L117" s="185" t="str">
        <f t="shared" si="72"/>
        <v/>
      </c>
      <c r="M117" s="173" t="str">
        <f>IF(L117="","",IF(COUNT(L$61:L117)&lt;=O$31,M$33,IF(COUNT(L$61:L117)&lt;=2*O$31,M$34,IF(COUNT(L$61:L117)&lt;=3*O$31,M$35,IF(COUNT(L$61:L117)&lt;=4*O$31,M$36)))))</f>
        <v/>
      </c>
      <c r="N117" s="173" t="str">
        <f>IF(L117="","",IF(M117=M$33,O$33+O$32*(COUNT(L$61:L117)-1),IF(M117=M$34,O$34+O$32*(COUNT(L$61:L117)-O$31-1),IF(M117=M$35,O$34+O$32*(COUNT(L$61:L117)-2*O$31-1),IF(M117=M$36,O$33+O$32*(COUNT(L$61:L117)-3*O$31-1))))))</f>
        <v/>
      </c>
      <c r="O117" s="180" t="str" cm="1">
        <f t="array" ref="O117">IF(M117="","",MAX($C$5,IF(L117=90,IF(OR(N117=O$13,N117=O$14,N117=L$4-O$14,N117=L$4-O$13),M$7,IF(OR(M117=M$20,M117=M$24),M$8,IF(OR(M117=M$21:M$23),M$9))),M$10)))</f>
        <v/>
      </c>
      <c r="P117" s="168"/>
      <c r="Q117" s="185" t="str">
        <f t="shared" si="71"/>
        <v/>
      </c>
      <c r="R117" s="173" t="str">
        <f>IF(Q117="","",IF(COUNT(Q$61:Q117)&lt;=T$31,R$33,IF(COUNT(Q$61:Q117)&lt;=2*T$31,R$34,IF(COUNT(Q$61:Q117)&lt;=3*T$31,R$35,IF(COUNT(Q$61:Q117)&lt;=4*T$31,R$36)))))</f>
        <v/>
      </c>
      <c r="S117" s="173" t="str">
        <f>IF(Q117="","",IF(R117=R$33,T$33+T$32*(COUNT(Q$61:Q117)-1),IF(R117=R$34,T$34+T$32*(COUNT(Q$61:Q117)-T$31-1),IF(R117=R$35,T$34+T$32*(COUNT(Q$61:Q117)-2*T$31-1),IF(R117=R$36,T$33+T$32*(COUNT(Q$61:Q117)-3*T$31-1))))))</f>
        <v/>
      </c>
      <c r="T117" s="180" t="str" cm="1">
        <f t="array" ref="T117">IF(R117="","",MAX($C$5,IF(Q117=90,IF(OR(S117=T$13,S117=T$14,S117=Q$4-T$14,S117=Q$4-T$13),R$7,IF(OR(R117=R$20,R117=R$24),R$8,IF(OR(R117=R$21:R$23),R$9))),R$10)))</f>
        <v/>
      </c>
      <c r="U117" s="168"/>
      <c r="V117" s="185" t="str">
        <f t="shared" si="67"/>
        <v/>
      </c>
      <c r="W117" s="173" t="str">
        <f>IF(V117="","",IF(COUNT(V$61:V117)&lt;=Y$31,W$33,IF(COUNT(V$61:V117)&lt;=2*Y$31,W$34,IF(COUNT(V$61:V117)&lt;=3*Y$31,W$35,IF(COUNT(V$61:V117)&lt;=4*Y$31,W$36)))))</f>
        <v/>
      </c>
      <c r="X117" s="173" t="str">
        <f>IF(V117="","",IF(W117=W$33,Y$33+Y$32*(COUNT(V$61:V117)-1),IF(W117=W$34,Y$34+Y$32*(COUNT(V$61:V117)-Y$31-1),IF(W117=W$35,Y$34+Y$32*(COUNT(V$61:V117)-2*Y$31-1),IF(W117=W$36,Y$33+Y$32*(COUNT(V$61:V117)-3*Y$31-1))))))</f>
        <v/>
      </c>
      <c r="Y117" s="180" t="str" cm="1">
        <f t="array" ref="Y117">IF(W117="","",MAX($C$5,IF(V117=90,IF(OR(X117=Y$13,X117=Y$14,X117=V$4-Y$14,X117=V$4-Y$13),W$7,IF(OR(W117=W$20,W117=W$24),W$8,IF(OR(W117=W$21:W$23),W$9))),W$10)))</f>
        <v/>
      </c>
      <c r="Z117" s="168"/>
      <c r="AA117" s="185" t="str">
        <f t="shared" si="68"/>
        <v/>
      </c>
      <c r="AB117" s="173" t="str">
        <f>IF(AA117="","",IF(COUNT(AA$61:AA117)&lt;=AD$31,AB$33,IF(COUNT(AA$61:AA117)&lt;=2*AD$31,AB$34,IF(COUNT(AA$61:AA117)&lt;=3*AD$31,AB$35,IF(COUNT(AA$61:AA117)&lt;=4*AD$31,AB$36)))))</f>
        <v/>
      </c>
      <c r="AC117" s="173" t="str">
        <f>IF(AA117="","",IF(AB117=AB$33,AD$33+AD$32*(COUNT(AA$61:AA117)-1),IF(AB117=AB$34,AD$34+AD$32*(COUNT(AA$61:AA117)-AD$31-1),IF(AB117=AB$35,AD$34+AD$32*(COUNT(AA$61:AA117)-2*AD$31-1),IF(AB117=AB$36,AD$33+AD$32*(COUNT(AA$61:AA117)-3*AD$31-1))))))</f>
        <v/>
      </c>
      <c r="AD117" s="180" t="str" cm="1">
        <f t="array" ref="AD117">IF(AB117="","",MAX($C$5,IF(AA117=90,IF(OR(AC117=AD$13,AC117=AD$14,AC117=AA$4-AD$14,AC117=AA$4-AD$13),AB$7,IF(OR(AB117=AB$20,AB117=AB$24),AB$8,IF(OR(AB117=AB$21:AB$23),AB$9))),AB$10)))</f>
        <v/>
      </c>
      <c r="AE117" s="168"/>
      <c r="AF117" s="185" t="str">
        <f t="shared" si="69"/>
        <v/>
      </c>
      <c r="AG117" s="173" t="str">
        <f>IF(AF117="","",IF(COUNT(AF$61:AF117)&lt;=AI$31,AG$33,IF(COUNT(AF$61:AF117)&lt;=2*AI$31,AG$34,IF(COUNT(AF$61:AF117)&lt;=3*AI$31,AG$35,IF(COUNT(AF$61:AF117)&lt;=4*AI$31,AG$36)))))</f>
        <v/>
      </c>
      <c r="AH117" s="173" t="str">
        <f>IF(AF117="","",IF(AG117=AG$33,AI$33+AI$32*(COUNT(AF$61:AF117)-1),IF(AG117=AG$34,AI$34+AI$32*(COUNT(AF$61:AF117)-AI$31-1),IF(AG117=AG$35,AI$34+AI$32*(COUNT(AF$61:AF117)-2*AI$31-1),IF(AG117=AG$36,AI$33+AI$32*(COUNT(AF$61:AF117)-3*AI$31-1))))))</f>
        <v/>
      </c>
      <c r="AI117" s="180" t="str" cm="1">
        <f t="array" ref="AI117">IF(AG117="","",MAX($C$5,IF(AF117=90,IF(OR(AH117=AI$13,AH117=AI$14,AH117=AF$4-AI$14,AH117=AF$4-AI$13),AG$7,IF(OR(AG117=AG$20,AG117=AG$24),AG$8,IF(OR(AG117=AG$21:AG$23),AG$9))),AG$10)))</f>
        <v/>
      </c>
      <c r="AJ117" s="168"/>
      <c r="AK117" s="185" t="str">
        <f t="shared" si="70"/>
        <v/>
      </c>
      <c r="AL117" s="173" t="str">
        <f>IF(AK117="","",IF(COUNT(AK$61:AK117)&lt;=AN$31,AL$33,IF(COUNT(AK$61:AK117)&lt;=2*AN$31,AL$34,IF(COUNT(AK$61:AK117)&lt;=3*AN$31,AL$35,IF(COUNT(AK$61:AK117)&lt;=4*AN$31,AL$36)))))</f>
        <v/>
      </c>
      <c r="AM117" s="173" t="str">
        <f>IF(AK117="","",IF(AL117=AL$33,AN$33+AN$32*(COUNT(AK$61:AK117)-1),IF(AL117=AL$34,AN$34+AN$32*(COUNT(AK$61:AK117)-AN$31-1),IF(AL117=AL$35,AN$34+AN$32*(COUNT(AK$61:AK117)-2*AN$31-1),IF(AL117=AL$36,AN$33+AN$32*(COUNT(AK$61:AK117)-3*AN$31-1))))))</f>
        <v/>
      </c>
      <c r="AN117" s="180" t="str" cm="1">
        <f t="array" ref="AN117">IF(AL117="","",MAX($C$5,IF(AK117=90,IF(OR(AM117=AN$13,AM117=AN$14,AM117=AK$4-AN$14,AM117=AK$4-AN$13),AL$7,IF(OR(AL117=AL$20,AL117=AL$24),AL$8,IF(OR(AL117=AL$21:AL$23),AL$9))),AL$10)))</f>
        <v/>
      </c>
      <c r="AO117" s="168"/>
      <c r="AP117" s="244">
        <v>45</v>
      </c>
      <c r="AQ117" s="245">
        <v>96</v>
      </c>
      <c r="AR117" s="245">
        <f t="shared" si="75"/>
        <v>923</v>
      </c>
      <c r="AS117" s="180" cm="1">
        <f t="array" ref="AS117">IF(AQ117="","",MAX($C$5,IF(AP117=90,IF(OR(AR117=AS$13,AR117=AS$14,AR117=AP$4-AS$14,AR117=AP$4-AS$13),AQ$7,IF(OR(AQ117=AQ$20,AQ117=AQ$24),AQ$8,IF(OR(AQ117=AQ$21:AQ$23),AQ$9))),AQ$10)))</f>
        <v>18</v>
      </c>
      <c r="AT117" s="277"/>
      <c r="AU117" s="185" t="str">
        <f t="shared" si="57"/>
        <v/>
      </c>
      <c r="AV117" s="173" t="str">
        <f>IF(AU117="","",IF(COUNT(AU$61:AU117)&lt;=AX$31,AV$33,IF(COUNT(AU$61:AU117)&lt;=2*AX$31,AV$34,IF(COUNT(AU$61:AU117)&lt;=3*AX$31,AV$35))))</f>
        <v/>
      </c>
      <c r="AW117" s="173" t="str">
        <f>IF(AU117="","",IF(AV117=AV$33,AX$33+AX$32*(COUNT(AU$61:AU117)-1),IF(AV117=AV$34,AX$34+AX$32*(COUNT(AU$61:AU117)-AX$31-1),IF(AV117=AV$35,AX$33+AX$32*(COUNT(AU$61:AU117)-2*AX$31-1)))))</f>
        <v/>
      </c>
      <c r="AX117" s="180" t="str" cm="1">
        <f t="array" ref="AX117">IF(AV117="","",MAX($C$5,IF(AU117=90,IF(OR(AW117=AX$13,AW117=AX$14,AW117=AU$4-AX$14,AW117=AU$4-AX$13),AV$7,IF(OR(AV117=AV$20,AV117=AV$24),AV$8,IF(OR(AV117=AV$21:AV$23),AV$9))),AV$10)))</f>
        <v/>
      </c>
      <c r="AY117" s="168"/>
      <c r="AZ117" s="185" t="str">
        <f t="shared" si="58"/>
        <v/>
      </c>
      <c r="BA117" s="173" t="str">
        <f>IF(AZ117="","",IF(COUNT(AZ$61:AZ117)&lt;=BC$31,BA$33,IF(COUNT(AZ$61:AZ117)&lt;=2*BC$31,BA$34,IF(COUNT(AZ$61:AZ117)&lt;=3*BC$31,BA$35))))</f>
        <v/>
      </c>
      <c r="BB117" s="173" t="str">
        <f>IF(AZ117="","",IF(BA117=BA$33,BC$33+BC$32*(COUNT(AZ$61:AZ117)-1),IF(BA117=BA$34,BC$34+BC$32*(COUNT(AZ$61:AZ117)-BC$31-1),IF(BA117=BA$35,BC$33+BC$32*(COUNT(AZ$61:AZ117)-2*BC$31-1)))))</f>
        <v/>
      </c>
      <c r="BC117" s="180" t="str" cm="1">
        <f t="array" ref="BC117">IF(BA117="","",MAX($C$5,IF(AZ117=90,IF(OR(BB117=BC$13,BB117=BC$14,BB117=AZ$4-BC$14,BB117=AZ$4-BC$13),BA$7,IF(OR(BA117=BA$20,BA117=BA$24),BA$8,IF(OR(BA117=BA$21:BA$23),BA$9))),BA$10)))</f>
        <v/>
      </c>
      <c r="BD117" s="168"/>
      <c r="BE117" s="185" t="str">
        <f t="shared" si="59"/>
        <v/>
      </c>
      <c r="BF117" s="173" t="str">
        <f>IF(BE117="","",IF(COUNT(BE$61:BE117)&lt;=BH$31,BF$33,IF(COUNT(BE$61:BE117)&lt;=2*BH$31,BF$34,IF(COUNT(BE$61:BE117)&lt;=3*BH$31,BF$35))))</f>
        <v/>
      </c>
      <c r="BG117" s="173" t="str">
        <f>IF(BE117="","",IF(BF117=BF$33,BH$33+BH$32*(COUNT(BE$61:BE117)-1),IF(BF117=BF$34,BH$34+BH$32*(COUNT(BE$61:BE117)-BH$31-1),IF(BF117=BF$35,BH$33+BH$32*(COUNT(BE$61:BE117)-2*BH$31-1)))))</f>
        <v/>
      </c>
      <c r="BH117" s="180" t="str" cm="1">
        <f t="array" ref="BH117">IF(BF117="","",MAX($C$5,IF(BE117=90,IF(OR(BG117=BH$13,BG117=BH$14,BG117=BE$4-BH$14,BG117=BE$4-BH$13),BF$7,IF(OR(BF117=BF$20,BF117=BF$24),BF$8,IF(OR(BF117=BF$21:BF$23),BF$9))),BF$10)))</f>
        <v/>
      </c>
      <c r="BI117" s="277"/>
      <c r="BJ117" s="185" t="str">
        <f t="shared" si="60"/>
        <v/>
      </c>
      <c r="BK117" s="173" t="str">
        <f>IF(BJ117="","",IF(COUNT(BJ$61:BJ117)&lt;=BM$31-1,BK$33,IF(COUNT(BJ$61:BJ117)&lt;=2*BM$31-1,BK$34)))</f>
        <v/>
      </c>
      <c r="BL117" s="173" t="str">
        <f>IF(BJ117="","",IF(BK117=BK$33,BM$33+BM$32*(COUNT(BJ$61:BJ117)-1),IF(BK117=BK$34,BM$34+BM$32*(COUNT(BJ$61:BJ117)-BM$31))))</f>
        <v/>
      </c>
      <c r="BM117" s="180" t="str" cm="1">
        <f t="array" ref="BM117">IF(BK117="","",MAX($C$5,IF(BJ117=90,IF(OR(BL117=BM$13,BL117=BM$14,BL117=BJ$4-BM$14,BL117=BJ$4-BM$13),BK$7,IF(OR(BK117=BK$20,BK117=BK$24),BK$8,IF(OR(BK117=BK$21:BK$23),BK$9))),BK$10)))</f>
        <v/>
      </c>
      <c r="BN117" s="168"/>
      <c r="BO117" s="185" t="str">
        <f t="shared" si="61"/>
        <v/>
      </c>
      <c r="BP117" s="173" t="str">
        <f>IF(BO117="","",IF(COUNT(BO$61:BO117)&lt;=BR$31-1,BP$33,IF(COUNT(BO$61:BO117)&lt;=2*BR$31-1,BP$34)))</f>
        <v/>
      </c>
      <c r="BQ117" s="173" t="str">
        <f>IF(BO117="","",IF(BP117=BP$33,BR$33+BR$32*(COUNT(BO$61:BO117)-1),IF(BP117=BP$34,BR$34+BR$32*(COUNT(BO$61:BO117)-BR$31))))</f>
        <v/>
      </c>
      <c r="BR117" s="180" t="str" cm="1">
        <f t="array" ref="BR117">IF(BP117="","",MAX($C$5,IF(BO117=90,IF(OR(BQ117=BR$13,BQ117=BR$14,BQ117=BO$4-BR$14,BQ117=BO$4-BR$13),BP$7,IF(OR(BP117=BP$20,BP117=BP$24),BP$8,IF(OR(BP117=BP$21:BP$23),BP$9))),BP$10)))</f>
        <v/>
      </c>
      <c r="BS117" s="168"/>
      <c r="BT117" s="185" t="str">
        <f t="shared" si="62"/>
        <v/>
      </c>
      <c r="BU117" s="173" t="str">
        <f>IF(BT117="","",IF(COUNT(BT$61:BT117)&lt;=BW$31-1,BU$33,IF(COUNT(BT$61:BT117)&lt;=2*BW$31-1,BU$34)))</f>
        <v/>
      </c>
      <c r="BV117" s="173" t="str">
        <f>IF(BT117="","",IF(BU117=BU$33,BW$33+BW$32*(COUNT(BT$61:BT117)-1),IF(BU117=BU$34,BW$34+BW$32*(COUNT(BT$61:BT117)-BW$31))))</f>
        <v/>
      </c>
      <c r="BW117" s="180" t="str" cm="1">
        <f t="array" ref="BW117">IF(BU117="","",MAX($C$5,IF(BT117=90,IF(OR(BV117=BW$13,BV117=BW$14,BV117=BT$4-BW$14,BV117=BT$4-BW$13),BU$7,IF(OR(BU117=BU$20,BU117=BU$24),BU$8,IF(OR(BU117=BU$21:BU$23),BU$9))),BU$10)))</f>
        <v/>
      </c>
      <c r="BX117" s="288"/>
    </row>
    <row r="118" spans="1:91">
      <c r="A118" s="168"/>
      <c r="B118" s="185" t="str">
        <f t="shared" si="73"/>
        <v/>
      </c>
      <c r="C118" s="173" t="str">
        <f>IF(B118="","",IF(COUNT(B$61:B118)&lt;=E$31,C$33,IF(COUNT(B$61:B118)&lt;=2*E$31,C$34,IF(COUNT(B$61:B118)&lt;=3*E$31,C$35,IF(COUNT(B$61:B118)&lt;=4*E$31,C$36)))))</f>
        <v/>
      </c>
      <c r="D118" s="173" t="str">
        <f>IF(B118="","",IF(C118=C$33,E$33+E$32*(COUNT(B$61:B118)-1),IF(C118=C$34,E$34+E$32*(COUNT(B$61:B118)-E$31-1),IF(C118=C$35,E$34+E$32*(COUNT(B$61:B118)-2*E$31-1),IF(C118=C$36,E$33+E$32*(COUNT(B$61:B118)-3*E$31-1))))))</f>
        <v/>
      </c>
      <c r="E118" s="180" t="str" cm="1">
        <f t="array" ref="E118">IF(C118="","",MAX($C$5,IF(B118=90,IF(OR(D118=E$13,D118=E$14,D118=B$4-E$14,D118=B$4-E$13),C$7,IF(OR(C118=C$20,C118=C$24),C$8,IF(OR(C118=C$21:C$23),C$9))),C$10)))</f>
        <v/>
      </c>
      <c r="F118" s="168"/>
      <c r="G118" s="185" t="str">
        <f t="shared" si="74"/>
        <v/>
      </c>
      <c r="H118" s="173" t="str">
        <f>IF(G118="","",IF(COUNT(G$61:G118)&lt;=J$31,H$33,IF(COUNT(G$61:G118)&lt;=2*J$31,H$34,IF(COUNT(G$61:G118)&lt;=3*J$31,H$35,IF(COUNT(G$61:G118)&lt;=4*J$31,H$36)))))</f>
        <v/>
      </c>
      <c r="I118" s="173" t="str">
        <f>IF(G118="","",IF(H118=H$33,J$33+J$32*(COUNT(G$61:G118)-1),IF(H118=H$34,J$34+J$32*(COUNT(G$61:G118)-J$31-1),IF(H118=H$35,J$34+J$32*(COUNT(G$61:G118)-2*J$31-1),IF(H118=H$36,J$33+J$32*(COUNT(G$61:G118)-3*J$31-1))))))</f>
        <v/>
      </c>
      <c r="J118" s="180" t="str" cm="1">
        <f t="array" ref="J118">IF(H118="","",MAX($C$5,IF(G118=90,IF(OR(I118=J$13,I118=J$14,I118=G$4-J$14,I118=G$4-J$13),H$7,IF(OR(H118=H$20,H118=H$24),H$8,IF(OR(H118=H$21:H$23),H$9))),H$10)))</f>
        <v/>
      </c>
      <c r="K118" s="168"/>
      <c r="L118" s="185" t="str">
        <f t="shared" si="72"/>
        <v/>
      </c>
      <c r="M118" s="173" t="str">
        <f>IF(L118="","",IF(COUNT(L$61:L118)&lt;=O$31,M$33,IF(COUNT(L$61:L118)&lt;=2*O$31,M$34,IF(COUNT(L$61:L118)&lt;=3*O$31,M$35,IF(COUNT(L$61:L118)&lt;=4*O$31,M$36)))))</f>
        <v/>
      </c>
      <c r="N118" s="173" t="str">
        <f>IF(L118="","",IF(M118=M$33,O$33+O$32*(COUNT(L$61:L118)-1),IF(M118=M$34,O$34+O$32*(COUNT(L$61:L118)-O$31-1),IF(M118=M$35,O$34+O$32*(COUNT(L$61:L118)-2*O$31-1),IF(M118=M$36,O$33+O$32*(COUNT(L$61:L118)-3*O$31-1))))))</f>
        <v/>
      </c>
      <c r="O118" s="180" t="str" cm="1">
        <f t="array" ref="O118">IF(M118="","",MAX($C$5,IF(L118=90,IF(OR(N118=O$13,N118=O$14,N118=L$4-O$14,N118=L$4-O$13),M$7,IF(OR(M118=M$20,M118=M$24),M$8,IF(OR(M118=M$21:M$23),M$9))),M$10)))</f>
        <v/>
      </c>
      <c r="P118" s="168"/>
      <c r="Q118" s="185" t="str">
        <f t="shared" si="71"/>
        <v/>
      </c>
      <c r="R118" s="173" t="str">
        <f>IF(Q118="","",IF(COUNT(Q$61:Q118)&lt;=T$31,R$33,IF(COUNT(Q$61:Q118)&lt;=2*T$31,R$34,IF(COUNT(Q$61:Q118)&lt;=3*T$31,R$35,IF(COUNT(Q$61:Q118)&lt;=4*T$31,R$36)))))</f>
        <v/>
      </c>
      <c r="S118" s="173" t="str">
        <f>IF(Q118="","",IF(R118=R$33,T$33+T$32*(COUNT(Q$61:Q118)-1),IF(R118=R$34,T$34+T$32*(COUNT(Q$61:Q118)-T$31-1),IF(R118=R$35,T$34+T$32*(COUNT(Q$61:Q118)-2*T$31-1),IF(R118=R$36,T$33+T$32*(COUNT(Q$61:Q118)-3*T$31-1))))))</f>
        <v/>
      </c>
      <c r="T118" s="180" t="str" cm="1">
        <f t="array" ref="T118">IF(R118="","",MAX($C$5,IF(Q118=90,IF(OR(S118=T$13,S118=T$14,S118=Q$4-T$14,S118=Q$4-T$13),R$7,IF(OR(R118=R$20,R118=R$24),R$8,IF(OR(R118=R$21:R$23),R$9))),R$10)))</f>
        <v/>
      </c>
      <c r="U118" s="168"/>
      <c r="V118" s="185" t="str">
        <f t="shared" si="67"/>
        <v/>
      </c>
      <c r="W118" s="173" t="str">
        <f>IF(V118="","",IF(COUNT(V$61:V118)&lt;=Y$31,W$33,IF(COUNT(V$61:V118)&lt;=2*Y$31,W$34,IF(COUNT(V$61:V118)&lt;=3*Y$31,W$35,IF(COUNT(V$61:V118)&lt;=4*Y$31,W$36)))))</f>
        <v/>
      </c>
      <c r="X118" s="173" t="str">
        <f>IF(V118="","",IF(W118=W$33,Y$33+Y$32*(COUNT(V$61:V118)-1),IF(W118=W$34,Y$34+Y$32*(COUNT(V$61:V118)-Y$31-1),IF(W118=W$35,Y$34+Y$32*(COUNT(V$61:V118)-2*Y$31-1),IF(W118=W$36,Y$33+Y$32*(COUNT(V$61:V118)-3*Y$31-1))))))</f>
        <v/>
      </c>
      <c r="Y118" s="180" t="str" cm="1">
        <f t="array" ref="Y118">IF(W118="","",MAX($C$5,IF(V118=90,IF(OR(X118=Y$13,X118=Y$14,X118=V$4-Y$14,X118=V$4-Y$13),W$7,IF(OR(W118=W$20,W118=W$24),W$8,IF(OR(W118=W$21:W$23),W$9))),W$10)))</f>
        <v/>
      </c>
      <c r="Z118" s="168"/>
      <c r="AA118" s="185" t="str">
        <f t="shared" si="68"/>
        <v/>
      </c>
      <c r="AB118" s="173" t="str">
        <f>IF(AA118="","",IF(COUNT(AA$61:AA118)&lt;=AD$31,AB$33,IF(COUNT(AA$61:AA118)&lt;=2*AD$31,AB$34,IF(COUNT(AA$61:AA118)&lt;=3*AD$31,AB$35,IF(COUNT(AA$61:AA118)&lt;=4*AD$31,AB$36)))))</f>
        <v/>
      </c>
      <c r="AC118" s="173" t="str">
        <f>IF(AA118="","",IF(AB118=AB$33,AD$33+AD$32*(COUNT(AA$61:AA118)-1),IF(AB118=AB$34,AD$34+AD$32*(COUNT(AA$61:AA118)-AD$31-1),IF(AB118=AB$35,AD$34+AD$32*(COUNT(AA$61:AA118)-2*AD$31-1),IF(AB118=AB$36,AD$33+AD$32*(COUNT(AA$61:AA118)-3*AD$31-1))))))</f>
        <v/>
      </c>
      <c r="AD118" s="180" t="str" cm="1">
        <f t="array" ref="AD118">IF(AB118="","",MAX($C$5,IF(AA118=90,IF(OR(AC118=AD$13,AC118=AD$14,AC118=AA$4-AD$14,AC118=AA$4-AD$13),AB$7,IF(OR(AB118=AB$20,AB118=AB$24),AB$8,IF(OR(AB118=AB$21:AB$23),AB$9))),AB$10)))</f>
        <v/>
      </c>
      <c r="AE118" s="168"/>
      <c r="AF118" s="185" t="str">
        <f t="shared" si="69"/>
        <v/>
      </c>
      <c r="AG118" s="173" t="str">
        <f>IF(AF118="","",IF(COUNT(AF$61:AF118)&lt;=AI$31,AG$33,IF(COUNT(AF$61:AF118)&lt;=2*AI$31,AG$34,IF(COUNT(AF$61:AF118)&lt;=3*AI$31,AG$35,IF(COUNT(AF$61:AF118)&lt;=4*AI$31,AG$36)))))</f>
        <v/>
      </c>
      <c r="AH118" s="173" t="str">
        <f>IF(AF118="","",IF(AG118=AG$33,AI$33+AI$32*(COUNT(AF$61:AF118)-1),IF(AG118=AG$34,AI$34+AI$32*(COUNT(AF$61:AF118)-AI$31-1),IF(AG118=AG$35,AI$34+AI$32*(COUNT(AF$61:AF118)-2*AI$31-1),IF(AG118=AG$36,AI$33+AI$32*(COUNT(AF$61:AF118)-3*AI$31-1))))))</f>
        <v/>
      </c>
      <c r="AI118" s="180" t="str" cm="1">
        <f t="array" ref="AI118">IF(AG118="","",MAX($C$5,IF(AF118=90,IF(OR(AH118=AI$13,AH118=AI$14,AH118=AF$4-AI$14,AH118=AF$4-AI$13),AG$7,IF(OR(AG118=AG$20,AG118=AG$24),AG$8,IF(OR(AG118=AG$21:AG$23),AG$9))),AG$10)))</f>
        <v/>
      </c>
      <c r="AJ118" s="168"/>
      <c r="AK118" s="185" t="str">
        <f t="shared" si="70"/>
        <v/>
      </c>
      <c r="AL118" s="173" t="str">
        <f>IF(AK118="","",IF(COUNT(AK$61:AK118)&lt;=AN$31,AL$33,IF(COUNT(AK$61:AK118)&lt;=2*AN$31,AL$34,IF(COUNT(AK$61:AK118)&lt;=3*AN$31,AL$35,IF(COUNT(AK$61:AK118)&lt;=4*AN$31,AL$36)))))</f>
        <v/>
      </c>
      <c r="AM118" s="173" t="str">
        <f>IF(AK118="","",IF(AL118=AL$33,AN$33+AN$32*(COUNT(AK$61:AK118)-1),IF(AL118=AL$34,AN$34+AN$32*(COUNT(AK$61:AK118)-AN$31-1),IF(AL118=AL$35,AN$34+AN$32*(COUNT(AK$61:AK118)-2*AN$31-1),IF(AL118=AL$36,AN$33+AN$32*(COUNT(AK$61:AK118)-3*AN$31-1))))))</f>
        <v/>
      </c>
      <c r="AN118" s="180" t="str" cm="1">
        <f t="array" ref="AN118">IF(AL118="","",MAX($C$5,IF(AK118=90,IF(OR(AM118=AN$13,AM118=AN$14,AM118=AK$4-AN$14,AM118=AK$4-AN$13),AL$7,IF(OR(AL118=AL$20,AL118=AL$24),AL$8,IF(OR(AL118=AL$21:AL$23),AL$9))),AL$10)))</f>
        <v/>
      </c>
      <c r="AO118" s="168"/>
      <c r="AP118" s="244">
        <v>45</v>
      </c>
      <c r="AQ118" s="245">
        <v>140</v>
      </c>
      <c r="AR118" s="245">
        <f t="shared" si="75"/>
        <v>980</v>
      </c>
      <c r="AS118" s="180" cm="1">
        <f t="array" ref="AS118">IF(AQ118="","",MAX($C$5,IF(AP118=90,IF(OR(AR118=AS$13,AR118=AS$14,AR118=AP$4-AS$14,AR118=AP$4-AS$13),AQ$7,IF(OR(AQ118=AQ$20,AQ118=AQ$24),AQ$8,IF(OR(AQ118=AQ$21:AQ$23),AQ$9))),AQ$10)))</f>
        <v>18</v>
      </c>
      <c r="AT118" s="277"/>
      <c r="AU118" s="185" t="str">
        <f t="shared" si="57"/>
        <v/>
      </c>
      <c r="AV118" s="173" t="str">
        <f>IF(AU118="","",IF(COUNT(AU$61:AU118)&lt;=AX$31,AV$33,IF(COUNT(AU$61:AU118)&lt;=2*AX$31,AV$34,IF(COUNT(AU$61:AU118)&lt;=3*AX$31,AV$35))))</f>
        <v/>
      </c>
      <c r="AW118" s="173" t="str">
        <f>IF(AU118="","",IF(AV118=AV$33,AX$33+AX$32*(COUNT(AU$61:AU118)-1),IF(AV118=AV$34,AX$34+AX$32*(COUNT(AU$61:AU118)-AX$31-1),IF(AV118=AV$35,AX$33+AX$32*(COUNT(AU$61:AU118)-2*AX$31-1)))))</f>
        <v/>
      </c>
      <c r="AX118" s="180" t="str" cm="1">
        <f t="array" ref="AX118">IF(AV118="","",MAX($C$5,IF(AU118=90,IF(OR(AW118=AX$13,AW118=AX$14,AW118=AU$4-AX$14,AW118=AU$4-AX$13),AV$7,IF(OR(AV118=AV$20,AV118=AV$24),AV$8,IF(OR(AV118=AV$21:AV$23),AV$9))),AV$10)))</f>
        <v/>
      </c>
      <c r="AY118" s="168"/>
      <c r="AZ118" s="185" t="str">
        <f t="shared" si="58"/>
        <v/>
      </c>
      <c r="BA118" s="173" t="str">
        <f>IF(AZ118="","",IF(COUNT(AZ$61:AZ118)&lt;=BC$31,BA$33,IF(COUNT(AZ$61:AZ118)&lt;=2*BC$31,BA$34,IF(COUNT(AZ$61:AZ118)&lt;=3*BC$31,BA$35))))</f>
        <v/>
      </c>
      <c r="BB118" s="173" t="str">
        <f>IF(AZ118="","",IF(BA118=BA$33,BC$33+BC$32*(COUNT(AZ$61:AZ118)-1),IF(BA118=BA$34,BC$34+BC$32*(COUNT(AZ$61:AZ118)-BC$31-1),IF(BA118=BA$35,BC$33+BC$32*(COUNT(AZ$61:AZ118)-2*BC$31-1)))))</f>
        <v/>
      </c>
      <c r="BC118" s="180" t="str" cm="1">
        <f t="array" ref="BC118">IF(BA118="","",MAX($C$5,IF(AZ118=90,IF(OR(BB118=BC$13,BB118=BC$14,BB118=AZ$4-BC$14,BB118=AZ$4-BC$13),BA$7,IF(OR(BA118=BA$20,BA118=BA$24),BA$8,IF(OR(BA118=BA$21:BA$23),BA$9))),BA$10)))</f>
        <v/>
      </c>
      <c r="BD118" s="168"/>
      <c r="BE118" s="185" t="str">
        <f t="shared" si="59"/>
        <v/>
      </c>
      <c r="BF118" s="173" t="str">
        <f>IF(BE118="","",IF(COUNT(BE$61:BE118)&lt;=BH$31,BF$33,IF(COUNT(BE$61:BE118)&lt;=2*BH$31,BF$34,IF(COUNT(BE$61:BE118)&lt;=3*BH$31,BF$35))))</f>
        <v/>
      </c>
      <c r="BG118" s="173" t="str">
        <f>IF(BE118="","",IF(BF118=BF$33,BH$33+BH$32*(COUNT(BE$61:BE118)-1),IF(BF118=BF$34,BH$34+BH$32*(COUNT(BE$61:BE118)-BH$31-1),IF(BF118=BF$35,BH$33+BH$32*(COUNT(BE$61:BE118)-2*BH$31-1)))))</f>
        <v/>
      </c>
      <c r="BH118" s="180" t="str" cm="1">
        <f t="array" ref="BH118">IF(BF118="","",MAX($C$5,IF(BE118=90,IF(OR(BG118=BH$13,BG118=BH$14,BG118=BE$4-BH$14,BG118=BE$4-BH$13),BF$7,IF(OR(BF118=BF$20,BF118=BF$24),BF$8,IF(OR(BF118=BF$21:BF$23),BF$9))),BF$10)))</f>
        <v/>
      </c>
      <c r="BI118" s="277"/>
      <c r="BJ118" s="185" t="str">
        <f t="shared" si="60"/>
        <v/>
      </c>
      <c r="BK118" s="173" t="str">
        <f>IF(BJ118="","",IF(COUNT(BJ$61:BJ118)&lt;=BM$31-1,BK$33,IF(COUNT(BJ$61:BJ118)&lt;=2*BM$31-1,BK$34)))</f>
        <v/>
      </c>
      <c r="BL118" s="173" t="str">
        <f>IF(BJ118="","",IF(BK118=BK$33,BM$33+BM$32*(COUNT(BJ$61:BJ118)-1),IF(BK118=BK$34,BM$34+BM$32*(COUNT(BJ$61:BJ118)-BM$31))))</f>
        <v/>
      </c>
      <c r="BM118" s="180" t="str" cm="1">
        <f t="array" ref="BM118">IF(BK118="","",MAX($C$5,IF(BJ118=90,IF(OR(BL118=BM$13,BL118=BM$14,BL118=BJ$4-BM$14,BL118=BJ$4-BM$13),BK$7,IF(OR(BK118=BK$20,BK118=BK$24),BK$8,IF(OR(BK118=BK$21:BK$23),BK$9))),BK$10)))</f>
        <v/>
      </c>
      <c r="BN118" s="168"/>
      <c r="BO118" s="185" t="str">
        <f t="shared" si="61"/>
        <v/>
      </c>
      <c r="BP118" s="173" t="str">
        <f>IF(BO118="","",IF(COUNT(BO$61:BO118)&lt;=BR$31-1,BP$33,IF(COUNT(BO$61:BO118)&lt;=2*BR$31-1,BP$34)))</f>
        <v/>
      </c>
      <c r="BQ118" s="173" t="str">
        <f>IF(BO118="","",IF(BP118=BP$33,BR$33+BR$32*(COUNT(BO$61:BO118)-1),IF(BP118=BP$34,BR$34+BR$32*(COUNT(BO$61:BO118)-BR$31))))</f>
        <v/>
      </c>
      <c r="BR118" s="180" t="str" cm="1">
        <f t="array" ref="BR118">IF(BP118="","",MAX($C$5,IF(BO118=90,IF(OR(BQ118=BR$13,BQ118=BR$14,BQ118=BO$4-BR$14,BQ118=BO$4-BR$13),BP$7,IF(OR(BP118=BP$20,BP118=BP$24),BP$8,IF(OR(BP118=BP$21:BP$23),BP$9))),BP$10)))</f>
        <v/>
      </c>
      <c r="BS118" s="168"/>
      <c r="BT118" s="185" t="str">
        <f t="shared" si="62"/>
        <v/>
      </c>
      <c r="BU118" s="173" t="str">
        <f>IF(BT118="","",IF(COUNT(BT$61:BT118)&lt;=BW$31-1,BU$33,IF(COUNT(BT$61:BT118)&lt;=2*BW$31-1,BU$34)))</f>
        <v/>
      </c>
      <c r="BV118" s="173" t="str">
        <f>IF(BT118="","",IF(BU118=BU$33,BW$33+BW$32*(COUNT(BT$61:BT118)-1),IF(BU118=BU$34,BW$34+BW$32*(COUNT(BT$61:BT118)-BW$31))))</f>
        <v/>
      </c>
      <c r="BW118" s="180" t="str" cm="1">
        <f t="array" ref="BW118">IF(BU118="","",MAX($C$5,IF(BT118=90,IF(OR(BV118=BW$13,BV118=BW$14,BV118=BT$4-BW$14,BV118=BT$4-BW$13),BU$7,IF(OR(BU118=BU$20,BU118=BU$24),BU$8,IF(OR(BU118=BU$21:BU$23),BU$9))),BU$10)))</f>
        <v/>
      </c>
      <c r="BX118" s="288"/>
    </row>
    <row r="119" spans="1:91">
      <c r="A119" s="168"/>
      <c r="B119" s="186" t="str">
        <f t="shared" si="73"/>
        <v/>
      </c>
      <c r="C119" s="174" t="str">
        <f>IF(B119="","",IF(COUNT(B$61:B119)&lt;=E$31,C$33,IF(COUNT(B$61:B119)&lt;=2*E$31,C$34,IF(COUNT(B$61:B119)&lt;=3*E$31,C$35,IF(COUNT(B$61:B119)&lt;=4*E$31,C$36)))))</f>
        <v/>
      </c>
      <c r="D119" s="174" t="str">
        <f>IF(B119="","",IF(C119=C$33,E$33+E$32*(COUNT(B$61:B119)-1),IF(C119=C$34,E$34+E$32*(COUNT(B$61:B119)-E$31-1),IF(C119=C$35,E$34+E$32*(COUNT(B$61:B119)-2*E$31-1),IF(C119=C$36,E$33+E$32*(COUNT(B$61:B119)-3*E$31-1))))))</f>
        <v/>
      </c>
      <c r="E119" s="181" t="str" cm="1">
        <f t="array" ref="E119">IF(C119="","",MAX($C$5,IF(B119=90,IF(OR(D119=E$13,D119=E$14,D119=B$4-E$14,D119=B$4-E$13),C$7,IF(OR(C119=C$20,C119=C$24),C$8,IF(OR(C119=C$21:C$23),C$9))),C$10)))</f>
        <v/>
      </c>
      <c r="F119" s="168"/>
      <c r="G119" s="186" t="str">
        <f t="shared" si="74"/>
        <v/>
      </c>
      <c r="H119" s="174" t="str">
        <f>IF(G119="","",IF(COUNT(G$61:G119)&lt;=J$31,H$33,IF(COUNT(G$61:G119)&lt;=2*J$31,H$34,IF(COUNT(G$61:G119)&lt;=3*J$31,H$35,IF(COUNT(G$61:G119)&lt;=4*J$31,H$36)))))</f>
        <v/>
      </c>
      <c r="I119" s="174" t="str">
        <f>IF(G119="","",IF(H119=H$33,J$33+J$32*(COUNT(G$61:G119)-1),IF(H119=H$34,J$34+J$32*(COUNT(G$61:G119)-J$31-1),IF(H119=H$35,J$34+J$32*(COUNT(G$61:G119)-2*J$31-1),IF(H119=H$36,J$33+J$32*(COUNT(G$61:G119)-3*J$31-1))))))</f>
        <v/>
      </c>
      <c r="J119" s="181" t="str" cm="1">
        <f t="array" ref="J119">IF(H119="","",MAX($C$5,IF(G119=90,IF(OR(I119=J$13,I119=J$14,I119=G$4-J$14,I119=G$4-J$13),H$7,IF(OR(H119=H$20,H119=H$24),H$8,IF(OR(H119=H$21:H$23),H$9))),H$10)))</f>
        <v/>
      </c>
      <c r="K119" s="168"/>
      <c r="L119" s="186" t="str">
        <f t="shared" si="72"/>
        <v/>
      </c>
      <c r="M119" s="174" t="str">
        <f>IF(L119="","",IF(COUNT(L$61:L119)&lt;=O$31,M$33,IF(COUNT(L$61:L119)&lt;=2*O$31,M$34,IF(COUNT(L$61:L119)&lt;=3*O$31,M$35,IF(COUNT(L$61:L119)&lt;=4*O$31,M$36)))))</f>
        <v/>
      </c>
      <c r="N119" s="174" t="str">
        <f>IF(L119="","",IF(M119=M$33,O$33+O$32*(COUNT(L$61:L119)-1),IF(M119=M$34,O$34+O$32*(COUNT(L$61:L119)-O$31-1),IF(M119=M$35,O$34+O$32*(COUNT(L$61:L119)-2*O$31-1),IF(M119=M$36,O$33+O$32*(COUNT(L$61:L119)-3*O$31-1))))))</f>
        <v/>
      </c>
      <c r="O119" s="181" t="str" cm="1">
        <f t="array" ref="O119">IF(M119="","",MAX($C$5,IF(L119=90,IF(OR(N119=O$13,N119=O$14,N119=L$4-O$14,N119=L$4-O$13),M$7,IF(OR(M119=M$20,M119=M$24),M$8,IF(OR(M119=M$21:M$23),M$9))),M$10)))</f>
        <v/>
      </c>
      <c r="P119" s="168"/>
      <c r="Q119" s="186" t="str">
        <f t="shared" si="71"/>
        <v/>
      </c>
      <c r="R119" s="174" t="str">
        <f>IF(Q119="","",IF(COUNT(Q$61:Q119)&lt;=T$31,R$33,IF(COUNT(Q$61:Q119)&lt;=2*T$31,R$34,IF(COUNT(Q$61:Q119)&lt;=3*T$31,R$35,IF(COUNT(Q$61:Q119)&lt;=4*T$31,R$36)))))</f>
        <v/>
      </c>
      <c r="S119" s="174" t="str">
        <f>IF(Q119="","",IF(R119=R$33,T$33+T$32*(COUNT(Q$61:Q119)-1),IF(R119=R$34,T$34+T$32*(COUNT(Q$61:Q119)-T$31-1),IF(R119=R$35,T$34+T$32*(COUNT(Q$61:Q119)-2*T$31-1),IF(R119=R$36,T$33+T$32*(COUNT(Q$61:Q119)-3*T$31-1))))))</f>
        <v/>
      </c>
      <c r="T119" s="181" t="str" cm="1">
        <f t="array" ref="T119">IF(R119="","",MAX($C$5,IF(Q119=90,IF(OR(S119=T$13,S119=T$14,S119=Q$4-T$14,S119=Q$4-T$13),R$7,IF(OR(R119=R$20,R119=R$24),R$8,IF(OR(R119=R$21:R$23),R$9))),R$10)))</f>
        <v/>
      </c>
      <c r="U119" s="168"/>
      <c r="V119" s="186" t="str">
        <f t="shared" si="67"/>
        <v/>
      </c>
      <c r="W119" s="174" t="str">
        <f>IF(V119="","",IF(COUNT(V$61:V119)&lt;=Y$31,W$33,IF(COUNT(V$61:V119)&lt;=2*Y$31,W$34,IF(COUNT(V$61:V119)&lt;=3*Y$31,W$35,IF(COUNT(V$61:V119)&lt;=4*Y$31,W$36)))))</f>
        <v/>
      </c>
      <c r="X119" s="174" t="str">
        <f>IF(V119="","",IF(W119=W$33,Y$33+Y$32*(COUNT(V$61:V119)-1),IF(W119=W$34,Y$34+Y$32*(COUNT(V$61:V119)-Y$31-1),IF(W119=W$35,Y$34+Y$32*(COUNT(V$61:V119)-2*Y$31-1),IF(W119=W$36,Y$33+Y$32*(COUNT(V$61:V119)-3*Y$31-1))))))</f>
        <v/>
      </c>
      <c r="Y119" s="181" t="str" cm="1">
        <f t="array" ref="Y119">IF(W119="","",MAX($C$5,IF(V119=90,IF(OR(X119=Y$13,X119=Y$14,X119=V$4-Y$14,X119=V$4-Y$13),W$7,IF(OR(W119=W$20,W119=W$24),W$8,IF(OR(W119=W$21:W$23),W$9))),W$10)))</f>
        <v/>
      </c>
      <c r="Z119" s="168"/>
      <c r="AA119" s="186" t="str">
        <f t="shared" si="68"/>
        <v/>
      </c>
      <c r="AB119" s="174" t="str">
        <f>IF(AA119="","",IF(COUNT(AA$61:AA119)&lt;=AD$31,AB$33,IF(COUNT(AA$61:AA119)&lt;=2*AD$31,AB$34,IF(COUNT(AA$61:AA119)&lt;=3*AD$31,AB$35,IF(COUNT(AA$61:AA119)&lt;=4*AD$31,AB$36)))))</f>
        <v/>
      </c>
      <c r="AC119" s="174" t="str">
        <f>IF(AA119="","",IF(AB119=AB$33,AD$33+AD$32*(COUNT(AA$61:AA119)-1),IF(AB119=AB$34,AD$34+AD$32*(COUNT(AA$61:AA119)-AD$31-1),IF(AB119=AB$35,AD$34+AD$32*(COUNT(AA$61:AA119)-2*AD$31-1),IF(AB119=AB$36,AD$33+AD$32*(COUNT(AA$61:AA119)-3*AD$31-1))))))</f>
        <v/>
      </c>
      <c r="AD119" s="181" t="str" cm="1">
        <f t="array" ref="AD119">IF(AB119="","",MAX($C$5,IF(AA119=90,IF(OR(AC119=AD$13,AC119=AD$14,AC119=AA$4-AD$14,AC119=AA$4-AD$13),AB$7,IF(OR(AB119=AB$20,AB119=AB$24),AB$8,IF(OR(AB119=AB$21:AB$23),AB$9))),AB$10)))</f>
        <v/>
      </c>
      <c r="AE119" s="168"/>
      <c r="AF119" s="186" t="str">
        <f t="shared" si="69"/>
        <v/>
      </c>
      <c r="AG119" s="174" t="str">
        <f>IF(AF119="","",IF(COUNT(AF$61:AF119)&lt;=AI$31,AG$33,IF(COUNT(AF$61:AF119)&lt;=2*AI$31,AG$34,IF(COUNT(AF$61:AF119)&lt;=3*AI$31,AG$35,IF(COUNT(AF$61:AF119)&lt;=4*AI$31,AG$36)))))</f>
        <v/>
      </c>
      <c r="AH119" s="174" t="str">
        <f>IF(AF119="","",IF(AG119=AG$33,AI$33+AI$32*(COUNT(AF$61:AF119)-1),IF(AG119=AG$34,AI$34+AI$32*(COUNT(AF$61:AF119)-AI$31-1),IF(AG119=AG$35,AI$34+AI$32*(COUNT(AF$61:AF119)-2*AI$31-1),IF(AG119=AG$36,AI$33+AI$32*(COUNT(AF$61:AF119)-3*AI$31-1))))))</f>
        <v/>
      </c>
      <c r="AI119" s="181" t="str" cm="1">
        <f t="array" ref="AI119">IF(AG119="","",MAX($C$5,IF(AF119=90,IF(OR(AH119=AI$13,AH119=AI$14,AH119=AF$4-AI$14,AH119=AF$4-AI$13),AG$7,IF(OR(AG119=AG$20,AG119=AG$24),AG$8,IF(OR(AG119=AG$21:AG$23),AG$9))),AG$10)))</f>
        <v/>
      </c>
      <c r="AJ119" s="168"/>
      <c r="AK119" s="186" t="str">
        <f t="shared" si="70"/>
        <v/>
      </c>
      <c r="AL119" s="174" t="str">
        <f>IF(AK119="","",IF(COUNT(AK$61:AK119)&lt;=AN$31,AL$33,IF(COUNT(AK$61:AK119)&lt;=2*AN$31,AL$34,IF(COUNT(AK$61:AK119)&lt;=3*AN$31,AL$35,IF(COUNT(AK$61:AK119)&lt;=4*AN$31,AL$36)))))</f>
        <v/>
      </c>
      <c r="AM119" s="174" t="str">
        <f>IF(AK119="","",IF(AL119=AL$33,AN$33+AN$32*(COUNT(AK$61:AK119)-1),IF(AL119=AL$34,AN$34+AN$32*(COUNT(AK$61:AK119)-AN$31-1),IF(AL119=AL$35,AN$34+AN$32*(COUNT(AK$61:AK119)-2*AN$31-1),IF(AL119=AL$36,AN$33+AN$32*(COUNT(AK$61:AK119)-3*AN$31-1))))))</f>
        <v/>
      </c>
      <c r="AN119" s="181" t="str" cm="1">
        <f t="array" ref="AN119">IF(AL119="","",MAX($C$5,IF(AK119=90,IF(OR(AM119=AN$13,AM119=AN$14,AM119=AK$4-AN$14,AM119=AK$4-AN$13),AL$7,IF(OR(AL119=AL$20,AL119=AL$24),AL$8,IF(OR(AL119=AL$21:AL$23),AL$9))),AL$10)))</f>
        <v/>
      </c>
      <c r="AO119" s="168"/>
      <c r="AP119" s="247">
        <v>45</v>
      </c>
      <c r="AQ119" s="248">
        <v>140</v>
      </c>
      <c r="AR119" s="248">
        <f t="shared" si="75"/>
        <v>923</v>
      </c>
      <c r="AS119" s="181" cm="1">
        <f t="array" ref="AS119">IF(AQ119="","",MAX($C$5,IF(AP119=90,IF(OR(AR119=AS$13,AR119=AS$14,AR119=AP$4-AS$14,AR119=AP$4-AS$13),AQ$7,IF(OR(AQ119=AQ$20,AQ119=AQ$24),AQ$8,IF(OR(AQ119=AQ$21:AQ$23),AQ$9))),AQ$10)))</f>
        <v>18</v>
      </c>
      <c r="AT119" s="277"/>
      <c r="AU119" s="186" t="str">
        <f t="shared" si="57"/>
        <v/>
      </c>
      <c r="AV119" s="174" t="str">
        <f>IF(AU119="","",IF(COUNT(AU$61:AU119)&lt;=AX$31,AV$33,IF(COUNT(AU$61:AU119)&lt;=2*AX$31,AV$34,IF(COUNT(AU$61:AU119)&lt;=3*AX$31,AV$35))))</f>
        <v/>
      </c>
      <c r="AW119" s="174" t="str">
        <f>IF(AU119="","",IF(AV119=AV$33,AX$33+AX$32*(COUNT(AU$61:AU119)-1),IF(AV119=AV$34,AX$34+AX$32*(COUNT(AU$61:AU119)-AX$31-1),IF(AV119=AV$35,AX$33+AX$32*(COUNT(AU$61:AU119)-2*AX$31-1)))))</f>
        <v/>
      </c>
      <c r="AX119" s="181" t="str" cm="1">
        <f t="array" ref="AX119">IF(AV119="","",MAX($C$5,IF(AU119=90,IF(OR(AW119=AX$13,AW119=AX$14,AW119=AU$4-AX$14,AW119=AU$4-AX$13),AV$7,IF(OR(AV119=AV$20,AV119=AV$24),AV$8,IF(OR(AV119=AV$21:AV$23),AV$9))),AV$10)))</f>
        <v/>
      </c>
      <c r="AY119" s="168"/>
      <c r="AZ119" s="186" t="str">
        <f t="shared" si="58"/>
        <v/>
      </c>
      <c r="BA119" s="174" t="str">
        <f>IF(AZ119="","",IF(COUNT(AZ$61:AZ119)&lt;=BC$31,BA$33,IF(COUNT(AZ$61:AZ119)&lt;=2*BC$31,BA$34,IF(COUNT(AZ$61:AZ119)&lt;=3*BC$31,BA$35))))</f>
        <v/>
      </c>
      <c r="BB119" s="174" t="str">
        <f>IF(AZ119="","",IF(BA119=BA$33,BC$33+BC$32*(COUNT(AZ$61:AZ119)-1),IF(BA119=BA$34,BC$34+BC$32*(COUNT(AZ$61:AZ119)-BC$31-1),IF(BA119=BA$35,BC$33+BC$32*(COUNT(AZ$61:AZ119)-2*BC$31-1)))))</f>
        <v/>
      </c>
      <c r="BC119" s="181" t="str" cm="1">
        <f t="array" ref="BC119">IF(BA119="","",MAX($C$5,IF(AZ119=90,IF(OR(BB119=BC$13,BB119=BC$14,BB119=AZ$4-BC$14,BB119=AZ$4-BC$13),BA$7,IF(OR(BA119=BA$20,BA119=BA$24),BA$8,IF(OR(BA119=BA$21:BA$23),BA$9))),BA$10)))</f>
        <v/>
      </c>
      <c r="BD119" s="168"/>
      <c r="BE119" s="186" t="str">
        <f t="shared" si="59"/>
        <v/>
      </c>
      <c r="BF119" s="174" t="str">
        <f>IF(BE119="","",IF(COUNT(BE$61:BE119)&lt;=BH$31,BF$33,IF(COUNT(BE$61:BE119)&lt;=2*BH$31,BF$34,IF(COUNT(BE$61:BE119)&lt;=3*BH$31,BF$35))))</f>
        <v/>
      </c>
      <c r="BG119" s="174" t="str">
        <f>IF(BE119="","",IF(BF119=BF$33,BH$33+BH$32*(COUNT(BE$61:BE119)-1),IF(BF119=BF$34,BH$34+BH$32*(COUNT(BE$61:BE119)-BH$31-1),IF(BF119=BF$35,BH$33+BH$32*(COUNT(BE$61:BE119)-2*BH$31-1)))))</f>
        <v/>
      </c>
      <c r="BH119" s="181" t="str" cm="1">
        <f t="array" ref="BH119">IF(BF119="","",MAX($C$5,IF(BE119=90,IF(OR(BG119=BH$13,BG119=BH$14,BG119=BE$4-BH$14,BG119=BE$4-BH$13),BF$7,IF(OR(BF119=BF$20,BF119=BF$24),BF$8,IF(OR(BF119=BF$21:BF$23),BF$9))),BF$10)))</f>
        <v/>
      </c>
      <c r="BI119" s="277"/>
      <c r="BJ119" s="186" t="str">
        <f t="shared" si="60"/>
        <v/>
      </c>
      <c r="BK119" s="174" t="str">
        <f>IF(BJ119="","",IF(COUNT(BJ$61:BJ119)&lt;=BM$31-1,BK$33,IF(COUNT(BJ$61:BJ119)&lt;=2*BM$31-1,BK$34)))</f>
        <v/>
      </c>
      <c r="BL119" s="174" t="str">
        <f>IF(BJ119="","",IF(BK119=BK$33,BM$33+BM$32*(COUNT(BJ$61:BJ119)-1),IF(BK119=BK$34,BM$34+BM$32*(COUNT(BJ$61:BJ119)-BM$31))))</f>
        <v/>
      </c>
      <c r="BM119" s="181" t="str" cm="1">
        <f t="array" ref="BM119">IF(BK119="","",MAX($C$5,IF(BJ119=90,IF(OR(BL119=BM$13,BL119=BM$14,BL119=BJ$4-BM$14,BL119=BJ$4-BM$13),BK$7,IF(OR(BK119=BK$20,BK119=BK$24),BK$8,IF(OR(BK119=BK$21:BK$23),BK$9))),BK$10)))</f>
        <v/>
      </c>
      <c r="BN119" s="168"/>
      <c r="BO119" s="186" t="str">
        <f t="shared" si="61"/>
        <v/>
      </c>
      <c r="BP119" s="174" t="str">
        <f>IF(BO119="","",IF(COUNT(BO$61:BO119)&lt;=BR$31-1,BP$33,IF(COUNT(BO$61:BO119)&lt;=2*BR$31-1,BP$34)))</f>
        <v/>
      </c>
      <c r="BQ119" s="174" t="str">
        <f>IF(BO119="","",IF(BP119=BP$33,BR$33+BR$32*(COUNT(BO$61:BO119)-1),IF(BP119=BP$34,BR$34+BR$32*(COUNT(BO$61:BO119)-BR$31))))</f>
        <v/>
      </c>
      <c r="BR119" s="181" t="str" cm="1">
        <f t="array" ref="BR119">IF(BP119="","",MAX($C$5,IF(BO119=90,IF(OR(BQ119=BR$13,BQ119=BR$14,BQ119=BO$4-BR$14,BQ119=BO$4-BR$13),BP$7,IF(OR(BP119=BP$20,BP119=BP$24),BP$8,IF(OR(BP119=BP$21:BP$23),BP$9))),BP$10)))</f>
        <v/>
      </c>
      <c r="BS119" s="168"/>
      <c r="BT119" s="186" t="str">
        <f t="shared" si="62"/>
        <v/>
      </c>
      <c r="BU119" s="174" t="str">
        <f>IF(BT119="","",IF(COUNT(BT$61:BT119)&lt;=BW$31-1,BU$33,IF(COUNT(BT$61:BT119)&lt;=2*BW$31-1,BU$34)))</f>
        <v/>
      </c>
      <c r="BV119" s="174" t="str">
        <f>IF(BT119="","",IF(BU119=BU$33,BW$33+BW$32*(COUNT(BT$61:BT119)-1),IF(BU119=BU$34,BW$34+BW$32*(COUNT(BT$61:BT119)-BW$31))))</f>
        <v/>
      </c>
      <c r="BW119" s="181" t="str" cm="1">
        <f t="array" ref="BW119">IF(BU119="","",MAX($C$5,IF(BT119=90,IF(OR(BV119=BW$13,BV119=BW$14,BV119=BT$4-BW$14,BV119=BT$4-BW$13),BU$7,IF(OR(BU119=BU$20,BU119=BU$24),BU$8,IF(OR(BU119=BU$21:BU$23),BU$9))),BU$10)))</f>
        <v/>
      </c>
      <c r="BX119" s="288"/>
    </row>
    <row r="120" spans="1:91">
      <c r="A120" s="47"/>
      <c r="B120" s="47">
        <f>COUNT(B42:B119)</f>
        <v>67</v>
      </c>
      <c r="C120" s="47"/>
      <c r="D120" s="47"/>
      <c r="E120" s="47"/>
      <c r="F120" s="47"/>
      <c r="G120" s="47">
        <f>COUNT(G42:G119)</f>
        <v>67</v>
      </c>
      <c r="H120" s="47"/>
      <c r="I120" s="47"/>
      <c r="J120" s="47"/>
      <c r="K120" s="47"/>
      <c r="L120" s="47">
        <f>COUNT(L42:L119)</f>
        <v>60</v>
      </c>
      <c r="M120" s="47"/>
      <c r="N120" s="47"/>
      <c r="O120" s="47"/>
      <c r="P120" s="47"/>
      <c r="Q120" s="47">
        <f>COUNT(Q42:Q119)</f>
        <v>56</v>
      </c>
      <c r="R120" s="47"/>
      <c r="S120" s="47"/>
      <c r="T120" s="47"/>
      <c r="U120" s="47"/>
      <c r="V120" s="47">
        <f>COUNT(V42:V119)</f>
        <v>48</v>
      </c>
      <c r="W120" s="47"/>
      <c r="X120" s="47"/>
      <c r="Y120" s="47"/>
      <c r="Z120" s="47"/>
      <c r="AA120" s="47">
        <f>COUNT(AA42:AA119)</f>
        <v>44</v>
      </c>
      <c r="AB120" s="47"/>
      <c r="AC120" s="47"/>
      <c r="AD120" s="47"/>
      <c r="AE120" s="47"/>
      <c r="AF120" s="47">
        <f>COUNT(AF42:AF119)</f>
        <v>36</v>
      </c>
      <c r="AG120" s="47"/>
      <c r="AH120" s="47"/>
      <c r="AI120" s="47"/>
      <c r="AJ120" s="47"/>
      <c r="AK120" s="47">
        <f>COUNT(AK42:AK119)</f>
        <v>28</v>
      </c>
      <c r="AL120" s="47"/>
      <c r="AM120" s="47"/>
      <c r="AN120" s="47"/>
      <c r="AO120" s="47"/>
      <c r="AP120" s="47">
        <f>COUNT(AP42:AP119)</f>
        <v>75</v>
      </c>
      <c r="AQ120" s="47"/>
      <c r="AR120" s="47"/>
      <c r="AS120" s="47"/>
      <c r="AT120" s="292"/>
      <c r="AU120" s="47">
        <f>COUNT(AU42:AU119)</f>
        <v>31</v>
      </c>
      <c r="AV120" s="47"/>
      <c r="AW120" s="47"/>
      <c r="AX120" s="47"/>
      <c r="AY120" s="47"/>
      <c r="AZ120" s="47">
        <f>COUNT(AZ42:AZ119)</f>
        <v>25</v>
      </c>
      <c r="BA120" s="47"/>
      <c r="BB120" s="47"/>
      <c r="BC120" s="47"/>
      <c r="BD120" s="47"/>
      <c r="BE120" s="47">
        <f>COUNT(BE42:BE119)</f>
        <v>19</v>
      </c>
      <c r="BF120" s="47"/>
      <c r="BG120" s="47"/>
      <c r="BH120" s="47"/>
      <c r="BI120" s="292"/>
      <c r="BJ120" s="47">
        <f>COUNT(BJ42:BJ119)</f>
        <v>22</v>
      </c>
      <c r="BK120" s="47"/>
      <c r="BL120" s="47"/>
      <c r="BM120" s="47"/>
      <c r="BN120" s="47"/>
      <c r="BO120" s="47">
        <f>COUNT(BO42:BO119)</f>
        <v>18</v>
      </c>
      <c r="BP120" s="47"/>
      <c r="BQ120" s="47"/>
      <c r="BR120" s="47"/>
      <c r="BS120" s="47"/>
      <c r="BT120" s="47">
        <f>COUNT(BT42:BT119)</f>
        <v>14</v>
      </c>
      <c r="BU120" s="47"/>
      <c r="BV120" s="47"/>
      <c r="BW120" s="47"/>
      <c r="BX120" s="288"/>
      <c r="CM120" s="47"/>
    </row>
    <row r="121" spans="1:91" ht="15">
      <c r="A121" s="227" t="s">
        <v>208</v>
      </c>
      <c r="B121" s="98" t="s">
        <v>9</v>
      </c>
      <c r="C121" s="119" t="s">
        <v>105</v>
      </c>
      <c r="D121" s="119" t="s">
        <v>106</v>
      </c>
      <c r="E121" s="118" t="s">
        <v>158</v>
      </c>
      <c r="F121" s="168"/>
      <c r="G121" s="98" t="s">
        <v>9</v>
      </c>
      <c r="H121" s="119" t="s">
        <v>105</v>
      </c>
      <c r="I121" s="119" t="s">
        <v>106</v>
      </c>
      <c r="J121" s="118" t="s">
        <v>158</v>
      </c>
      <c r="K121" s="168"/>
      <c r="L121" s="98" t="s">
        <v>9</v>
      </c>
      <c r="M121" s="119" t="s">
        <v>105</v>
      </c>
      <c r="N121" s="119" t="s">
        <v>106</v>
      </c>
      <c r="O121" s="118" t="s">
        <v>158</v>
      </c>
      <c r="P121" s="168"/>
      <c r="Q121" s="98" t="s">
        <v>9</v>
      </c>
      <c r="R121" s="119" t="s">
        <v>105</v>
      </c>
      <c r="S121" s="119" t="s">
        <v>106</v>
      </c>
      <c r="T121" s="118" t="s">
        <v>158</v>
      </c>
      <c r="U121" s="168"/>
      <c r="V121" s="98" t="s">
        <v>9</v>
      </c>
      <c r="W121" s="119" t="s">
        <v>105</v>
      </c>
      <c r="X121" s="119" t="s">
        <v>106</v>
      </c>
      <c r="Y121" s="118" t="s">
        <v>158</v>
      </c>
      <c r="Z121" s="168"/>
      <c r="AA121" s="98" t="s">
        <v>9</v>
      </c>
      <c r="AB121" s="119" t="s">
        <v>105</v>
      </c>
      <c r="AC121" s="119" t="s">
        <v>106</v>
      </c>
      <c r="AD121" s="118" t="s">
        <v>158</v>
      </c>
      <c r="AE121" s="168"/>
      <c r="AF121" s="98" t="s">
        <v>9</v>
      </c>
      <c r="AG121" s="119" t="s">
        <v>105</v>
      </c>
      <c r="AH121" s="119" t="s">
        <v>106</v>
      </c>
      <c r="AI121" s="118" t="s">
        <v>158</v>
      </c>
      <c r="AJ121" s="168"/>
      <c r="AK121" s="98" t="s">
        <v>9</v>
      </c>
      <c r="AL121" s="119" t="s">
        <v>105</v>
      </c>
      <c r="AM121" s="119" t="s">
        <v>106</v>
      </c>
      <c r="AN121" s="118" t="s">
        <v>158</v>
      </c>
      <c r="AO121" s="168"/>
      <c r="AP121" s="235" t="s">
        <v>9</v>
      </c>
      <c r="AQ121" s="236" t="s">
        <v>210</v>
      </c>
      <c r="AR121" s="236" t="s">
        <v>211</v>
      </c>
      <c r="AS121" s="237" t="s">
        <v>212</v>
      </c>
      <c r="AT121" s="277"/>
      <c r="AU121" s="98" t="s">
        <v>9</v>
      </c>
      <c r="AV121" s="72" t="s">
        <v>105</v>
      </c>
      <c r="AW121" s="72" t="s">
        <v>106</v>
      </c>
      <c r="AX121" s="118" t="s">
        <v>158</v>
      </c>
      <c r="AY121" s="168"/>
      <c r="AZ121" s="98" t="s">
        <v>9</v>
      </c>
      <c r="BA121" s="72" t="s">
        <v>105</v>
      </c>
      <c r="BB121" s="72" t="s">
        <v>106</v>
      </c>
      <c r="BC121" s="118" t="s">
        <v>158</v>
      </c>
      <c r="BD121" s="168"/>
      <c r="BE121" s="98" t="s">
        <v>9</v>
      </c>
      <c r="BF121" s="72" t="s">
        <v>105</v>
      </c>
      <c r="BG121" s="72" t="s">
        <v>106</v>
      </c>
      <c r="BH121" s="118" t="s">
        <v>158</v>
      </c>
      <c r="BI121" s="277"/>
      <c r="BJ121" s="98" t="s">
        <v>9</v>
      </c>
      <c r="BK121" s="72" t="s">
        <v>105</v>
      </c>
      <c r="BL121" s="72" t="s">
        <v>106</v>
      </c>
      <c r="BM121" s="118" t="s">
        <v>158</v>
      </c>
      <c r="BN121" s="168"/>
      <c r="BO121" s="98" t="s">
        <v>9</v>
      </c>
      <c r="BP121" s="72" t="s">
        <v>105</v>
      </c>
      <c r="BQ121" s="72" t="s">
        <v>106</v>
      </c>
      <c r="BR121" s="118" t="s">
        <v>158</v>
      </c>
      <c r="BS121" s="168"/>
      <c r="BT121" s="98" t="s">
        <v>9</v>
      </c>
      <c r="BU121" s="72" t="s">
        <v>105</v>
      </c>
      <c r="BV121" s="72" t="s">
        <v>106</v>
      </c>
      <c r="BW121" s="118" t="s">
        <v>158</v>
      </c>
      <c r="BX121" s="288"/>
    </row>
    <row r="122" spans="1:91">
      <c r="A122" s="168"/>
      <c r="B122" s="100" t="s">
        <v>125</v>
      </c>
      <c r="C122" s="83" t="s">
        <v>99</v>
      </c>
      <c r="D122" s="83" t="s">
        <v>99</v>
      </c>
      <c r="E122" s="120" t="s">
        <v>99</v>
      </c>
      <c r="F122" s="168"/>
      <c r="G122" s="100" t="s">
        <v>125</v>
      </c>
      <c r="H122" s="83" t="s">
        <v>99</v>
      </c>
      <c r="I122" s="83" t="s">
        <v>99</v>
      </c>
      <c r="J122" s="120" t="s">
        <v>99</v>
      </c>
      <c r="K122" s="168"/>
      <c r="L122" s="100" t="s">
        <v>125</v>
      </c>
      <c r="M122" s="83" t="s">
        <v>99</v>
      </c>
      <c r="N122" s="83" t="s">
        <v>99</v>
      </c>
      <c r="O122" s="120" t="s">
        <v>99</v>
      </c>
      <c r="P122" s="168"/>
      <c r="Q122" s="100" t="s">
        <v>125</v>
      </c>
      <c r="R122" s="83" t="s">
        <v>99</v>
      </c>
      <c r="S122" s="83" t="s">
        <v>99</v>
      </c>
      <c r="T122" s="120" t="s">
        <v>99</v>
      </c>
      <c r="U122" s="168"/>
      <c r="V122" s="100" t="s">
        <v>125</v>
      </c>
      <c r="W122" s="83" t="s">
        <v>99</v>
      </c>
      <c r="X122" s="83" t="s">
        <v>99</v>
      </c>
      <c r="Y122" s="120" t="s">
        <v>99</v>
      </c>
      <c r="Z122" s="168"/>
      <c r="AA122" s="100" t="s">
        <v>125</v>
      </c>
      <c r="AB122" s="83" t="s">
        <v>99</v>
      </c>
      <c r="AC122" s="83" t="s">
        <v>99</v>
      </c>
      <c r="AD122" s="120" t="s">
        <v>99</v>
      </c>
      <c r="AE122" s="168"/>
      <c r="AF122" s="100" t="s">
        <v>125</v>
      </c>
      <c r="AG122" s="83" t="s">
        <v>99</v>
      </c>
      <c r="AH122" s="83" t="s">
        <v>99</v>
      </c>
      <c r="AI122" s="120" t="s">
        <v>99</v>
      </c>
      <c r="AJ122" s="168"/>
      <c r="AK122" s="100" t="s">
        <v>125</v>
      </c>
      <c r="AL122" s="83" t="s">
        <v>99</v>
      </c>
      <c r="AM122" s="83" t="s">
        <v>99</v>
      </c>
      <c r="AN122" s="120" t="s">
        <v>99</v>
      </c>
      <c r="AO122" s="168"/>
      <c r="AP122" s="238" t="s">
        <v>125</v>
      </c>
      <c r="AQ122" s="239" t="s">
        <v>99</v>
      </c>
      <c r="AR122" s="239" t="s">
        <v>99</v>
      </c>
      <c r="AS122" s="240" t="s">
        <v>99</v>
      </c>
      <c r="AT122" s="277"/>
      <c r="AU122" s="100" t="s">
        <v>125</v>
      </c>
      <c r="AV122" s="74" t="s">
        <v>99</v>
      </c>
      <c r="AW122" s="74" t="s">
        <v>99</v>
      </c>
      <c r="AX122" s="120" t="s">
        <v>99</v>
      </c>
      <c r="AY122" s="168"/>
      <c r="AZ122" s="100" t="s">
        <v>125</v>
      </c>
      <c r="BA122" s="74" t="s">
        <v>99</v>
      </c>
      <c r="BB122" s="74" t="s">
        <v>99</v>
      </c>
      <c r="BC122" s="120" t="s">
        <v>99</v>
      </c>
      <c r="BD122" s="168"/>
      <c r="BE122" s="100" t="s">
        <v>125</v>
      </c>
      <c r="BF122" s="74" t="s">
        <v>99</v>
      </c>
      <c r="BG122" s="74" t="s">
        <v>99</v>
      </c>
      <c r="BH122" s="120" t="s">
        <v>99</v>
      </c>
      <c r="BI122" s="277"/>
      <c r="BJ122" s="100" t="s">
        <v>125</v>
      </c>
      <c r="BK122" s="74" t="s">
        <v>99</v>
      </c>
      <c r="BL122" s="74" t="s">
        <v>99</v>
      </c>
      <c r="BM122" s="120" t="s">
        <v>99</v>
      </c>
      <c r="BN122" s="168"/>
      <c r="BO122" s="100" t="s">
        <v>125</v>
      </c>
      <c r="BP122" s="74" t="s">
        <v>99</v>
      </c>
      <c r="BQ122" s="74" t="s">
        <v>99</v>
      </c>
      <c r="BR122" s="120" t="s">
        <v>99</v>
      </c>
      <c r="BS122" s="168"/>
      <c r="BT122" s="100" t="s">
        <v>125</v>
      </c>
      <c r="BU122" s="74" t="s">
        <v>99</v>
      </c>
      <c r="BV122" s="74" t="s">
        <v>99</v>
      </c>
      <c r="BW122" s="120" t="s">
        <v>99</v>
      </c>
      <c r="BX122" s="288"/>
    </row>
    <row r="123" spans="1:91">
      <c r="A123" s="168" t="s">
        <v>217</v>
      </c>
      <c r="B123" s="189">
        <f>IF(B42="","",B42)</f>
        <v>90</v>
      </c>
      <c r="C123" s="190">
        <f t="shared" ref="C123:C186" si="76">IF(C42="","",C$4-C42)</f>
        <v>140</v>
      </c>
      <c r="D123" s="190">
        <f t="shared" ref="D123:D186" si="77">IF(D42="","",B$4-D42)</f>
        <v>1080</v>
      </c>
      <c r="E123" s="191">
        <f t="shared" ref="E123:E186" si="78">E42</f>
        <v>50</v>
      </c>
      <c r="F123" s="168" t="s">
        <v>217</v>
      </c>
      <c r="G123" s="189">
        <f t="shared" ref="G123:G186" si="79">IF(G42="","",G42)</f>
        <v>90</v>
      </c>
      <c r="H123" s="190">
        <f t="shared" ref="H123:H186" si="80">IF(H42="","",H$4-H42)</f>
        <v>140</v>
      </c>
      <c r="I123" s="190">
        <f t="shared" ref="I123:I186" si="81">IF(I42="","",G$4-I42)</f>
        <v>840</v>
      </c>
      <c r="J123" s="191">
        <f t="shared" ref="J123:J186" si="82">J42</f>
        <v>50</v>
      </c>
      <c r="K123" s="168" t="s">
        <v>217</v>
      </c>
      <c r="L123" s="189">
        <f t="shared" ref="L123:L186" si="83">IF(L42="","",L42)</f>
        <v>90</v>
      </c>
      <c r="M123" s="190">
        <f t="shared" ref="M123:M186" si="84">IF(M42="","",M$4-M42)</f>
        <v>140</v>
      </c>
      <c r="N123" s="190">
        <f t="shared" ref="N123:N186" si="85">IF(N42="","",L$4-N42)</f>
        <v>780</v>
      </c>
      <c r="O123" s="191">
        <f t="shared" ref="O123:O186" si="86">O42</f>
        <v>50</v>
      </c>
      <c r="P123" s="168" t="s">
        <v>217</v>
      </c>
      <c r="Q123" s="189">
        <f t="shared" ref="Q123:Q186" si="87">IF(Q42="","",Q42)</f>
        <v>90</v>
      </c>
      <c r="R123" s="190">
        <f t="shared" ref="R123:R186" si="88">IF(R42="","",R$4-R42)</f>
        <v>140</v>
      </c>
      <c r="S123" s="190">
        <f t="shared" ref="S123:S186" si="89">IF(S42="","",Q$4-S42)</f>
        <v>720</v>
      </c>
      <c r="T123" s="191">
        <f t="shared" ref="T123:T186" si="90">T42</f>
        <v>50</v>
      </c>
      <c r="U123" s="168" t="s">
        <v>217</v>
      </c>
      <c r="V123" s="189">
        <f t="shared" ref="V123:V186" si="91">IF(V42="","",V42)</f>
        <v>90</v>
      </c>
      <c r="W123" s="190">
        <f t="shared" ref="W123:W186" si="92">IF(W42="","",W$4-W42)</f>
        <v>140</v>
      </c>
      <c r="X123" s="190">
        <f t="shared" ref="X123:X186" si="93">IF(X42="","",V$4-X42)</f>
        <v>600</v>
      </c>
      <c r="Y123" s="191">
        <f t="shared" ref="Y123:Y186" si="94">Y42</f>
        <v>50</v>
      </c>
      <c r="Z123" s="168" t="s">
        <v>217</v>
      </c>
      <c r="AA123" s="189">
        <f t="shared" ref="AA123:AA186" si="95">IF(AA42="","",AA42)</f>
        <v>90</v>
      </c>
      <c r="AB123" s="190">
        <f t="shared" ref="AB123:AB186" si="96">IF(AB42="","",AB$4-AB42)</f>
        <v>140</v>
      </c>
      <c r="AC123" s="190">
        <f t="shared" ref="AC123:AC186" si="97">IF(AC42="","",AA$4-AC42)</f>
        <v>540</v>
      </c>
      <c r="AD123" s="191">
        <f t="shared" ref="AD123:AD186" si="98">AD42</f>
        <v>50</v>
      </c>
      <c r="AE123" s="168" t="s">
        <v>217</v>
      </c>
      <c r="AF123" s="189">
        <f t="shared" ref="AF123:AF186" si="99">IF(AF42="","",AF42)</f>
        <v>90</v>
      </c>
      <c r="AG123" s="190">
        <f t="shared" ref="AG123:AG186" si="100">IF(AG42="","",AG$4-AG42)</f>
        <v>140</v>
      </c>
      <c r="AH123" s="190">
        <f t="shared" ref="AH123:AH186" si="101">IF(AH42="","",AF$4-AH42)</f>
        <v>420</v>
      </c>
      <c r="AI123" s="191">
        <f t="shared" ref="AI123:AI186" si="102">AI42</f>
        <v>50</v>
      </c>
      <c r="AJ123" s="168" t="s">
        <v>217</v>
      </c>
      <c r="AK123" s="189">
        <f t="shared" ref="AK123:AK186" si="103">IF(AK42="","",AK42)</f>
        <v>90</v>
      </c>
      <c r="AL123" s="190">
        <f t="shared" ref="AL123:AL186" si="104">IF(AL42="","",AL$4-AL42)</f>
        <v>140</v>
      </c>
      <c r="AM123" s="190">
        <f t="shared" ref="AM123:AM186" si="105">IF(AM42="","",AK$4-AM42)</f>
        <v>300</v>
      </c>
      <c r="AN123" s="191">
        <f t="shared" ref="AN123:AN186" si="106">AN42</f>
        <v>50</v>
      </c>
      <c r="AO123" s="168" t="s">
        <v>217</v>
      </c>
      <c r="AP123" s="189">
        <f t="shared" ref="AP123:AP186" si="107">IF(AP42="","",AP42)</f>
        <v>90</v>
      </c>
      <c r="AQ123" s="242">
        <f t="shared" ref="AQ123:AQ186" si="108">IF(AQ42="","",AQ$4-AQ42)</f>
        <v>140</v>
      </c>
      <c r="AR123" s="242">
        <f t="shared" ref="AR123:AR186" si="109">IF(AR42="","",AP$4-AR42)</f>
        <v>1015</v>
      </c>
      <c r="AS123" s="243">
        <f t="shared" ref="AS123:AS186" si="110">AS42</f>
        <v>50</v>
      </c>
      <c r="AT123" s="277" t="s">
        <v>217</v>
      </c>
      <c r="AU123" s="189">
        <f t="shared" ref="AU123:AU186" si="111">IF(AU42="","",AU42)</f>
        <v>90</v>
      </c>
      <c r="AV123" s="190">
        <f t="shared" ref="AV123:AV186" si="112">IF(AV42="","",AV$4-AV42)</f>
        <v>90</v>
      </c>
      <c r="AW123" s="190">
        <f t="shared" ref="AW123:AW186" si="113">IF(AW42="","",AU$4-AW42)</f>
        <v>540</v>
      </c>
      <c r="AX123" s="191">
        <f t="shared" ref="AX123:AX186" si="114">AX42</f>
        <v>40</v>
      </c>
      <c r="AY123" s="168" t="s">
        <v>217</v>
      </c>
      <c r="AZ123" s="189">
        <f t="shared" ref="AZ123:AZ186" si="115">IF(AZ42="","",AZ42)</f>
        <v>90</v>
      </c>
      <c r="BA123" s="190">
        <f t="shared" ref="BA123:BA186" si="116">IF(BA42="","",BA$4-BA42)</f>
        <v>90</v>
      </c>
      <c r="BB123" s="190">
        <f t="shared" ref="BB123:BB186" si="117">IF(BB42="","",AZ$4-BB42)</f>
        <v>420</v>
      </c>
      <c r="BC123" s="191">
        <f t="shared" ref="BC123:BC186" si="118">BC42</f>
        <v>40</v>
      </c>
      <c r="BD123" s="168" t="s">
        <v>217</v>
      </c>
      <c r="BE123" s="189">
        <f t="shared" ref="BE123:BE186" si="119">IF(BE42="","",BE42)</f>
        <v>90</v>
      </c>
      <c r="BF123" s="190">
        <f t="shared" ref="BF123:BF186" si="120">IF(BF42="","",BF$4-BF42)</f>
        <v>90</v>
      </c>
      <c r="BG123" s="190">
        <f t="shared" ref="BG123:BG186" si="121">IF(BG42="","",BE$4-BG42)</f>
        <v>300</v>
      </c>
      <c r="BH123" s="191">
        <f t="shared" ref="BH123:BH186" si="122">BH42</f>
        <v>40</v>
      </c>
      <c r="BI123" s="277" t="s">
        <v>217</v>
      </c>
      <c r="BJ123" s="189">
        <f t="shared" ref="BJ123:BJ186" si="123">IF(BJ42="","",BJ42)</f>
        <v>90</v>
      </c>
      <c r="BK123" s="190">
        <f t="shared" ref="BK123:BK186" si="124">IF(BK42="","",BK$4-BK42)</f>
        <v>50</v>
      </c>
      <c r="BL123" s="190">
        <f t="shared" ref="BL123:BL186" si="125">IF(BL42="","",BJ$4-BL42)</f>
        <v>540</v>
      </c>
      <c r="BM123" s="191">
        <f t="shared" ref="BM123:BM186" si="126">BM42</f>
        <v>40</v>
      </c>
      <c r="BN123" s="168" t="s">
        <v>217</v>
      </c>
      <c r="BO123" s="189">
        <f t="shared" ref="BO123:BO186" si="127">IF(BO42="","",BO42)</f>
        <v>90</v>
      </c>
      <c r="BP123" s="190">
        <f t="shared" ref="BP123:BP186" si="128">IF(BP42="","",BP$4-BP42)</f>
        <v>50</v>
      </c>
      <c r="BQ123" s="190">
        <f t="shared" ref="BQ123:BQ186" si="129">IF(BQ42="","",BO$4-BQ42)</f>
        <v>420</v>
      </c>
      <c r="BR123" s="191">
        <f t="shared" ref="BR123:BR186" si="130">BR42</f>
        <v>40</v>
      </c>
      <c r="BS123" s="168" t="s">
        <v>217</v>
      </c>
      <c r="BT123" s="189">
        <f t="shared" ref="BT123:BT186" si="131">IF(BT42="","",BT42)</f>
        <v>90</v>
      </c>
      <c r="BU123" s="190">
        <f t="shared" ref="BU123:BU186" si="132">IF(BU42="","",BU$4-BU42)</f>
        <v>50</v>
      </c>
      <c r="BV123" s="190">
        <f t="shared" ref="BV123:BV186" si="133">IF(BV42="","",BT$4-BV42)</f>
        <v>300</v>
      </c>
      <c r="BW123" s="191">
        <f t="shared" ref="BW123:BW186" si="134">BW42</f>
        <v>40</v>
      </c>
      <c r="BX123" s="288"/>
    </row>
    <row r="124" spans="1:91">
      <c r="A124" s="168"/>
      <c r="B124" s="192">
        <f t="shared" ref="B124:B187" si="135">IF(B43="","",B43)</f>
        <v>90</v>
      </c>
      <c r="C124" s="193">
        <f t="shared" si="76"/>
        <v>96</v>
      </c>
      <c r="D124" s="193">
        <f t="shared" si="77"/>
        <v>1070</v>
      </c>
      <c r="E124" s="194">
        <f t="shared" si="78"/>
        <v>50</v>
      </c>
      <c r="F124" s="168"/>
      <c r="G124" s="192">
        <f t="shared" si="79"/>
        <v>90</v>
      </c>
      <c r="H124" s="193">
        <f t="shared" si="80"/>
        <v>96</v>
      </c>
      <c r="I124" s="193">
        <f t="shared" si="81"/>
        <v>830</v>
      </c>
      <c r="J124" s="194">
        <f t="shared" si="82"/>
        <v>50</v>
      </c>
      <c r="K124" s="168"/>
      <c r="L124" s="192">
        <f t="shared" si="83"/>
        <v>90</v>
      </c>
      <c r="M124" s="193">
        <f t="shared" si="84"/>
        <v>96</v>
      </c>
      <c r="N124" s="193">
        <f t="shared" si="85"/>
        <v>770</v>
      </c>
      <c r="O124" s="194">
        <f t="shared" si="86"/>
        <v>50</v>
      </c>
      <c r="P124" s="168"/>
      <c r="Q124" s="192">
        <f t="shared" si="87"/>
        <v>90</v>
      </c>
      <c r="R124" s="193">
        <f t="shared" si="88"/>
        <v>96</v>
      </c>
      <c r="S124" s="193">
        <f t="shared" si="89"/>
        <v>710</v>
      </c>
      <c r="T124" s="194">
        <f t="shared" si="90"/>
        <v>50</v>
      </c>
      <c r="U124" s="168"/>
      <c r="V124" s="192">
        <f t="shared" si="91"/>
        <v>90</v>
      </c>
      <c r="W124" s="193">
        <f t="shared" si="92"/>
        <v>96</v>
      </c>
      <c r="X124" s="193">
        <f t="shared" si="93"/>
        <v>590</v>
      </c>
      <c r="Y124" s="194">
        <f t="shared" si="94"/>
        <v>50</v>
      </c>
      <c r="Z124" s="168"/>
      <c r="AA124" s="192">
        <f t="shared" si="95"/>
        <v>90</v>
      </c>
      <c r="AB124" s="193">
        <f t="shared" si="96"/>
        <v>96</v>
      </c>
      <c r="AC124" s="193">
        <f t="shared" si="97"/>
        <v>530</v>
      </c>
      <c r="AD124" s="194">
        <f t="shared" si="98"/>
        <v>50</v>
      </c>
      <c r="AE124" s="168"/>
      <c r="AF124" s="192">
        <f t="shared" si="99"/>
        <v>90</v>
      </c>
      <c r="AG124" s="193">
        <f t="shared" si="100"/>
        <v>96</v>
      </c>
      <c r="AH124" s="193">
        <f t="shared" si="101"/>
        <v>410</v>
      </c>
      <c r="AI124" s="194">
        <f t="shared" si="102"/>
        <v>50</v>
      </c>
      <c r="AJ124" s="168"/>
      <c r="AK124" s="192">
        <f t="shared" si="103"/>
        <v>90</v>
      </c>
      <c r="AL124" s="193">
        <f t="shared" si="104"/>
        <v>96</v>
      </c>
      <c r="AM124" s="193">
        <f t="shared" si="105"/>
        <v>290</v>
      </c>
      <c r="AN124" s="194">
        <f t="shared" si="106"/>
        <v>50</v>
      </c>
      <c r="AO124" s="168"/>
      <c r="AP124" s="192">
        <f t="shared" si="107"/>
        <v>90</v>
      </c>
      <c r="AQ124" s="245">
        <f t="shared" si="108"/>
        <v>96</v>
      </c>
      <c r="AR124" s="245">
        <f t="shared" si="109"/>
        <v>1005</v>
      </c>
      <c r="AS124" s="246">
        <f t="shared" si="110"/>
        <v>50</v>
      </c>
      <c r="AT124" s="277"/>
      <c r="AU124" s="192">
        <f t="shared" si="111"/>
        <v>90</v>
      </c>
      <c r="AV124" s="193">
        <f t="shared" si="112"/>
        <v>10</v>
      </c>
      <c r="AW124" s="193">
        <f t="shared" si="113"/>
        <v>540</v>
      </c>
      <c r="AX124" s="194">
        <f t="shared" si="114"/>
        <v>40</v>
      </c>
      <c r="AY124" s="168"/>
      <c r="AZ124" s="192">
        <f t="shared" si="115"/>
        <v>90</v>
      </c>
      <c r="BA124" s="193">
        <f t="shared" si="116"/>
        <v>10</v>
      </c>
      <c r="BB124" s="193">
        <f t="shared" si="117"/>
        <v>420</v>
      </c>
      <c r="BC124" s="194">
        <f t="shared" si="118"/>
        <v>40</v>
      </c>
      <c r="BD124" s="168"/>
      <c r="BE124" s="192">
        <f t="shared" si="119"/>
        <v>90</v>
      </c>
      <c r="BF124" s="193">
        <f t="shared" si="120"/>
        <v>10</v>
      </c>
      <c r="BG124" s="193">
        <f t="shared" si="121"/>
        <v>300</v>
      </c>
      <c r="BH124" s="194">
        <f t="shared" si="122"/>
        <v>40</v>
      </c>
      <c r="BI124" s="277"/>
      <c r="BJ124" s="192">
        <f t="shared" si="123"/>
        <v>90</v>
      </c>
      <c r="BK124" s="193">
        <f t="shared" si="124"/>
        <v>10</v>
      </c>
      <c r="BL124" s="193">
        <f t="shared" si="125"/>
        <v>540</v>
      </c>
      <c r="BM124" s="194">
        <f t="shared" si="126"/>
        <v>40</v>
      </c>
      <c r="BN124" s="168"/>
      <c r="BO124" s="192">
        <f t="shared" si="127"/>
        <v>90</v>
      </c>
      <c r="BP124" s="193">
        <f t="shared" si="128"/>
        <v>10</v>
      </c>
      <c r="BQ124" s="193">
        <f t="shared" si="129"/>
        <v>420</v>
      </c>
      <c r="BR124" s="194">
        <f t="shared" si="130"/>
        <v>40</v>
      </c>
      <c r="BS124" s="168"/>
      <c r="BT124" s="192">
        <f t="shared" si="131"/>
        <v>90</v>
      </c>
      <c r="BU124" s="193">
        <f t="shared" si="132"/>
        <v>10</v>
      </c>
      <c r="BV124" s="193">
        <f t="shared" si="133"/>
        <v>300</v>
      </c>
      <c r="BW124" s="194">
        <f t="shared" si="134"/>
        <v>40</v>
      </c>
      <c r="BX124" s="288"/>
    </row>
    <row r="125" spans="1:91">
      <c r="A125" s="168"/>
      <c r="B125" s="192">
        <f t="shared" si="135"/>
        <v>90</v>
      </c>
      <c r="C125" s="193">
        <f t="shared" si="76"/>
        <v>54</v>
      </c>
      <c r="D125" s="193">
        <f t="shared" si="77"/>
        <v>1070</v>
      </c>
      <c r="E125" s="194">
        <f t="shared" si="78"/>
        <v>50</v>
      </c>
      <c r="F125" s="168"/>
      <c r="G125" s="192">
        <f t="shared" si="79"/>
        <v>90</v>
      </c>
      <c r="H125" s="193">
        <f t="shared" si="80"/>
        <v>54</v>
      </c>
      <c r="I125" s="193">
        <f t="shared" si="81"/>
        <v>830</v>
      </c>
      <c r="J125" s="194">
        <f t="shared" si="82"/>
        <v>50</v>
      </c>
      <c r="K125" s="168"/>
      <c r="L125" s="192">
        <f t="shared" si="83"/>
        <v>90</v>
      </c>
      <c r="M125" s="193">
        <f t="shared" si="84"/>
        <v>54</v>
      </c>
      <c r="N125" s="193">
        <f t="shared" si="85"/>
        <v>770</v>
      </c>
      <c r="O125" s="194">
        <f t="shared" si="86"/>
        <v>50</v>
      </c>
      <c r="P125" s="168"/>
      <c r="Q125" s="192">
        <f t="shared" si="87"/>
        <v>90</v>
      </c>
      <c r="R125" s="193">
        <f t="shared" si="88"/>
        <v>54</v>
      </c>
      <c r="S125" s="193">
        <f t="shared" si="89"/>
        <v>710</v>
      </c>
      <c r="T125" s="194">
        <f t="shared" si="90"/>
        <v>50</v>
      </c>
      <c r="U125" s="168"/>
      <c r="V125" s="192">
        <f t="shared" si="91"/>
        <v>90</v>
      </c>
      <c r="W125" s="193">
        <f t="shared" si="92"/>
        <v>54</v>
      </c>
      <c r="X125" s="193">
        <f t="shared" si="93"/>
        <v>590</v>
      </c>
      <c r="Y125" s="194">
        <f t="shared" si="94"/>
        <v>50</v>
      </c>
      <c r="Z125" s="168"/>
      <c r="AA125" s="192">
        <f t="shared" si="95"/>
        <v>90</v>
      </c>
      <c r="AB125" s="193">
        <f t="shared" si="96"/>
        <v>54</v>
      </c>
      <c r="AC125" s="193">
        <f t="shared" si="97"/>
        <v>530</v>
      </c>
      <c r="AD125" s="194">
        <f t="shared" si="98"/>
        <v>50</v>
      </c>
      <c r="AE125" s="168"/>
      <c r="AF125" s="192">
        <f t="shared" si="99"/>
        <v>90</v>
      </c>
      <c r="AG125" s="193">
        <f t="shared" si="100"/>
        <v>54</v>
      </c>
      <c r="AH125" s="193">
        <f t="shared" si="101"/>
        <v>410</v>
      </c>
      <c r="AI125" s="194">
        <f t="shared" si="102"/>
        <v>50</v>
      </c>
      <c r="AJ125" s="168"/>
      <c r="AK125" s="192">
        <f t="shared" si="103"/>
        <v>90</v>
      </c>
      <c r="AL125" s="193">
        <f t="shared" si="104"/>
        <v>54</v>
      </c>
      <c r="AM125" s="193">
        <f t="shared" si="105"/>
        <v>290</v>
      </c>
      <c r="AN125" s="194">
        <f t="shared" si="106"/>
        <v>50</v>
      </c>
      <c r="AO125" s="168"/>
      <c r="AP125" s="192">
        <f t="shared" si="107"/>
        <v>90</v>
      </c>
      <c r="AQ125" s="245">
        <f t="shared" si="108"/>
        <v>54</v>
      </c>
      <c r="AR125" s="245">
        <f t="shared" si="109"/>
        <v>1005</v>
      </c>
      <c r="AS125" s="246">
        <f t="shared" si="110"/>
        <v>50</v>
      </c>
      <c r="AT125" s="277"/>
      <c r="AU125" s="192" t="str">
        <f t="shared" si="111"/>
        <v/>
      </c>
      <c r="AV125" s="193" t="str">
        <f t="shared" si="112"/>
        <v/>
      </c>
      <c r="AW125" s="193" t="str">
        <f t="shared" si="113"/>
        <v/>
      </c>
      <c r="AX125" s="194" t="str">
        <f t="shared" si="114"/>
        <v/>
      </c>
      <c r="AY125" s="168"/>
      <c r="AZ125" s="192" t="str">
        <f t="shared" si="115"/>
        <v/>
      </c>
      <c r="BA125" s="193" t="str">
        <f t="shared" si="116"/>
        <v/>
      </c>
      <c r="BB125" s="193" t="str">
        <f t="shared" si="117"/>
        <v/>
      </c>
      <c r="BC125" s="194" t="str">
        <f t="shared" si="118"/>
        <v/>
      </c>
      <c r="BD125" s="168"/>
      <c r="BE125" s="192" t="str">
        <f t="shared" si="119"/>
        <v/>
      </c>
      <c r="BF125" s="193" t="str">
        <f t="shared" si="120"/>
        <v/>
      </c>
      <c r="BG125" s="193" t="str">
        <f t="shared" si="121"/>
        <v/>
      </c>
      <c r="BH125" s="194" t="str">
        <f t="shared" si="122"/>
        <v/>
      </c>
      <c r="BI125" s="277"/>
      <c r="BJ125" s="192" t="str">
        <f t="shared" si="123"/>
        <v/>
      </c>
      <c r="BK125" s="193" t="str">
        <f t="shared" si="124"/>
        <v/>
      </c>
      <c r="BL125" s="193" t="str">
        <f t="shared" si="125"/>
        <v/>
      </c>
      <c r="BM125" s="194" t="str">
        <f t="shared" si="126"/>
        <v/>
      </c>
      <c r="BN125" s="168"/>
      <c r="BO125" s="192" t="str">
        <f t="shared" si="127"/>
        <v/>
      </c>
      <c r="BP125" s="193" t="str">
        <f t="shared" si="128"/>
        <v/>
      </c>
      <c r="BQ125" s="193" t="str">
        <f t="shared" si="129"/>
        <v/>
      </c>
      <c r="BR125" s="194" t="str">
        <f t="shared" si="130"/>
        <v/>
      </c>
      <c r="BS125" s="168"/>
      <c r="BT125" s="192" t="str">
        <f t="shared" si="131"/>
        <v/>
      </c>
      <c r="BU125" s="193" t="str">
        <f t="shared" si="132"/>
        <v/>
      </c>
      <c r="BV125" s="193" t="str">
        <f t="shared" si="133"/>
        <v/>
      </c>
      <c r="BW125" s="194" t="str">
        <f t="shared" si="134"/>
        <v/>
      </c>
      <c r="BX125" s="288"/>
    </row>
    <row r="126" spans="1:91">
      <c r="A126" s="168"/>
      <c r="B126" s="195">
        <f t="shared" si="135"/>
        <v>90</v>
      </c>
      <c r="C126" s="196">
        <f t="shared" si="76"/>
        <v>10</v>
      </c>
      <c r="D126" s="196">
        <f t="shared" si="77"/>
        <v>1080</v>
      </c>
      <c r="E126" s="197">
        <f t="shared" si="78"/>
        <v>50</v>
      </c>
      <c r="F126" s="168"/>
      <c r="G126" s="195">
        <f t="shared" si="79"/>
        <v>90</v>
      </c>
      <c r="H126" s="196">
        <f t="shared" si="80"/>
        <v>10</v>
      </c>
      <c r="I126" s="196">
        <f t="shared" si="81"/>
        <v>840</v>
      </c>
      <c r="J126" s="197">
        <f t="shared" si="82"/>
        <v>50</v>
      </c>
      <c r="K126" s="168"/>
      <c r="L126" s="195">
        <f t="shared" si="83"/>
        <v>90</v>
      </c>
      <c r="M126" s="196">
        <f t="shared" si="84"/>
        <v>10</v>
      </c>
      <c r="N126" s="196">
        <f t="shared" si="85"/>
        <v>780</v>
      </c>
      <c r="O126" s="197">
        <f t="shared" si="86"/>
        <v>50</v>
      </c>
      <c r="P126" s="168"/>
      <c r="Q126" s="195">
        <f t="shared" si="87"/>
        <v>90</v>
      </c>
      <c r="R126" s="196">
        <f t="shared" si="88"/>
        <v>10</v>
      </c>
      <c r="S126" s="196">
        <f t="shared" si="89"/>
        <v>720</v>
      </c>
      <c r="T126" s="197">
        <f t="shared" si="90"/>
        <v>50</v>
      </c>
      <c r="U126" s="168"/>
      <c r="V126" s="195">
        <f t="shared" si="91"/>
        <v>90</v>
      </c>
      <c r="W126" s="196">
        <f t="shared" si="92"/>
        <v>10</v>
      </c>
      <c r="X126" s="196">
        <f t="shared" si="93"/>
        <v>600</v>
      </c>
      <c r="Y126" s="197">
        <f t="shared" si="94"/>
        <v>50</v>
      </c>
      <c r="Z126" s="168"/>
      <c r="AA126" s="195">
        <f t="shared" si="95"/>
        <v>90</v>
      </c>
      <c r="AB126" s="196">
        <f t="shared" si="96"/>
        <v>10</v>
      </c>
      <c r="AC126" s="196">
        <f t="shared" si="97"/>
        <v>540</v>
      </c>
      <c r="AD126" s="197">
        <f t="shared" si="98"/>
        <v>50</v>
      </c>
      <c r="AE126" s="168"/>
      <c r="AF126" s="195">
        <f t="shared" si="99"/>
        <v>90</v>
      </c>
      <c r="AG126" s="196">
        <f t="shared" si="100"/>
        <v>10</v>
      </c>
      <c r="AH126" s="196">
        <f t="shared" si="101"/>
        <v>420</v>
      </c>
      <c r="AI126" s="197">
        <f t="shared" si="102"/>
        <v>50</v>
      </c>
      <c r="AJ126" s="168"/>
      <c r="AK126" s="195">
        <f t="shared" si="103"/>
        <v>90</v>
      </c>
      <c r="AL126" s="196">
        <f t="shared" si="104"/>
        <v>10</v>
      </c>
      <c r="AM126" s="196">
        <f t="shared" si="105"/>
        <v>300</v>
      </c>
      <c r="AN126" s="197">
        <f t="shared" si="106"/>
        <v>50</v>
      </c>
      <c r="AO126" s="168"/>
      <c r="AP126" s="195">
        <f t="shared" si="107"/>
        <v>90</v>
      </c>
      <c r="AQ126" s="248">
        <f t="shared" si="108"/>
        <v>10</v>
      </c>
      <c r="AR126" s="248">
        <f t="shared" si="109"/>
        <v>1015</v>
      </c>
      <c r="AS126" s="249">
        <f t="shared" si="110"/>
        <v>50</v>
      </c>
      <c r="AT126" s="277"/>
      <c r="AU126" s="195" t="str">
        <f t="shared" si="111"/>
        <v/>
      </c>
      <c r="AV126" s="196" t="str">
        <f t="shared" si="112"/>
        <v/>
      </c>
      <c r="AW126" s="196" t="str">
        <f t="shared" si="113"/>
        <v/>
      </c>
      <c r="AX126" s="197" t="str">
        <f t="shared" si="114"/>
        <v/>
      </c>
      <c r="AY126" s="168"/>
      <c r="AZ126" s="195" t="str">
        <f t="shared" si="115"/>
        <v/>
      </c>
      <c r="BA126" s="196" t="str">
        <f t="shared" si="116"/>
        <v/>
      </c>
      <c r="BB126" s="196" t="str">
        <f t="shared" si="117"/>
        <v/>
      </c>
      <c r="BC126" s="197" t="str">
        <f t="shared" si="118"/>
        <v/>
      </c>
      <c r="BD126" s="168"/>
      <c r="BE126" s="195" t="str">
        <f t="shared" si="119"/>
        <v/>
      </c>
      <c r="BF126" s="196" t="str">
        <f t="shared" si="120"/>
        <v/>
      </c>
      <c r="BG126" s="196" t="str">
        <f t="shared" si="121"/>
        <v/>
      </c>
      <c r="BH126" s="197" t="str">
        <f t="shared" si="122"/>
        <v/>
      </c>
      <c r="BI126" s="277"/>
      <c r="BJ126" s="195" t="str">
        <f t="shared" si="123"/>
        <v/>
      </c>
      <c r="BK126" s="196" t="str">
        <f t="shared" si="124"/>
        <v/>
      </c>
      <c r="BL126" s="196" t="str">
        <f t="shared" si="125"/>
        <v/>
      </c>
      <c r="BM126" s="197" t="str">
        <f t="shared" si="126"/>
        <v/>
      </c>
      <c r="BN126" s="168"/>
      <c r="BO126" s="195" t="str">
        <f t="shared" si="127"/>
        <v/>
      </c>
      <c r="BP126" s="196" t="str">
        <f t="shared" si="128"/>
        <v/>
      </c>
      <c r="BQ126" s="196" t="str">
        <f t="shared" si="129"/>
        <v/>
      </c>
      <c r="BR126" s="197" t="str">
        <f t="shared" si="130"/>
        <v/>
      </c>
      <c r="BS126" s="168"/>
      <c r="BT126" s="195" t="str">
        <f t="shared" si="131"/>
        <v/>
      </c>
      <c r="BU126" s="196" t="str">
        <f t="shared" si="132"/>
        <v/>
      </c>
      <c r="BV126" s="196" t="str">
        <f t="shared" si="133"/>
        <v/>
      </c>
      <c r="BW126" s="197" t="str">
        <f t="shared" si="134"/>
        <v/>
      </c>
      <c r="BX126" s="288"/>
    </row>
    <row r="127" spans="1:91">
      <c r="A127" s="168" t="s">
        <v>220</v>
      </c>
      <c r="B127" s="189">
        <f t="shared" si="135"/>
        <v>90</v>
      </c>
      <c r="C127" s="190">
        <f t="shared" si="76"/>
        <v>140</v>
      </c>
      <c r="D127" s="190">
        <f t="shared" si="77"/>
        <v>10</v>
      </c>
      <c r="E127" s="191">
        <f t="shared" si="78"/>
        <v>50</v>
      </c>
      <c r="F127" s="168" t="s">
        <v>220</v>
      </c>
      <c r="G127" s="189">
        <f t="shared" si="79"/>
        <v>90</v>
      </c>
      <c r="H127" s="190">
        <f t="shared" si="80"/>
        <v>140</v>
      </c>
      <c r="I127" s="190">
        <f t="shared" si="81"/>
        <v>10</v>
      </c>
      <c r="J127" s="191">
        <f t="shared" si="82"/>
        <v>50</v>
      </c>
      <c r="K127" s="168" t="s">
        <v>220</v>
      </c>
      <c r="L127" s="189">
        <f t="shared" si="83"/>
        <v>90</v>
      </c>
      <c r="M127" s="190">
        <f t="shared" si="84"/>
        <v>140</v>
      </c>
      <c r="N127" s="190">
        <f t="shared" si="85"/>
        <v>10</v>
      </c>
      <c r="O127" s="191">
        <f t="shared" si="86"/>
        <v>50</v>
      </c>
      <c r="P127" s="168" t="s">
        <v>220</v>
      </c>
      <c r="Q127" s="189">
        <f t="shared" si="87"/>
        <v>90</v>
      </c>
      <c r="R127" s="190">
        <f t="shared" si="88"/>
        <v>140</v>
      </c>
      <c r="S127" s="190">
        <f t="shared" si="89"/>
        <v>10</v>
      </c>
      <c r="T127" s="191">
        <f t="shared" si="90"/>
        <v>50</v>
      </c>
      <c r="U127" s="168" t="s">
        <v>220</v>
      </c>
      <c r="V127" s="189">
        <f t="shared" si="91"/>
        <v>90</v>
      </c>
      <c r="W127" s="190">
        <f t="shared" si="92"/>
        <v>140</v>
      </c>
      <c r="X127" s="190">
        <f t="shared" si="93"/>
        <v>10</v>
      </c>
      <c r="Y127" s="191">
        <f t="shared" si="94"/>
        <v>50</v>
      </c>
      <c r="Z127" s="168" t="s">
        <v>220</v>
      </c>
      <c r="AA127" s="189">
        <f t="shared" si="95"/>
        <v>90</v>
      </c>
      <c r="AB127" s="190">
        <f t="shared" si="96"/>
        <v>140</v>
      </c>
      <c r="AC127" s="190">
        <f t="shared" si="97"/>
        <v>10</v>
      </c>
      <c r="AD127" s="191">
        <f t="shared" si="98"/>
        <v>50</v>
      </c>
      <c r="AE127" s="168" t="s">
        <v>220</v>
      </c>
      <c r="AF127" s="189">
        <f t="shared" si="99"/>
        <v>90</v>
      </c>
      <c r="AG127" s="190">
        <f t="shared" si="100"/>
        <v>140</v>
      </c>
      <c r="AH127" s="190">
        <f t="shared" si="101"/>
        <v>10</v>
      </c>
      <c r="AI127" s="191">
        <f t="shared" si="102"/>
        <v>50</v>
      </c>
      <c r="AJ127" s="168" t="s">
        <v>220</v>
      </c>
      <c r="AK127" s="189">
        <f t="shared" si="103"/>
        <v>90</v>
      </c>
      <c r="AL127" s="190">
        <f t="shared" si="104"/>
        <v>140</v>
      </c>
      <c r="AM127" s="190">
        <f t="shared" si="105"/>
        <v>10</v>
      </c>
      <c r="AN127" s="191">
        <f t="shared" si="106"/>
        <v>50</v>
      </c>
      <c r="AO127" s="168" t="s">
        <v>220</v>
      </c>
      <c r="AP127" s="189">
        <f t="shared" si="107"/>
        <v>90</v>
      </c>
      <c r="AQ127" s="242">
        <f t="shared" si="108"/>
        <v>140</v>
      </c>
      <c r="AR127" s="242">
        <f t="shared" si="109"/>
        <v>15</v>
      </c>
      <c r="AS127" s="243">
        <f t="shared" si="110"/>
        <v>50</v>
      </c>
      <c r="AT127" s="277" t="s">
        <v>220</v>
      </c>
      <c r="AU127" s="189">
        <f t="shared" si="111"/>
        <v>90</v>
      </c>
      <c r="AV127" s="190">
        <f t="shared" si="112"/>
        <v>90</v>
      </c>
      <c r="AW127" s="190">
        <f t="shared" si="113"/>
        <v>10</v>
      </c>
      <c r="AX127" s="191">
        <f t="shared" si="114"/>
        <v>40</v>
      </c>
      <c r="AY127" s="168" t="s">
        <v>220</v>
      </c>
      <c r="AZ127" s="189">
        <f t="shared" si="115"/>
        <v>90</v>
      </c>
      <c r="BA127" s="190">
        <f t="shared" si="116"/>
        <v>90</v>
      </c>
      <c r="BB127" s="190">
        <f t="shared" si="117"/>
        <v>10</v>
      </c>
      <c r="BC127" s="191">
        <f t="shared" si="118"/>
        <v>40</v>
      </c>
      <c r="BD127" s="168" t="s">
        <v>220</v>
      </c>
      <c r="BE127" s="189">
        <f t="shared" si="119"/>
        <v>90</v>
      </c>
      <c r="BF127" s="190">
        <f t="shared" si="120"/>
        <v>90</v>
      </c>
      <c r="BG127" s="190">
        <f t="shared" si="121"/>
        <v>10</v>
      </c>
      <c r="BH127" s="191">
        <f t="shared" si="122"/>
        <v>40</v>
      </c>
      <c r="BI127" s="277" t="s">
        <v>220</v>
      </c>
      <c r="BJ127" s="189">
        <f t="shared" si="123"/>
        <v>90</v>
      </c>
      <c r="BK127" s="190">
        <f t="shared" si="124"/>
        <v>50</v>
      </c>
      <c r="BL127" s="190">
        <f t="shared" si="125"/>
        <v>10</v>
      </c>
      <c r="BM127" s="191">
        <f t="shared" si="126"/>
        <v>40</v>
      </c>
      <c r="BN127" s="168" t="s">
        <v>220</v>
      </c>
      <c r="BO127" s="189">
        <f t="shared" si="127"/>
        <v>90</v>
      </c>
      <c r="BP127" s="190">
        <f t="shared" si="128"/>
        <v>50</v>
      </c>
      <c r="BQ127" s="190">
        <f t="shared" si="129"/>
        <v>10</v>
      </c>
      <c r="BR127" s="191">
        <f t="shared" si="130"/>
        <v>40</v>
      </c>
      <c r="BS127" s="168" t="s">
        <v>220</v>
      </c>
      <c r="BT127" s="189">
        <f t="shared" si="131"/>
        <v>90</v>
      </c>
      <c r="BU127" s="190">
        <f t="shared" si="132"/>
        <v>50</v>
      </c>
      <c r="BV127" s="190">
        <f t="shared" si="133"/>
        <v>10</v>
      </c>
      <c r="BW127" s="191">
        <f t="shared" si="134"/>
        <v>40</v>
      </c>
      <c r="BX127" s="288"/>
    </row>
    <row r="128" spans="1:91">
      <c r="A128" s="168"/>
      <c r="B128" s="192">
        <f t="shared" si="135"/>
        <v>90</v>
      </c>
      <c r="C128" s="193">
        <f t="shared" si="76"/>
        <v>96</v>
      </c>
      <c r="D128" s="193">
        <f t="shared" si="77"/>
        <v>20</v>
      </c>
      <c r="E128" s="194">
        <f t="shared" si="78"/>
        <v>50</v>
      </c>
      <c r="F128" s="168"/>
      <c r="G128" s="192">
        <f t="shared" si="79"/>
        <v>90</v>
      </c>
      <c r="H128" s="193">
        <f t="shared" si="80"/>
        <v>96</v>
      </c>
      <c r="I128" s="193">
        <f t="shared" si="81"/>
        <v>20</v>
      </c>
      <c r="J128" s="194">
        <f t="shared" si="82"/>
        <v>50</v>
      </c>
      <c r="K128" s="168"/>
      <c r="L128" s="192">
        <f t="shared" si="83"/>
        <v>90</v>
      </c>
      <c r="M128" s="193">
        <f t="shared" si="84"/>
        <v>96</v>
      </c>
      <c r="N128" s="193">
        <f t="shared" si="85"/>
        <v>20</v>
      </c>
      <c r="O128" s="194">
        <f t="shared" si="86"/>
        <v>50</v>
      </c>
      <c r="P128" s="168"/>
      <c r="Q128" s="192">
        <f t="shared" si="87"/>
        <v>90</v>
      </c>
      <c r="R128" s="193">
        <f t="shared" si="88"/>
        <v>96</v>
      </c>
      <c r="S128" s="193">
        <f t="shared" si="89"/>
        <v>20</v>
      </c>
      <c r="T128" s="194">
        <f t="shared" si="90"/>
        <v>50</v>
      </c>
      <c r="U128" s="168"/>
      <c r="V128" s="192">
        <f t="shared" si="91"/>
        <v>90</v>
      </c>
      <c r="W128" s="193">
        <f t="shared" si="92"/>
        <v>96</v>
      </c>
      <c r="X128" s="193">
        <f t="shared" si="93"/>
        <v>20</v>
      </c>
      <c r="Y128" s="194">
        <f t="shared" si="94"/>
        <v>50</v>
      </c>
      <c r="Z128" s="168"/>
      <c r="AA128" s="192">
        <f t="shared" si="95"/>
        <v>90</v>
      </c>
      <c r="AB128" s="193">
        <f t="shared" si="96"/>
        <v>96</v>
      </c>
      <c r="AC128" s="193">
        <f t="shared" si="97"/>
        <v>20</v>
      </c>
      <c r="AD128" s="194">
        <f t="shared" si="98"/>
        <v>50</v>
      </c>
      <c r="AE128" s="168"/>
      <c r="AF128" s="192">
        <f t="shared" si="99"/>
        <v>90</v>
      </c>
      <c r="AG128" s="193">
        <f t="shared" si="100"/>
        <v>96</v>
      </c>
      <c r="AH128" s="193">
        <f t="shared" si="101"/>
        <v>20</v>
      </c>
      <c r="AI128" s="194">
        <f t="shared" si="102"/>
        <v>50</v>
      </c>
      <c r="AJ128" s="168"/>
      <c r="AK128" s="192">
        <f t="shared" si="103"/>
        <v>90</v>
      </c>
      <c r="AL128" s="193">
        <f t="shared" si="104"/>
        <v>96</v>
      </c>
      <c r="AM128" s="193">
        <f t="shared" si="105"/>
        <v>20</v>
      </c>
      <c r="AN128" s="194">
        <f t="shared" si="106"/>
        <v>50</v>
      </c>
      <c r="AO128" s="168"/>
      <c r="AP128" s="192">
        <f t="shared" si="107"/>
        <v>90</v>
      </c>
      <c r="AQ128" s="245">
        <f t="shared" si="108"/>
        <v>96</v>
      </c>
      <c r="AR128" s="245">
        <f t="shared" si="109"/>
        <v>25</v>
      </c>
      <c r="AS128" s="246">
        <f t="shared" si="110"/>
        <v>50</v>
      </c>
      <c r="AT128" s="277"/>
      <c r="AU128" s="192">
        <f t="shared" si="111"/>
        <v>90</v>
      </c>
      <c r="AV128" s="193">
        <f t="shared" si="112"/>
        <v>10</v>
      </c>
      <c r="AW128" s="193">
        <f t="shared" si="113"/>
        <v>10</v>
      </c>
      <c r="AX128" s="194">
        <f t="shared" si="114"/>
        <v>40</v>
      </c>
      <c r="AY128" s="168"/>
      <c r="AZ128" s="192">
        <f t="shared" si="115"/>
        <v>90</v>
      </c>
      <c r="BA128" s="193">
        <f t="shared" si="116"/>
        <v>10</v>
      </c>
      <c r="BB128" s="193">
        <f t="shared" si="117"/>
        <v>10</v>
      </c>
      <c r="BC128" s="194">
        <f t="shared" si="118"/>
        <v>40</v>
      </c>
      <c r="BD128" s="168"/>
      <c r="BE128" s="192">
        <f t="shared" si="119"/>
        <v>90</v>
      </c>
      <c r="BF128" s="193">
        <f t="shared" si="120"/>
        <v>10</v>
      </c>
      <c r="BG128" s="193">
        <f t="shared" si="121"/>
        <v>10</v>
      </c>
      <c r="BH128" s="194">
        <f t="shared" si="122"/>
        <v>40</v>
      </c>
      <c r="BI128" s="277"/>
      <c r="BJ128" s="192">
        <f t="shared" si="123"/>
        <v>90</v>
      </c>
      <c r="BK128" s="193">
        <f t="shared" si="124"/>
        <v>10</v>
      </c>
      <c r="BL128" s="193">
        <f t="shared" si="125"/>
        <v>10</v>
      </c>
      <c r="BM128" s="194">
        <f t="shared" si="126"/>
        <v>40</v>
      </c>
      <c r="BN128" s="168"/>
      <c r="BO128" s="192">
        <f t="shared" si="127"/>
        <v>90</v>
      </c>
      <c r="BP128" s="193">
        <f t="shared" si="128"/>
        <v>10</v>
      </c>
      <c r="BQ128" s="193">
        <f t="shared" si="129"/>
        <v>10</v>
      </c>
      <c r="BR128" s="194">
        <f t="shared" si="130"/>
        <v>40</v>
      </c>
      <c r="BS128" s="168"/>
      <c r="BT128" s="192">
        <f t="shared" si="131"/>
        <v>90</v>
      </c>
      <c r="BU128" s="193">
        <f t="shared" si="132"/>
        <v>10</v>
      </c>
      <c r="BV128" s="193">
        <f t="shared" si="133"/>
        <v>10</v>
      </c>
      <c r="BW128" s="194">
        <f t="shared" si="134"/>
        <v>40</v>
      </c>
      <c r="BX128" s="288"/>
    </row>
    <row r="129" spans="1:76">
      <c r="A129" s="168"/>
      <c r="B129" s="192">
        <f t="shared" si="135"/>
        <v>90</v>
      </c>
      <c r="C129" s="193">
        <f t="shared" si="76"/>
        <v>54</v>
      </c>
      <c r="D129" s="193">
        <f t="shared" si="77"/>
        <v>20</v>
      </c>
      <c r="E129" s="194">
        <f t="shared" si="78"/>
        <v>50</v>
      </c>
      <c r="F129" s="168"/>
      <c r="G129" s="192">
        <f t="shared" si="79"/>
        <v>90</v>
      </c>
      <c r="H129" s="193">
        <f t="shared" si="80"/>
        <v>54</v>
      </c>
      <c r="I129" s="193">
        <f t="shared" si="81"/>
        <v>20</v>
      </c>
      <c r="J129" s="194">
        <f t="shared" si="82"/>
        <v>50</v>
      </c>
      <c r="K129" s="168"/>
      <c r="L129" s="192">
        <f t="shared" si="83"/>
        <v>90</v>
      </c>
      <c r="M129" s="193">
        <f t="shared" si="84"/>
        <v>54</v>
      </c>
      <c r="N129" s="193">
        <f t="shared" si="85"/>
        <v>20</v>
      </c>
      <c r="O129" s="194">
        <f t="shared" si="86"/>
        <v>50</v>
      </c>
      <c r="P129" s="168"/>
      <c r="Q129" s="192">
        <f t="shared" si="87"/>
        <v>90</v>
      </c>
      <c r="R129" s="193">
        <f t="shared" si="88"/>
        <v>54</v>
      </c>
      <c r="S129" s="193">
        <f t="shared" si="89"/>
        <v>20</v>
      </c>
      <c r="T129" s="194">
        <f t="shared" si="90"/>
        <v>50</v>
      </c>
      <c r="U129" s="168"/>
      <c r="V129" s="192">
        <f t="shared" si="91"/>
        <v>90</v>
      </c>
      <c r="W129" s="193">
        <f t="shared" si="92"/>
        <v>54</v>
      </c>
      <c r="X129" s="193">
        <f t="shared" si="93"/>
        <v>20</v>
      </c>
      <c r="Y129" s="194">
        <f t="shared" si="94"/>
        <v>50</v>
      </c>
      <c r="Z129" s="168"/>
      <c r="AA129" s="192">
        <f t="shared" si="95"/>
        <v>90</v>
      </c>
      <c r="AB129" s="193">
        <f t="shared" si="96"/>
        <v>54</v>
      </c>
      <c r="AC129" s="193">
        <f t="shared" si="97"/>
        <v>20</v>
      </c>
      <c r="AD129" s="194">
        <f t="shared" si="98"/>
        <v>50</v>
      </c>
      <c r="AE129" s="168"/>
      <c r="AF129" s="192">
        <f t="shared" si="99"/>
        <v>90</v>
      </c>
      <c r="AG129" s="193">
        <f t="shared" si="100"/>
        <v>54</v>
      </c>
      <c r="AH129" s="193">
        <f t="shared" si="101"/>
        <v>20</v>
      </c>
      <c r="AI129" s="194">
        <f t="shared" si="102"/>
        <v>50</v>
      </c>
      <c r="AJ129" s="168"/>
      <c r="AK129" s="192">
        <f t="shared" si="103"/>
        <v>90</v>
      </c>
      <c r="AL129" s="193">
        <f t="shared" si="104"/>
        <v>54</v>
      </c>
      <c r="AM129" s="193">
        <f t="shared" si="105"/>
        <v>20</v>
      </c>
      <c r="AN129" s="194">
        <f t="shared" si="106"/>
        <v>50</v>
      </c>
      <c r="AO129" s="168"/>
      <c r="AP129" s="192">
        <f t="shared" si="107"/>
        <v>90</v>
      </c>
      <c r="AQ129" s="245">
        <f t="shared" si="108"/>
        <v>54</v>
      </c>
      <c r="AR129" s="245">
        <f t="shared" si="109"/>
        <v>25</v>
      </c>
      <c r="AS129" s="246">
        <f t="shared" si="110"/>
        <v>50</v>
      </c>
      <c r="AT129" s="277"/>
      <c r="AU129" s="192" t="str">
        <f t="shared" si="111"/>
        <v/>
      </c>
      <c r="AV129" s="193" t="str">
        <f t="shared" si="112"/>
        <v/>
      </c>
      <c r="AW129" s="193" t="str">
        <f t="shared" si="113"/>
        <v/>
      </c>
      <c r="AX129" s="194" t="str">
        <f t="shared" si="114"/>
        <v/>
      </c>
      <c r="AY129" s="168"/>
      <c r="AZ129" s="192" t="str">
        <f t="shared" si="115"/>
        <v/>
      </c>
      <c r="BA129" s="193" t="str">
        <f t="shared" si="116"/>
        <v/>
      </c>
      <c r="BB129" s="193" t="str">
        <f t="shared" si="117"/>
        <v/>
      </c>
      <c r="BC129" s="194" t="str">
        <f t="shared" si="118"/>
        <v/>
      </c>
      <c r="BD129" s="168"/>
      <c r="BE129" s="192" t="str">
        <f t="shared" si="119"/>
        <v/>
      </c>
      <c r="BF129" s="193" t="str">
        <f t="shared" si="120"/>
        <v/>
      </c>
      <c r="BG129" s="193" t="str">
        <f t="shared" si="121"/>
        <v/>
      </c>
      <c r="BH129" s="194" t="str">
        <f t="shared" si="122"/>
        <v/>
      </c>
      <c r="BI129" s="277"/>
      <c r="BJ129" s="192" t="str">
        <f t="shared" si="123"/>
        <v/>
      </c>
      <c r="BK129" s="193" t="str">
        <f t="shared" si="124"/>
        <v/>
      </c>
      <c r="BL129" s="193" t="str">
        <f t="shared" si="125"/>
        <v/>
      </c>
      <c r="BM129" s="194" t="str">
        <f t="shared" si="126"/>
        <v/>
      </c>
      <c r="BN129" s="168"/>
      <c r="BO129" s="192" t="str">
        <f t="shared" si="127"/>
        <v/>
      </c>
      <c r="BP129" s="193" t="str">
        <f t="shared" si="128"/>
        <v/>
      </c>
      <c r="BQ129" s="193" t="str">
        <f t="shared" si="129"/>
        <v/>
      </c>
      <c r="BR129" s="194" t="str">
        <f t="shared" si="130"/>
        <v/>
      </c>
      <c r="BS129" s="168"/>
      <c r="BT129" s="192" t="str">
        <f t="shared" si="131"/>
        <v/>
      </c>
      <c r="BU129" s="193" t="str">
        <f t="shared" si="132"/>
        <v/>
      </c>
      <c r="BV129" s="193" t="str">
        <f t="shared" si="133"/>
        <v/>
      </c>
      <c r="BW129" s="194" t="str">
        <f t="shared" si="134"/>
        <v/>
      </c>
      <c r="BX129" s="288"/>
    </row>
    <row r="130" spans="1:76">
      <c r="A130" s="168"/>
      <c r="B130" s="195">
        <f t="shared" si="135"/>
        <v>90</v>
      </c>
      <c r="C130" s="196">
        <f t="shared" si="76"/>
        <v>10</v>
      </c>
      <c r="D130" s="196">
        <f t="shared" si="77"/>
        <v>10</v>
      </c>
      <c r="E130" s="197">
        <f t="shared" si="78"/>
        <v>50</v>
      </c>
      <c r="F130" s="168"/>
      <c r="G130" s="195">
        <f t="shared" si="79"/>
        <v>90</v>
      </c>
      <c r="H130" s="196">
        <f t="shared" si="80"/>
        <v>10</v>
      </c>
      <c r="I130" s="196">
        <f t="shared" si="81"/>
        <v>10</v>
      </c>
      <c r="J130" s="197">
        <f t="shared" si="82"/>
        <v>50</v>
      </c>
      <c r="K130" s="168"/>
      <c r="L130" s="195">
        <f t="shared" si="83"/>
        <v>90</v>
      </c>
      <c r="M130" s="196">
        <f t="shared" si="84"/>
        <v>10</v>
      </c>
      <c r="N130" s="196">
        <f t="shared" si="85"/>
        <v>10</v>
      </c>
      <c r="O130" s="197">
        <f t="shared" si="86"/>
        <v>50</v>
      </c>
      <c r="P130" s="168"/>
      <c r="Q130" s="195">
        <f t="shared" si="87"/>
        <v>90</v>
      </c>
      <c r="R130" s="196">
        <f t="shared" si="88"/>
        <v>10</v>
      </c>
      <c r="S130" s="196">
        <f t="shared" si="89"/>
        <v>10</v>
      </c>
      <c r="T130" s="197">
        <f t="shared" si="90"/>
        <v>50</v>
      </c>
      <c r="U130" s="168"/>
      <c r="V130" s="195">
        <f t="shared" si="91"/>
        <v>90</v>
      </c>
      <c r="W130" s="196">
        <f t="shared" si="92"/>
        <v>10</v>
      </c>
      <c r="X130" s="196">
        <f t="shared" si="93"/>
        <v>10</v>
      </c>
      <c r="Y130" s="197">
        <f t="shared" si="94"/>
        <v>50</v>
      </c>
      <c r="Z130" s="168"/>
      <c r="AA130" s="195">
        <f t="shared" si="95"/>
        <v>90</v>
      </c>
      <c r="AB130" s="196">
        <f t="shared" si="96"/>
        <v>10</v>
      </c>
      <c r="AC130" s="196">
        <f t="shared" si="97"/>
        <v>10</v>
      </c>
      <c r="AD130" s="197">
        <f t="shared" si="98"/>
        <v>50</v>
      </c>
      <c r="AE130" s="168"/>
      <c r="AF130" s="195">
        <f t="shared" si="99"/>
        <v>90</v>
      </c>
      <c r="AG130" s="196">
        <f t="shared" si="100"/>
        <v>10</v>
      </c>
      <c r="AH130" s="196">
        <f t="shared" si="101"/>
        <v>10</v>
      </c>
      <c r="AI130" s="197">
        <f t="shared" si="102"/>
        <v>50</v>
      </c>
      <c r="AJ130" s="168"/>
      <c r="AK130" s="195">
        <f t="shared" si="103"/>
        <v>90</v>
      </c>
      <c r="AL130" s="196">
        <f t="shared" si="104"/>
        <v>10</v>
      </c>
      <c r="AM130" s="196">
        <f t="shared" si="105"/>
        <v>10</v>
      </c>
      <c r="AN130" s="197">
        <f t="shared" si="106"/>
        <v>50</v>
      </c>
      <c r="AO130" s="168"/>
      <c r="AP130" s="195">
        <f t="shared" si="107"/>
        <v>90</v>
      </c>
      <c r="AQ130" s="248">
        <f t="shared" si="108"/>
        <v>10</v>
      </c>
      <c r="AR130" s="248">
        <f t="shared" si="109"/>
        <v>15</v>
      </c>
      <c r="AS130" s="249">
        <f t="shared" si="110"/>
        <v>50</v>
      </c>
      <c r="AT130" s="277"/>
      <c r="AU130" s="195" t="str">
        <f t="shared" si="111"/>
        <v/>
      </c>
      <c r="AV130" s="196" t="str">
        <f t="shared" si="112"/>
        <v/>
      </c>
      <c r="AW130" s="196" t="str">
        <f t="shared" si="113"/>
        <v/>
      </c>
      <c r="AX130" s="197" t="str">
        <f t="shared" si="114"/>
        <v/>
      </c>
      <c r="AY130" s="168"/>
      <c r="AZ130" s="195" t="str">
        <f t="shared" si="115"/>
        <v/>
      </c>
      <c r="BA130" s="196" t="str">
        <f t="shared" si="116"/>
        <v/>
      </c>
      <c r="BB130" s="196" t="str">
        <f t="shared" si="117"/>
        <v/>
      </c>
      <c r="BC130" s="197" t="str">
        <f t="shared" si="118"/>
        <v/>
      </c>
      <c r="BD130" s="168"/>
      <c r="BE130" s="195" t="str">
        <f t="shared" si="119"/>
        <v/>
      </c>
      <c r="BF130" s="196" t="str">
        <f t="shared" si="120"/>
        <v/>
      </c>
      <c r="BG130" s="196" t="str">
        <f t="shared" si="121"/>
        <v/>
      </c>
      <c r="BH130" s="197" t="str">
        <f t="shared" si="122"/>
        <v/>
      </c>
      <c r="BI130" s="277"/>
      <c r="BJ130" s="195" t="str">
        <f t="shared" si="123"/>
        <v/>
      </c>
      <c r="BK130" s="196" t="str">
        <f t="shared" si="124"/>
        <v/>
      </c>
      <c r="BL130" s="196" t="str">
        <f t="shared" si="125"/>
        <v/>
      </c>
      <c r="BM130" s="197" t="str">
        <f t="shared" si="126"/>
        <v/>
      </c>
      <c r="BN130" s="168"/>
      <c r="BO130" s="195" t="str">
        <f t="shared" si="127"/>
        <v/>
      </c>
      <c r="BP130" s="196" t="str">
        <f t="shared" si="128"/>
        <v/>
      </c>
      <c r="BQ130" s="196" t="str">
        <f t="shared" si="129"/>
        <v/>
      </c>
      <c r="BR130" s="197" t="str">
        <f t="shared" si="130"/>
        <v/>
      </c>
      <c r="BS130" s="168"/>
      <c r="BT130" s="195" t="str">
        <f t="shared" si="131"/>
        <v/>
      </c>
      <c r="BU130" s="196" t="str">
        <f t="shared" si="132"/>
        <v/>
      </c>
      <c r="BV130" s="196" t="str">
        <f t="shared" si="133"/>
        <v/>
      </c>
      <c r="BW130" s="197" t="str">
        <f t="shared" si="134"/>
        <v/>
      </c>
      <c r="BX130" s="288"/>
    </row>
    <row r="131" spans="1:76">
      <c r="A131" s="168" t="s">
        <v>213</v>
      </c>
      <c r="B131" s="182">
        <f t="shared" si="135"/>
        <v>90</v>
      </c>
      <c r="C131" s="170">
        <f t="shared" si="76"/>
        <v>139.5</v>
      </c>
      <c r="D131" s="170">
        <f t="shared" si="77"/>
        <v>1010</v>
      </c>
      <c r="E131" s="177">
        <f t="shared" si="78"/>
        <v>20</v>
      </c>
      <c r="F131" s="168" t="s">
        <v>213</v>
      </c>
      <c r="G131" s="182">
        <f t="shared" si="79"/>
        <v>90</v>
      </c>
      <c r="H131" s="170">
        <f t="shared" si="80"/>
        <v>139.5</v>
      </c>
      <c r="I131" s="170">
        <f t="shared" si="81"/>
        <v>770</v>
      </c>
      <c r="J131" s="177">
        <f t="shared" si="82"/>
        <v>20</v>
      </c>
      <c r="K131" s="168" t="s">
        <v>213</v>
      </c>
      <c r="L131" s="182">
        <f t="shared" si="83"/>
        <v>90</v>
      </c>
      <c r="M131" s="170">
        <f t="shared" si="84"/>
        <v>139.5</v>
      </c>
      <c r="N131" s="170">
        <f t="shared" si="85"/>
        <v>710</v>
      </c>
      <c r="O131" s="177">
        <f t="shared" si="86"/>
        <v>20</v>
      </c>
      <c r="P131" s="168" t="s">
        <v>213</v>
      </c>
      <c r="Q131" s="182">
        <f t="shared" si="87"/>
        <v>90</v>
      </c>
      <c r="R131" s="170">
        <f t="shared" si="88"/>
        <v>139.5</v>
      </c>
      <c r="S131" s="170">
        <f t="shared" si="89"/>
        <v>650</v>
      </c>
      <c r="T131" s="177">
        <f t="shared" si="90"/>
        <v>20</v>
      </c>
      <c r="U131" s="168" t="s">
        <v>213</v>
      </c>
      <c r="V131" s="182">
        <f t="shared" si="91"/>
        <v>90</v>
      </c>
      <c r="W131" s="170">
        <f t="shared" si="92"/>
        <v>139.5</v>
      </c>
      <c r="X131" s="170">
        <f t="shared" si="93"/>
        <v>530</v>
      </c>
      <c r="Y131" s="177">
        <f t="shared" si="94"/>
        <v>20</v>
      </c>
      <c r="Z131" s="168" t="s">
        <v>213</v>
      </c>
      <c r="AA131" s="182">
        <f t="shared" si="95"/>
        <v>90</v>
      </c>
      <c r="AB131" s="170">
        <f t="shared" si="96"/>
        <v>139.5</v>
      </c>
      <c r="AC131" s="170">
        <f t="shared" si="97"/>
        <v>470</v>
      </c>
      <c r="AD131" s="177">
        <f t="shared" si="98"/>
        <v>20</v>
      </c>
      <c r="AE131" s="168" t="s">
        <v>213</v>
      </c>
      <c r="AF131" s="182">
        <f t="shared" si="99"/>
        <v>90</v>
      </c>
      <c r="AG131" s="170">
        <f t="shared" si="100"/>
        <v>139.5</v>
      </c>
      <c r="AH131" s="170">
        <f t="shared" si="101"/>
        <v>350</v>
      </c>
      <c r="AI131" s="177">
        <f t="shared" si="102"/>
        <v>20</v>
      </c>
      <c r="AJ131" s="168" t="s">
        <v>213</v>
      </c>
      <c r="AK131" s="182">
        <f t="shared" si="103"/>
        <v>90</v>
      </c>
      <c r="AL131" s="170">
        <f t="shared" si="104"/>
        <v>139.5</v>
      </c>
      <c r="AM131" s="170">
        <f t="shared" si="105"/>
        <v>230</v>
      </c>
      <c r="AN131" s="177">
        <f t="shared" si="106"/>
        <v>20</v>
      </c>
      <c r="AO131" s="168" t="s">
        <v>213</v>
      </c>
      <c r="AP131" s="182">
        <f t="shared" si="107"/>
        <v>90</v>
      </c>
      <c r="AQ131" s="205">
        <f t="shared" si="108"/>
        <v>139.5</v>
      </c>
      <c r="AR131" s="205">
        <f t="shared" si="109"/>
        <v>800</v>
      </c>
      <c r="AS131" s="206">
        <f t="shared" si="110"/>
        <v>20</v>
      </c>
      <c r="AT131" s="277" t="s">
        <v>213</v>
      </c>
      <c r="AU131" s="182">
        <f t="shared" si="111"/>
        <v>90</v>
      </c>
      <c r="AV131" s="170">
        <f t="shared" si="112"/>
        <v>89.2</v>
      </c>
      <c r="AW131" s="170">
        <f t="shared" si="113"/>
        <v>470</v>
      </c>
      <c r="AX131" s="177">
        <f t="shared" si="114"/>
        <v>16.5</v>
      </c>
      <c r="AY131" s="168" t="s">
        <v>213</v>
      </c>
      <c r="AZ131" s="182">
        <f t="shared" si="115"/>
        <v>90</v>
      </c>
      <c r="BA131" s="170">
        <f t="shared" si="116"/>
        <v>89.2</v>
      </c>
      <c r="BB131" s="170">
        <f t="shared" si="117"/>
        <v>350</v>
      </c>
      <c r="BC131" s="177">
        <f t="shared" si="118"/>
        <v>16.5</v>
      </c>
      <c r="BD131" s="168" t="s">
        <v>213</v>
      </c>
      <c r="BE131" s="182">
        <f t="shared" si="119"/>
        <v>90</v>
      </c>
      <c r="BF131" s="170">
        <f t="shared" si="120"/>
        <v>89.2</v>
      </c>
      <c r="BG131" s="170">
        <f t="shared" si="121"/>
        <v>230</v>
      </c>
      <c r="BH131" s="177">
        <f t="shared" si="122"/>
        <v>16.5</v>
      </c>
      <c r="BI131" s="277" t="s">
        <v>213</v>
      </c>
      <c r="BJ131" s="182">
        <f t="shared" si="123"/>
        <v>90</v>
      </c>
      <c r="BK131" s="170">
        <f t="shared" si="124"/>
        <v>50.25</v>
      </c>
      <c r="BL131" s="170">
        <f t="shared" si="125"/>
        <v>490</v>
      </c>
      <c r="BM131" s="177">
        <f t="shared" si="126"/>
        <v>16.5</v>
      </c>
      <c r="BN131" s="168" t="s">
        <v>213</v>
      </c>
      <c r="BO131" s="182">
        <f t="shared" si="127"/>
        <v>90</v>
      </c>
      <c r="BP131" s="170">
        <f t="shared" si="128"/>
        <v>50.25</v>
      </c>
      <c r="BQ131" s="170">
        <f t="shared" si="129"/>
        <v>370</v>
      </c>
      <c r="BR131" s="177">
        <f t="shared" si="130"/>
        <v>16.5</v>
      </c>
      <c r="BS131" s="168" t="s">
        <v>213</v>
      </c>
      <c r="BT131" s="182">
        <f t="shared" si="131"/>
        <v>90</v>
      </c>
      <c r="BU131" s="170">
        <f t="shared" si="132"/>
        <v>50.25</v>
      </c>
      <c r="BV131" s="170">
        <f t="shared" si="133"/>
        <v>250</v>
      </c>
      <c r="BW131" s="177">
        <f t="shared" si="134"/>
        <v>16.5</v>
      </c>
      <c r="BX131" s="288"/>
    </row>
    <row r="132" spans="1:76">
      <c r="A132" s="168"/>
      <c r="B132" s="183">
        <f t="shared" si="135"/>
        <v>90</v>
      </c>
      <c r="C132" s="171">
        <f t="shared" si="76"/>
        <v>118</v>
      </c>
      <c r="D132" s="171">
        <f t="shared" si="77"/>
        <v>1025</v>
      </c>
      <c r="E132" s="178">
        <f t="shared" si="78"/>
        <v>14</v>
      </c>
      <c r="F132" s="168"/>
      <c r="G132" s="183">
        <f t="shared" si="79"/>
        <v>90</v>
      </c>
      <c r="H132" s="171">
        <f t="shared" si="80"/>
        <v>118</v>
      </c>
      <c r="I132" s="171">
        <f t="shared" si="81"/>
        <v>785</v>
      </c>
      <c r="J132" s="178">
        <f t="shared" si="82"/>
        <v>14</v>
      </c>
      <c r="K132" s="168"/>
      <c r="L132" s="183">
        <f t="shared" si="83"/>
        <v>90</v>
      </c>
      <c r="M132" s="171">
        <f t="shared" si="84"/>
        <v>118</v>
      </c>
      <c r="N132" s="171">
        <f t="shared" si="85"/>
        <v>725</v>
      </c>
      <c r="O132" s="178">
        <f t="shared" si="86"/>
        <v>14</v>
      </c>
      <c r="P132" s="168"/>
      <c r="Q132" s="183">
        <f t="shared" si="87"/>
        <v>90</v>
      </c>
      <c r="R132" s="171">
        <f t="shared" si="88"/>
        <v>118</v>
      </c>
      <c r="S132" s="171">
        <f t="shared" si="89"/>
        <v>665</v>
      </c>
      <c r="T132" s="178">
        <f t="shared" si="90"/>
        <v>14</v>
      </c>
      <c r="U132" s="168"/>
      <c r="V132" s="183">
        <f t="shared" si="91"/>
        <v>90</v>
      </c>
      <c r="W132" s="171">
        <f t="shared" si="92"/>
        <v>118</v>
      </c>
      <c r="X132" s="171">
        <f t="shared" si="93"/>
        <v>545</v>
      </c>
      <c r="Y132" s="178">
        <f t="shared" si="94"/>
        <v>14</v>
      </c>
      <c r="Z132" s="168"/>
      <c r="AA132" s="183">
        <f t="shared" si="95"/>
        <v>90</v>
      </c>
      <c r="AB132" s="171">
        <f t="shared" si="96"/>
        <v>118</v>
      </c>
      <c r="AC132" s="171">
        <f t="shared" si="97"/>
        <v>485</v>
      </c>
      <c r="AD132" s="178">
        <f t="shared" si="98"/>
        <v>14</v>
      </c>
      <c r="AE132" s="168"/>
      <c r="AF132" s="183">
        <f t="shared" si="99"/>
        <v>90</v>
      </c>
      <c r="AG132" s="171">
        <f t="shared" si="100"/>
        <v>118</v>
      </c>
      <c r="AH132" s="171">
        <f t="shared" si="101"/>
        <v>365</v>
      </c>
      <c r="AI132" s="178">
        <f t="shared" si="102"/>
        <v>14</v>
      </c>
      <c r="AJ132" s="168"/>
      <c r="AK132" s="183">
        <f t="shared" si="103"/>
        <v>90</v>
      </c>
      <c r="AL132" s="171">
        <f t="shared" si="104"/>
        <v>118</v>
      </c>
      <c r="AM132" s="171">
        <f t="shared" si="105"/>
        <v>245</v>
      </c>
      <c r="AN132" s="178">
        <f t="shared" si="106"/>
        <v>14</v>
      </c>
      <c r="AO132" s="168"/>
      <c r="AP132" s="183">
        <f t="shared" si="107"/>
        <v>90</v>
      </c>
      <c r="AQ132" s="202">
        <f t="shared" si="108"/>
        <v>118</v>
      </c>
      <c r="AR132" s="202">
        <f t="shared" si="109"/>
        <v>815</v>
      </c>
      <c r="AS132" s="203">
        <f t="shared" si="110"/>
        <v>14</v>
      </c>
      <c r="AT132" s="277"/>
      <c r="AU132" s="183">
        <f t="shared" si="111"/>
        <v>90</v>
      </c>
      <c r="AV132" s="171">
        <f t="shared" si="112"/>
        <v>70</v>
      </c>
      <c r="AW132" s="171">
        <f t="shared" si="113"/>
        <v>485</v>
      </c>
      <c r="AX132" s="178">
        <f t="shared" si="114"/>
        <v>14</v>
      </c>
      <c r="AY132" s="168"/>
      <c r="AZ132" s="183">
        <f t="shared" si="115"/>
        <v>90</v>
      </c>
      <c r="BA132" s="171">
        <f t="shared" si="116"/>
        <v>70</v>
      </c>
      <c r="BB132" s="171">
        <f t="shared" si="117"/>
        <v>365</v>
      </c>
      <c r="BC132" s="178">
        <f t="shared" si="118"/>
        <v>14</v>
      </c>
      <c r="BD132" s="168"/>
      <c r="BE132" s="183">
        <f t="shared" si="119"/>
        <v>90</v>
      </c>
      <c r="BF132" s="171">
        <f t="shared" si="120"/>
        <v>70</v>
      </c>
      <c r="BG132" s="171">
        <f t="shared" si="121"/>
        <v>245</v>
      </c>
      <c r="BH132" s="178">
        <f t="shared" si="122"/>
        <v>14</v>
      </c>
      <c r="BI132" s="277"/>
      <c r="BJ132" s="183">
        <f t="shared" si="123"/>
        <v>90</v>
      </c>
      <c r="BK132" s="171">
        <f t="shared" si="124"/>
        <v>30</v>
      </c>
      <c r="BL132" s="171">
        <f t="shared" si="125"/>
        <v>480</v>
      </c>
      <c r="BM132" s="178">
        <f t="shared" si="126"/>
        <v>14</v>
      </c>
      <c r="BN132" s="168"/>
      <c r="BO132" s="183">
        <f t="shared" si="127"/>
        <v>90</v>
      </c>
      <c r="BP132" s="171">
        <f t="shared" si="128"/>
        <v>30</v>
      </c>
      <c r="BQ132" s="171">
        <f t="shared" si="129"/>
        <v>360</v>
      </c>
      <c r="BR132" s="178">
        <f t="shared" si="130"/>
        <v>14</v>
      </c>
      <c r="BS132" s="168"/>
      <c r="BT132" s="183">
        <f t="shared" si="131"/>
        <v>90</v>
      </c>
      <c r="BU132" s="171">
        <f t="shared" si="132"/>
        <v>30</v>
      </c>
      <c r="BV132" s="171">
        <f t="shared" si="133"/>
        <v>240</v>
      </c>
      <c r="BW132" s="178">
        <f t="shared" si="134"/>
        <v>14</v>
      </c>
      <c r="BX132" s="288"/>
    </row>
    <row r="133" spans="1:76">
      <c r="A133" s="168"/>
      <c r="B133" s="183">
        <f t="shared" si="135"/>
        <v>90</v>
      </c>
      <c r="C133" s="171">
        <f t="shared" si="76"/>
        <v>75</v>
      </c>
      <c r="D133" s="171">
        <f t="shared" si="77"/>
        <v>1015</v>
      </c>
      <c r="E133" s="178">
        <f t="shared" si="78"/>
        <v>14</v>
      </c>
      <c r="F133" s="168"/>
      <c r="G133" s="183">
        <f t="shared" si="79"/>
        <v>90</v>
      </c>
      <c r="H133" s="171">
        <f t="shared" si="80"/>
        <v>75</v>
      </c>
      <c r="I133" s="171">
        <f t="shared" si="81"/>
        <v>775</v>
      </c>
      <c r="J133" s="178">
        <f t="shared" si="82"/>
        <v>14</v>
      </c>
      <c r="K133" s="168"/>
      <c r="L133" s="183">
        <f t="shared" si="83"/>
        <v>90</v>
      </c>
      <c r="M133" s="171">
        <f t="shared" si="84"/>
        <v>75</v>
      </c>
      <c r="N133" s="171">
        <f t="shared" si="85"/>
        <v>715</v>
      </c>
      <c r="O133" s="178">
        <f t="shared" si="86"/>
        <v>14</v>
      </c>
      <c r="P133" s="168"/>
      <c r="Q133" s="183">
        <f t="shared" si="87"/>
        <v>90</v>
      </c>
      <c r="R133" s="171">
        <f t="shared" si="88"/>
        <v>75</v>
      </c>
      <c r="S133" s="171">
        <f t="shared" si="89"/>
        <v>655</v>
      </c>
      <c r="T133" s="178">
        <f t="shared" si="90"/>
        <v>14</v>
      </c>
      <c r="U133" s="168"/>
      <c r="V133" s="183">
        <f t="shared" si="91"/>
        <v>90</v>
      </c>
      <c r="W133" s="171">
        <f t="shared" si="92"/>
        <v>75</v>
      </c>
      <c r="X133" s="171">
        <f t="shared" si="93"/>
        <v>535</v>
      </c>
      <c r="Y133" s="178">
        <f t="shared" si="94"/>
        <v>14</v>
      </c>
      <c r="Z133" s="168"/>
      <c r="AA133" s="183">
        <f t="shared" si="95"/>
        <v>90</v>
      </c>
      <c r="AB133" s="171">
        <f t="shared" si="96"/>
        <v>75</v>
      </c>
      <c r="AC133" s="171">
        <f t="shared" si="97"/>
        <v>475</v>
      </c>
      <c r="AD133" s="178">
        <f t="shared" si="98"/>
        <v>14</v>
      </c>
      <c r="AE133" s="168"/>
      <c r="AF133" s="183">
        <f t="shared" si="99"/>
        <v>90</v>
      </c>
      <c r="AG133" s="171">
        <f t="shared" si="100"/>
        <v>75</v>
      </c>
      <c r="AH133" s="171">
        <f t="shared" si="101"/>
        <v>355</v>
      </c>
      <c r="AI133" s="178">
        <f t="shared" si="102"/>
        <v>14</v>
      </c>
      <c r="AJ133" s="168"/>
      <c r="AK133" s="183">
        <f t="shared" si="103"/>
        <v>90</v>
      </c>
      <c r="AL133" s="171">
        <f t="shared" si="104"/>
        <v>75</v>
      </c>
      <c r="AM133" s="171">
        <f t="shared" si="105"/>
        <v>235</v>
      </c>
      <c r="AN133" s="178">
        <f t="shared" si="106"/>
        <v>14</v>
      </c>
      <c r="AO133" s="168"/>
      <c r="AP133" s="183">
        <f t="shared" si="107"/>
        <v>90</v>
      </c>
      <c r="AQ133" s="202">
        <f t="shared" si="108"/>
        <v>75</v>
      </c>
      <c r="AR133" s="202">
        <f t="shared" si="109"/>
        <v>805</v>
      </c>
      <c r="AS133" s="203">
        <f t="shared" si="110"/>
        <v>14</v>
      </c>
      <c r="AT133" s="277"/>
      <c r="AU133" s="183">
        <f t="shared" si="111"/>
        <v>90</v>
      </c>
      <c r="AV133" s="171">
        <f t="shared" si="112"/>
        <v>30</v>
      </c>
      <c r="AW133" s="171">
        <f t="shared" si="113"/>
        <v>485</v>
      </c>
      <c r="AX133" s="178">
        <f t="shared" si="114"/>
        <v>14</v>
      </c>
      <c r="AY133" s="168"/>
      <c r="AZ133" s="183">
        <f t="shared" si="115"/>
        <v>90</v>
      </c>
      <c r="BA133" s="171">
        <f t="shared" si="116"/>
        <v>30</v>
      </c>
      <c r="BB133" s="171">
        <f t="shared" si="117"/>
        <v>365</v>
      </c>
      <c r="BC133" s="178">
        <f t="shared" si="118"/>
        <v>14</v>
      </c>
      <c r="BD133" s="168"/>
      <c r="BE133" s="183">
        <f t="shared" si="119"/>
        <v>90</v>
      </c>
      <c r="BF133" s="171">
        <f t="shared" si="120"/>
        <v>30</v>
      </c>
      <c r="BG133" s="171">
        <f t="shared" si="121"/>
        <v>245</v>
      </c>
      <c r="BH133" s="178">
        <f t="shared" si="122"/>
        <v>14</v>
      </c>
      <c r="BI133" s="277"/>
      <c r="BJ133" s="183">
        <f t="shared" si="123"/>
        <v>90</v>
      </c>
      <c r="BK133" s="171">
        <f t="shared" si="124"/>
        <v>30</v>
      </c>
      <c r="BL133" s="171">
        <f t="shared" si="125"/>
        <v>70</v>
      </c>
      <c r="BM133" s="178">
        <f t="shared" si="126"/>
        <v>14</v>
      </c>
      <c r="BN133" s="168"/>
      <c r="BO133" s="183">
        <f t="shared" si="127"/>
        <v>90</v>
      </c>
      <c r="BP133" s="171">
        <f t="shared" si="128"/>
        <v>30</v>
      </c>
      <c r="BQ133" s="171">
        <f t="shared" si="129"/>
        <v>70</v>
      </c>
      <c r="BR133" s="178">
        <f t="shared" si="130"/>
        <v>14</v>
      </c>
      <c r="BS133" s="168"/>
      <c r="BT133" s="183">
        <f t="shared" si="131"/>
        <v>90</v>
      </c>
      <c r="BU133" s="171">
        <f t="shared" si="132"/>
        <v>30</v>
      </c>
      <c r="BV133" s="171">
        <f t="shared" si="133"/>
        <v>70</v>
      </c>
      <c r="BW133" s="178">
        <f t="shared" si="134"/>
        <v>14</v>
      </c>
      <c r="BX133" s="288"/>
    </row>
    <row r="134" spans="1:76">
      <c r="A134" s="168"/>
      <c r="B134" s="183">
        <f t="shared" si="135"/>
        <v>90</v>
      </c>
      <c r="C134" s="171">
        <f t="shared" si="76"/>
        <v>32</v>
      </c>
      <c r="D134" s="171">
        <f t="shared" si="77"/>
        <v>1025</v>
      </c>
      <c r="E134" s="178">
        <f t="shared" si="78"/>
        <v>14</v>
      </c>
      <c r="F134" s="168"/>
      <c r="G134" s="183">
        <f t="shared" si="79"/>
        <v>90</v>
      </c>
      <c r="H134" s="171">
        <f t="shared" si="80"/>
        <v>32</v>
      </c>
      <c r="I134" s="171">
        <f t="shared" si="81"/>
        <v>785</v>
      </c>
      <c r="J134" s="178">
        <f t="shared" si="82"/>
        <v>14</v>
      </c>
      <c r="K134" s="168"/>
      <c r="L134" s="183">
        <f t="shared" si="83"/>
        <v>90</v>
      </c>
      <c r="M134" s="171">
        <f t="shared" si="84"/>
        <v>32</v>
      </c>
      <c r="N134" s="171">
        <f t="shared" si="85"/>
        <v>725</v>
      </c>
      <c r="O134" s="178">
        <f t="shared" si="86"/>
        <v>14</v>
      </c>
      <c r="P134" s="168"/>
      <c r="Q134" s="183">
        <f t="shared" si="87"/>
        <v>90</v>
      </c>
      <c r="R134" s="171">
        <f t="shared" si="88"/>
        <v>32</v>
      </c>
      <c r="S134" s="171">
        <f t="shared" si="89"/>
        <v>665</v>
      </c>
      <c r="T134" s="178">
        <f t="shared" si="90"/>
        <v>14</v>
      </c>
      <c r="U134" s="168"/>
      <c r="V134" s="183">
        <f t="shared" si="91"/>
        <v>90</v>
      </c>
      <c r="W134" s="171">
        <f t="shared" si="92"/>
        <v>32</v>
      </c>
      <c r="X134" s="171">
        <f t="shared" si="93"/>
        <v>545</v>
      </c>
      <c r="Y134" s="178">
        <f t="shared" si="94"/>
        <v>14</v>
      </c>
      <c r="Z134" s="168"/>
      <c r="AA134" s="183">
        <f t="shared" si="95"/>
        <v>90</v>
      </c>
      <c r="AB134" s="171">
        <f t="shared" si="96"/>
        <v>32</v>
      </c>
      <c r="AC134" s="171">
        <f t="shared" si="97"/>
        <v>485</v>
      </c>
      <c r="AD134" s="178">
        <f t="shared" si="98"/>
        <v>14</v>
      </c>
      <c r="AE134" s="168"/>
      <c r="AF134" s="183">
        <f t="shared" si="99"/>
        <v>90</v>
      </c>
      <c r="AG134" s="171">
        <f t="shared" si="100"/>
        <v>32</v>
      </c>
      <c r="AH134" s="171">
        <f t="shared" si="101"/>
        <v>365</v>
      </c>
      <c r="AI134" s="178">
        <f t="shared" si="102"/>
        <v>14</v>
      </c>
      <c r="AJ134" s="168"/>
      <c r="AK134" s="183">
        <f t="shared" si="103"/>
        <v>90</v>
      </c>
      <c r="AL134" s="171">
        <f t="shared" si="104"/>
        <v>32</v>
      </c>
      <c r="AM134" s="171">
        <f t="shared" si="105"/>
        <v>245</v>
      </c>
      <c r="AN134" s="178">
        <f t="shared" si="106"/>
        <v>14</v>
      </c>
      <c r="AO134" s="168"/>
      <c r="AP134" s="183">
        <f t="shared" si="107"/>
        <v>90</v>
      </c>
      <c r="AQ134" s="202">
        <f t="shared" si="108"/>
        <v>32</v>
      </c>
      <c r="AR134" s="202">
        <f t="shared" si="109"/>
        <v>815</v>
      </c>
      <c r="AS134" s="203">
        <f t="shared" si="110"/>
        <v>14</v>
      </c>
      <c r="AT134" s="277"/>
      <c r="AU134" s="183">
        <f t="shared" si="111"/>
        <v>90</v>
      </c>
      <c r="AV134" s="171">
        <f t="shared" si="112"/>
        <v>10.799999999999997</v>
      </c>
      <c r="AW134" s="171">
        <f t="shared" si="113"/>
        <v>470</v>
      </c>
      <c r="AX134" s="178">
        <f t="shared" si="114"/>
        <v>14</v>
      </c>
      <c r="AY134" s="168"/>
      <c r="AZ134" s="183">
        <f t="shared" si="115"/>
        <v>90</v>
      </c>
      <c r="BA134" s="171">
        <f t="shared" si="116"/>
        <v>10.799999999999997</v>
      </c>
      <c r="BB134" s="171">
        <f t="shared" si="117"/>
        <v>350</v>
      </c>
      <c r="BC134" s="178">
        <f t="shared" si="118"/>
        <v>14</v>
      </c>
      <c r="BD134" s="168"/>
      <c r="BE134" s="183">
        <f t="shared" si="119"/>
        <v>90</v>
      </c>
      <c r="BF134" s="171">
        <f t="shared" si="120"/>
        <v>10.799999999999997</v>
      </c>
      <c r="BG134" s="171">
        <f t="shared" si="121"/>
        <v>230</v>
      </c>
      <c r="BH134" s="178">
        <f t="shared" si="122"/>
        <v>14</v>
      </c>
      <c r="BI134" s="277"/>
      <c r="BJ134" s="183" t="str">
        <f t="shared" si="123"/>
        <v/>
      </c>
      <c r="BK134" s="171" t="str">
        <f t="shared" si="124"/>
        <v/>
      </c>
      <c r="BL134" s="171" t="str">
        <f t="shared" si="125"/>
        <v/>
      </c>
      <c r="BM134" s="178" t="str">
        <f t="shared" si="126"/>
        <v/>
      </c>
      <c r="BN134" s="168"/>
      <c r="BO134" s="183" t="str">
        <f t="shared" si="127"/>
        <v/>
      </c>
      <c r="BP134" s="171" t="str">
        <f t="shared" si="128"/>
        <v/>
      </c>
      <c r="BQ134" s="171" t="str">
        <f t="shared" si="129"/>
        <v/>
      </c>
      <c r="BR134" s="178" t="str">
        <f t="shared" si="130"/>
        <v/>
      </c>
      <c r="BS134" s="168"/>
      <c r="BT134" s="183" t="str">
        <f t="shared" si="131"/>
        <v/>
      </c>
      <c r="BU134" s="171" t="str">
        <f t="shared" si="132"/>
        <v/>
      </c>
      <c r="BV134" s="171" t="str">
        <f t="shared" si="133"/>
        <v/>
      </c>
      <c r="BW134" s="178" t="str">
        <f t="shared" si="134"/>
        <v/>
      </c>
      <c r="BX134" s="288"/>
    </row>
    <row r="135" spans="1:76">
      <c r="A135" s="168"/>
      <c r="B135" s="184">
        <f t="shared" si="135"/>
        <v>90</v>
      </c>
      <c r="C135" s="172">
        <f t="shared" si="76"/>
        <v>10.5</v>
      </c>
      <c r="D135" s="172">
        <f t="shared" si="77"/>
        <v>1010</v>
      </c>
      <c r="E135" s="179">
        <f t="shared" si="78"/>
        <v>20</v>
      </c>
      <c r="F135" s="168"/>
      <c r="G135" s="184">
        <f t="shared" si="79"/>
        <v>90</v>
      </c>
      <c r="H135" s="172">
        <f t="shared" si="80"/>
        <v>10.5</v>
      </c>
      <c r="I135" s="172">
        <f t="shared" si="81"/>
        <v>770</v>
      </c>
      <c r="J135" s="179">
        <f t="shared" si="82"/>
        <v>20</v>
      </c>
      <c r="K135" s="168"/>
      <c r="L135" s="184">
        <f t="shared" si="83"/>
        <v>90</v>
      </c>
      <c r="M135" s="172">
        <f t="shared" si="84"/>
        <v>10.5</v>
      </c>
      <c r="N135" s="172">
        <f t="shared" si="85"/>
        <v>710</v>
      </c>
      <c r="O135" s="179">
        <f t="shared" si="86"/>
        <v>20</v>
      </c>
      <c r="P135" s="168"/>
      <c r="Q135" s="184">
        <f t="shared" si="87"/>
        <v>90</v>
      </c>
      <c r="R135" s="172">
        <f t="shared" si="88"/>
        <v>10.5</v>
      </c>
      <c r="S135" s="172">
        <f t="shared" si="89"/>
        <v>650</v>
      </c>
      <c r="T135" s="179">
        <f t="shared" si="90"/>
        <v>20</v>
      </c>
      <c r="U135" s="168"/>
      <c r="V135" s="184">
        <f t="shared" si="91"/>
        <v>90</v>
      </c>
      <c r="W135" s="172">
        <f t="shared" si="92"/>
        <v>10.5</v>
      </c>
      <c r="X135" s="172">
        <f t="shared" si="93"/>
        <v>530</v>
      </c>
      <c r="Y135" s="179">
        <f t="shared" si="94"/>
        <v>20</v>
      </c>
      <c r="Z135" s="168"/>
      <c r="AA135" s="184">
        <f t="shared" si="95"/>
        <v>90</v>
      </c>
      <c r="AB135" s="172">
        <f t="shared" si="96"/>
        <v>10.5</v>
      </c>
      <c r="AC135" s="172">
        <f t="shared" si="97"/>
        <v>470</v>
      </c>
      <c r="AD135" s="179">
        <f t="shared" si="98"/>
        <v>20</v>
      </c>
      <c r="AE135" s="168"/>
      <c r="AF135" s="184">
        <f t="shared" si="99"/>
        <v>90</v>
      </c>
      <c r="AG135" s="172">
        <f t="shared" si="100"/>
        <v>10.5</v>
      </c>
      <c r="AH135" s="172">
        <f t="shared" si="101"/>
        <v>350</v>
      </c>
      <c r="AI135" s="179">
        <f t="shared" si="102"/>
        <v>20</v>
      </c>
      <c r="AJ135" s="168"/>
      <c r="AK135" s="184">
        <f t="shared" si="103"/>
        <v>90</v>
      </c>
      <c r="AL135" s="172">
        <f t="shared" si="104"/>
        <v>10.5</v>
      </c>
      <c r="AM135" s="172">
        <f t="shared" si="105"/>
        <v>230</v>
      </c>
      <c r="AN135" s="179">
        <f t="shared" si="106"/>
        <v>20</v>
      </c>
      <c r="AO135" s="168"/>
      <c r="AP135" s="184">
        <f t="shared" si="107"/>
        <v>90</v>
      </c>
      <c r="AQ135" s="208">
        <f t="shared" si="108"/>
        <v>10.5</v>
      </c>
      <c r="AR135" s="208">
        <f t="shared" si="109"/>
        <v>800</v>
      </c>
      <c r="AS135" s="209">
        <f t="shared" si="110"/>
        <v>20</v>
      </c>
      <c r="AT135" s="277"/>
      <c r="AU135" s="184" t="str">
        <f t="shared" si="111"/>
        <v/>
      </c>
      <c r="AV135" s="172" t="str">
        <f t="shared" si="112"/>
        <v/>
      </c>
      <c r="AW135" s="172" t="str">
        <f t="shared" si="113"/>
        <v/>
      </c>
      <c r="AX135" s="179" t="str">
        <f t="shared" si="114"/>
        <v/>
      </c>
      <c r="AY135" s="168"/>
      <c r="AZ135" s="184" t="str">
        <f t="shared" si="115"/>
        <v/>
      </c>
      <c r="BA135" s="172" t="str">
        <f t="shared" si="116"/>
        <v/>
      </c>
      <c r="BB135" s="172" t="str">
        <f t="shared" si="117"/>
        <v/>
      </c>
      <c r="BC135" s="179" t="str">
        <f t="shared" si="118"/>
        <v/>
      </c>
      <c r="BD135" s="168"/>
      <c r="BE135" s="184" t="str">
        <f t="shared" si="119"/>
        <v/>
      </c>
      <c r="BF135" s="172" t="str">
        <f t="shared" si="120"/>
        <v/>
      </c>
      <c r="BG135" s="172" t="str">
        <f t="shared" si="121"/>
        <v/>
      </c>
      <c r="BH135" s="179" t="str">
        <f t="shared" si="122"/>
        <v/>
      </c>
      <c r="BI135" s="277"/>
      <c r="BJ135" s="184" t="str">
        <f t="shared" si="123"/>
        <v/>
      </c>
      <c r="BK135" s="172" t="str">
        <f t="shared" si="124"/>
        <v/>
      </c>
      <c r="BL135" s="172" t="str">
        <f t="shared" si="125"/>
        <v/>
      </c>
      <c r="BM135" s="179" t="str">
        <f t="shared" si="126"/>
        <v/>
      </c>
      <c r="BN135" s="168"/>
      <c r="BO135" s="184" t="str">
        <f t="shared" si="127"/>
        <v/>
      </c>
      <c r="BP135" s="172" t="str">
        <f t="shared" si="128"/>
        <v/>
      </c>
      <c r="BQ135" s="172" t="str">
        <f t="shared" si="129"/>
        <v/>
      </c>
      <c r="BR135" s="179" t="str">
        <f t="shared" si="130"/>
        <v/>
      </c>
      <c r="BS135" s="168"/>
      <c r="BT135" s="184" t="str">
        <f t="shared" si="131"/>
        <v/>
      </c>
      <c r="BU135" s="172" t="str">
        <f t="shared" si="132"/>
        <v/>
      </c>
      <c r="BV135" s="172" t="str">
        <f t="shared" si="133"/>
        <v/>
      </c>
      <c r="BW135" s="179" t="str">
        <f t="shared" si="134"/>
        <v/>
      </c>
      <c r="BX135" s="288"/>
    </row>
    <row r="136" spans="1:76">
      <c r="A136" s="168"/>
      <c r="B136" s="204">
        <f t="shared" si="135"/>
        <v>90</v>
      </c>
      <c r="C136" s="205">
        <f t="shared" si="76"/>
        <v>118</v>
      </c>
      <c r="D136" s="205">
        <f t="shared" si="77"/>
        <v>560</v>
      </c>
      <c r="E136" s="206">
        <f t="shared" si="78"/>
        <v>14</v>
      </c>
      <c r="F136" s="168"/>
      <c r="G136" s="204">
        <f t="shared" si="79"/>
        <v>90</v>
      </c>
      <c r="H136" s="205">
        <f t="shared" si="80"/>
        <v>118</v>
      </c>
      <c r="I136" s="205">
        <f t="shared" si="81"/>
        <v>430</v>
      </c>
      <c r="J136" s="206">
        <f t="shared" si="82"/>
        <v>14</v>
      </c>
      <c r="K136" s="168"/>
      <c r="L136" s="204">
        <f t="shared" si="83"/>
        <v>90</v>
      </c>
      <c r="M136" s="205">
        <f t="shared" si="84"/>
        <v>118</v>
      </c>
      <c r="N136" s="205">
        <f t="shared" si="85"/>
        <v>75</v>
      </c>
      <c r="O136" s="206">
        <f t="shared" si="86"/>
        <v>14</v>
      </c>
      <c r="P136" s="168"/>
      <c r="Q136" s="204">
        <f t="shared" si="87"/>
        <v>90</v>
      </c>
      <c r="R136" s="205">
        <f t="shared" si="88"/>
        <v>118</v>
      </c>
      <c r="S136" s="205">
        <f t="shared" si="89"/>
        <v>75</v>
      </c>
      <c r="T136" s="206">
        <f t="shared" si="90"/>
        <v>14</v>
      </c>
      <c r="U136" s="168"/>
      <c r="V136" s="204">
        <f t="shared" si="91"/>
        <v>90</v>
      </c>
      <c r="W136" s="205">
        <f t="shared" si="92"/>
        <v>118</v>
      </c>
      <c r="X136" s="205">
        <f t="shared" si="93"/>
        <v>75</v>
      </c>
      <c r="Y136" s="206">
        <f t="shared" si="94"/>
        <v>14</v>
      </c>
      <c r="Z136" s="168"/>
      <c r="AA136" s="204">
        <f t="shared" si="95"/>
        <v>90</v>
      </c>
      <c r="AB136" s="205">
        <f t="shared" si="96"/>
        <v>118</v>
      </c>
      <c r="AC136" s="205">
        <f t="shared" si="97"/>
        <v>75</v>
      </c>
      <c r="AD136" s="206">
        <f t="shared" si="98"/>
        <v>14</v>
      </c>
      <c r="AE136" s="168"/>
      <c r="AF136" s="204">
        <f t="shared" si="99"/>
        <v>90</v>
      </c>
      <c r="AG136" s="205">
        <f t="shared" si="100"/>
        <v>118</v>
      </c>
      <c r="AH136" s="205">
        <f t="shared" si="101"/>
        <v>75</v>
      </c>
      <c r="AI136" s="206">
        <f t="shared" si="102"/>
        <v>14</v>
      </c>
      <c r="AJ136" s="168"/>
      <c r="AK136" s="204">
        <f t="shared" si="103"/>
        <v>90</v>
      </c>
      <c r="AL136" s="205">
        <f t="shared" si="104"/>
        <v>118</v>
      </c>
      <c r="AM136" s="205">
        <f t="shared" si="105"/>
        <v>75</v>
      </c>
      <c r="AN136" s="206">
        <f t="shared" si="106"/>
        <v>14</v>
      </c>
      <c r="AO136" s="168"/>
      <c r="AP136" s="204">
        <f t="shared" si="107"/>
        <v>90</v>
      </c>
      <c r="AQ136" s="205">
        <f t="shared" si="108"/>
        <v>118</v>
      </c>
      <c r="AR136" s="205">
        <f t="shared" si="109"/>
        <v>225</v>
      </c>
      <c r="AS136" s="206">
        <f t="shared" si="110"/>
        <v>14</v>
      </c>
      <c r="AT136" s="277"/>
      <c r="AU136" s="204">
        <f t="shared" si="111"/>
        <v>90</v>
      </c>
      <c r="AV136" s="205">
        <f t="shared" si="112"/>
        <v>70</v>
      </c>
      <c r="AW136" s="205">
        <f t="shared" si="113"/>
        <v>75</v>
      </c>
      <c r="AX136" s="206">
        <f t="shared" si="114"/>
        <v>14</v>
      </c>
      <c r="AY136" s="168"/>
      <c r="AZ136" s="204">
        <f t="shared" si="115"/>
        <v>90</v>
      </c>
      <c r="BA136" s="205">
        <f t="shared" si="116"/>
        <v>70</v>
      </c>
      <c r="BB136" s="205">
        <f t="shared" si="117"/>
        <v>75</v>
      </c>
      <c r="BC136" s="206">
        <f t="shared" si="118"/>
        <v>14</v>
      </c>
      <c r="BD136" s="168"/>
      <c r="BE136" s="204">
        <f t="shared" si="119"/>
        <v>90</v>
      </c>
      <c r="BF136" s="205">
        <f t="shared" si="120"/>
        <v>70</v>
      </c>
      <c r="BG136" s="205">
        <f t="shared" si="121"/>
        <v>75</v>
      </c>
      <c r="BH136" s="206">
        <f t="shared" si="122"/>
        <v>14</v>
      </c>
      <c r="BI136" s="277"/>
      <c r="BJ136" s="204" t="str">
        <f t="shared" si="123"/>
        <v/>
      </c>
      <c r="BK136" s="205" t="str">
        <f t="shared" si="124"/>
        <v/>
      </c>
      <c r="BL136" s="205" t="str">
        <f t="shared" si="125"/>
        <v/>
      </c>
      <c r="BM136" s="206" t="str">
        <f t="shared" si="126"/>
        <v/>
      </c>
      <c r="BN136" s="168"/>
      <c r="BO136" s="204" t="str">
        <f t="shared" si="127"/>
        <v/>
      </c>
      <c r="BP136" s="205" t="str">
        <f t="shared" si="128"/>
        <v/>
      </c>
      <c r="BQ136" s="205" t="str">
        <f t="shared" si="129"/>
        <v/>
      </c>
      <c r="BR136" s="206" t="str">
        <f t="shared" si="130"/>
        <v/>
      </c>
      <c r="BS136" s="168"/>
      <c r="BT136" s="204" t="str">
        <f t="shared" si="131"/>
        <v/>
      </c>
      <c r="BU136" s="205" t="str">
        <f t="shared" si="132"/>
        <v/>
      </c>
      <c r="BV136" s="205" t="str">
        <f t="shared" si="133"/>
        <v/>
      </c>
      <c r="BW136" s="206" t="str">
        <f t="shared" si="134"/>
        <v/>
      </c>
      <c r="BX136" s="288"/>
    </row>
    <row r="137" spans="1:76">
      <c r="A137" s="168"/>
      <c r="B137" s="201">
        <f t="shared" si="135"/>
        <v>90</v>
      </c>
      <c r="C137" s="202">
        <f t="shared" si="76"/>
        <v>75</v>
      </c>
      <c r="D137" s="202">
        <f t="shared" si="77"/>
        <v>550</v>
      </c>
      <c r="E137" s="203">
        <f t="shared" si="78"/>
        <v>14</v>
      </c>
      <c r="F137" s="168"/>
      <c r="G137" s="201">
        <f t="shared" si="79"/>
        <v>90</v>
      </c>
      <c r="H137" s="202">
        <f t="shared" si="80"/>
        <v>75</v>
      </c>
      <c r="I137" s="202">
        <f t="shared" si="81"/>
        <v>420</v>
      </c>
      <c r="J137" s="203">
        <f t="shared" si="82"/>
        <v>14</v>
      </c>
      <c r="K137" s="168"/>
      <c r="L137" s="201">
        <f t="shared" si="83"/>
        <v>90</v>
      </c>
      <c r="M137" s="202">
        <f t="shared" si="84"/>
        <v>75</v>
      </c>
      <c r="N137" s="202">
        <f t="shared" si="85"/>
        <v>65</v>
      </c>
      <c r="O137" s="203">
        <f t="shared" si="86"/>
        <v>14</v>
      </c>
      <c r="P137" s="168"/>
      <c r="Q137" s="201">
        <f t="shared" si="87"/>
        <v>90</v>
      </c>
      <c r="R137" s="202">
        <f t="shared" si="88"/>
        <v>75</v>
      </c>
      <c r="S137" s="202">
        <f t="shared" si="89"/>
        <v>65</v>
      </c>
      <c r="T137" s="203">
        <f t="shared" si="90"/>
        <v>14</v>
      </c>
      <c r="U137" s="168"/>
      <c r="V137" s="201">
        <f t="shared" si="91"/>
        <v>90</v>
      </c>
      <c r="W137" s="202">
        <f t="shared" si="92"/>
        <v>75</v>
      </c>
      <c r="X137" s="202">
        <f t="shared" si="93"/>
        <v>65</v>
      </c>
      <c r="Y137" s="203">
        <f t="shared" si="94"/>
        <v>14</v>
      </c>
      <c r="Z137" s="168"/>
      <c r="AA137" s="201">
        <f t="shared" si="95"/>
        <v>90</v>
      </c>
      <c r="AB137" s="202">
        <f t="shared" si="96"/>
        <v>75</v>
      </c>
      <c r="AC137" s="202">
        <f t="shared" si="97"/>
        <v>65</v>
      </c>
      <c r="AD137" s="203">
        <f t="shared" si="98"/>
        <v>14</v>
      </c>
      <c r="AE137" s="168"/>
      <c r="AF137" s="201">
        <f t="shared" si="99"/>
        <v>90</v>
      </c>
      <c r="AG137" s="202">
        <f t="shared" si="100"/>
        <v>75</v>
      </c>
      <c r="AH137" s="202">
        <f t="shared" si="101"/>
        <v>65</v>
      </c>
      <c r="AI137" s="203">
        <f t="shared" si="102"/>
        <v>14</v>
      </c>
      <c r="AJ137" s="168"/>
      <c r="AK137" s="201">
        <f t="shared" si="103"/>
        <v>90</v>
      </c>
      <c r="AL137" s="202">
        <f t="shared" si="104"/>
        <v>75</v>
      </c>
      <c r="AM137" s="202">
        <f t="shared" si="105"/>
        <v>65</v>
      </c>
      <c r="AN137" s="203">
        <f t="shared" si="106"/>
        <v>14</v>
      </c>
      <c r="AO137" s="168"/>
      <c r="AP137" s="201">
        <f t="shared" si="107"/>
        <v>90</v>
      </c>
      <c r="AQ137" s="202">
        <f t="shared" si="108"/>
        <v>75</v>
      </c>
      <c r="AR137" s="202">
        <f t="shared" si="109"/>
        <v>215</v>
      </c>
      <c r="AS137" s="203">
        <f t="shared" si="110"/>
        <v>14</v>
      </c>
      <c r="AT137" s="277"/>
      <c r="AU137" s="201">
        <f t="shared" si="111"/>
        <v>90</v>
      </c>
      <c r="AV137" s="202">
        <f t="shared" si="112"/>
        <v>30</v>
      </c>
      <c r="AW137" s="202">
        <f t="shared" si="113"/>
        <v>75</v>
      </c>
      <c r="AX137" s="203">
        <f t="shared" si="114"/>
        <v>14</v>
      </c>
      <c r="AY137" s="168"/>
      <c r="AZ137" s="201">
        <f t="shared" si="115"/>
        <v>90</v>
      </c>
      <c r="BA137" s="202">
        <f t="shared" si="116"/>
        <v>30</v>
      </c>
      <c r="BB137" s="202">
        <f t="shared" si="117"/>
        <v>75</v>
      </c>
      <c r="BC137" s="203">
        <f t="shared" si="118"/>
        <v>14</v>
      </c>
      <c r="BD137" s="168"/>
      <c r="BE137" s="201">
        <f t="shared" si="119"/>
        <v>90</v>
      </c>
      <c r="BF137" s="202">
        <f t="shared" si="120"/>
        <v>30</v>
      </c>
      <c r="BG137" s="202">
        <f t="shared" si="121"/>
        <v>75</v>
      </c>
      <c r="BH137" s="203">
        <f t="shared" si="122"/>
        <v>14</v>
      </c>
      <c r="BI137" s="277"/>
      <c r="BJ137" s="201" t="str">
        <f t="shared" si="123"/>
        <v/>
      </c>
      <c r="BK137" s="202" t="str">
        <f t="shared" si="124"/>
        <v/>
      </c>
      <c r="BL137" s="202" t="str">
        <f t="shared" si="125"/>
        <v/>
      </c>
      <c r="BM137" s="203" t="str">
        <f t="shared" si="126"/>
        <v/>
      </c>
      <c r="BN137" s="168"/>
      <c r="BO137" s="201" t="str">
        <f t="shared" si="127"/>
        <v/>
      </c>
      <c r="BP137" s="202" t="str">
        <f t="shared" si="128"/>
        <v/>
      </c>
      <c r="BQ137" s="202" t="str">
        <f t="shared" si="129"/>
        <v/>
      </c>
      <c r="BR137" s="203" t="str">
        <f t="shared" si="130"/>
        <v/>
      </c>
      <c r="BS137" s="168"/>
      <c r="BT137" s="201" t="str">
        <f t="shared" si="131"/>
        <v/>
      </c>
      <c r="BU137" s="202" t="str">
        <f t="shared" si="132"/>
        <v/>
      </c>
      <c r="BV137" s="202" t="str">
        <f t="shared" si="133"/>
        <v/>
      </c>
      <c r="BW137" s="203" t="str">
        <f t="shared" si="134"/>
        <v/>
      </c>
      <c r="BX137" s="288"/>
    </row>
    <row r="138" spans="1:76">
      <c r="A138" s="168"/>
      <c r="B138" s="207">
        <f t="shared" si="135"/>
        <v>90</v>
      </c>
      <c r="C138" s="208">
        <f t="shared" si="76"/>
        <v>32</v>
      </c>
      <c r="D138" s="208">
        <f t="shared" si="77"/>
        <v>560</v>
      </c>
      <c r="E138" s="209">
        <f t="shared" si="78"/>
        <v>14</v>
      </c>
      <c r="F138" s="168"/>
      <c r="G138" s="207">
        <f t="shared" si="79"/>
        <v>90</v>
      </c>
      <c r="H138" s="208">
        <f t="shared" si="80"/>
        <v>32</v>
      </c>
      <c r="I138" s="208">
        <f t="shared" si="81"/>
        <v>430</v>
      </c>
      <c r="J138" s="209">
        <f t="shared" si="82"/>
        <v>14</v>
      </c>
      <c r="K138" s="168"/>
      <c r="L138" s="207">
        <f t="shared" si="83"/>
        <v>90</v>
      </c>
      <c r="M138" s="208">
        <f t="shared" si="84"/>
        <v>32</v>
      </c>
      <c r="N138" s="208">
        <f t="shared" si="85"/>
        <v>75</v>
      </c>
      <c r="O138" s="209">
        <f t="shared" si="86"/>
        <v>14</v>
      </c>
      <c r="P138" s="168"/>
      <c r="Q138" s="207">
        <f t="shared" si="87"/>
        <v>90</v>
      </c>
      <c r="R138" s="208">
        <f t="shared" si="88"/>
        <v>32</v>
      </c>
      <c r="S138" s="208">
        <f t="shared" si="89"/>
        <v>75</v>
      </c>
      <c r="T138" s="209">
        <f t="shared" si="90"/>
        <v>14</v>
      </c>
      <c r="U138" s="168"/>
      <c r="V138" s="207">
        <f t="shared" si="91"/>
        <v>90</v>
      </c>
      <c r="W138" s="208">
        <f t="shared" si="92"/>
        <v>32</v>
      </c>
      <c r="X138" s="208">
        <f t="shared" si="93"/>
        <v>75</v>
      </c>
      <c r="Y138" s="209">
        <f t="shared" si="94"/>
        <v>14</v>
      </c>
      <c r="Z138" s="168"/>
      <c r="AA138" s="207">
        <f t="shared" si="95"/>
        <v>90</v>
      </c>
      <c r="AB138" s="208">
        <f t="shared" si="96"/>
        <v>32</v>
      </c>
      <c r="AC138" s="208">
        <f t="shared" si="97"/>
        <v>75</v>
      </c>
      <c r="AD138" s="209">
        <f t="shared" si="98"/>
        <v>14</v>
      </c>
      <c r="AE138" s="168"/>
      <c r="AF138" s="207">
        <f t="shared" si="99"/>
        <v>90</v>
      </c>
      <c r="AG138" s="208">
        <f t="shared" si="100"/>
        <v>32</v>
      </c>
      <c r="AH138" s="208">
        <f t="shared" si="101"/>
        <v>75</v>
      </c>
      <c r="AI138" s="209">
        <f t="shared" si="102"/>
        <v>14</v>
      </c>
      <c r="AJ138" s="168"/>
      <c r="AK138" s="207">
        <f t="shared" si="103"/>
        <v>90</v>
      </c>
      <c r="AL138" s="208">
        <f t="shared" si="104"/>
        <v>32</v>
      </c>
      <c r="AM138" s="208">
        <f t="shared" si="105"/>
        <v>75</v>
      </c>
      <c r="AN138" s="209">
        <f t="shared" si="106"/>
        <v>14</v>
      </c>
      <c r="AO138" s="168"/>
      <c r="AP138" s="207">
        <f t="shared" si="107"/>
        <v>90</v>
      </c>
      <c r="AQ138" s="208">
        <f t="shared" si="108"/>
        <v>32</v>
      </c>
      <c r="AR138" s="208">
        <f t="shared" si="109"/>
        <v>225</v>
      </c>
      <c r="AS138" s="209">
        <f t="shared" si="110"/>
        <v>14</v>
      </c>
      <c r="AT138" s="277"/>
      <c r="AU138" s="207" t="str">
        <f t="shared" si="111"/>
        <v/>
      </c>
      <c r="AV138" s="208" t="str">
        <f t="shared" si="112"/>
        <v/>
      </c>
      <c r="AW138" s="208" t="str">
        <f t="shared" si="113"/>
        <v/>
      </c>
      <c r="AX138" s="209" t="str">
        <f t="shared" si="114"/>
        <v/>
      </c>
      <c r="AY138" s="168"/>
      <c r="AZ138" s="207" t="str">
        <f t="shared" si="115"/>
        <v/>
      </c>
      <c r="BA138" s="208" t="str">
        <f t="shared" si="116"/>
        <v/>
      </c>
      <c r="BB138" s="208" t="str">
        <f t="shared" si="117"/>
        <v/>
      </c>
      <c r="BC138" s="209" t="str">
        <f t="shared" si="118"/>
        <v/>
      </c>
      <c r="BD138" s="168"/>
      <c r="BE138" s="207" t="str">
        <f t="shared" si="119"/>
        <v/>
      </c>
      <c r="BF138" s="208" t="str">
        <f t="shared" si="120"/>
        <v/>
      </c>
      <c r="BG138" s="208" t="str">
        <f t="shared" si="121"/>
        <v/>
      </c>
      <c r="BH138" s="209" t="str">
        <f t="shared" si="122"/>
        <v/>
      </c>
      <c r="BI138" s="277"/>
      <c r="BJ138" s="207" t="str">
        <f t="shared" si="123"/>
        <v/>
      </c>
      <c r="BK138" s="208" t="str">
        <f t="shared" si="124"/>
        <v/>
      </c>
      <c r="BL138" s="208" t="str">
        <f t="shared" si="125"/>
        <v/>
      </c>
      <c r="BM138" s="209" t="str">
        <f t="shared" si="126"/>
        <v/>
      </c>
      <c r="BN138" s="168"/>
      <c r="BO138" s="207" t="str">
        <f t="shared" si="127"/>
        <v/>
      </c>
      <c r="BP138" s="208" t="str">
        <f t="shared" si="128"/>
        <v/>
      </c>
      <c r="BQ138" s="208" t="str">
        <f t="shared" si="129"/>
        <v/>
      </c>
      <c r="BR138" s="209" t="str">
        <f t="shared" si="130"/>
        <v/>
      </c>
      <c r="BS138" s="168"/>
      <c r="BT138" s="207" t="str">
        <f t="shared" si="131"/>
        <v/>
      </c>
      <c r="BU138" s="208" t="str">
        <f t="shared" si="132"/>
        <v/>
      </c>
      <c r="BV138" s="208" t="str">
        <f t="shared" si="133"/>
        <v/>
      </c>
      <c r="BW138" s="209" t="str">
        <f t="shared" si="134"/>
        <v/>
      </c>
      <c r="BX138" s="288"/>
    </row>
    <row r="139" spans="1:76">
      <c r="A139" s="168"/>
      <c r="B139" s="204">
        <f t="shared" si="135"/>
        <v>90</v>
      </c>
      <c r="C139" s="205">
        <f t="shared" si="76"/>
        <v>118</v>
      </c>
      <c r="D139" s="205">
        <f t="shared" si="77"/>
        <v>75</v>
      </c>
      <c r="E139" s="206">
        <f t="shared" si="78"/>
        <v>14</v>
      </c>
      <c r="F139" s="168"/>
      <c r="G139" s="204">
        <f t="shared" si="79"/>
        <v>90</v>
      </c>
      <c r="H139" s="205">
        <f t="shared" si="80"/>
        <v>118</v>
      </c>
      <c r="I139" s="205">
        <f t="shared" si="81"/>
        <v>75</v>
      </c>
      <c r="J139" s="206">
        <f t="shared" si="82"/>
        <v>14</v>
      </c>
      <c r="K139" s="168"/>
      <c r="L139" s="204" t="str">
        <f t="shared" si="83"/>
        <v/>
      </c>
      <c r="M139" s="205" t="str">
        <f t="shared" si="84"/>
        <v/>
      </c>
      <c r="N139" s="205" t="str">
        <f t="shared" si="85"/>
        <v/>
      </c>
      <c r="O139" s="206" t="str">
        <f t="shared" si="86"/>
        <v/>
      </c>
      <c r="P139" s="168"/>
      <c r="Q139" s="204" t="str">
        <f t="shared" si="87"/>
        <v/>
      </c>
      <c r="R139" s="205" t="str">
        <f t="shared" si="88"/>
        <v/>
      </c>
      <c r="S139" s="205" t="str">
        <f t="shared" si="89"/>
        <v/>
      </c>
      <c r="T139" s="206" t="str">
        <f t="shared" si="90"/>
        <v/>
      </c>
      <c r="U139" s="168"/>
      <c r="V139" s="204" t="str">
        <f t="shared" si="91"/>
        <v/>
      </c>
      <c r="W139" s="205" t="str">
        <f t="shared" si="92"/>
        <v/>
      </c>
      <c r="X139" s="205" t="str">
        <f t="shared" si="93"/>
        <v/>
      </c>
      <c r="Y139" s="206" t="str">
        <f t="shared" si="94"/>
        <v/>
      </c>
      <c r="Z139" s="168"/>
      <c r="AA139" s="204" t="str">
        <f t="shared" si="95"/>
        <v/>
      </c>
      <c r="AB139" s="205" t="str">
        <f t="shared" si="96"/>
        <v/>
      </c>
      <c r="AC139" s="205" t="str">
        <f t="shared" si="97"/>
        <v/>
      </c>
      <c r="AD139" s="206" t="str">
        <f t="shared" si="98"/>
        <v/>
      </c>
      <c r="AE139" s="168"/>
      <c r="AF139" s="204" t="str">
        <f t="shared" si="99"/>
        <v/>
      </c>
      <c r="AG139" s="205" t="str">
        <f t="shared" si="100"/>
        <v/>
      </c>
      <c r="AH139" s="205" t="str">
        <f t="shared" si="101"/>
        <v/>
      </c>
      <c r="AI139" s="206" t="str">
        <f t="shared" si="102"/>
        <v/>
      </c>
      <c r="AJ139" s="168"/>
      <c r="AK139" s="204" t="str">
        <f t="shared" si="103"/>
        <v/>
      </c>
      <c r="AL139" s="205" t="str">
        <f t="shared" si="104"/>
        <v/>
      </c>
      <c r="AM139" s="205" t="str">
        <f t="shared" si="105"/>
        <v/>
      </c>
      <c r="AN139" s="206" t="str">
        <f t="shared" si="106"/>
        <v/>
      </c>
      <c r="AO139" s="168"/>
      <c r="AP139" s="204" t="str">
        <f t="shared" si="107"/>
        <v/>
      </c>
      <c r="AQ139" s="205" t="str">
        <f t="shared" si="108"/>
        <v/>
      </c>
      <c r="AR139" s="205" t="str">
        <f t="shared" si="109"/>
        <v/>
      </c>
      <c r="AS139" s="206" t="str">
        <f t="shared" si="110"/>
        <v/>
      </c>
      <c r="AT139" s="277"/>
      <c r="AU139" s="204" t="str">
        <f t="shared" si="111"/>
        <v/>
      </c>
      <c r="AV139" s="205" t="str">
        <f t="shared" si="112"/>
        <v/>
      </c>
      <c r="AW139" s="205" t="str">
        <f t="shared" si="113"/>
        <v/>
      </c>
      <c r="AX139" s="206" t="str">
        <f t="shared" si="114"/>
        <v/>
      </c>
      <c r="AY139" s="168"/>
      <c r="AZ139" s="204" t="str">
        <f t="shared" si="115"/>
        <v/>
      </c>
      <c r="BA139" s="205" t="str">
        <f t="shared" si="116"/>
        <v/>
      </c>
      <c r="BB139" s="205" t="str">
        <f t="shared" si="117"/>
        <v/>
      </c>
      <c r="BC139" s="206" t="str">
        <f t="shared" si="118"/>
        <v/>
      </c>
      <c r="BD139" s="168"/>
      <c r="BE139" s="204" t="str">
        <f t="shared" si="119"/>
        <v/>
      </c>
      <c r="BF139" s="205" t="str">
        <f t="shared" si="120"/>
        <v/>
      </c>
      <c r="BG139" s="205" t="str">
        <f t="shared" si="121"/>
        <v/>
      </c>
      <c r="BH139" s="206" t="str">
        <f t="shared" si="122"/>
        <v/>
      </c>
      <c r="BI139" s="277"/>
      <c r="BJ139" s="204" t="str">
        <f t="shared" si="123"/>
        <v/>
      </c>
      <c r="BK139" s="205" t="str">
        <f t="shared" si="124"/>
        <v/>
      </c>
      <c r="BL139" s="205" t="str">
        <f t="shared" si="125"/>
        <v/>
      </c>
      <c r="BM139" s="206" t="str">
        <f t="shared" si="126"/>
        <v/>
      </c>
      <c r="BN139" s="168"/>
      <c r="BO139" s="204" t="str">
        <f t="shared" si="127"/>
        <v/>
      </c>
      <c r="BP139" s="205" t="str">
        <f t="shared" si="128"/>
        <v/>
      </c>
      <c r="BQ139" s="205" t="str">
        <f t="shared" si="129"/>
        <v/>
      </c>
      <c r="BR139" s="206" t="str">
        <f t="shared" si="130"/>
        <v/>
      </c>
      <c r="BS139" s="168"/>
      <c r="BT139" s="204" t="str">
        <f t="shared" si="131"/>
        <v/>
      </c>
      <c r="BU139" s="205" t="str">
        <f t="shared" si="132"/>
        <v/>
      </c>
      <c r="BV139" s="205" t="str">
        <f t="shared" si="133"/>
        <v/>
      </c>
      <c r="BW139" s="206" t="str">
        <f t="shared" si="134"/>
        <v/>
      </c>
      <c r="BX139" s="288"/>
    </row>
    <row r="140" spans="1:76">
      <c r="A140" s="168"/>
      <c r="B140" s="201">
        <f t="shared" si="135"/>
        <v>90</v>
      </c>
      <c r="C140" s="202">
        <f t="shared" si="76"/>
        <v>75</v>
      </c>
      <c r="D140" s="202">
        <f t="shared" si="77"/>
        <v>65</v>
      </c>
      <c r="E140" s="203">
        <f t="shared" si="78"/>
        <v>14</v>
      </c>
      <c r="F140" s="168"/>
      <c r="G140" s="201">
        <f t="shared" si="79"/>
        <v>90</v>
      </c>
      <c r="H140" s="202">
        <f t="shared" si="80"/>
        <v>75</v>
      </c>
      <c r="I140" s="202">
        <f t="shared" si="81"/>
        <v>65</v>
      </c>
      <c r="J140" s="203">
        <f t="shared" si="82"/>
        <v>14</v>
      </c>
      <c r="K140" s="168"/>
      <c r="L140" s="201" t="str">
        <f t="shared" si="83"/>
        <v/>
      </c>
      <c r="M140" s="202" t="str">
        <f t="shared" si="84"/>
        <v/>
      </c>
      <c r="N140" s="202" t="str">
        <f t="shared" si="85"/>
        <v/>
      </c>
      <c r="O140" s="203" t="str">
        <f t="shared" si="86"/>
        <v/>
      </c>
      <c r="P140" s="168"/>
      <c r="Q140" s="201" t="str">
        <f t="shared" si="87"/>
        <v/>
      </c>
      <c r="R140" s="202" t="str">
        <f t="shared" si="88"/>
        <v/>
      </c>
      <c r="S140" s="202" t="str">
        <f t="shared" si="89"/>
        <v/>
      </c>
      <c r="T140" s="203" t="str">
        <f t="shared" si="90"/>
        <v/>
      </c>
      <c r="U140" s="168"/>
      <c r="V140" s="201" t="str">
        <f t="shared" si="91"/>
        <v/>
      </c>
      <c r="W140" s="202" t="str">
        <f t="shared" si="92"/>
        <v/>
      </c>
      <c r="X140" s="202" t="str">
        <f t="shared" si="93"/>
        <v/>
      </c>
      <c r="Y140" s="203" t="str">
        <f t="shared" si="94"/>
        <v/>
      </c>
      <c r="Z140" s="168"/>
      <c r="AA140" s="201" t="str">
        <f t="shared" si="95"/>
        <v/>
      </c>
      <c r="AB140" s="202" t="str">
        <f t="shared" si="96"/>
        <v/>
      </c>
      <c r="AC140" s="202" t="str">
        <f t="shared" si="97"/>
        <v/>
      </c>
      <c r="AD140" s="203" t="str">
        <f t="shared" si="98"/>
        <v/>
      </c>
      <c r="AE140" s="168"/>
      <c r="AF140" s="201" t="str">
        <f t="shared" si="99"/>
        <v/>
      </c>
      <c r="AG140" s="202" t="str">
        <f t="shared" si="100"/>
        <v/>
      </c>
      <c r="AH140" s="202" t="str">
        <f t="shared" si="101"/>
        <v/>
      </c>
      <c r="AI140" s="203" t="str">
        <f t="shared" si="102"/>
        <v/>
      </c>
      <c r="AJ140" s="168"/>
      <c r="AK140" s="201" t="str">
        <f t="shared" si="103"/>
        <v/>
      </c>
      <c r="AL140" s="202" t="str">
        <f t="shared" si="104"/>
        <v/>
      </c>
      <c r="AM140" s="202" t="str">
        <f t="shared" si="105"/>
        <v/>
      </c>
      <c r="AN140" s="203" t="str">
        <f t="shared" si="106"/>
        <v/>
      </c>
      <c r="AO140" s="168"/>
      <c r="AP140" s="201" t="str">
        <f t="shared" si="107"/>
        <v/>
      </c>
      <c r="AQ140" s="202" t="str">
        <f t="shared" si="108"/>
        <v/>
      </c>
      <c r="AR140" s="202" t="str">
        <f t="shared" si="109"/>
        <v/>
      </c>
      <c r="AS140" s="203" t="str">
        <f t="shared" si="110"/>
        <v/>
      </c>
      <c r="AT140" s="277"/>
      <c r="AU140" s="201" t="str">
        <f t="shared" si="111"/>
        <v/>
      </c>
      <c r="AV140" s="202" t="str">
        <f t="shared" si="112"/>
        <v/>
      </c>
      <c r="AW140" s="202" t="str">
        <f t="shared" si="113"/>
        <v/>
      </c>
      <c r="AX140" s="203" t="str">
        <f t="shared" si="114"/>
        <v/>
      </c>
      <c r="AY140" s="168"/>
      <c r="AZ140" s="201" t="str">
        <f t="shared" si="115"/>
        <v/>
      </c>
      <c r="BA140" s="202" t="str">
        <f t="shared" si="116"/>
        <v/>
      </c>
      <c r="BB140" s="202" t="str">
        <f t="shared" si="117"/>
        <v/>
      </c>
      <c r="BC140" s="203" t="str">
        <f t="shared" si="118"/>
        <v/>
      </c>
      <c r="BD140" s="168"/>
      <c r="BE140" s="201" t="str">
        <f t="shared" si="119"/>
        <v/>
      </c>
      <c r="BF140" s="202" t="str">
        <f t="shared" si="120"/>
        <v/>
      </c>
      <c r="BG140" s="202" t="str">
        <f t="shared" si="121"/>
        <v/>
      </c>
      <c r="BH140" s="203" t="str">
        <f t="shared" si="122"/>
        <v/>
      </c>
      <c r="BI140" s="277"/>
      <c r="BJ140" s="201" t="str">
        <f t="shared" si="123"/>
        <v/>
      </c>
      <c r="BK140" s="202" t="str">
        <f t="shared" si="124"/>
        <v/>
      </c>
      <c r="BL140" s="202" t="str">
        <f t="shared" si="125"/>
        <v/>
      </c>
      <c r="BM140" s="203" t="str">
        <f t="shared" si="126"/>
        <v/>
      </c>
      <c r="BN140" s="168"/>
      <c r="BO140" s="201" t="str">
        <f t="shared" si="127"/>
        <v/>
      </c>
      <c r="BP140" s="202" t="str">
        <f t="shared" si="128"/>
        <v/>
      </c>
      <c r="BQ140" s="202" t="str">
        <f t="shared" si="129"/>
        <v/>
      </c>
      <c r="BR140" s="203" t="str">
        <f t="shared" si="130"/>
        <v/>
      </c>
      <c r="BS140" s="168"/>
      <c r="BT140" s="201" t="str">
        <f t="shared" si="131"/>
        <v/>
      </c>
      <c r="BU140" s="202" t="str">
        <f t="shared" si="132"/>
        <v/>
      </c>
      <c r="BV140" s="202" t="str">
        <f t="shared" si="133"/>
        <v/>
      </c>
      <c r="BW140" s="203" t="str">
        <f t="shared" si="134"/>
        <v/>
      </c>
      <c r="BX140" s="288"/>
    </row>
    <row r="141" spans="1:76">
      <c r="A141" s="168"/>
      <c r="B141" s="207">
        <f t="shared" si="135"/>
        <v>90</v>
      </c>
      <c r="C141" s="208">
        <f t="shared" si="76"/>
        <v>32</v>
      </c>
      <c r="D141" s="208">
        <f t="shared" si="77"/>
        <v>75</v>
      </c>
      <c r="E141" s="209">
        <f t="shared" si="78"/>
        <v>14</v>
      </c>
      <c r="F141" s="168"/>
      <c r="G141" s="207">
        <f t="shared" si="79"/>
        <v>90</v>
      </c>
      <c r="H141" s="208">
        <f t="shared" si="80"/>
        <v>32</v>
      </c>
      <c r="I141" s="208">
        <f t="shared" si="81"/>
        <v>75</v>
      </c>
      <c r="J141" s="209">
        <f t="shared" si="82"/>
        <v>14</v>
      </c>
      <c r="K141" s="168"/>
      <c r="L141" s="207" t="str">
        <f t="shared" si="83"/>
        <v/>
      </c>
      <c r="M141" s="208" t="str">
        <f t="shared" si="84"/>
        <v/>
      </c>
      <c r="N141" s="208" t="str">
        <f t="shared" si="85"/>
        <v/>
      </c>
      <c r="O141" s="209" t="str">
        <f t="shared" si="86"/>
        <v/>
      </c>
      <c r="P141" s="168"/>
      <c r="Q141" s="207" t="str">
        <f t="shared" si="87"/>
        <v/>
      </c>
      <c r="R141" s="208" t="str">
        <f t="shared" si="88"/>
        <v/>
      </c>
      <c r="S141" s="208" t="str">
        <f t="shared" si="89"/>
        <v/>
      </c>
      <c r="T141" s="209" t="str">
        <f t="shared" si="90"/>
        <v/>
      </c>
      <c r="U141" s="168"/>
      <c r="V141" s="207" t="str">
        <f t="shared" si="91"/>
        <v/>
      </c>
      <c r="W141" s="208" t="str">
        <f t="shared" si="92"/>
        <v/>
      </c>
      <c r="X141" s="208" t="str">
        <f t="shared" si="93"/>
        <v/>
      </c>
      <c r="Y141" s="209" t="str">
        <f t="shared" si="94"/>
        <v/>
      </c>
      <c r="Z141" s="168"/>
      <c r="AA141" s="207" t="str">
        <f t="shared" si="95"/>
        <v/>
      </c>
      <c r="AB141" s="208" t="str">
        <f t="shared" si="96"/>
        <v/>
      </c>
      <c r="AC141" s="208" t="str">
        <f t="shared" si="97"/>
        <v/>
      </c>
      <c r="AD141" s="209" t="str">
        <f t="shared" si="98"/>
        <v/>
      </c>
      <c r="AE141" s="168"/>
      <c r="AF141" s="207" t="str">
        <f t="shared" si="99"/>
        <v/>
      </c>
      <c r="AG141" s="208" t="str">
        <f t="shared" si="100"/>
        <v/>
      </c>
      <c r="AH141" s="208" t="str">
        <f t="shared" si="101"/>
        <v/>
      </c>
      <c r="AI141" s="209" t="str">
        <f t="shared" si="102"/>
        <v/>
      </c>
      <c r="AJ141" s="168"/>
      <c r="AK141" s="207" t="str">
        <f t="shared" si="103"/>
        <v/>
      </c>
      <c r="AL141" s="208" t="str">
        <f t="shared" si="104"/>
        <v/>
      </c>
      <c r="AM141" s="208" t="str">
        <f t="shared" si="105"/>
        <v/>
      </c>
      <c r="AN141" s="209" t="str">
        <f t="shared" si="106"/>
        <v/>
      </c>
      <c r="AO141" s="168"/>
      <c r="AP141" s="207" t="str">
        <f t="shared" si="107"/>
        <v/>
      </c>
      <c r="AQ141" s="208" t="str">
        <f t="shared" si="108"/>
        <v/>
      </c>
      <c r="AR141" s="208" t="str">
        <f t="shared" si="109"/>
        <v/>
      </c>
      <c r="AS141" s="209" t="str">
        <f t="shared" si="110"/>
        <v/>
      </c>
      <c r="AT141" s="277"/>
      <c r="AU141" s="207" t="str">
        <f t="shared" si="111"/>
        <v/>
      </c>
      <c r="AV141" s="208" t="str">
        <f t="shared" si="112"/>
        <v/>
      </c>
      <c r="AW141" s="208" t="str">
        <f t="shared" si="113"/>
        <v/>
      </c>
      <c r="AX141" s="209" t="str">
        <f t="shared" si="114"/>
        <v/>
      </c>
      <c r="AY141" s="168"/>
      <c r="AZ141" s="207" t="str">
        <f t="shared" si="115"/>
        <v/>
      </c>
      <c r="BA141" s="208" t="str">
        <f t="shared" si="116"/>
        <v/>
      </c>
      <c r="BB141" s="208" t="str">
        <f t="shared" si="117"/>
        <v/>
      </c>
      <c r="BC141" s="209" t="str">
        <f t="shared" si="118"/>
        <v/>
      </c>
      <c r="BD141" s="168"/>
      <c r="BE141" s="207" t="str">
        <f t="shared" si="119"/>
        <v/>
      </c>
      <c r="BF141" s="208" t="str">
        <f t="shared" si="120"/>
        <v/>
      </c>
      <c r="BG141" s="208" t="str">
        <f t="shared" si="121"/>
        <v/>
      </c>
      <c r="BH141" s="209" t="str">
        <f t="shared" si="122"/>
        <v/>
      </c>
      <c r="BI141" s="277"/>
      <c r="BJ141" s="207" t="str">
        <f t="shared" si="123"/>
        <v/>
      </c>
      <c r="BK141" s="208" t="str">
        <f t="shared" si="124"/>
        <v/>
      </c>
      <c r="BL141" s="208" t="str">
        <f t="shared" si="125"/>
        <v/>
      </c>
      <c r="BM141" s="209" t="str">
        <f t="shared" si="126"/>
        <v/>
      </c>
      <c r="BN141" s="168"/>
      <c r="BO141" s="207" t="str">
        <f t="shared" si="127"/>
        <v/>
      </c>
      <c r="BP141" s="208" t="str">
        <f t="shared" si="128"/>
        <v/>
      </c>
      <c r="BQ141" s="208" t="str">
        <f t="shared" si="129"/>
        <v/>
      </c>
      <c r="BR141" s="209" t="str">
        <f t="shared" si="130"/>
        <v/>
      </c>
      <c r="BS141" s="168"/>
      <c r="BT141" s="207" t="str">
        <f t="shared" si="131"/>
        <v/>
      </c>
      <c r="BU141" s="208" t="str">
        <f t="shared" si="132"/>
        <v/>
      </c>
      <c r="BV141" s="208" t="str">
        <f t="shared" si="133"/>
        <v/>
      </c>
      <c r="BW141" s="209" t="str">
        <f t="shared" si="134"/>
        <v/>
      </c>
      <c r="BX141" s="288"/>
    </row>
    <row r="142" spans="1:76">
      <c r="A142" s="168"/>
      <c r="B142" s="185">
        <f t="shared" si="135"/>
        <v>45</v>
      </c>
      <c r="C142" s="173">
        <f t="shared" si="76"/>
        <v>139.5</v>
      </c>
      <c r="D142" s="173">
        <f t="shared" si="77"/>
        <v>940</v>
      </c>
      <c r="E142" s="180">
        <f t="shared" si="78"/>
        <v>18</v>
      </c>
      <c r="F142" s="168"/>
      <c r="G142" s="185">
        <f t="shared" si="79"/>
        <v>45</v>
      </c>
      <c r="H142" s="173">
        <f t="shared" si="80"/>
        <v>139.5</v>
      </c>
      <c r="I142" s="173">
        <f t="shared" si="81"/>
        <v>700</v>
      </c>
      <c r="J142" s="180">
        <f t="shared" si="82"/>
        <v>18</v>
      </c>
      <c r="K142" s="168"/>
      <c r="L142" s="185">
        <f t="shared" si="83"/>
        <v>45</v>
      </c>
      <c r="M142" s="173">
        <f t="shared" si="84"/>
        <v>139.5</v>
      </c>
      <c r="N142" s="173">
        <f t="shared" si="85"/>
        <v>631</v>
      </c>
      <c r="O142" s="180">
        <f t="shared" si="86"/>
        <v>18</v>
      </c>
      <c r="P142" s="168"/>
      <c r="Q142" s="185">
        <f t="shared" si="87"/>
        <v>45</v>
      </c>
      <c r="R142" s="173">
        <f t="shared" si="88"/>
        <v>139.5</v>
      </c>
      <c r="S142" s="173">
        <f t="shared" si="89"/>
        <v>574</v>
      </c>
      <c r="T142" s="180">
        <f t="shared" si="90"/>
        <v>18</v>
      </c>
      <c r="U142" s="168"/>
      <c r="V142" s="185">
        <f t="shared" si="91"/>
        <v>45</v>
      </c>
      <c r="W142" s="173">
        <f t="shared" si="92"/>
        <v>139.5</v>
      </c>
      <c r="X142" s="173">
        <f t="shared" si="93"/>
        <v>460</v>
      </c>
      <c r="Y142" s="180">
        <f t="shared" si="94"/>
        <v>18</v>
      </c>
      <c r="Z142" s="168"/>
      <c r="AA142" s="185">
        <f t="shared" si="95"/>
        <v>45</v>
      </c>
      <c r="AB142" s="173">
        <f t="shared" si="96"/>
        <v>139.5</v>
      </c>
      <c r="AC142" s="173">
        <f t="shared" si="97"/>
        <v>412</v>
      </c>
      <c r="AD142" s="180">
        <f t="shared" si="98"/>
        <v>18</v>
      </c>
      <c r="AE142" s="168"/>
      <c r="AF142" s="185">
        <f t="shared" si="99"/>
        <v>45</v>
      </c>
      <c r="AG142" s="173">
        <f t="shared" si="100"/>
        <v>139.5</v>
      </c>
      <c r="AH142" s="173">
        <f t="shared" si="101"/>
        <v>292</v>
      </c>
      <c r="AI142" s="180">
        <f t="shared" si="102"/>
        <v>18</v>
      </c>
      <c r="AJ142" s="168"/>
      <c r="AK142" s="185">
        <f t="shared" si="103"/>
        <v>45</v>
      </c>
      <c r="AL142" s="173">
        <f t="shared" si="104"/>
        <v>139.5</v>
      </c>
      <c r="AM142" s="173">
        <f t="shared" si="105"/>
        <v>176</v>
      </c>
      <c r="AN142" s="180">
        <f t="shared" si="106"/>
        <v>18</v>
      </c>
      <c r="AO142" s="168"/>
      <c r="AP142" s="185">
        <f t="shared" si="107"/>
        <v>45</v>
      </c>
      <c r="AQ142" s="199">
        <f t="shared" si="108"/>
        <v>139.5</v>
      </c>
      <c r="AR142" s="199">
        <f t="shared" si="109"/>
        <v>724</v>
      </c>
      <c r="AS142" s="200">
        <f t="shared" si="110"/>
        <v>18</v>
      </c>
      <c r="AT142" s="277"/>
      <c r="AU142" s="185">
        <f t="shared" si="111"/>
        <v>45</v>
      </c>
      <c r="AV142" s="173">
        <f t="shared" si="112"/>
        <v>89.2</v>
      </c>
      <c r="AW142" s="173">
        <f t="shared" si="113"/>
        <v>412</v>
      </c>
      <c r="AX142" s="180">
        <f t="shared" si="114"/>
        <v>17.5</v>
      </c>
      <c r="AY142" s="168"/>
      <c r="AZ142" s="185">
        <f t="shared" si="115"/>
        <v>45</v>
      </c>
      <c r="BA142" s="173">
        <f t="shared" si="116"/>
        <v>89.2</v>
      </c>
      <c r="BB142" s="173">
        <f t="shared" si="117"/>
        <v>292</v>
      </c>
      <c r="BC142" s="180">
        <f t="shared" si="118"/>
        <v>17.5</v>
      </c>
      <c r="BD142" s="168"/>
      <c r="BE142" s="185">
        <f t="shared" si="119"/>
        <v>45</v>
      </c>
      <c r="BF142" s="173">
        <f t="shared" si="120"/>
        <v>89.2</v>
      </c>
      <c r="BG142" s="173">
        <f t="shared" si="121"/>
        <v>172</v>
      </c>
      <c r="BH142" s="180">
        <f t="shared" si="122"/>
        <v>17.5</v>
      </c>
      <c r="BI142" s="277"/>
      <c r="BJ142" s="185">
        <f t="shared" si="123"/>
        <v>45</v>
      </c>
      <c r="BK142" s="173">
        <f t="shared" si="124"/>
        <v>50.25</v>
      </c>
      <c r="BL142" s="173">
        <f t="shared" si="125"/>
        <v>432</v>
      </c>
      <c r="BM142" s="180">
        <f t="shared" si="126"/>
        <v>17.5</v>
      </c>
      <c r="BN142" s="168"/>
      <c r="BO142" s="185">
        <f t="shared" si="127"/>
        <v>45</v>
      </c>
      <c r="BP142" s="173">
        <f t="shared" si="128"/>
        <v>50.25</v>
      </c>
      <c r="BQ142" s="173">
        <f t="shared" si="129"/>
        <v>312</v>
      </c>
      <c r="BR142" s="180">
        <f t="shared" si="130"/>
        <v>17.5</v>
      </c>
      <c r="BS142" s="168"/>
      <c r="BT142" s="185">
        <f t="shared" si="131"/>
        <v>45</v>
      </c>
      <c r="BU142" s="173">
        <f t="shared" si="132"/>
        <v>50.25</v>
      </c>
      <c r="BV142" s="173">
        <f t="shared" si="133"/>
        <v>192</v>
      </c>
      <c r="BW142" s="180">
        <f t="shared" si="134"/>
        <v>17.5</v>
      </c>
      <c r="BX142" s="288"/>
    </row>
    <row r="143" spans="1:76">
      <c r="A143" s="168"/>
      <c r="B143" s="185">
        <f t="shared" si="135"/>
        <v>45</v>
      </c>
      <c r="C143" s="173">
        <f t="shared" si="76"/>
        <v>139.5</v>
      </c>
      <c r="D143" s="173">
        <f t="shared" si="77"/>
        <v>883</v>
      </c>
      <c r="E143" s="180">
        <f t="shared" si="78"/>
        <v>18</v>
      </c>
      <c r="F143" s="168"/>
      <c r="G143" s="185">
        <f t="shared" si="79"/>
        <v>45</v>
      </c>
      <c r="H143" s="173">
        <f t="shared" si="80"/>
        <v>139.5</v>
      </c>
      <c r="I143" s="173">
        <f t="shared" si="81"/>
        <v>643</v>
      </c>
      <c r="J143" s="180">
        <f t="shared" si="82"/>
        <v>18</v>
      </c>
      <c r="K143" s="168"/>
      <c r="L143" s="185">
        <f t="shared" si="83"/>
        <v>45</v>
      </c>
      <c r="M143" s="173">
        <f t="shared" si="84"/>
        <v>139.5</v>
      </c>
      <c r="N143" s="173">
        <f t="shared" si="85"/>
        <v>574</v>
      </c>
      <c r="O143" s="180">
        <f t="shared" si="86"/>
        <v>18</v>
      </c>
      <c r="P143" s="168"/>
      <c r="Q143" s="185">
        <f t="shared" si="87"/>
        <v>45</v>
      </c>
      <c r="R143" s="173">
        <f t="shared" si="88"/>
        <v>139.5</v>
      </c>
      <c r="S143" s="173">
        <f t="shared" si="89"/>
        <v>517</v>
      </c>
      <c r="T143" s="180">
        <f t="shared" si="90"/>
        <v>18</v>
      </c>
      <c r="U143" s="168"/>
      <c r="V143" s="185">
        <f t="shared" si="91"/>
        <v>45</v>
      </c>
      <c r="W143" s="173">
        <f t="shared" si="92"/>
        <v>139.5</v>
      </c>
      <c r="X143" s="173">
        <f t="shared" si="93"/>
        <v>403</v>
      </c>
      <c r="Y143" s="180">
        <f t="shared" si="94"/>
        <v>18</v>
      </c>
      <c r="Z143" s="168"/>
      <c r="AA143" s="185">
        <f t="shared" si="95"/>
        <v>45</v>
      </c>
      <c r="AB143" s="173">
        <f t="shared" si="96"/>
        <v>139.5</v>
      </c>
      <c r="AC143" s="173">
        <f t="shared" si="97"/>
        <v>354</v>
      </c>
      <c r="AD143" s="180">
        <f t="shared" si="98"/>
        <v>18</v>
      </c>
      <c r="AE143" s="168"/>
      <c r="AF143" s="185">
        <f t="shared" si="99"/>
        <v>45</v>
      </c>
      <c r="AG143" s="173">
        <f t="shared" si="100"/>
        <v>139.5</v>
      </c>
      <c r="AH143" s="173">
        <f t="shared" si="101"/>
        <v>234</v>
      </c>
      <c r="AI143" s="180">
        <f t="shared" si="102"/>
        <v>18</v>
      </c>
      <c r="AJ143" s="168"/>
      <c r="AK143" s="185">
        <f t="shared" si="103"/>
        <v>45</v>
      </c>
      <c r="AL143" s="173">
        <f t="shared" si="104"/>
        <v>139.5</v>
      </c>
      <c r="AM143" s="173">
        <f t="shared" si="105"/>
        <v>118</v>
      </c>
      <c r="AN143" s="180">
        <f t="shared" si="106"/>
        <v>18</v>
      </c>
      <c r="AO143" s="168"/>
      <c r="AP143" s="185">
        <f t="shared" si="107"/>
        <v>45</v>
      </c>
      <c r="AQ143" s="199">
        <f t="shared" si="108"/>
        <v>139.5</v>
      </c>
      <c r="AR143" s="199">
        <f t="shared" si="109"/>
        <v>667</v>
      </c>
      <c r="AS143" s="200">
        <f t="shared" si="110"/>
        <v>18</v>
      </c>
      <c r="AT143" s="277"/>
      <c r="AU143" s="185">
        <f t="shared" si="111"/>
        <v>45</v>
      </c>
      <c r="AV143" s="173">
        <f t="shared" si="112"/>
        <v>89.2</v>
      </c>
      <c r="AW143" s="173">
        <f t="shared" si="113"/>
        <v>354</v>
      </c>
      <c r="AX143" s="180">
        <f t="shared" si="114"/>
        <v>17.5</v>
      </c>
      <c r="AY143" s="168"/>
      <c r="AZ143" s="185">
        <f t="shared" si="115"/>
        <v>45</v>
      </c>
      <c r="BA143" s="173">
        <f t="shared" si="116"/>
        <v>89.2</v>
      </c>
      <c r="BB143" s="173">
        <f t="shared" si="117"/>
        <v>234</v>
      </c>
      <c r="BC143" s="180">
        <f t="shared" si="118"/>
        <v>17.5</v>
      </c>
      <c r="BD143" s="168"/>
      <c r="BE143" s="185">
        <f t="shared" si="119"/>
        <v>45</v>
      </c>
      <c r="BF143" s="173">
        <f t="shared" si="120"/>
        <v>89.2</v>
      </c>
      <c r="BG143" s="173">
        <f t="shared" si="121"/>
        <v>114</v>
      </c>
      <c r="BH143" s="180">
        <f t="shared" si="122"/>
        <v>17.5</v>
      </c>
      <c r="BI143" s="277"/>
      <c r="BJ143" s="185">
        <f t="shared" si="123"/>
        <v>45</v>
      </c>
      <c r="BK143" s="173">
        <f t="shared" si="124"/>
        <v>50.25</v>
      </c>
      <c r="BL143" s="173">
        <f t="shared" si="125"/>
        <v>374</v>
      </c>
      <c r="BM143" s="180">
        <f t="shared" si="126"/>
        <v>17.5</v>
      </c>
      <c r="BN143" s="168"/>
      <c r="BO143" s="185">
        <f t="shared" si="127"/>
        <v>45</v>
      </c>
      <c r="BP143" s="173">
        <f t="shared" si="128"/>
        <v>50.25</v>
      </c>
      <c r="BQ143" s="173">
        <f t="shared" si="129"/>
        <v>254</v>
      </c>
      <c r="BR143" s="180">
        <f t="shared" si="130"/>
        <v>17.5</v>
      </c>
      <c r="BS143" s="168"/>
      <c r="BT143" s="185">
        <f t="shared" si="131"/>
        <v>45</v>
      </c>
      <c r="BU143" s="173">
        <f t="shared" si="132"/>
        <v>50.25</v>
      </c>
      <c r="BV143" s="173">
        <f t="shared" si="133"/>
        <v>134</v>
      </c>
      <c r="BW143" s="180">
        <f t="shared" si="134"/>
        <v>17.5</v>
      </c>
      <c r="BX143" s="288"/>
    </row>
    <row r="144" spans="1:76">
      <c r="A144" s="168"/>
      <c r="B144" s="185">
        <f t="shared" si="135"/>
        <v>45</v>
      </c>
      <c r="C144" s="173">
        <f t="shared" si="76"/>
        <v>139.5</v>
      </c>
      <c r="D144" s="173">
        <f t="shared" si="77"/>
        <v>826</v>
      </c>
      <c r="E144" s="180">
        <f t="shared" si="78"/>
        <v>18</v>
      </c>
      <c r="F144" s="168"/>
      <c r="G144" s="185">
        <f t="shared" si="79"/>
        <v>45</v>
      </c>
      <c r="H144" s="173">
        <f t="shared" si="80"/>
        <v>139.5</v>
      </c>
      <c r="I144" s="173">
        <f t="shared" si="81"/>
        <v>586</v>
      </c>
      <c r="J144" s="180">
        <f t="shared" si="82"/>
        <v>18</v>
      </c>
      <c r="K144" s="168"/>
      <c r="L144" s="185">
        <f t="shared" si="83"/>
        <v>45</v>
      </c>
      <c r="M144" s="173">
        <f t="shared" si="84"/>
        <v>139.5</v>
      </c>
      <c r="N144" s="173">
        <f t="shared" si="85"/>
        <v>517</v>
      </c>
      <c r="O144" s="180">
        <f t="shared" si="86"/>
        <v>18</v>
      </c>
      <c r="P144" s="168"/>
      <c r="Q144" s="185">
        <f t="shared" si="87"/>
        <v>45</v>
      </c>
      <c r="R144" s="173">
        <f t="shared" si="88"/>
        <v>139.5</v>
      </c>
      <c r="S144" s="173">
        <f t="shared" si="89"/>
        <v>460</v>
      </c>
      <c r="T144" s="180">
        <f t="shared" si="90"/>
        <v>18</v>
      </c>
      <c r="U144" s="168"/>
      <c r="V144" s="185">
        <f t="shared" si="91"/>
        <v>45</v>
      </c>
      <c r="W144" s="173">
        <f t="shared" si="92"/>
        <v>139.5</v>
      </c>
      <c r="X144" s="173">
        <f t="shared" si="93"/>
        <v>346</v>
      </c>
      <c r="Y144" s="180">
        <f t="shared" si="94"/>
        <v>18</v>
      </c>
      <c r="Z144" s="168"/>
      <c r="AA144" s="185">
        <f t="shared" si="95"/>
        <v>45</v>
      </c>
      <c r="AB144" s="173">
        <f t="shared" si="96"/>
        <v>139.5</v>
      </c>
      <c r="AC144" s="173">
        <f t="shared" si="97"/>
        <v>296</v>
      </c>
      <c r="AD144" s="180">
        <f t="shared" si="98"/>
        <v>18</v>
      </c>
      <c r="AE144" s="168"/>
      <c r="AF144" s="185">
        <f t="shared" si="99"/>
        <v>45</v>
      </c>
      <c r="AG144" s="173">
        <f t="shared" si="100"/>
        <v>139.5</v>
      </c>
      <c r="AH144" s="173">
        <f t="shared" si="101"/>
        <v>176</v>
      </c>
      <c r="AI144" s="180">
        <f t="shared" si="102"/>
        <v>18</v>
      </c>
      <c r="AJ144" s="168"/>
      <c r="AK144" s="185">
        <f t="shared" si="103"/>
        <v>45</v>
      </c>
      <c r="AL144" s="173">
        <f t="shared" si="104"/>
        <v>139.5</v>
      </c>
      <c r="AM144" s="173">
        <f t="shared" si="105"/>
        <v>60</v>
      </c>
      <c r="AN144" s="180">
        <f t="shared" si="106"/>
        <v>18</v>
      </c>
      <c r="AO144" s="168"/>
      <c r="AP144" s="185">
        <f t="shared" si="107"/>
        <v>45</v>
      </c>
      <c r="AQ144" s="199">
        <f t="shared" si="108"/>
        <v>139.5</v>
      </c>
      <c r="AR144" s="199">
        <f t="shared" si="109"/>
        <v>610</v>
      </c>
      <c r="AS144" s="200">
        <f t="shared" si="110"/>
        <v>18</v>
      </c>
      <c r="AT144" s="277"/>
      <c r="AU144" s="185">
        <f t="shared" si="111"/>
        <v>45</v>
      </c>
      <c r="AV144" s="173">
        <f t="shared" si="112"/>
        <v>89.2</v>
      </c>
      <c r="AW144" s="173">
        <f t="shared" si="113"/>
        <v>296</v>
      </c>
      <c r="AX144" s="180">
        <f t="shared" si="114"/>
        <v>17.5</v>
      </c>
      <c r="AY144" s="168"/>
      <c r="AZ144" s="185">
        <f t="shared" si="115"/>
        <v>45</v>
      </c>
      <c r="BA144" s="173">
        <f t="shared" si="116"/>
        <v>89.2</v>
      </c>
      <c r="BB144" s="173">
        <f t="shared" si="117"/>
        <v>176</v>
      </c>
      <c r="BC144" s="180">
        <f t="shared" si="118"/>
        <v>17.5</v>
      </c>
      <c r="BD144" s="168"/>
      <c r="BE144" s="185">
        <f t="shared" si="119"/>
        <v>45</v>
      </c>
      <c r="BF144" s="173">
        <f t="shared" si="120"/>
        <v>89.2</v>
      </c>
      <c r="BG144" s="173">
        <f t="shared" si="121"/>
        <v>56</v>
      </c>
      <c r="BH144" s="180">
        <f t="shared" si="122"/>
        <v>17.5</v>
      </c>
      <c r="BI144" s="277"/>
      <c r="BJ144" s="185">
        <f t="shared" si="123"/>
        <v>45</v>
      </c>
      <c r="BK144" s="173">
        <f t="shared" si="124"/>
        <v>50.25</v>
      </c>
      <c r="BL144" s="173">
        <f t="shared" si="125"/>
        <v>316</v>
      </c>
      <c r="BM144" s="180">
        <f t="shared" si="126"/>
        <v>17.5</v>
      </c>
      <c r="BN144" s="168"/>
      <c r="BO144" s="185">
        <f t="shared" si="127"/>
        <v>45</v>
      </c>
      <c r="BP144" s="173">
        <f t="shared" si="128"/>
        <v>50.25</v>
      </c>
      <c r="BQ144" s="173">
        <f t="shared" si="129"/>
        <v>196</v>
      </c>
      <c r="BR144" s="180">
        <f t="shared" si="130"/>
        <v>17.5</v>
      </c>
      <c r="BS144" s="168"/>
      <c r="BT144" s="185">
        <f t="shared" si="131"/>
        <v>45</v>
      </c>
      <c r="BU144" s="173">
        <f t="shared" si="132"/>
        <v>50.25</v>
      </c>
      <c r="BV144" s="173">
        <f t="shared" si="133"/>
        <v>76</v>
      </c>
      <c r="BW144" s="180">
        <f t="shared" si="134"/>
        <v>17.5</v>
      </c>
      <c r="BX144" s="288"/>
    </row>
    <row r="145" spans="1:76">
      <c r="A145" s="168"/>
      <c r="B145" s="185">
        <f t="shared" si="135"/>
        <v>45</v>
      </c>
      <c r="C145" s="173">
        <f t="shared" si="76"/>
        <v>139.5</v>
      </c>
      <c r="D145" s="173">
        <f t="shared" si="77"/>
        <v>769</v>
      </c>
      <c r="E145" s="180">
        <f t="shared" si="78"/>
        <v>18</v>
      </c>
      <c r="F145" s="168"/>
      <c r="G145" s="185">
        <f t="shared" si="79"/>
        <v>45</v>
      </c>
      <c r="H145" s="173">
        <f t="shared" si="80"/>
        <v>139.5</v>
      </c>
      <c r="I145" s="173">
        <f t="shared" si="81"/>
        <v>529</v>
      </c>
      <c r="J145" s="180">
        <f t="shared" si="82"/>
        <v>18</v>
      </c>
      <c r="K145" s="168"/>
      <c r="L145" s="185">
        <f t="shared" si="83"/>
        <v>45</v>
      </c>
      <c r="M145" s="173">
        <f t="shared" si="84"/>
        <v>139.5</v>
      </c>
      <c r="N145" s="173">
        <f t="shared" si="85"/>
        <v>460</v>
      </c>
      <c r="O145" s="180">
        <f t="shared" si="86"/>
        <v>18</v>
      </c>
      <c r="P145" s="168"/>
      <c r="Q145" s="185">
        <f t="shared" si="87"/>
        <v>45</v>
      </c>
      <c r="R145" s="173">
        <f t="shared" si="88"/>
        <v>139.5</v>
      </c>
      <c r="S145" s="173">
        <f t="shared" si="89"/>
        <v>403</v>
      </c>
      <c r="T145" s="180">
        <f t="shared" si="90"/>
        <v>18</v>
      </c>
      <c r="U145" s="168"/>
      <c r="V145" s="185">
        <f t="shared" si="91"/>
        <v>45</v>
      </c>
      <c r="W145" s="173">
        <f t="shared" si="92"/>
        <v>139.5</v>
      </c>
      <c r="X145" s="173">
        <f t="shared" si="93"/>
        <v>289</v>
      </c>
      <c r="Y145" s="180">
        <f t="shared" si="94"/>
        <v>18</v>
      </c>
      <c r="Z145" s="168"/>
      <c r="AA145" s="185">
        <f t="shared" si="95"/>
        <v>45</v>
      </c>
      <c r="AB145" s="173">
        <f t="shared" si="96"/>
        <v>139.5</v>
      </c>
      <c r="AC145" s="173">
        <f t="shared" si="97"/>
        <v>238</v>
      </c>
      <c r="AD145" s="180">
        <f t="shared" si="98"/>
        <v>18</v>
      </c>
      <c r="AE145" s="168"/>
      <c r="AF145" s="185">
        <f t="shared" si="99"/>
        <v>45</v>
      </c>
      <c r="AG145" s="173">
        <f t="shared" si="100"/>
        <v>139.5</v>
      </c>
      <c r="AH145" s="173">
        <f t="shared" si="101"/>
        <v>118</v>
      </c>
      <c r="AI145" s="180">
        <f t="shared" si="102"/>
        <v>18</v>
      </c>
      <c r="AJ145" s="168"/>
      <c r="AK145" s="185">
        <f t="shared" si="103"/>
        <v>45</v>
      </c>
      <c r="AL145" s="173">
        <f t="shared" si="104"/>
        <v>96.5</v>
      </c>
      <c r="AM145" s="173">
        <f t="shared" si="105"/>
        <v>200</v>
      </c>
      <c r="AN145" s="180">
        <f t="shared" si="106"/>
        <v>18</v>
      </c>
      <c r="AO145" s="168"/>
      <c r="AP145" s="185">
        <f t="shared" si="107"/>
        <v>45</v>
      </c>
      <c r="AQ145" s="199">
        <f t="shared" si="108"/>
        <v>139.5</v>
      </c>
      <c r="AR145" s="199">
        <f t="shared" si="109"/>
        <v>553</v>
      </c>
      <c r="AS145" s="200">
        <f t="shared" si="110"/>
        <v>18</v>
      </c>
      <c r="AT145" s="277"/>
      <c r="AU145" s="185">
        <f t="shared" si="111"/>
        <v>45</v>
      </c>
      <c r="AV145" s="173">
        <f t="shared" si="112"/>
        <v>89.2</v>
      </c>
      <c r="AW145" s="173">
        <f t="shared" si="113"/>
        <v>238</v>
      </c>
      <c r="AX145" s="180">
        <f t="shared" si="114"/>
        <v>17.5</v>
      </c>
      <c r="AY145" s="168"/>
      <c r="AZ145" s="185">
        <f t="shared" si="115"/>
        <v>45</v>
      </c>
      <c r="BA145" s="173">
        <f t="shared" si="116"/>
        <v>89.2</v>
      </c>
      <c r="BB145" s="173">
        <f t="shared" si="117"/>
        <v>118</v>
      </c>
      <c r="BC145" s="180">
        <f t="shared" si="118"/>
        <v>17.5</v>
      </c>
      <c r="BD145" s="168"/>
      <c r="BE145" s="185">
        <f t="shared" si="119"/>
        <v>45</v>
      </c>
      <c r="BF145" s="173">
        <f t="shared" si="120"/>
        <v>50</v>
      </c>
      <c r="BG145" s="173">
        <f t="shared" si="121"/>
        <v>200</v>
      </c>
      <c r="BH145" s="180">
        <f t="shared" si="122"/>
        <v>17.5</v>
      </c>
      <c r="BI145" s="277"/>
      <c r="BJ145" s="185">
        <f t="shared" si="123"/>
        <v>45</v>
      </c>
      <c r="BK145" s="173">
        <f t="shared" si="124"/>
        <v>50.25</v>
      </c>
      <c r="BL145" s="173">
        <f t="shared" si="125"/>
        <v>258</v>
      </c>
      <c r="BM145" s="180">
        <f t="shared" si="126"/>
        <v>17.5</v>
      </c>
      <c r="BN145" s="168"/>
      <c r="BO145" s="185">
        <f t="shared" si="127"/>
        <v>45</v>
      </c>
      <c r="BP145" s="173">
        <f t="shared" si="128"/>
        <v>50.25</v>
      </c>
      <c r="BQ145" s="173">
        <f t="shared" si="129"/>
        <v>138</v>
      </c>
      <c r="BR145" s="180">
        <f t="shared" si="130"/>
        <v>17.5</v>
      </c>
      <c r="BS145" s="168"/>
      <c r="BT145" s="185">
        <f t="shared" si="131"/>
        <v>45</v>
      </c>
      <c r="BU145" s="173">
        <f t="shared" si="132"/>
        <v>9.75</v>
      </c>
      <c r="BV145" s="173">
        <f t="shared" si="133"/>
        <v>230</v>
      </c>
      <c r="BW145" s="180">
        <f t="shared" si="134"/>
        <v>17.5</v>
      </c>
      <c r="BX145" s="288"/>
    </row>
    <row r="146" spans="1:76">
      <c r="A146" s="168"/>
      <c r="B146" s="185">
        <f t="shared" si="135"/>
        <v>45</v>
      </c>
      <c r="C146" s="173">
        <f t="shared" si="76"/>
        <v>139.5</v>
      </c>
      <c r="D146" s="173">
        <f t="shared" si="77"/>
        <v>712</v>
      </c>
      <c r="E146" s="180">
        <f t="shared" si="78"/>
        <v>18</v>
      </c>
      <c r="F146" s="168"/>
      <c r="G146" s="185">
        <f t="shared" si="79"/>
        <v>45</v>
      </c>
      <c r="H146" s="173">
        <f t="shared" si="80"/>
        <v>139.5</v>
      </c>
      <c r="I146" s="173">
        <f t="shared" si="81"/>
        <v>472</v>
      </c>
      <c r="J146" s="180">
        <f t="shared" si="82"/>
        <v>18</v>
      </c>
      <c r="K146" s="168"/>
      <c r="L146" s="185">
        <f t="shared" si="83"/>
        <v>45</v>
      </c>
      <c r="M146" s="173">
        <f t="shared" si="84"/>
        <v>139.5</v>
      </c>
      <c r="N146" s="173">
        <f t="shared" si="85"/>
        <v>403</v>
      </c>
      <c r="O146" s="180">
        <f t="shared" si="86"/>
        <v>18</v>
      </c>
      <c r="P146" s="168"/>
      <c r="Q146" s="185">
        <f t="shared" si="87"/>
        <v>45</v>
      </c>
      <c r="R146" s="173">
        <f t="shared" si="88"/>
        <v>139.5</v>
      </c>
      <c r="S146" s="173">
        <f t="shared" si="89"/>
        <v>346</v>
      </c>
      <c r="T146" s="180">
        <f t="shared" si="90"/>
        <v>18</v>
      </c>
      <c r="U146" s="168"/>
      <c r="V146" s="185">
        <f t="shared" si="91"/>
        <v>45</v>
      </c>
      <c r="W146" s="173">
        <f t="shared" si="92"/>
        <v>139.5</v>
      </c>
      <c r="X146" s="173">
        <f t="shared" si="93"/>
        <v>232</v>
      </c>
      <c r="Y146" s="180">
        <f t="shared" si="94"/>
        <v>18</v>
      </c>
      <c r="Z146" s="168"/>
      <c r="AA146" s="185">
        <f t="shared" si="95"/>
        <v>45</v>
      </c>
      <c r="AB146" s="173">
        <f t="shared" si="96"/>
        <v>139.5</v>
      </c>
      <c r="AC146" s="173">
        <f t="shared" si="97"/>
        <v>180</v>
      </c>
      <c r="AD146" s="180">
        <f t="shared" si="98"/>
        <v>18</v>
      </c>
      <c r="AE146" s="168"/>
      <c r="AF146" s="185">
        <f t="shared" si="99"/>
        <v>45</v>
      </c>
      <c r="AG146" s="173">
        <f t="shared" si="100"/>
        <v>139.5</v>
      </c>
      <c r="AH146" s="173">
        <f t="shared" si="101"/>
        <v>60</v>
      </c>
      <c r="AI146" s="180">
        <f t="shared" si="102"/>
        <v>18</v>
      </c>
      <c r="AJ146" s="168"/>
      <c r="AK146" s="185">
        <f t="shared" si="103"/>
        <v>45</v>
      </c>
      <c r="AL146" s="173">
        <f t="shared" si="104"/>
        <v>96.5</v>
      </c>
      <c r="AM146" s="173">
        <f t="shared" si="105"/>
        <v>142</v>
      </c>
      <c r="AN146" s="180">
        <f t="shared" si="106"/>
        <v>18</v>
      </c>
      <c r="AO146" s="168"/>
      <c r="AP146" s="185">
        <f t="shared" si="107"/>
        <v>45</v>
      </c>
      <c r="AQ146" s="199">
        <f t="shared" si="108"/>
        <v>139.5</v>
      </c>
      <c r="AR146" s="199">
        <f t="shared" si="109"/>
        <v>496</v>
      </c>
      <c r="AS146" s="200">
        <f t="shared" si="110"/>
        <v>18</v>
      </c>
      <c r="AT146" s="277"/>
      <c r="AU146" s="185">
        <f t="shared" si="111"/>
        <v>45</v>
      </c>
      <c r="AV146" s="173">
        <f t="shared" si="112"/>
        <v>89.2</v>
      </c>
      <c r="AW146" s="173">
        <f t="shared" si="113"/>
        <v>180</v>
      </c>
      <c r="AX146" s="180">
        <f t="shared" si="114"/>
        <v>17.5</v>
      </c>
      <c r="AY146" s="168"/>
      <c r="AZ146" s="185">
        <f t="shared" si="115"/>
        <v>45</v>
      </c>
      <c r="BA146" s="173">
        <f t="shared" si="116"/>
        <v>89.2</v>
      </c>
      <c r="BB146" s="173">
        <f t="shared" si="117"/>
        <v>60</v>
      </c>
      <c r="BC146" s="180">
        <f t="shared" si="118"/>
        <v>17.5</v>
      </c>
      <c r="BD146" s="168"/>
      <c r="BE146" s="185">
        <f t="shared" si="119"/>
        <v>45</v>
      </c>
      <c r="BF146" s="173">
        <f t="shared" si="120"/>
        <v>50</v>
      </c>
      <c r="BG146" s="173">
        <f t="shared" si="121"/>
        <v>142</v>
      </c>
      <c r="BH146" s="180">
        <f t="shared" si="122"/>
        <v>17.5</v>
      </c>
      <c r="BI146" s="277"/>
      <c r="BJ146" s="185">
        <f t="shared" si="123"/>
        <v>45</v>
      </c>
      <c r="BK146" s="173">
        <f t="shared" si="124"/>
        <v>50.25</v>
      </c>
      <c r="BL146" s="173">
        <f t="shared" si="125"/>
        <v>200</v>
      </c>
      <c r="BM146" s="180">
        <f t="shared" si="126"/>
        <v>17.5</v>
      </c>
      <c r="BN146" s="168"/>
      <c r="BO146" s="185">
        <f t="shared" si="127"/>
        <v>45</v>
      </c>
      <c r="BP146" s="173">
        <f t="shared" si="128"/>
        <v>50.25</v>
      </c>
      <c r="BQ146" s="173">
        <f t="shared" si="129"/>
        <v>80</v>
      </c>
      <c r="BR146" s="180">
        <f t="shared" si="130"/>
        <v>17.5</v>
      </c>
      <c r="BS146" s="168"/>
      <c r="BT146" s="185">
        <f t="shared" si="131"/>
        <v>45</v>
      </c>
      <c r="BU146" s="173">
        <f t="shared" si="132"/>
        <v>9.75</v>
      </c>
      <c r="BV146" s="173">
        <f t="shared" si="133"/>
        <v>172</v>
      </c>
      <c r="BW146" s="180">
        <f t="shared" si="134"/>
        <v>17.5</v>
      </c>
      <c r="BX146" s="288"/>
    </row>
    <row r="147" spans="1:76">
      <c r="A147" s="168"/>
      <c r="B147" s="185">
        <f t="shared" si="135"/>
        <v>45</v>
      </c>
      <c r="C147" s="173">
        <f t="shared" si="76"/>
        <v>139.5</v>
      </c>
      <c r="D147" s="173">
        <f t="shared" si="77"/>
        <v>655</v>
      </c>
      <c r="E147" s="180">
        <f t="shared" si="78"/>
        <v>18</v>
      </c>
      <c r="F147" s="168"/>
      <c r="G147" s="185">
        <f t="shared" si="79"/>
        <v>45</v>
      </c>
      <c r="H147" s="173">
        <f t="shared" si="80"/>
        <v>139.5</v>
      </c>
      <c r="I147" s="173">
        <f t="shared" si="81"/>
        <v>415</v>
      </c>
      <c r="J147" s="180">
        <f t="shared" si="82"/>
        <v>18</v>
      </c>
      <c r="K147" s="168"/>
      <c r="L147" s="185">
        <f t="shared" si="83"/>
        <v>45</v>
      </c>
      <c r="M147" s="173">
        <f t="shared" si="84"/>
        <v>139.5</v>
      </c>
      <c r="N147" s="173">
        <f t="shared" si="85"/>
        <v>346</v>
      </c>
      <c r="O147" s="180">
        <f t="shared" si="86"/>
        <v>18</v>
      </c>
      <c r="P147" s="168"/>
      <c r="Q147" s="185">
        <f t="shared" si="87"/>
        <v>45</v>
      </c>
      <c r="R147" s="173">
        <f t="shared" si="88"/>
        <v>139.5</v>
      </c>
      <c r="S147" s="173">
        <f t="shared" si="89"/>
        <v>289</v>
      </c>
      <c r="T147" s="180">
        <f t="shared" si="90"/>
        <v>18</v>
      </c>
      <c r="U147" s="168"/>
      <c r="V147" s="185">
        <f t="shared" si="91"/>
        <v>45</v>
      </c>
      <c r="W147" s="173">
        <f t="shared" si="92"/>
        <v>139.5</v>
      </c>
      <c r="X147" s="173">
        <f t="shared" si="93"/>
        <v>175</v>
      </c>
      <c r="Y147" s="180">
        <f t="shared" si="94"/>
        <v>18</v>
      </c>
      <c r="Z147" s="168"/>
      <c r="AA147" s="185">
        <f t="shared" si="95"/>
        <v>45</v>
      </c>
      <c r="AB147" s="173">
        <f t="shared" si="96"/>
        <v>139.5</v>
      </c>
      <c r="AC147" s="173">
        <f t="shared" si="97"/>
        <v>122</v>
      </c>
      <c r="AD147" s="180">
        <f t="shared" si="98"/>
        <v>18</v>
      </c>
      <c r="AE147" s="168"/>
      <c r="AF147" s="185">
        <f t="shared" si="99"/>
        <v>45</v>
      </c>
      <c r="AG147" s="173">
        <f t="shared" si="100"/>
        <v>96.5</v>
      </c>
      <c r="AH147" s="173">
        <f t="shared" si="101"/>
        <v>320</v>
      </c>
      <c r="AI147" s="180">
        <f t="shared" si="102"/>
        <v>18</v>
      </c>
      <c r="AJ147" s="168"/>
      <c r="AK147" s="185">
        <f t="shared" si="103"/>
        <v>45</v>
      </c>
      <c r="AL147" s="173">
        <f t="shared" si="104"/>
        <v>96.5</v>
      </c>
      <c r="AM147" s="173">
        <f t="shared" si="105"/>
        <v>84</v>
      </c>
      <c r="AN147" s="180">
        <f t="shared" si="106"/>
        <v>18</v>
      </c>
      <c r="AO147" s="168"/>
      <c r="AP147" s="185">
        <f t="shared" si="107"/>
        <v>45</v>
      </c>
      <c r="AQ147" s="199">
        <f t="shared" si="108"/>
        <v>139.5</v>
      </c>
      <c r="AR147" s="199">
        <f t="shared" si="109"/>
        <v>439</v>
      </c>
      <c r="AS147" s="200">
        <f t="shared" si="110"/>
        <v>18</v>
      </c>
      <c r="AT147" s="277"/>
      <c r="AU147" s="185">
        <f t="shared" si="111"/>
        <v>45</v>
      </c>
      <c r="AV147" s="173">
        <f t="shared" si="112"/>
        <v>89.2</v>
      </c>
      <c r="AW147" s="173">
        <f t="shared" si="113"/>
        <v>122</v>
      </c>
      <c r="AX147" s="180">
        <f t="shared" si="114"/>
        <v>17.5</v>
      </c>
      <c r="AY147" s="168"/>
      <c r="AZ147" s="185">
        <f t="shared" si="115"/>
        <v>45</v>
      </c>
      <c r="BA147" s="173">
        <f t="shared" si="116"/>
        <v>50</v>
      </c>
      <c r="BB147" s="173">
        <f t="shared" si="117"/>
        <v>320</v>
      </c>
      <c r="BC147" s="180">
        <f t="shared" si="118"/>
        <v>17.5</v>
      </c>
      <c r="BD147" s="168"/>
      <c r="BE147" s="185">
        <f t="shared" si="119"/>
        <v>45</v>
      </c>
      <c r="BF147" s="173">
        <f t="shared" si="120"/>
        <v>50</v>
      </c>
      <c r="BG147" s="173">
        <f t="shared" si="121"/>
        <v>84</v>
      </c>
      <c r="BH147" s="180">
        <f t="shared" si="122"/>
        <v>17.5</v>
      </c>
      <c r="BI147" s="277"/>
      <c r="BJ147" s="185">
        <f t="shared" si="123"/>
        <v>45</v>
      </c>
      <c r="BK147" s="173">
        <f t="shared" si="124"/>
        <v>50.25</v>
      </c>
      <c r="BL147" s="173">
        <f t="shared" si="125"/>
        <v>142</v>
      </c>
      <c r="BM147" s="180">
        <f t="shared" si="126"/>
        <v>17.5</v>
      </c>
      <c r="BN147" s="168"/>
      <c r="BO147" s="185">
        <f t="shared" si="127"/>
        <v>45</v>
      </c>
      <c r="BP147" s="173">
        <f t="shared" si="128"/>
        <v>9.75</v>
      </c>
      <c r="BQ147" s="173">
        <f t="shared" si="129"/>
        <v>350</v>
      </c>
      <c r="BR147" s="180">
        <f t="shared" si="130"/>
        <v>17.5</v>
      </c>
      <c r="BS147" s="168"/>
      <c r="BT147" s="185">
        <f t="shared" si="131"/>
        <v>45</v>
      </c>
      <c r="BU147" s="173">
        <f t="shared" si="132"/>
        <v>9.75</v>
      </c>
      <c r="BV147" s="173">
        <f t="shared" si="133"/>
        <v>114</v>
      </c>
      <c r="BW147" s="180">
        <f t="shared" si="134"/>
        <v>17.5</v>
      </c>
      <c r="BX147" s="288"/>
    </row>
    <row r="148" spans="1:76">
      <c r="A148" s="168"/>
      <c r="B148" s="185">
        <f t="shared" si="135"/>
        <v>45</v>
      </c>
      <c r="C148" s="173">
        <f t="shared" si="76"/>
        <v>139.5</v>
      </c>
      <c r="D148" s="173">
        <f t="shared" si="77"/>
        <v>598</v>
      </c>
      <c r="E148" s="180">
        <f t="shared" si="78"/>
        <v>18</v>
      </c>
      <c r="F148" s="168"/>
      <c r="G148" s="185">
        <f t="shared" si="79"/>
        <v>45</v>
      </c>
      <c r="H148" s="173">
        <f t="shared" si="80"/>
        <v>139.5</v>
      </c>
      <c r="I148" s="173">
        <f t="shared" si="81"/>
        <v>358</v>
      </c>
      <c r="J148" s="180">
        <f t="shared" si="82"/>
        <v>18</v>
      </c>
      <c r="K148" s="168"/>
      <c r="L148" s="185">
        <f t="shared" si="83"/>
        <v>45</v>
      </c>
      <c r="M148" s="173">
        <f t="shared" si="84"/>
        <v>139.5</v>
      </c>
      <c r="N148" s="173">
        <f t="shared" si="85"/>
        <v>289</v>
      </c>
      <c r="O148" s="180">
        <f t="shared" si="86"/>
        <v>18</v>
      </c>
      <c r="P148" s="168"/>
      <c r="Q148" s="185">
        <f t="shared" si="87"/>
        <v>45</v>
      </c>
      <c r="R148" s="173">
        <f t="shared" si="88"/>
        <v>139.5</v>
      </c>
      <c r="S148" s="173">
        <f t="shared" si="89"/>
        <v>232</v>
      </c>
      <c r="T148" s="180">
        <f t="shared" si="90"/>
        <v>18</v>
      </c>
      <c r="U148" s="168"/>
      <c r="V148" s="185">
        <f t="shared" si="91"/>
        <v>45</v>
      </c>
      <c r="W148" s="173">
        <f t="shared" si="92"/>
        <v>139.5</v>
      </c>
      <c r="X148" s="173">
        <f t="shared" si="93"/>
        <v>118</v>
      </c>
      <c r="Y148" s="180">
        <f t="shared" si="94"/>
        <v>18</v>
      </c>
      <c r="Z148" s="168"/>
      <c r="AA148" s="185">
        <f t="shared" si="95"/>
        <v>45</v>
      </c>
      <c r="AB148" s="173">
        <f t="shared" si="96"/>
        <v>139.5</v>
      </c>
      <c r="AC148" s="173">
        <f t="shared" si="97"/>
        <v>64</v>
      </c>
      <c r="AD148" s="180">
        <f t="shared" si="98"/>
        <v>18</v>
      </c>
      <c r="AE148" s="168"/>
      <c r="AF148" s="185">
        <f t="shared" si="99"/>
        <v>45</v>
      </c>
      <c r="AG148" s="173">
        <f t="shared" si="100"/>
        <v>96.5</v>
      </c>
      <c r="AH148" s="173">
        <f t="shared" si="101"/>
        <v>262</v>
      </c>
      <c r="AI148" s="180">
        <f t="shared" si="102"/>
        <v>18</v>
      </c>
      <c r="AJ148" s="168"/>
      <c r="AK148" s="185">
        <f t="shared" si="103"/>
        <v>45</v>
      </c>
      <c r="AL148" s="173">
        <f t="shared" si="104"/>
        <v>53.5</v>
      </c>
      <c r="AM148" s="173">
        <f t="shared" si="105"/>
        <v>200</v>
      </c>
      <c r="AN148" s="180">
        <f t="shared" si="106"/>
        <v>18</v>
      </c>
      <c r="AO148" s="168"/>
      <c r="AP148" s="185">
        <f t="shared" si="107"/>
        <v>45</v>
      </c>
      <c r="AQ148" s="199">
        <f t="shared" si="108"/>
        <v>139.5</v>
      </c>
      <c r="AR148" s="199">
        <f t="shared" si="109"/>
        <v>382</v>
      </c>
      <c r="AS148" s="200">
        <f t="shared" si="110"/>
        <v>18</v>
      </c>
      <c r="AT148" s="277"/>
      <c r="AU148" s="185">
        <f t="shared" si="111"/>
        <v>45</v>
      </c>
      <c r="AV148" s="173">
        <f t="shared" si="112"/>
        <v>89.2</v>
      </c>
      <c r="AW148" s="173">
        <f t="shared" si="113"/>
        <v>64</v>
      </c>
      <c r="AX148" s="180">
        <f t="shared" si="114"/>
        <v>17.5</v>
      </c>
      <c r="AY148" s="168"/>
      <c r="AZ148" s="185">
        <f t="shared" si="115"/>
        <v>45</v>
      </c>
      <c r="BA148" s="173">
        <f t="shared" si="116"/>
        <v>50</v>
      </c>
      <c r="BB148" s="173">
        <f t="shared" si="117"/>
        <v>262</v>
      </c>
      <c r="BC148" s="180">
        <f t="shared" si="118"/>
        <v>17.5</v>
      </c>
      <c r="BD148" s="168"/>
      <c r="BE148" s="185">
        <f t="shared" si="119"/>
        <v>45</v>
      </c>
      <c r="BF148" s="173">
        <f t="shared" si="120"/>
        <v>10.799999999999997</v>
      </c>
      <c r="BG148" s="173">
        <f t="shared" si="121"/>
        <v>172</v>
      </c>
      <c r="BH148" s="180">
        <f t="shared" si="122"/>
        <v>17.5</v>
      </c>
      <c r="BI148" s="277"/>
      <c r="BJ148" s="185">
        <f t="shared" si="123"/>
        <v>45</v>
      </c>
      <c r="BK148" s="173">
        <f t="shared" si="124"/>
        <v>50.25</v>
      </c>
      <c r="BL148" s="173">
        <f t="shared" si="125"/>
        <v>84</v>
      </c>
      <c r="BM148" s="180">
        <f t="shared" si="126"/>
        <v>17.5</v>
      </c>
      <c r="BN148" s="168"/>
      <c r="BO148" s="185">
        <f t="shared" si="127"/>
        <v>45</v>
      </c>
      <c r="BP148" s="173">
        <f t="shared" si="128"/>
        <v>9.75</v>
      </c>
      <c r="BQ148" s="173">
        <f t="shared" si="129"/>
        <v>292</v>
      </c>
      <c r="BR148" s="180">
        <f t="shared" si="130"/>
        <v>17.5</v>
      </c>
      <c r="BS148" s="168"/>
      <c r="BT148" s="185">
        <f t="shared" si="131"/>
        <v>45</v>
      </c>
      <c r="BU148" s="173">
        <f t="shared" si="132"/>
        <v>9.75</v>
      </c>
      <c r="BV148" s="173">
        <f t="shared" si="133"/>
        <v>56</v>
      </c>
      <c r="BW148" s="180">
        <f t="shared" si="134"/>
        <v>17.5</v>
      </c>
      <c r="BX148" s="288"/>
    </row>
    <row r="149" spans="1:76">
      <c r="A149" s="168"/>
      <c r="B149" s="185">
        <f t="shared" si="135"/>
        <v>45</v>
      </c>
      <c r="C149" s="173">
        <f t="shared" si="76"/>
        <v>139.5</v>
      </c>
      <c r="D149" s="173">
        <f t="shared" si="77"/>
        <v>541</v>
      </c>
      <c r="E149" s="180">
        <f t="shared" si="78"/>
        <v>18</v>
      </c>
      <c r="F149" s="168"/>
      <c r="G149" s="185">
        <f t="shared" si="79"/>
        <v>45</v>
      </c>
      <c r="H149" s="173">
        <f t="shared" si="80"/>
        <v>139.5</v>
      </c>
      <c r="I149" s="173">
        <f t="shared" si="81"/>
        <v>301</v>
      </c>
      <c r="J149" s="180">
        <f t="shared" si="82"/>
        <v>18</v>
      </c>
      <c r="K149" s="168"/>
      <c r="L149" s="185">
        <f t="shared" si="83"/>
        <v>45</v>
      </c>
      <c r="M149" s="173">
        <f t="shared" si="84"/>
        <v>139.5</v>
      </c>
      <c r="N149" s="173">
        <f t="shared" si="85"/>
        <v>232</v>
      </c>
      <c r="O149" s="180">
        <f t="shared" si="86"/>
        <v>18</v>
      </c>
      <c r="P149" s="168"/>
      <c r="Q149" s="185">
        <f t="shared" si="87"/>
        <v>45</v>
      </c>
      <c r="R149" s="173">
        <f t="shared" si="88"/>
        <v>139.5</v>
      </c>
      <c r="S149" s="173">
        <f t="shared" si="89"/>
        <v>175</v>
      </c>
      <c r="T149" s="180">
        <f t="shared" si="90"/>
        <v>18</v>
      </c>
      <c r="U149" s="168"/>
      <c r="V149" s="185">
        <f t="shared" si="91"/>
        <v>45</v>
      </c>
      <c r="W149" s="173">
        <f t="shared" si="92"/>
        <v>139.5</v>
      </c>
      <c r="X149" s="173">
        <f t="shared" si="93"/>
        <v>61</v>
      </c>
      <c r="Y149" s="180">
        <f t="shared" si="94"/>
        <v>18</v>
      </c>
      <c r="Z149" s="168"/>
      <c r="AA149" s="185">
        <f t="shared" si="95"/>
        <v>45</v>
      </c>
      <c r="AB149" s="173">
        <f t="shared" si="96"/>
        <v>96.5</v>
      </c>
      <c r="AC149" s="173">
        <f t="shared" si="97"/>
        <v>440</v>
      </c>
      <c r="AD149" s="180">
        <f t="shared" si="98"/>
        <v>18</v>
      </c>
      <c r="AE149" s="168"/>
      <c r="AF149" s="185">
        <f t="shared" si="99"/>
        <v>45</v>
      </c>
      <c r="AG149" s="173">
        <f t="shared" si="100"/>
        <v>96.5</v>
      </c>
      <c r="AH149" s="173">
        <f t="shared" si="101"/>
        <v>204</v>
      </c>
      <c r="AI149" s="180">
        <f t="shared" si="102"/>
        <v>18</v>
      </c>
      <c r="AJ149" s="168"/>
      <c r="AK149" s="185">
        <f t="shared" si="103"/>
        <v>45</v>
      </c>
      <c r="AL149" s="173">
        <f t="shared" si="104"/>
        <v>53.5</v>
      </c>
      <c r="AM149" s="173">
        <f t="shared" si="105"/>
        <v>142</v>
      </c>
      <c r="AN149" s="180">
        <f t="shared" si="106"/>
        <v>18</v>
      </c>
      <c r="AO149" s="168"/>
      <c r="AP149" s="185">
        <f t="shared" si="107"/>
        <v>45</v>
      </c>
      <c r="AQ149" s="199">
        <f t="shared" si="108"/>
        <v>139.5</v>
      </c>
      <c r="AR149" s="199">
        <f t="shared" si="109"/>
        <v>325</v>
      </c>
      <c r="AS149" s="200">
        <f t="shared" si="110"/>
        <v>18</v>
      </c>
      <c r="AT149" s="277"/>
      <c r="AU149" s="185">
        <f t="shared" si="111"/>
        <v>45</v>
      </c>
      <c r="AV149" s="173">
        <f t="shared" si="112"/>
        <v>50</v>
      </c>
      <c r="AW149" s="173">
        <f t="shared" si="113"/>
        <v>440</v>
      </c>
      <c r="AX149" s="180">
        <f t="shared" si="114"/>
        <v>17.5</v>
      </c>
      <c r="AY149" s="168"/>
      <c r="AZ149" s="185">
        <f t="shared" si="115"/>
        <v>45</v>
      </c>
      <c r="BA149" s="173">
        <f t="shared" si="116"/>
        <v>50</v>
      </c>
      <c r="BB149" s="173">
        <f t="shared" si="117"/>
        <v>204</v>
      </c>
      <c r="BC149" s="180">
        <f t="shared" si="118"/>
        <v>17.5</v>
      </c>
      <c r="BD149" s="168"/>
      <c r="BE149" s="185">
        <f t="shared" si="119"/>
        <v>45</v>
      </c>
      <c r="BF149" s="173">
        <f t="shared" si="120"/>
        <v>10.799999999999997</v>
      </c>
      <c r="BG149" s="173">
        <f t="shared" si="121"/>
        <v>114</v>
      </c>
      <c r="BH149" s="180">
        <f t="shared" si="122"/>
        <v>17.5</v>
      </c>
      <c r="BI149" s="277"/>
      <c r="BJ149" s="185">
        <f t="shared" si="123"/>
        <v>45</v>
      </c>
      <c r="BK149" s="173">
        <f t="shared" si="124"/>
        <v>9.75</v>
      </c>
      <c r="BL149" s="173">
        <f t="shared" si="125"/>
        <v>470</v>
      </c>
      <c r="BM149" s="180">
        <f t="shared" si="126"/>
        <v>17.5</v>
      </c>
      <c r="BN149" s="168"/>
      <c r="BO149" s="185">
        <f t="shared" si="127"/>
        <v>45</v>
      </c>
      <c r="BP149" s="173">
        <f t="shared" si="128"/>
        <v>9.75</v>
      </c>
      <c r="BQ149" s="173">
        <f t="shared" si="129"/>
        <v>234</v>
      </c>
      <c r="BR149" s="180">
        <f t="shared" si="130"/>
        <v>17.5</v>
      </c>
      <c r="BS149" s="168"/>
      <c r="BT149" s="185" t="str">
        <f t="shared" si="131"/>
        <v/>
      </c>
      <c r="BU149" s="173" t="str">
        <f t="shared" si="132"/>
        <v/>
      </c>
      <c r="BV149" s="173" t="str">
        <f t="shared" si="133"/>
        <v/>
      </c>
      <c r="BW149" s="180" t="str">
        <f t="shared" si="134"/>
        <v/>
      </c>
      <c r="BX149" s="288"/>
    </row>
    <row r="150" spans="1:76">
      <c r="A150" s="168"/>
      <c r="B150" s="185">
        <f t="shared" si="135"/>
        <v>45</v>
      </c>
      <c r="C150" s="173">
        <f t="shared" si="76"/>
        <v>139.5</v>
      </c>
      <c r="D150" s="173">
        <f t="shared" si="77"/>
        <v>484</v>
      </c>
      <c r="E150" s="180">
        <f t="shared" si="78"/>
        <v>18</v>
      </c>
      <c r="F150" s="168"/>
      <c r="G150" s="185">
        <f t="shared" si="79"/>
        <v>45</v>
      </c>
      <c r="H150" s="173">
        <f t="shared" si="80"/>
        <v>139.5</v>
      </c>
      <c r="I150" s="173">
        <f t="shared" si="81"/>
        <v>244</v>
      </c>
      <c r="J150" s="180">
        <f t="shared" si="82"/>
        <v>18</v>
      </c>
      <c r="K150" s="168"/>
      <c r="L150" s="185">
        <f t="shared" si="83"/>
        <v>45</v>
      </c>
      <c r="M150" s="173">
        <f t="shared" si="84"/>
        <v>139.5</v>
      </c>
      <c r="N150" s="173">
        <f t="shared" si="85"/>
        <v>175</v>
      </c>
      <c r="O150" s="180">
        <f t="shared" si="86"/>
        <v>18</v>
      </c>
      <c r="P150" s="168"/>
      <c r="Q150" s="185">
        <f t="shared" si="87"/>
        <v>45</v>
      </c>
      <c r="R150" s="173">
        <f t="shared" si="88"/>
        <v>139.5</v>
      </c>
      <c r="S150" s="173">
        <f t="shared" si="89"/>
        <v>118</v>
      </c>
      <c r="T150" s="180">
        <f t="shared" si="90"/>
        <v>18</v>
      </c>
      <c r="U150" s="168"/>
      <c r="V150" s="185">
        <f t="shared" si="91"/>
        <v>45</v>
      </c>
      <c r="W150" s="173">
        <f t="shared" si="92"/>
        <v>96.5</v>
      </c>
      <c r="X150" s="173">
        <f t="shared" si="93"/>
        <v>488.5</v>
      </c>
      <c r="Y150" s="180">
        <f t="shared" si="94"/>
        <v>18</v>
      </c>
      <c r="Z150" s="168"/>
      <c r="AA150" s="185">
        <f t="shared" si="95"/>
        <v>45</v>
      </c>
      <c r="AB150" s="173">
        <f t="shared" si="96"/>
        <v>96.5</v>
      </c>
      <c r="AC150" s="173">
        <f t="shared" si="97"/>
        <v>382</v>
      </c>
      <c r="AD150" s="180">
        <f t="shared" si="98"/>
        <v>18</v>
      </c>
      <c r="AE150" s="168"/>
      <c r="AF150" s="185">
        <f t="shared" si="99"/>
        <v>45</v>
      </c>
      <c r="AG150" s="173">
        <f t="shared" si="100"/>
        <v>96.5</v>
      </c>
      <c r="AH150" s="173">
        <f t="shared" si="101"/>
        <v>146</v>
      </c>
      <c r="AI150" s="180">
        <f t="shared" si="102"/>
        <v>18</v>
      </c>
      <c r="AJ150" s="168"/>
      <c r="AK150" s="185">
        <f t="shared" si="103"/>
        <v>45</v>
      </c>
      <c r="AL150" s="173">
        <f t="shared" si="104"/>
        <v>53.5</v>
      </c>
      <c r="AM150" s="173">
        <f t="shared" si="105"/>
        <v>84</v>
      </c>
      <c r="AN150" s="180">
        <f t="shared" si="106"/>
        <v>18</v>
      </c>
      <c r="AO150" s="168"/>
      <c r="AP150" s="185">
        <f t="shared" si="107"/>
        <v>45</v>
      </c>
      <c r="AQ150" s="199">
        <f t="shared" si="108"/>
        <v>139.5</v>
      </c>
      <c r="AR150" s="199">
        <f t="shared" si="109"/>
        <v>268</v>
      </c>
      <c r="AS150" s="200">
        <f t="shared" si="110"/>
        <v>18</v>
      </c>
      <c r="AT150" s="277"/>
      <c r="AU150" s="185">
        <f t="shared" si="111"/>
        <v>45</v>
      </c>
      <c r="AV150" s="173">
        <f t="shared" si="112"/>
        <v>50</v>
      </c>
      <c r="AW150" s="173">
        <f t="shared" si="113"/>
        <v>382</v>
      </c>
      <c r="AX150" s="180">
        <f t="shared" si="114"/>
        <v>17.5</v>
      </c>
      <c r="AY150" s="168"/>
      <c r="AZ150" s="185">
        <f t="shared" si="115"/>
        <v>45</v>
      </c>
      <c r="BA150" s="173">
        <f t="shared" si="116"/>
        <v>50</v>
      </c>
      <c r="BB150" s="173">
        <f t="shared" si="117"/>
        <v>146</v>
      </c>
      <c r="BC150" s="180">
        <f t="shared" si="118"/>
        <v>17.5</v>
      </c>
      <c r="BD150" s="168"/>
      <c r="BE150" s="185">
        <f t="shared" si="119"/>
        <v>45</v>
      </c>
      <c r="BF150" s="173">
        <f t="shared" si="120"/>
        <v>10.799999999999997</v>
      </c>
      <c r="BG150" s="173">
        <f t="shared" si="121"/>
        <v>56</v>
      </c>
      <c r="BH150" s="180">
        <f t="shared" si="122"/>
        <v>17.5</v>
      </c>
      <c r="BI150" s="277"/>
      <c r="BJ150" s="185">
        <f t="shared" si="123"/>
        <v>45</v>
      </c>
      <c r="BK150" s="173">
        <f t="shared" si="124"/>
        <v>9.75</v>
      </c>
      <c r="BL150" s="173">
        <f t="shared" si="125"/>
        <v>412</v>
      </c>
      <c r="BM150" s="180">
        <f t="shared" si="126"/>
        <v>17.5</v>
      </c>
      <c r="BN150" s="168"/>
      <c r="BO150" s="185">
        <f t="shared" si="127"/>
        <v>45</v>
      </c>
      <c r="BP150" s="173">
        <f t="shared" si="128"/>
        <v>9.75</v>
      </c>
      <c r="BQ150" s="173">
        <f t="shared" si="129"/>
        <v>176</v>
      </c>
      <c r="BR150" s="180">
        <f t="shared" si="130"/>
        <v>17.5</v>
      </c>
      <c r="BS150" s="168"/>
      <c r="BT150" s="185" t="str">
        <f t="shared" si="131"/>
        <v/>
      </c>
      <c r="BU150" s="173" t="str">
        <f t="shared" si="132"/>
        <v/>
      </c>
      <c r="BV150" s="173" t="str">
        <f t="shared" si="133"/>
        <v/>
      </c>
      <c r="BW150" s="180" t="str">
        <f t="shared" si="134"/>
        <v/>
      </c>
      <c r="BX150" s="288"/>
    </row>
    <row r="151" spans="1:76">
      <c r="A151" s="168"/>
      <c r="B151" s="185">
        <f t="shared" si="135"/>
        <v>45</v>
      </c>
      <c r="C151" s="173">
        <f t="shared" si="76"/>
        <v>139.5</v>
      </c>
      <c r="D151" s="173">
        <f t="shared" si="77"/>
        <v>427</v>
      </c>
      <c r="E151" s="180">
        <f t="shared" si="78"/>
        <v>18</v>
      </c>
      <c r="F151" s="168"/>
      <c r="G151" s="185">
        <f t="shared" si="79"/>
        <v>45</v>
      </c>
      <c r="H151" s="173">
        <f t="shared" si="80"/>
        <v>139.5</v>
      </c>
      <c r="I151" s="173">
        <f t="shared" si="81"/>
        <v>187</v>
      </c>
      <c r="J151" s="180">
        <f t="shared" si="82"/>
        <v>18</v>
      </c>
      <c r="K151" s="168"/>
      <c r="L151" s="185">
        <f t="shared" si="83"/>
        <v>45</v>
      </c>
      <c r="M151" s="173">
        <f t="shared" si="84"/>
        <v>139.5</v>
      </c>
      <c r="N151" s="173">
        <f t="shared" si="85"/>
        <v>118</v>
      </c>
      <c r="O151" s="180">
        <f t="shared" si="86"/>
        <v>18</v>
      </c>
      <c r="P151" s="168"/>
      <c r="Q151" s="185">
        <f t="shared" si="87"/>
        <v>45</v>
      </c>
      <c r="R151" s="173">
        <f t="shared" si="88"/>
        <v>139.5</v>
      </c>
      <c r="S151" s="173">
        <f t="shared" si="89"/>
        <v>61</v>
      </c>
      <c r="T151" s="180">
        <f t="shared" si="90"/>
        <v>18</v>
      </c>
      <c r="U151" s="168"/>
      <c r="V151" s="185">
        <f t="shared" si="91"/>
        <v>45</v>
      </c>
      <c r="W151" s="173">
        <f t="shared" si="92"/>
        <v>96.5</v>
      </c>
      <c r="X151" s="173">
        <f t="shared" si="93"/>
        <v>431.5</v>
      </c>
      <c r="Y151" s="180">
        <f t="shared" si="94"/>
        <v>18</v>
      </c>
      <c r="Z151" s="168"/>
      <c r="AA151" s="185">
        <f t="shared" si="95"/>
        <v>45</v>
      </c>
      <c r="AB151" s="173">
        <f t="shared" si="96"/>
        <v>96.5</v>
      </c>
      <c r="AC151" s="173">
        <f t="shared" si="97"/>
        <v>324</v>
      </c>
      <c r="AD151" s="180">
        <f t="shared" si="98"/>
        <v>18</v>
      </c>
      <c r="AE151" s="168"/>
      <c r="AF151" s="185">
        <f t="shared" si="99"/>
        <v>45</v>
      </c>
      <c r="AG151" s="173">
        <f t="shared" si="100"/>
        <v>96.5</v>
      </c>
      <c r="AH151" s="173">
        <f t="shared" si="101"/>
        <v>88</v>
      </c>
      <c r="AI151" s="180">
        <f t="shared" si="102"/>
        <v>18</v>
      </c>
      <c r="AJ151" s="168"/>
      <c r="AK151" s="185">
        <f t="shared" si="103"/>
        <v>45</v>
      </c>
      <c r="AL151" s="173">
        <f t="shared" si="104"/>
        <v>10.5</v>
      </c>
      <c r="AM151" s="173">
        <f t="shared" si="105"/>
        <v>176</v>
      </c>
      <c r="AN151" s="180">
        <f t="shared" si="106"/>
        <v>18</v>
      </c>
      <c r="AO151" s="168"/>
      <c r="AP151" s="185">
        <f t="shared" si="107"/>
        <v>45</v>
      </c>
      <c r="AQ151" s="199">
        <f t="shared" si="108"/>
        <v>139.5</v>
      </c>
      <c r="AR151" s="199">
        <f t="shared" si="109"/>
        <v>211</v>
      </c>
      <c r="AS151" s="200">
        <f t="shared" si="110"/>
        <v>18</v>
      </c>
      <c r="AT151" s="277"/>
      <c r="AU151" s="185">
        <f t="shared" si="111"/>
        <v>45</v>
      </c>
      <c r="AV151" s="173">
        <f t="shared" si="112"/>
        <v>50</v>
      </c>
      <c r="AW151" s="173">
        <f t="shared" si="113"/>
        <v>324</v>
      </c>
      <c r="AX151" s="180">
        <f t="shared" si="114"/>
        <v>17.5</v>
      </c>
      <c r="AY151" s="168"/>
      <c r="AZ151" s="185">
        <f t="shared" si="115"/>
        <v>45</v>
      </c>
      <c r="BA151" s="173">
        <f t="shared" si="116"/>
        <v>50</v>
      </c>
      <c r="BB151" s="173">
        <f t="shared" si="117"/>
        <v>88</v>
      </c>
      <c r="BC151" s="180">
        <f t="shared" si="118"/>
        <v>17.5</v>
      </c>
      <c r="BD151" s="168"/>
      <c r="BE151" s="185" t="str">
        <f t="shared" si="119"/>
        <v/>
      </c>
      <c r="BF151" s="173" t="str">
        <f t="shared" si="120"/>
        <v/>
      </c>
      <c r="BG151" s="173" t="str">
        <f t="shared" si="121"/>
        <v/>
      </c>
      <c r="BH151" s="180" t="str">
        <f t="shared" si="122"/>
        <v/>
      </c>
      <c r="BI151" s="277"/>
      <c r="BJ151" s="185">
        <f t="shared" si="123"/>
        <v>45</v>
      </c>
      <c r="BK151" s="173">
        <f t="shared" si="124"/>
        <v>9.75</v>
      </c>
      <c r="BL151" s="173">
        <f t="shared" si="125"/>
        <v>354</v>
      </c>
      <c r="BM151" s="180">
        <f t="shared" si="126"/>
        <v>17.5</v>
      </c>
      <c r="BN151" s="168"/>
      <c r="BO151" s="185">
        <f t="shared" si="127"/>
        <v>45</v>
      </c>
      <c r="BP151" s="173">
        <f t="shared" si="128"/>
        <v>9.75</v>
      </c>
      <c r="BQ151" s="173">
        <f t="shared" si="129"/>
        <v>118</v>
      </c>
      <c r="BR151" s="180">
        <f t="shared" si="130"/>
        <v>17.5</v>
      </c>
      <c r="BS151" s="168"/>
      <c r="BT151" s="185" t="str">
        <f t="shared" si="131"/>
        <v/>
      </c>
      <c r="BU151" s="173" t="str">
        <f t="shared" si="132"/>
        <v/>
      </c>
      <c r="BV151" s="173" t="str">
        <f t="shared" si="133"/>
        <v/>
      </c>
      <c r="BW151" s="180" t="str">
        <f t="shared" si="134"/>
        <v/>
      </c>
      <c r="BX151" s="288"/>
    </row>
    <row r="152" spans="1:76">
      <c r="A152" s="168"/>
      <c r="B152" s="185">
        <f t="shared" si="135"/>
        <v>45</v>
      </c>
      <c r="C152" s="173">
        <f t="shared" si="76"/>
        <v>139.5</v>
      </c>
      <c r="D152" s="173">
        <f t="shared" si="77"/>
        <v>370</v>
      </c>
      <c r="E152" s="180">
        <f t="shared" si="78"/>
        <v>18</v>
      </c>
      <c r="F152" s="168"/>
      <c r="G152" s="185">
        <f t="shared" si="79"/>
        <v>45</v>
      </c>
      <c r="H152" s="173">
        <f t="shared" si="80"/>
        <v>139.5</v>
      </c>
      <c r="I152" s="173">
        <f t="shared" si="81"/>
        <v>130</v>
      </c>
      <c r="J152" s="180">
        <f t="shared" si="82"/>
        <v>18</v>
      </c>
      <c r="K152" s="168"/>
      <c r="L152" s="185">
        <f t="shared" si="83"/>
        <v>45</v>
      </c>
      <c r="M152" s="173">
        <f t="shared" si="84"/>
        <v>139.5</v>
      </c>
      <c r="N152" s="173">
        <f t="shared" si="85"/>
        <v>61</v>
      </c>
      <c r="O152" s="180">
        <f t="shared" si="86"/>
        <v>18</v>
      </c>
      <c r="P152" s="168"/>
      <c r="Q152" s="185">
        <f t="shared" si="87"/>
        <v>45</v>
      </c>
      <c r="R152" s="173">
        <f t="shared" si="88"/>
        <v>96.5</v>
      </c>
      <c r="S152" s="173">
        <f t="shared" si="89"/>
        <v>603</v>
      </c>
      <c r="T152" s="180">
        <f t="shared" si="90"/>
        <v>18</v>
      </c>
      <c r="U152" s="168"/>
      <c r="V152" s="185">
        <f t="shared" si="91"/>
        <v>45</v>
      </c>
      <c r="W152" s="173">
        <f t="shared" si="92"/>
        <v>96.5</v>
      </c>
      <c r="X152" s="173">
        <f t="shared" si="93"/>
        <v>374.5</v>
      </c>
      <c r="Y152" s="180">
        <f t="shared" si="94"/>
        <v>18</v>
      </c>
      <c r="Z152" s="168"/>
      <c r="AA152" s="185">
        <f t="shared" si="95"/>
        <v>45</v>
      </c>
      <c r="AB152" s="173">
        <f t="shared" si="96"/>
        <v>96.5</v>
      </c>
      <c r="AC152" s="173">
        <f t="shared" si="97"/>
        <v>266</v>
      </c>
      <c r="AD152" s="180">
        <f t="shared" si="98"/>
        <v>18</v>
      </c>
      <c r="AE152" s="168"/>
      <c r="AF152" s="185">
        <f t="shared" si="99"/>
        <v>45</v>
      </c>
      <c r="AG152" s="173">
        <f t="shared" si="100"/>
        <v>53.5</v>
      </c>
      <c r="AH152" s="173">
        <f t="shared" si="101"/>
        <v>320</v>
      </c>
      <c r="AI152" s="180">
        <f t="shared" si="102"/>
        <v>18</v>
      </c>
      <c r="AJ152" s="168"/>
      <c r="AK152" s="185">
        <f t="shared" si="103"/>
        <v>45</v>
      </c>
      <c r="AL152" s="173">
        <f t="shared" si="104"/>
        <v>10.5</v>
      </c>
      <c r="AM152" s="173">
        <f t="shared" si="105"/>
        <v>118</v>
      </c>
      <c r="AN152" s="180">
        <f t="shared" si="106"/>
        <v>18</v>
      </c>
      <c r="AO152" s="168"/>
      <c r="AP152" s="185">
        <f t="shared" si="107"/>
        <v>45</v>
      </c>
      <c r="AQ152" s="199">
        <f t="shared" si="108"/>
        <v>96.5</v>
      </c>
      <c r="AR152" s="199">
        <f t="shared" si="109"/>
        <v>753</v>
      </c>
      <c r="AS152" s="200">
        <f t="shared" si="110"/>
        <v>18</v>
      </c>
      <c r="AT152" s="277"/>
      <c r="AU152" s="185">
        <f t="shared" si="111"/>
        <v>45</v>
      </c>
      <c r="AV152" s="173">
        <f t="shared" si="112"/>
        <v>50</v>
      </c>
      <c r="AW152" s="173">
        <f t="shared" si="113"/>
        <v>266</v>
      </c>
      <c r="AX152" s="180">
        <f t="shared" si="114"/>
        <v>17.5</v>
      </c>
      <c r="AY152" s="168"/>
      <c r="AZ152" s="185">
        <f t="shared" si="115"/>
        <v>45</v>
      </c>
      <c r="BA152" s="173">
        <f t="shared" si="116"/>
        <v>10.799999999999997</v>
      </c>
      <c r="BB152" s="173">
        <f t="shared" si="117"/>
        <v>292</v>
      </c>
      <c r="BC152" s="180">
        <f t="shared" si="118"/>
        <v>17.5</v>
      </c>
      <c r="BD152" s="168"/>
      <c r="BE152" s="185" t="str">
        <f t="shared" si="119"/>
        <v/>
      </c>
      <c r="BF152" s="173" t="str">
        <f t="shared" si="120"/>
        <v/>
      </c>
      <c r="BG152" s="173" t="str">
        <f t="shared" si="121"/>
        <v/>
      </c>
      <c r="BH152" s="180" t="str">
        <f t="shared" si="122"/>
        <v/>
      </c>
      <c r="BI152" s="277"/>
      <c r="BJ152" s="185">
        <f t="shared" si="123"/>
        <v>45</v>
      </c>
      <c r="BK152" s="173">
        <f t="shared" si="124"/>
        <v>9.75</v>
      </c>
      <c r="BL152" s="173">
        <f t="shared" si="125"/>
        <v>296</v>
      </c>
      <c r="BM152" s="180">
        <f t="shared" si="126"/>
        <v>17.5</v>
      </c>
      <c r="BN152" s="168"/>
      <c r="BO152" s="185">
        <f t="shared" si="127"/>
        <v>45</v>
      </c>
      <c r="BP152" s="173">
        <f t="shared" si="128"/>
        <v>9.75</v>
      </c>
      <c r="BQ152" s="173">
        <f t="shared" si="129"/>
        <v>60</v>
      </c>
      <c r="BR152" s="180">
        <f t="shared" si="130"/>
        <v>17.5</v>
      </c>
      <c r="BS152" s="168"/>
      <c r="BT152" s="185" t="str">
        <f t="shared" si="131"/>
        <v/>
      </c>
      <c r="BU152" s="173" t="str">
        <f t="shared" si="132"/>
        <v/>
      </c>
      <c r="BV152" s="173" t="str">
        <f t="shared" si="133"/>
        <v/>
      </c>
      <c r="BW152" s="180" t="str">
        <f t="shared" si="134"/>
        <v/>
      </c>
      <c r="BX152" s="288"/>
    </row>
    <row r="153" spans="1:76">
      <c r="A153" s="168"/>
      <c r="B153" s="185">
        <f t="shared" si="135"/>
        <v>45</v>
      </c>
      <c r="C153" s="173">
        <f t="shared" si="76"/>
        <v>139.5</v>
      </c>
      <c r="D153" s="173">
        <f t="shared" si="77"/>
        <v>313</v>
      </c>
      <c r="E153" s="180">
        <f t="shared" si="78"/>
        <v>18</v>
      </c>
      <c r="F153" s="168"/>
      <c r="G153" s="185">
        <f t="shared" si="79"/>
        <v>45</v>
      </c>
      <c r="H153" s="173">
        <f t="shared" si="80"/>
        <v>139.5</v>
      </c>
      <c r="I153" s="173">
        <f t="shared" si="81"/>
        <v>73</v>
      </c>
      <c r="J153" s="180">
        <f t="shared" si="82"/>
        <v>18</v>
      </c>
      <c r="K153" s="168"/>
      <c r="L153" s="185">
        <f t="shared" si="83"/>
        <v>45</v>
      </c>
      <c r="M153" s="173">
        <f t="shared" si="84"/>
        <v>96.5</v>
      </c>
      <c r="N153" s="173">
        <f t="shared" si="85"/>
        <v>660</v>
      </c>
      <c r="O153" s="180">
        <f t="shared" si="86"/>
        <v>18</v>
      </c>
      <c r="P153" s="168"/>
      <c r="Q153" s="185">
        <f t="shared" si="87"/>
        <v>45</v>
      </c>
      <c r="R153" s="173">
        <f t="shared" si="88"/>
        <v>96.5</v>
      </c>
      <c r="S153" s="173">
        <f t="shared" si="89"/>
        <v>546</v>
      </c>
      <c r="T153" s="180">
        <f t="shared" si="90"/>
        <v>18</v>
      </c>
      <c r="U153" s="168"/>
      <c r="V153" s="185">
        <f t="shared" si="91"/>
        <v>45</v>
      </c>
      <c r="W153" s="173">
        <f t="shared" si="92"/>
        <v>96.5</v>
      </c>
      <c r="X153" s="173">
        <f t="shared" si="93"/>
        <v>317.5</v>
      </c>
      <c r="Y153" s="180">
        <f t="shared" si="94"/>
        <v>18</v>
      </c>
      <c r="Z153" s="168"/>
      <c r="AA153" s="185">
        <f t="shared" si="95"/>
        <v>45</v>
      </c>
      <c r="AB153" s="173">
        <f t="shared" si="96"/>
        <v>96.5</v>
      </c>
      <c r="AC153" s="173">
        <f t="shared" si="97"/>
        <v>208</v>
      </c>
      <c r="AD153" s="180">
        <f t="shared" si="98"/>
        <v>18</v>
      </c>
      <c r="AE153" s="168"/>
      <c r="AF153" s="185">
        <f t="shared" si="99"/>
        <v>45</v>
      </c>
      <c r="AG153" s="173">
        <f t="shared" si="100"/>
        <v>53.5</v>
      </c>
      <c r="AH153" s="173">
        <f t="shared" si="101"/>
        <v>262</v>
      </c>
      <c r="AI153" s="180">
        <f t="shared" si="102"/>
        <v>18</v>
      </c>
      <c r="AJ153" s="168"/>
      <c r="AK153" s="185">
        <f t="shared" si="103"/>
        <v>45</v>
      </c>
      <c r="AL153" s="173">
        <f t="shared" si="104"/>
        <v>10.5</v>
      </c>
      <c r="AM153" s="173">
        <f t="shared" si="105"/>
        <v>60</v>
      </c>
      <c r="AN153" s="180">
        <f t="shared" si="106"/>
        <v>18</v>
      </c>
      <c r="AO153" s="168"/>
      <c r="AP153" s="185">
        <f t="shared" si="107"/>
        <v>45</v>
      </c>
      <c r="AQ153" s="199">
        <f t="shared" si="108"/>
        <v>96.5</v>
      </c>
      <c r="AR153" s="199">
        <f t="shared" si="109"/>
        <v>696</v>
      </c>
      <c r="AS153" s="200">
        <f t="shared" si="110"/>
        <v>18</v>
      </c>
      <c r="AT153" s="277"/>
      <c r="AU153" s="185">
        <f t="shared" si="111"/>
        <v>45</v>
      </c>
      <c r="AV153" s="173">
        <f t="shared" si="112"/>
        <v>50</v>
      </c>
      <c r="AW153" s="173">
        <f t="shared" si="113"/>
        <v>208</v>
      </c>
      <c r="AX153" s="180">
        <f t="shared" si="114"/>
        <v>17.5</v>
      </c>
      <c r="AY153" s="168"/>
      <c r="AZ153" s="185">
        <f t="shared" si="115"/>
        <v>45</v>
      </c>
      <c r="BA153" s="173">
        <f t="shared" si="116"/>
        <v>10.799999999999997</v>
      </c>
      <c r="BB153" s="173">
        <f t="shared" si="117"/>
        <v>234</v>
      </c>
      <c r="BC153" s="180">
        <f t="shared" si="118"/>
        <v>17.5</v>
      </c>
      <c r="BD153" s="168"/>
      <c r="BE153" s="185" t="str">
        <f t="shared" si="119"/>
        <v/>
      </c>
      <c r="BF153" s="173" t="str">
        <f t="shared" si="120"/>
        <v/>
      </c>
      <c r="BG153" s="173" t="str">
        <f t="shared" si="121"/>
        <v/>
      </c>
      <c r="BH153" s="180" t="str">
        <f t="shared" si="122"/>
        <v/>
      </c>
      <c r="BI153" s="277"/>
      <c r="BJ153" s="185">
        <f t="shared" si="123"/>
        <v>45</v>
      </c>
      <c r="BK153" s="173">
        <f t="shared" si="124"/>
        <v>9.75</v>
      </c>
      <c r="BL153" s="173">
        <f t="shared" si="125"/>
        <v>238</v>
      </c>
      <c r="BM153" s="180">
        <f t="shared" si="126"/>
        <v>17.5</v>
      </c>
      <c r="BN153" s="168"/>
      <c r="BO153" s="185" t="str">
        <f t="shared" si="127"/>
        <v/>
      </c>
      <c r="BP153" s="173" t="str">
        <f t="shared" si="128"/>
        <v/>
      </c>
      <c r="BQ153" s="173" t="str">
        <f t="shared" si="129"/>
        <v/>
      </c>
      <c r="BR153" s="180" t="str">
        <f t="shared" si="130"/>
        <v/>
      </c>
      <c r="BS153" s="168"/>
      <c r="BT153" s="185" t="str">
        <f t="shared" si="131"/>
        <v/>
      </c>
      <c r="BU153" s="173" t="str">
        <f t="shared" si="132"/>
        <v/>
      </c>
      <c r="BV153" s="173" t="str">
        <f t="shared" si="133"/>
        <v/>
      </c>
      <c r="BW153" s="180" t="str">
        <f t="shared" si="134"/>
        <v/>
      </c>
      <c r="BX153" s="288"/>
    </row>
    <row r="154" spans="1:76">
      <c r="A154" s="168"/>
      <c r="B154" s="185">
        <f t="shared" si="135"/>
        <v>45</v>
      </c>
      <c r="C154" s="173">
        <f t="shared" si="76"/>
        <v>96.5</v>
      </c>
      <c r="D154" s="173">
        <f t="shared" si="77"/>
        <v>969</v>
      </c>
      <c r="E154" s="180">
        <f t="shared" si="78"/>
        <v>18</v>
      </c>
      <c r="F154" s="168"/>
      <c r="G154" s="185">
        <f t="shared" si="79"/>
        <v>45</v>
      </c>
      <c r="H154" s="173">
        <f t="shared" si="80"/>
        <v>96.5</v>
      </c>
      <c r="I154" s="173">
        <f t="shared" si="81"/>
        <v>729</v>
      </c>
      <c r="J154" s="180">
        <f t="shared" si="82"/>
        <v>18</v>
      </c>
      <c r="K154" s="168"/>
      <c r="L154" s="185">
        <f t="shared" si="83"/>
        <v>45</v>
      </c>
      <c r="M154" s="173">
        <f t="shared" si="84"/>
        <v>96.5</v>
      </c>
      <c r="N154" s="173">
        <f t="shared" si="85"/>
        <v>603</v>
      </c>
      <c r="O154" s="180">
        <f t="shared" si="86"/>
        <v>18</v>
      </c>
      <c r="P154" s="168"/>
      <c r="Q154" s="185">
        <f t="shared" si="87"/>
        <v>45</v>
      </c>
      <c r="R154" s="173">
        <f t="shared" si="88"/>
        <v>96.5</v>
      </c>
      <c r="S154" s="173">
        <f t="shared" si="89"/>
        <v>489</v>
      </c>
      <c r="T154" s="180">
        <f t="shared" si="90"/>
        <v>18</v>
      </c>
      <c r="U154" s="168"/>
      <c r="V154" s="185">
        <f t="shared" si="91"/>
        <v>45</v>
      </c>
      <c r="W154" s="173">
        <f t="shared" si="92"/>
        <v>96.5</v>
      </c>
      <c r="X154" s="173">
        <f t="shared" si="93"/>
        <v>260.5</v>
      </c>
      <c r="Y154" s="180">
        <f t="shared" si="94"/>
        <v>18</v>
      </c>
      <c r="Z154" s="168"/>
      <c r="AA154" s="185">
        <f t="shared" si="95"/>
        <v>45</v>
      </c>
      <c r="AB154" s="173">
        <f t="shared" si="96"/>
        <v>96.5</v>
      </c>
      <c r="AC154" s="173">
        <f t="shared" si="97"/>
        <v>150</v>
      </c>
      <c r="AD154" s="180">
        <f t="shared" si="98"/>
        <v>18</v>
      </c>
      <c r="AE154" s="168"/>
      <c r="AF154" s="185">
        <f t="shared" si="99"/>
        <v>45</v>
      </c>
      <c r="AG154" s="173">
        <f t="shared" si="100"/>
        <v>53.5</v>
      </c>
      <c r="AH154" s="173">
        <f t="shared" si="101"/>
        <v>204</v>
      </c>
      <c r="AI154" s="180">
        <f t="shared" si="102"/>
        <v>18</v>
      </c>
      <c r="AJ154" s="168"/>
      <c r="AK154" s="185" t="str">
        <f t="shared" si="103"/>
        <v/>
      </c>
      <c r="AL154" s="173" t="str">
        <f t="shared" si="104"/>
        <v/>
      </c>
      <c r="AM154" s="173" t="str">
        <f t="shared" si="105"/>
        <v/>
      </c>
      <c r="AN154" s="180" t="str">
        <f t="shared" si="106"/>
        <v/>
      </c>
      <c r="AO154" s="168"/>
      <c r="AP154" s="185">
        <f t="shared" si="107"/>
        <v>45</v>
      </c>
      <c r="AQ154" s="199">
        <f t="shared" si="108"/>
        <v>96.5</v>
      </c>
      <c r="AR154" s="199">
        <f t="shared" si="109"/>
        <v>639</v>
      </c>
      <c r="AS154" s="200">
        <f t="shared" si="110"/>
        <v>18</v>
      </c>
      <c r="AT154" s="277"/>
      <c r="AU154" s="185">
        <f t="shared" si="111"/>
        <v>45</v>
      </c>
      <c r="AV154" s="173">
        <f t="shared" si="112"/>
        <v>50</v>
      </c>
      <c r="AW154" s="173">
        <f t="shared" si="113"/>
        <v>150</v>
      </c>
      <c r="AX154" s="180">
        <f t="shared" si="114"/>
        <v>17.5</v>
      </c>
      <c r="AY154" s="168"/>
      <c r="AZ154" s="185">
        <f t="shared" si="115"/>
        <v>45</v>
      </c>
      <c r="BA154" s="173">
        <f t="shared" si="116"/>
        <v>10.799999999999997</v>
      </c>
      <c r="BB154" s="173">
        <f t="shared" si="117"/>
        <v>176</v>
      </c>
      <c r="BC154" s="180">
        <f t="shared" si="118"/>
        <v>17.5</v>
      </c>
      <c r="BD154" s="168"/>
      <c r="BE154" s="185" t="str">
        <f t="shared" si="119"/>
        <v/>
      </c>
      <c r="BF154" s="173" t="str">
        <f t="shared" si="120"/>
        <v/>
      </c>
      <c r="BG154" s="173" t="str">
        <f t="shared" si="121"/>
        <v/>
      </c>
      <c r="BH154" s="180" t="str">
        <f t="shared" si="122"/>
        <v/>
      </c>
      <c r="BI154" s="277"/>
      <c r="BJ154" s="185">
        <f t="shared" si="123"/>
        <v>45</v>
      </c>
      <c r="BK154" s="173">
        <f t="shared" si="124"/>
        <v>9.75</v>
      </c>
      <c r="BL154" s="173">
        <f t="shared" si="125"/>
        <v>180</v>
      </c>
      <c r="BM154" s="180">
        <f t="shared" si="126"/>
        <v>17.5</v>
      </c>
      <c r="BN154" s="168"/>
      <c r="BO154" s="185" t="str">
        <f t="shared" si="127"/>
        <v/>
      </c>
      <c r="BP154" s="173" t="str">
        <f t="shared" si="128"/>
        <v/>
      </c>
      <c r="BQ154" s="173" t="str">
        <f t="shared" si="129"/>
        <v/>
      </c>
      <c r="BR154" s="180" t="str">
        <f t="shared" si="130"/>
        <v/>
      </c>
      <c r="BS154" s="168"/>
      <c r="BT154" s="185" t="str">
        <f t="shared" si="131"/>
        <v/>
      </c>
      <c r="BU154" s="173" t="str">
        <f t="shared" si="132"/>
        <v/>
      </c>
      <c r="BV154" s="173" t="str">
        <f t="shared" si="133"/>
        <v/>
      </c>
      <c r="BW154" s="180" t="str">
        <f t="shared" si="134"/>
        <v/>
      </c>
      <c r="BX154" s="288"/>
    </row>
    <row r="155" spans="1:76">
      <c r="A155" s="168"/>
      <c r="B155" s="185">
        <f t="shared" si="135"/>
        <v>45</v>
      </c>
      <c r="C155" s="173">
        <f t="shared" si="76"/>
        <v>96.5</v>
      </c>
      <c r="D155" s="173">
        <f t="shared" si="77"/>
        <v>912</v>
      </c>
      <c r="E155" s="180">
        <f t="shared" si="78"/>
        <v>18</v>
      </c>
      <c r="F155" s="168"/>
      <c r="G155" s="185">
        <f t="shared" si="79"/>
        <v>45</v>
      </c>
      <c r="H155" s="173">
        <f t="shared" si="80"/>
        <v>96.5</v>
      </c>
      <c r="I155" s="173">
        <f t="shared" si="81"/>
        <v>672</v>
      </c>
      <c r="J155" s="180">
        <f t="shared" si="82"/>
        <v>18</v>
      </c>
      <c r="K155" s="168"/>
      <c r="L155" s="185">
        <f t="shared" si="83"/>
        <v>45</v>
      </c>
      <c r="M155" s="173">
        <f t="shared" si="84"/>
        <v>96.5</v>
      </c>
      <c r="N155" s="173">
        <f t="shared" si="85"/>
        <v>546</v>
      </c>
      <c r="O155" s="180">
        <f t="shared" si="86"/>
        <v>18</v>
      </c>
      <c r="P155" s="168"/>
      <c r="Q155" s="185">
        <f t="shared" si="87"/>
        <v>45</v>
      </c>
      <c r="R155" s="173">
        <f t="shared" si="88"/>
        <v>96.5</v>
      </c>
      <c r="S155" s="173">
        <f t="shared" si="89"/>
        <v>432</v>
      </c>
      <c r="T155" s="180">
        <f t="shared" si="90"/>
        <v>18</v>
      </c>
      <c r="U155" s="168"/>
      <c r="V155" s="185">
        <f t="shared" si="91"/>
        <v>45</v>
      </c>
      <c r="W155" s="173">
        <f t="shared" si="92"/>
        <v>96.5</v>
      </c>
      <c r="X155" s="173">
        <f t="shared" si="93"/>
        <v>203.5</v>
      </c>
      <c r="Y155" s="180">
        <f t="shared" si="94"/>
        <v>18</v>
      </c>
      <c r="Z155" s="168"/>
      <c r="AA155" s="185">
        <f t="shared" si="95"/>
        <v>45</v>
      </c>
      <c r="AB155" s="173">
        <f t="shared" si="96"/>
        <v>96.5</v>
      </c>
      <c r="AC155" s="173">
        <f t="shared" si="97"/>
        <v>92</v>
      </c>
      <c r="AD155" s="180">
        <f t="shared" si="98"/>
        <v>18</v>
      </c>
      <c r="AE155" s="168"/>
      <c r="AF155" s="185">
        <f t="shared" si="99"/>
        <v>45</v>
      </c>
      <c r="AG155" s="173">
        <f t="shared" si="100"/>
        <v>53.5</v>
      </c>
      <c r="AH155" s="173">
        <f t="shared" si="101"/>
        <v>146</v>
      </c>
      <c r="AI155" s="180">
        <f t="shared" si="102"/>
        <v>18</v>
      </c>
      <c r="AJ155" s="168"/>
      <c r="AK155" s="185" t="str">
        <f t="shared" si="103"/>
        <v/>
      </c>
      <c r="AL155" s="173" t="str">
        <f t="shared" si="104"/>
        <v/>
      </c>
      <c r="AM155" s="173" t="str">
        <f t="shared" si="105"/>
        <v/>
      </c>
      <c r="AN155" s="180" t="str">
        <f t="shared" si="106"/>
        <v/>
      </c>
      <c r="AO155" s="168"/>
      <c r="AP155" s="185">
        <f t="shared" si="107"/>
        <v>45</v>
      </c>
      <c r="AQ155" s="199">
        <f t="shared" si="108"/>
        <v>96.5</v>
      </c>
      <c r="AR155" s="199">
        <f t="shared" si="109"/>
        <v>582</v>
      </c>
      <c r="AS155" s="200">
        <f t="shared" si="110"/>
        <v>18</v>
      </c>
      <c r="AT155" s="277"/>
      <c r="AU155" s="185">
        <f t="shared" si="111"/>
        <v>45</v>
      </c>
      <c r="AV155" s="173">
        <f t="shared" si="112"/>
        <v>50</v>
      </c>
      <c r="AW155" s="173">
        <f t="shared" si="113"/>
        <v>92</v>
      </c>
      <c r="AX155" s="180">
        <f t="shared" si="114"/>
        <v>17.5</v>
      </c>
      <c r="AY155" s="168"/>
      <c r="AZ155" s="185">
        <f t="shared" si="115"/>
        <v>45</v>
      </c>
      <c r="BA155" s="173">
        <f t="shared" si="116"/>
        <v>10.799999999999997</v>
      </c>
      <c r="BB155" s="173">
        <f t="shared" si="117"/>
        <v>118</v>
      </c>
      <c r="BC155" s="180">
        <f t="shared" si="118"/>
        <v>17.5</v>
      </c>
      <c r="BD155" s="168"/>
      <c r="BE155" s="185" t="str">
        <f t="shared" si="119"/>
        <v/>
      </c>
      <c r="BF155" s="173" t="str">
        <f t="shared" si="120"/>
        <v/>
      </c>
      <c r="BG155" s="173" t="str">
        <f t="shared" si="121"/>
        <v/>
      </c>
      <c r="BH155" s="180" t="str">
        <f t="shared" si="122"/>
        <v/>
      </c>
      <c r="BI155" s="277"/>
      <c r="BJ155" s="185">
        <f t="shared" si="123"/>
        <v>45</v>
      </c>
      <c r="BK155" s="173">
        <f t="shared" si="124"/>
        <v>9.75</v>
      </c>
      <c r="BL155" s="173">
        <f t="shared" si="125"/>
        <v>122</v>
      </c>
      <c r="BM155" s="180">
        <f t="shared" si="126"/>
        <v>17.5</v>
      </c>
      <c r="BN155" s="168"/>
      <c r="BO155" s="185" t="str">
        <f t="shared" si="127"/>
        <v/>
      </c>
      <c r="BP155" s="173" t="str">
        <f t="shared" si="128"/>
        <v/>
      </c>
      <c r="BQ155" s="173" t="str">
        <f t="shared" si="129"/>
        <v/>
      </c>
      <c r="BR155" s="180" t="str">
        <f t="shared" si="130"/>
        <v/>
      </c>
      <c r="BS155" s="168"/>
      <c r="BT155" s="185" t="str">
        <f t="shared" si="131"/>
        <v/>
      </c>
      <c r="BU155" s="173" t="str">
        <f t="shared" si="132"/>
        <v/>
      </c>
      <c r="BV155" s="173" t="str">
        <f t="shared" si="133"/>
        <v/>
      </c>
      <c r="BW155" s="180" t="str">
        <f t="shared" si="134"/>
        <v/>
      </c>
      <c r="BX155" s="288"/>
    </row>
    <row r="156" spans="1:76">
      <c r="A156" s="168"/>
      <c r="B156" s="185">
        <f t="shared" si="135"/>
        <v>45</v>
      </c>
      <c r="C156" s="173">
        <f t="shared" si="76"/>
        <v>96.5</v>
      </c>
      <c r="D156" s="173">
        <f t="shared" si="77"/>
        <v>855</v>
      </c>
      <c r="E156" s="180">
        <f t="shared" si="78"/>
        <v>18</v>
      </c>
      <c r="F156" s="168"/>
      <c r="G156" s="185">
        <f t="shared" si="79"/>
        <v>45</v>
      </c>
      <c r="H156" s="173">
        <f t="shared" si="80"/>
        <v>96.5</v>
      </c>
      <c r="I156" s="173">
        <f t="shared" si="81"/>
        <v>615</v>
      </c>
      <c r="J156" s="180">
        <f t="shared" si="82"/>
        <v>18</v>
      </c>
      <c r="K156" s="168"/>
      <c r="L156" s="185">
        <f t="shared" si="83"/>
        <v>45</v>
      </c>
      <c r="M156" s="173">
        <f t="shared" si="84"/>
        <v>96.5</v>
      </c>
      <c r="N156" s="173">
        <f t="shared" si="85"/>
        <v>489</v>
      </c>
      <c r="O156" s="180">
        <f t="shared" si="86"/>
        <v>18</v>
      </c>
      <c r="P156" s="168"/>
      <c r="Q156" s="185">
        <f t="shared" si="87"/>
        <v>45</v>
      </c>
      <c r="R156" s="173">
        <f t="shared" si="88"/>
        <v>96.5</v>
      </c>
      <c r="S156" s="173">
        <f t="shared" si="89"/>
        <v>375</v>
      </c>
      <c r="T156" s="180">
        <f t="shared" si="90"/>
        <v>18</v>
      </c>
      <c r="U156" s="168"/>
      <c r="V156" s="185">
        <f t="shared" si="91"/>
        <v>45</v>
      </c>
      <c r="W156" s="173">
        <f t="shared" si="92"/>
        <v>96.5</v>
      </c>
      <c r="X156" s="173">
        <f t="shared" si="93"/>
        <v>146.5</v>
      </c>
      <c r="Y156" s="180">
        <f t="shared" si="94"/>
        <v>18</v>
      </c>
      <c r="Z156" s="168"/>
      <c r="AA156" s="185">
        <f t="shared" si="95"/>
        <v>45</v>
      </c>
      <c r="AB156" s="173">
        <f t="shared" si="96"/>
        <v>53.5</v>
      </c>
      <c r="AC156" s="173">
        <f t="shared" si="97"/>
        <v>440</v>
      </c>
      <c r="AD156" s="180">
        <f t="shared" si="98"/>
        <v>18</v>
      </c>
      <c r="AE156" s="168"/>
      <c r="AF156" s="185">
        <f t="shared" si="99"/>
        <v>45</v>
      </c>
      <c r="AG156" s="173">
        <f t="shared" si="100"/>
        <v>53.5</v>
      </c>
      <c r="AH156" s="173">
        <f t="shared" si="101"/>
        <v>88</v>
      </c>
      <c r="AI156" s="180">
        <f t="shared" si="102"/>
        <v>18</v>
      </c>
      <c r="AJ156" s="168"/>
      <c r="AK156" s="185" t="str">
        <f t="shared" si="103"/>
        <v/>
      </c>
      <c r="AL156" s="173" t="str">
        <f t="shared" si="104"/>
        <v/>
      </c>
      <c r="AM156" s="173" t="str">
        <f t="shared" si="105"/>
        <v/>
      </c>
      <c r="AN156" s="180" t="str">
        <f t="shared" si="106"/>
        <v/>
      </c>
      <c r="AO156" s="168"/>
      <c r="AP156" s="185">
        <f t="shared" si="107"/>
        <v>45</v>
      </c>
      <c r="AQ156" s="199">
        <f t="shared" si="108"/>
        <v>96.5</v>
      </c>
      <c r="AR156" s="199">
        <f t="shared" si="109"/>
        <v>525</v>
      </c>
      <c r="AS156" s="200">
        <f t="shared" si="110"/>
        <v>18</v>
      </c>
      <c r="AT156" s="277"/>
      <c r="AU156" s="185">
        <f t="shared" si="111"/>
        <v>45</v>
      </c>
      <c r="AV156" s="173">
        <f t="shared" si="112"/>
        <v>10.799999999999997</v>
      </c>
      <c r="AW156" s="173">
        <f t="shared" si="113"/>
        <v>412</v>
      </c>
      <c r="AX156" s="180">
        <f t="shared" si="114"/>
        <v>17.5</v>
      </c>
      <c r="AY156" s="168"/>
      <c r="AZ156" s="185">
        <f t="shared" si="115"/>
        <v>45</v>
      </c>
      <c r="BA156" s="173">
        <f t="shared" si="116"/>
        <v>10.799999999999997</v>
      </c>
      <c r="BB156" s="173">
        <f t="shared" si="117"/>
        <v>60</v>
      </c>
      <c r="BC156" s="180">
        <f t="shared" si="118"/>
        <v>17.5</v>
      </c>
      <c r="BD156" s="168"/>
      <c r="BE156" s="185" t="str">
        <f t="shared" si="119"/>
        <v/>
      </c>
      <c r="BF156" s="173" t="str">
        <f t="shared" si="120"/>
        <v/>
      </c>
      <c r="BG156" s="173" t="str">
        <f t="shared" si="121"/>
        <v/>
      </c>
      <c r="BH156" s="180" t="str">
        <f t="shared" si="122"/>
        <v/>
      </c>
      <c r="BI156" s="277"/>
      <c r="BJ156" s="185">
        <f t="shared" si="123"/>
        <v>45</v>
      </c>
      <c r="BK156" s="173">
        <f t="shared" si="124"/>
        <v>9.75</v>
      </c>
      <c r="BL156" s="173">
        <f t="shared" si="125"/>
        <v>64</v>
      </c>
      <c r="BM156" s="180">
        <f t="shared" si="126"/>
        <v>17.5</v>
      </c>
      <c r="BN156" s="168"/>
      <c r="BO156" s="185" t="str">
        <f t="shared" si="127"/>
        <v/>
      </c>
      <c r="BP156" s="173" t="str">
        <f t="shared" si="128"/>
        <v/>
      </c>
      <c r="BQ156" s="173" t="str">
        <f t="shared" si="129"/>
        <v/>
      </c>
      <c r="BR156" s="180" t="str">
        <f t="shared" si="130"/>
        <v/>
      </c>
      <c r="BS156" s="168"/>
      <c r="BT156" s="185" t="str">
        <f t="shared" si="131"/>
        <v/>
      </c>
      <c r="BU156" s="173" t="str">
        <f t="shared" si="132"/>
        <v/>
      </c>
      <c r="BV156" s="173" t="str">
        <f t="shared" si="133"/>
        <v/>
      </c>
      <c r="BW156" s="180" t="str">
        <f t="shared" si="134"/>
        <v/>
      </c>
      <c r="BX156" s="288"/>
    </row>
    <row r="157" spans="1:76">
      <c r="A157" s="168"/>
      <c r="B157" s="185">
        <f t="shared" si="135"/>
        <v>45</v>
      </c>
      <c r="C157" s="173">
        <f t="shared" si="76"/>
        <v>96.5</v>
      </c>
      <c r="D157" s="173">
        <f t="shared" si="77"/>
        <v>798</v>
      </c>
      <c r="E157" s="180">
        <f t="shared" si="78"/>
        <v>18</v>
      </c>
      <c r="F157" s="168"/>
      <c r="G157" s="185">
        <f t="shared" si="79"/>
        <v>45</v>
      </c>
      <c r="H157" s="173">
        <f t="shared" si="80"/>
        <v>96.5</v>
      </c>
      <c r="I157" s="173">
        <f t="shared" si="81"/>
        <v>558</v>
      </c>
      <c r="J157" s="180">
        <f t="shared" si="82"/>
        <v>18</v>
      </c>
      <c r="K157" s="168"/>
      <c r="L157" s="185">
        <f t="shared" si="83"/>
        <v>45</v>
      </c>
      <c r="M157" s="173">
        <f t="shared" si="84"/>
        <v>96.5</v>
      </c>
      <c r="N157" s="173">
        <f t="shared" si="85"/>
        <v>432</v>
      </c>
      <c r="O157" s="180">
        <f t="shared" si="86"/>
        <v>18</v>
      </c>
      <c r="P157" s="168"/>
      <c r="Q157" s="185">
        <f t="shared" si="87"/>
        <v>45</v>
      </c>
      <c r="R157" s="173">
        <f t="shared" si="88"/>
        <v>96.5</v>
      </c>
      <c r="S157" s="173">
        <f t="shared" si="89"/>
        <v>318</v>
      </c>
      <c r="T157" s="180">
        <f t="shared" si="90"/>
        <v>18</v>
      </c>
      <c r="U157" s="168"/>
      <c r="V157" s="185">
        <f t="shared" si="91"/>
        <v>45</v>
      </c>
      <c r="W157" s="173">
        <f t="shared" si="92"/>
        <v>96.5</v>
      </c>
      <c r="X157" s="173">
        <f t="shared" si="93"/>
        <v>89.5</v>
      </c>
      <c r="Y157" s="180">
        <f t="shared" si="94"/>
        <v>18</v>
      </c>
      <c r="Z157" s="168"/>
      <c r="AA157" s="185">
        <f t="shared" si="95"/>
        <v>45</v>
      </c>
      <c r="AB157" s="173">
        <f t="shared" si="96"/>
        <v>53.5</v>
      </c>
      <c r="AC157" s="173">
        <f t="shared" si="97"/>
        <v>382</v>
      </c>
      <c r="AD157" s="180">
        <f t="shared" si="98"/>
        <v>18</v>
      </c>
      <c r="AE157" s="168"/>
      <c r="AF157" s="185">
        <f t="shared" si="99"/>
        <v>45</v>
      </c>
      <c r="AG157" s="173">
        <f t="shared" si="100"/>
        <v>10.5</v>
      </c>
      <c r="AH157" s="173">
        <f t="shared" si="101"/>
        <v>292</v>
      </c>
      <c r="AI157" s="180">
        <f t="shared" si="102"/>
        <v>18</v>
      </c>
      <c r="AJ157" s="168"/>
      <c r="AK157" s="185" t="str">
        <f t="shared" si="103"/>
        <v/>
      </c>
      <c r="AL157" s="173" t="str">
        <f t="shared" si="104"/>
        <v/>
      </c>
      <c r="AM157" s="173" t="str">
        <f t="shared" si="105"/>
        <v/>
      </c>
      <c r="AN157" s="180" t="str">
        <f t="shared" si="106"/>
        <v/>
      </c>
      <c r="AO157" s="168"/>
      <c r="AP157" s="185">
        <f t="shared" si="107"/>
        <v>45</v>
      </c>
      <c r="AQ157" s="199">
        <f t="shared" si="108"/>
        <v>96.5</v>
      </c>
      <c r="AR157" s="199">
        <f t="shared" si="109"/>
        <v>468</v>
      </c>
      <c r="AS157" s="200">
        <f t="shared" si="110"/>
        <v>18</v>
      </c>
      <c r="AT157" s="277"/>
      <c r="AU157" s="185">
        <f t="shared" si="111"/>
        <v>45</v>
      </c>
      <c r="AV157" s="173">
        <f t="shared" si="112"/>
        <v>10.799999999999997</v>
      </c>
      <c r="AW157" s="173">
        <f t="shared" si="113"/>
        <v>354</v>
      </c>
      <c r="AX157" s="180">
        <f t="shared" si="114"/>
        <v>17.5</v>
      </c>
      <c r="AY157" s="168"/>
      <c r="AZ157" s="185" t="str">
        <f t="shared" si="115"/>
        <v/>
      </c>
      <c r="BA157" s="173" t="str">
        <f t="shared" si="116"/>
        <v/>
      </c>
      <c r="BB157" s="173" t="str">
        <f t="shared" si="117"/>
        <v/>
      </c>
      <c r="BC157" s="180" t="str">
        <f t="shared" si="118"/>
        <v/>
      </c>
      <c r="BD157" s="168"/>
      <c r="BE157" s="185" t="str">
        <f t="shared" si="119"/>
        <v/>
      </c>
      <c r="BF157" s="173" t="str">
        <f t="shared" si="120"/>
        <v/>
      </c>
      <c r="BG157" s="173" t="str">
        <f t="shared" si="121"/>
        <v/>
      </c>
      <c r="BH157" s="180" t="str">
        <f t="shared" si="122"/>
        <v/>
      </c>
      <c r="BI157" s="277"/>
      <c r="BJ157" s="185" t="str">
        <f t="shared" si="123"/>
        <v/>
      </c>
      <c r="BK157" s="173" t="str">
        <f t="shared" si="124"/>
        <v/>
      </c>
      <c r="BL157" s="173" t="str">
        <f t="shared" si="125"/>
        <v/>
      </c>
      <c r="BM157" s="180" t="str">
        <f t="shared" si="126"/>
        <v/>
      </c>
      <c r="BN157" s="168"/>
      <c r="BO157" s="185" t="str">
        <f t="shared" si="127"/>
        <v/>
      </c>
      <c r="BP157" s="173" t="str">
        <f t="shared" si="128"/>
        <v/>
      </c>
      <c r="BQ157" s="173" t="str">
        <f t="shared" si="129"/>
        <v/>
      </c>
      <c r="BR157" s="180" t="str">
        <f t="shared" si="130"/>
        <v/>
      </c>
      <c r="BS157" s="168"/>
      <c r="BT157" s="185" t="str">
        <f t="shared" si="131"/>
        <v/>
      </c>
      <c r="BU157" s="173" t="str">
        <f t="shared" si="132"/>
        <v/>
      </c>
      <c r="BV157" s="173" t="str">
        <f t="shared" si="133"/>
        <v/>
      </c>
      <c r="BW157" s="180" t="str">
        <f t="shared" si="134"/>
        <v/>
      </c>
      <c r="BX157" s="288"/>
    </row>
    <row r="158" spans="1:76">
      <c r="A158" s="168"/>
      <c r="B158" s="185">
        <f t="shared" si="135"/>
        <v>45</v>
      </c>
      <c r="C158" s="173">
        <f t="shared" si="76"/>
        <v>96.5</v>
      </c>
      <c r="D158" s="173">
        <f t="shared" si="77"/>
        <v>741</v>
      </c>
      <c r="E158" s="180">
        <f t="shared" si="78"/>
        <v>18</v>
      </c>
      <c r="F158" s="168"/>
      <c r="G158" s="185">
        <f t="shared" si="79"/>
        <v>45</v>
      </c>
      <c r="H158" s="173">
        <f t="shared" si="80"/>
        <v>96.5</v>
      </c>
      <c r="I158" s="173">
        <f t="shared" si="81"/>
        <v>501</v>
      </c>
      <c r="J158" s="180">
        <f t="shared" si="82"/>
        <v>18</v>
      </c>
      <c r="K158" s="168"/>
      <c r="L158" s="185">
        <f t="shared" si="83"/>
        <v>45</v>
      </c>
      <c r="M158" s="173">
        <f t="shared" si="84"/>
        <v>96.5</v>
      </c>
      <c r="N158" s="173">
        <f t="shared" si="85"/>
        <v>375</v>
      </c>
      <c r="O158" s="180">
        <f t="shared" si="86"/>
        <v>18</v>
      </c>
      <c r="P158" s="168"/>
      <c r="Q158" s="185">
        <f t="shared" si="87"/>
        <v>45</v>
      </c>
      <c r="R158" s="173">
        <f t="shared" si="88"/>
        <v>96.5</v>
      </c>
      <c r="S158" s="173">
        <f t="shared" si="89"/>
        <v>261</v>
      </c>
      <c r="T158" s="180">
        <f t="shared" si="90"/>
        <v>18</v>
      </c>
      <c r="U158" s="168"/>
      <c r="V158" s="185">
        <f t="shared" si="91"/>
        <v>45</v>
      </c>
      <c r="W158" s="173">
        <f t="shared" si="92"/>
        <v>53.5</v>
      </c>
      <c r="X158" s="173">
        <f t="shared" si="93"/>
        <v>488.5</v>
      </c>
      <c r="Y158" s="180">
        <f t="shared" si="94"/>
        <v>18</v>
      </c>
      <c r="Z158" s="168"/>
      <c r="AA158" s="185">
        <f t="shared" si="95"/>
        <v>45</v>
      </c>
      <c r="AB158" s="173">
        <f t="shared" si="96"/>
        <v>53.5</v>
      </c>
      <c r="AC158" s="173">
        <f t="shared" si="97"/>
        <v>324</v>
      </c>
      <c r="AD158" s="180">
        <f t="shared" si="98"/>
        <v>18</v>
      </c>
      <c r="AE158" s="168"/>
      <c r="AF158" s="185">
        <f t="shared" si="99"/>
        <v>45</v>
      </c>
      <c r="AG158" s="173">
        <f t="shared" si="100"/>
        <v>10.5</v>
      </c>
      <c r="AH158" s="173">
        <f t="shared" si="101"/>
        <v>234</v>
      </c>
      <c r="AI158" s="180">
        <f t="shared" si="102"/>
        <v>18</v>
      </c>
      <c r="AJ158" s="168"/>
      <c r="AK158" s="185" t="str">
        <f t="shared" si="103"/>
        <v/>
      </c>
      <c r="AL158" s="173" t="str">
        <f t="shared" si="104"/>
        <v/>
      </c>
      <c r="AM158" s="173" t="str">
        <f t="shared" si="105"/>
        <v/>
      </c>
      <c r="AN158" s="180" t="str">
        <f t="shared" si="106"/>
        <v/>
      </c>
      <c r="AO158" s="168"/>
      <c r="AP158" s="185">
        <f t="shared" si="107"/>
        <v>45</v>
      </c>
      <c r="AQ158" s="199">
        <f t="shared" si="108"/>
        <v>96.5</v>
      </c>
      <c r="AR158" s="199">
        <f t="shared" si="109"/>
        <v>411</v>
      </c>
      <c r="AS158" s="200">
        <f t="shared" si="110"/>
        <v>18</v>
      </c>
      <c r="AT158" s="277"/>
      <c r="AU158" s="185">
        <f t="shared" si="111"/>
        <v>45</v>
      </c>
      <c r="AV158" s="173">
        <f t="shared" si="112"/>
        <v>10.799999999999997</v>
      </c>
      <c r="AW158" s="173">
        <f t="shared" si="113"/>
        <v>296</v>
      </c>
      <c r="AX158" s="180">
        <f t="shared" si="114"/>
        <v>17.5</v>
      </c>
      <c r="AY158" s="168"/>
      <c r="AZ158" s="185" t="str">
        <f t="shared" si="115"/>
        <v/>
      </c>
      <c r="BA158" s="173" t="str">
        <f t="shared" si="116"/>
        <v/>
      </c>
      <c r="BB158" s="173" t="str">
        <f t="shared" si="117"/>
        <v/>
      </c>
      <c r="BC158" s="180" t="str">
        <f t="shared" si="118"/>
        <v/>
      </c>
      <c r="BD158" s="168"/>
      <c r="BE158" s="185" t="str">
        <f t="shared" si="119"/>
        <v/>
      </c>
      <c r="BF158" s="173" t="str">
        <f t="shared" si="120"/>
        <v/>
      </c>
      <c r="BG158" s="173" t="str">
        <f t="shared" si="121"/>
        <v/>
      </c>
      <c r="BH158" s="180" t="str">
        <f t="shared" si="122"/>
        <v/>
      </c>
      <c r="BI158" s="277"/>
      <c r="BJ158" s="185" t="str">
        <f t="shared" si="123"/>
        <v/>
      </c>
      <c r="BK158" s="173" t="str">
        <f t="shared" si="124"/>
        <v/>
      </c>
      <c r="BL158" s="173" t="str">
        <f t="shared" si="125"/>
        <v/>
      </c>
      <c r="BM158" s="180" t="str">
        <f t="shared" si="126"/>
        <v/>
      </c>
      <c r="BN158" s="168"/>
      <c r="BO158" s="185" t="str">
        <f t="shared" si="127"/>
        <v/>
      </c>
      <c r="BP158" s="173" t="str">
        <f t="shared" si="128"/>
        <v/>
      </c>
      <c r="BQ158" s="173" t="str">
        <f t="shared" si="129"/>
        <v/>
      </c>
      <c r="BR158" s="180" t="str">
        <f t="shared" si="130"/>
        <v/>
      </c>
      <c r="BS158" s="168"/>
      <c r="BT158" s="185" t="str">
        <f t="shared" si="131"/>
        <v/>
      </c>
      <c r="BU158" s="173" t="str">
        <f t="shared" si="132"/>
        <v/>
      </c>
      <c r="BV158" s="173" t="str">
        <f t="shared" si="133"/>
        <v/>
      </c>
      <c r="BW158" s="180" t="str">
        <f t="shared" si="134"/>
        <v/>
      </c>
      <c r="BX158" s="288"/>
    </row>
    <row r="159" spans="1:76">
      <c r="A159" s="168"/>
      <c r="B159" s="185">
        <f t="shared" si="135"/>
        <v>45</v>
      </c>
      <c r="C159" s="173">
        <f t="shared" si="76"/>
        <v>96.5</v>
      </c>
      <c r="D159" s="173">
        <f t="shared" si="77"/>
        <v>684</v>
      </c>
      <c r="E159" s="180">
        <f t="shared" si="78"/>
        <v>18</v>
      </c>
      <c r="F159" s="168"/>
      <c r="G159" s="185">
        <f t="shared" si="79"/>
        <v>45</v>
      </c>
      <c r="H159" s="173">
        <f t="shared" si="80"/>
        <v>96.5</v>
      </c>
      <c r="I159" s="173">
        <f t="shared" si="81"/>
        <v>444</v>
      </c>
      <c r="J159" s="180">
        <f t="shared" si="82"/>
        <v>18</v>
      </c>
      <c r="K159" s="168"/>
      <c r="L159" s="185">
        <f t="shared" si="83"/>
        <v>45</v>
      </c>
      <c r="M159" s="173">
        <f t="shared" si="84"/>
        <v>96.5</v>
      </c>
      <c r="N159" s="173">
        <f t="shared" si="85"/>
        <v>318</v>
      </c>
      <c r="O159" s="180">
        <f t="shared" si="86"/>
        <v>18</v>
      </c>
      <c r="P159" s="168"/>
      <c r="Q159" s="185">
        <f t="shared" si="87"/>
        <v>45</v>
      </c>
      <c r="R159" s="173">
        <f t="shared" si="88"/>
        <v>96.5</v>
      </c>
      <c r="S159" s="173">
        <f t="shared" si="89"/>
        <v>204</v>
      </c>
      <c r="T159" s="180">
        <f t="shared" si="90"/>
        <v>18</v>
      </c>
      <c r="U159" s="168"/>
      <c r="V159" s="185">
        <f t="shared" si="91"/>
        <v>45</v>
      </c>
      <c r="W159" s="173">
        <f t="shared" si="92"/>
        <v>53.5</v>
      </c>
      <c r="X159" s="173">
        <f t="shared" si="93"/>
        <v>431.5</v>
      </c>
      <c r="Y159" s="180">
        <f t="shared" si="94"/>
        <v>18</v>
      </c>
      <c r="Z159" s="168"/>
      <c r="AA159" s="185">
        <f t="shared" si="95"/>
        <v>45</v>
      </c>
      <c r="AB159" s="173">
        <f t="shared" si="96"/>
        <v>53.5</v>
      </c>
      <c r="AC159" s="173">
        <f t="shared" si="97"/>
        <v>266</v>
      </c>
      <c r="AD159" s="180">
        <f t="shared" si="98"/>
        <v>18</v>
      </c>
      <c r="AE159" s="168"/>
      <c r="AF159" s="185">
        <f t="shared" si="99"/>
        <v>45</v>
      </c>
      <c r="AG159" s="173">
        <f t="shared" si="100"/>
        <v>10.5</v>
      </c>
      <c r="AH159" s="173">
        <f t="shared" si="101"/>
        <v>176</v>
      </c>
      <c r="AI159" s="180">
        <f t="shared" si="102"/>
        <v>18</v>
      </c>
      <c r="AJ159" s="168"/>
      <c r="AK159" s="185" t="str">
        <f t="shared" si="103"/>
        <v/>
      </c>
      <c r="AL159" s="173" t="str">
        <f t="shared" si="104"/>
        <v/>
      </c>
      <c r="AM159" s="173" t="str">
        <f t="shared" si="105"/>
        <v/>
      </c>
      <c r="AN159" s="180" t="str">
        <f t="shared" si="106"/>
        <v/>
      </c>
      <c r="AO159" s="168"/>
      <c r="AP159" s="185">
        <f t="shared" si="107"/>
        <v>45</v>
      </c>
      <c r="AQ159" s="199">
        <f t="shared" si="108"/>
        <v>96.5</v>
      </c>
      <c r="AR159" s="199">
        <f t="shared" si="109"/>
        <v>354</v>
      </c>
      <c r="AS159" s="200">
        <f t="shared" si="110"/>
        <v>18</v>
      </c>
      <c r="AT159" s="277"/>
      <c r="AU159" s="185">
        <f t="shared" si="111"/>
        <v>45</v>
      </c>
      <c r="AV159" s="173">
        <f t="shared" si="112"/>
        <v>10.799999999999997</v>
      </c>
      <c r="AW159" s="173">
        <f t="shared" si="113"/>
        <v>238</v>
      </c>
      <c r="AX159" s="180">
        <f t="shared" si="114"/>
        <v>17.5</v>
      </c>
      <c r="AY159" s="168"/>
      <c r="AZ159" s="185" t="str">
        <f t="shared" si="115"/>
        <v/>
      </c>
      <c r="BA159" s="173" t="str">
        <f t="shared" si="116"/>
        <v/>
      </c>
      <c r="BB159" s="173" t="str">
        <f t="shared" si="117"/>
        <v/>
      </c>
      <c r="BC159" s="180" t="str">
        <f t="shared" si="118"/>
        <v/>
      </c>
      <c r="BD159" s="168"/>
      <c r="BE159" s="185" t="str">
        <f t="shared" si="119"/>
        <v/>
      </c>
      <c r="BF159" s="173" t="str">
        <f t="shared" si="120"/>
        <v/>
      </c>
      <c r="BG159" s="173" t="str">
        <f t="shared" si="121"/>
        <v/>
      </c>
      <c r="BH159" s="180" t="str">
        <f t="shared" si="122"/>
        <v/>
      </c>
      <c r="BI159" s="277"/>
      <c r="BJ159" s="185" t="str">
        <f t="shared" si="123"/>
        <v/>
      </c>
      <c r="BK159" s="173" t="str">
        <f t="shared" si="124"/>
        <v/>
      </c>
      <c r="BL159" s="173" t="str">
        <f t="shared" si="125"/>
        <v/>
      </c>
      <c r="BM159" s="180" t="str">
        <f t="shared" si="126"/>
        <v/>
      </c>
      <c r="BN159" s="168"/>
      <c r="BO159" s="185" t="str">
        <f t="shared" si="127"/>
        <v/>
      </c>
      <c r="BP159" s="173" t="str">
        <f t="shared" si="128"/>
        <v/>
      </c>
      <c r="BQ159" s="173" t="str">
        <f t="shared" si="129"/>
        <v/>
      </c>
      <c r="BR159" s="180" t="str">
        <f t="shared" si="130"/>
        <v/>
      </c>
      <c r="BS159" s="168"/>
      <c r="BT159" s="185" t="str">
        <f t="shared" si="131"/>
        <v/>
      </c>
      <c r="BU159" s="173" t="str">
        <f t="shared" si="132"/>
        <v/>
      </c>
      <c r="BV159" s="173" t="str">
        <f t="shared" si="133"/>
        <v/>
      </c>
      <c r="BW159" s="180" t="str">
        <f t="shared" si="134"/>
        <v/>
      </c>
      <c r="BX159" s="288"/>
    </row>
    <row r="160" spans="1:76">
      <c r="A160" s="168"/>
      <c r="B160" s="185">
        <f t="shared" si="135"/>
        <v>45</v>
      </c>
      <c r="C160" s="173">
        <f t="shared" si="76"/>
        <v>96.5</v>
      </c>
      <c r="D160" s="173">
        <f t="shared" si="77"/>
        <v>627</v>
      </c>
      <c r="E160" s="180">
        <f t="shared" si="78"/>
        <v>18</v>
      </c>
      <c r="F160" s="168"/>
      <c r="G160" s="185">
        <f t="shared" si="79"/>
        <v>45</v>
      </c>
      <c r="H160" s="173">
        <f t="shared" si="80"/>
        <v>96.5</v>
      </c>
      <c r="I160" s="173">
        <f t="shared" si="81"/>
        <v>387</v>
      </c>
      <c r="J160" s="180">
        <f t="shared" si="82"/>
        <v>18</v>
      </c>
      <c r="K160" s="168"/>
      <c r="L160" s="185">
        <f t="shared" si="83"/>
        <v>45</v>
      </c>
      <c r="M160" s="173">
        <f t="shared" si="84"/>
        <v>96.5</v>
      </c>
      <c r="N160" s="173">
        <f t="shared" si="85"/>
        <v>261</v>
      </c>
      <c r="O160" s="180">
        <f t="shared" si="86"/>
        <v>18</v>
      </c>
      <c r="P160" s="168"/>
      <c r="Q160" s="185">
        <f t="shared" si="87"/>
        <v>45</v>
      </c>
      <c r="R160" s="173">
        <f t="shared" si="88"/>
        <v>96.5</v>
      </c>
      <c r="S160" s="173">
        <f t="shared" si="89"/>
        <v>147</v>
      </c>
      <c r="T160" s="180">
        <f t="shared" si="90"/>
        <v>18</v>
      </c>
      <c r="U160" s="168"/>
      <c r="V160" s="185">
        <f t="shared" si="91"/>
        <v>45</v>
      </c>
      <c r="W160" s="173">
        <f t="shared" si="92"/>
        <v>53.5</v>
      </c>
      <c r="X160" s="173">
        <f t="shared" si="93"/>
        <v>374.5</v>
      </c>
      <c r="Y160" s="180">
        <f t="shared" si="94"/>
        <v>18</v>
      </c>
      <c r="Z160" s="168"/>
      <c r="AA160" s="185">
        <f t="shared" si="95"/>
        <v>45</v>
      </c>
      <c r="AB160" s="173">
        <f t="shared" si="96"/>
        <v>53.5</v>
      </c>
      <c r="AC160" s="173">
        <f t="shared" si="97"/>
        <v>208</v>
      </c>
      <c r="AD160" s="180">
        <f t="shared" si="98"/>
        <v>18</v>
      </c>
      <c r="AE160" s="168"/>
      <c r="AF160" s="185">
        <f t="shared" si="99"/>
        <v>45</v>
      </c>
      <c r="AG160" s="173">
        <f t="shared" si="100"/>
        <v>10.5</v>
      </c>
      <c r="AH160" s="173">
        <f t="shared" si="101"/>
        <v>118</v>
      </c>
      <c r="AI160" s="180">
        <f t="shared" si="102"/>
        <v>18</v>
      </c>
      <c r="AJ160" s="168"/>
      <c r="AK160" s="185" t="str">
        <f t="shared" si="103"/>
        <v/>
      </c>
      <c r="AL160" s="173" t="str">
        <f t="shared" si="104"/>
        <v/>
      </c>
      <c r="AM160" s="173" t="str">
        <f t="shared" si="105"/>
        <v/>
      </c>
      <c r="AN160" s="180" t="str">
        <f t="shared" si="106"/>
        <v/>
      </c>
      <c r="AO160" s="168"/>
      <c r="AP160" s="185">
        <f t="shared" si="107"/>
        <v>45</v>
      </c>
      <c r="AQ160" s="199">
        <f t="shared" si="108"/>
        <v>96.5</v>
      </c>
      <c r="AR160" s="199">
        <f t="shared" si="109"/>
        <v>297</v>
      </c>
      <c r="AS160" s="200">
        <f t="shared" si="110"/>
        <v>18</v>
      </c>
      <c r="AT160" s="277"/>
      <c r="AU160" s="185">
        <f t="shared" si="111"/>
        <v>45</v>
      </c>
      <c r="AV160" s="173">
        <f t="shared" si="112"/>
        <v>10.799999999999997</v>
      </c>
      <c r="AW160" s="173">
        <f t="shared" si="113"/>
        <v>180</v>
      </c>
      <c r="AX160" s="180">
        <f t="shared" si="114"/>
        <v>17.5</v>
      </c>
      <c r="AY160" s="168"/>
      <c r="AZ160" s="185" t="str">
        <f t="shared" si="115"/>
        <v/>
      </c>
      <c r="BA160" s="173" t="str">
        <f t="shared" si="116"/>
        <v/>
      </c>
      <c r="BB160" s="173" t="str">
        <f t="shared" si="117"/>
        <v/>
      </c>
      <c r="BC160" s="180" t="str">
        <f t="shared" si="118"/>
        <v/>
      </c>
      <c r="BD160" s="168"/>
      <c r="BE160" s="185" t="str">
        <f t="shared" si="119"/>
        <v/>
      </c>
      <c r="BF160" s="173" t="str">
        <f t="shared" si="120"/>
        <v/>
      </c>
      <c r="BG160" s="173" t="str">
        <f t="shared" si="121"/>
        <v/>
      </c>
      <c r="BH160" s="180" t="str">
        <f t="shared" si="122"/>
        <v/>
      </c>
      <c r="BI160" s="277"/>
      <c r="BJ160" s="185" t="str">
        <f t="shared" si="123"/>
        <v/>
      </c>
      <c r="BK160" s="173" t="str">
        <f t="shared" si="124"/>
        <v/>
      </c>
      <c r="BL160" s="173" t="str">
        <f t="shared" si="125"/>
        <v/>
      </c>
      <c r="BM160" s="180" t="str">
        <f t="shared" si="126"/>
        <v/>
      </c>
      <c r="BN160" s="168"/>
      <c r="BO160" s="185" t="str">
        <f t="shared" si="127"/>
        <v/>
      </c>
      <c r="BP160" s="173" t="str">
        <f t="shared" si="128"/>
        <v/>
      </c>
      <c r="BQ160" s="173" t="str">
        <f t="shared" si="129"/>
        <v/>
      </c>
      <c r="BR160" s="180" t="str">
        <f t="shared" si="130"/>
        <v/>
      </c>
      <c r="BS160" s="168"/>
      <c r="BT160" s="185" t="str">
        <f t="shared" si="131"/>
        <v/>
      </c>
      <c r="BU160" s="173" t="str">
        <f t="shared" si="132"/>
        <v/>
      </c>
      <c r="BV160" s="173" t="str">
        <f t="shared" si="133"/>
        <v/>
      </c>
      <c r="BW160" s="180" t="str">
        <f t="shared" si="134"/>
        <v/>
      </c>
      <c r="BX160" s="288"/>
    </row>
    <row r="161" spans="1:76">
      <c r="A161" s="168"/>
      <c r="B161" s="185">
        <f t="shared" si="135"/>
        <v>45</v>
      </c>
      <c r="C161" s="173">
        <f t="shared" si="76"/>
        <v>96.5</v>
      </c>
      <c r="D161" s="173">
        <f t="shared" si="77"/>
        <v>570</v>
      </c>
      <c r="E161" s="180">
        <f t="shared" si="78"/>
        <v>18</v>
      </c>
      <c r="F161" s="168"/>
      <c r="G161" s="185">
        <f t="shared" si="79"/>
        <v>45</v>
      </c>
      <c r="H161" s="173">
        <f t="shared" si="80"/>
        <v>96.5</v>
      </c>
      <c r="I161" s="173">
        <f t="shared" si="81"/>
        <v>330</v>
      </c>
      <c r="J161" s="180">
        <f t="shared" si="82"/>
        <v>18</v>
      </c>
      <c r="K161" s="168"/>
      <c r="L161" s="185">
        <f t="shared" si="83"/>
        <v>45</v>
      </c>
      <c r="M161" s="173">
        <f t="shared" si="84"/>
        <v>96.5</v>
      </c>
      <c r="N161" s="173">
        <f t="shared" si="85"/>
        <v>204</v>
      </c>
      <c r="O161" s="180">
        <f t="shared" si="86"/>
        <v>18</v>
      </c>
      <c r="P161" s="168"/>
      <c r="Q161" s="185">
        <f t="shared" si="87"/>
        <v>45</v>
      </c>
      <c r="R161" s="173">
        <f t="shared" si="88"/>
        <v>96.5</v>
      </c>
      <c r="S161" s="173">
        <f t="shared" si="89"/>
        <v>90</v>
      </c>
      <c r="T161" s="180">
        <f t="shared" si="90"/>
        <v>18</v>
      </c>
      <c r="U161" s="168"/>
      <c r="V161" s="185">
        <f t="shared" si="91"/>
        <v>45</v>
      </c>
      <c r="W161" s="173">
        <f t="shared" si="92"/>
        <v>53.5</v>
      </c>
      <c r="X161" s="173">
        <f t="shared" si="93"/>
        <v>317.5</v>
      </c>
      <c r="Y161" s="180">
        <f t="shared" si="94"/>
        <v>18</v>
      </c>
      <c r="Z161" s="168"/>
      <c r="AA161" s="185">
        <f t="shared" si="95"/>
        <v>45</v>
      </c>
      <c r="AB161" s="173">
        <f t="shared" si="96"/>
        <v>53.5</v>
      </c>
      <c r="AC161" s="173">
        <f t="shared" si="97"/>
        <v>150</v>
      </c>
      <c r="AD161" s="180">
        <f t="shared" si="98"/>
        <v>18</v>
      </c>
      <c r="AE161" s="168"/>
      <c r="AF161" s="185">
        <f t="shared" si="99"/>
        <v>45</v>
      </c>
      <c r="AG161" s="173">
        <f t="shared" si="100"/>
        <v>10.5</v>
      </c>
      <c r="AH161" s="173">
        <f t="shared" si="101"/>
        <v>60</v>
      </c>
      <c r="AI161" s="180">
        <f t="shared" si="102"/>
        <v>18</v>
      </c>
      <c r="AJ161" s="168"/>
      <c r="AK161" s="185" t="str">
        <f t="shared" si="103"/>
        <v/>
      </c>
      <c r="AL161" s="173" t="str">
        <f t="shared" si="104"/>
        <v/>
      </c>
      <c r="AM161" s="173" t="str">
        <f t="shared" si="105"/>
        <v/>
      </c>
      <c r="AN161" s="180" t="str">
        <f t="shared" si="106"/>
        <v/>
      </c>
      <c r="AO161" s="168"/>
      <c r="AP161" s="185">
        <f t="shared" si="107"/>
        <v>45</v>
      </c>
      <c r="AQ161" s="199">
        <f t="shared" si="108"/>
        <v>96.5</v>
      </c>
      <c r="AR161" s="199">
        <f t="shared" si="109"/>
        <v>240</v>
      </c>
      <c r="AS161" s="200">
        <f t="shared" si="110"/>
        <v>18</v>
      </c>
      <c r="AT161" s="277"/>
      <c r="AU161" s="185">
        <f t="shared" si="111"/>
        <v>45</v>
      </c>
      <c r="AV161" s="173">
        <f t="shared" si="112"/>
        <v>10.799999999999997</v>
      </c>
      <c r="AW161" s="173">
        <f t="shared" si="113"/>
        <v>122</v>
      </c>
      <c r="AX161" s="180">
        <f t="shared" si="114"/>
        <v>17.5</v>
      </c>
      <c r="AY161" s="168"/>
      <c r="AZ161" s="185" t="str">
        <f t="shared" si="115"/>
        <v/>
      </c>
      <c r="BA161" s="173" t="str">
        <f t="shared" si="116"/>
        <v/>
      </c>
      <c r="BB161" s="173" t="str">
        <f t="shared" si="117"/>
        <v/>
      </c>
      <c r="BC161" s="180" t="str">
        <f t="shared" si="118"/>
        <v/>
      </c>
      <c r="BD161" s="168"/>
      <c r="BE161" s="185" t="str">
        <f t="shared" si="119"/>
        <v/>
      </c>
      <c r="BF161" s="173" t="str">
        <f t="shared" si="120"/>
        <v/>
      </c>
      <c r="BG161" s="173" t="str">
        <f t="shared" si="121"/>
        <v/>
      </c>
      <c r="BH161" s="180" t="str">
        <f t="shared" si="122"/>
        <v/>
      </c>
      <c r="BI161" s="277"/>
      <c r="BJ161" s="185" t="str">
        <f t="shared" si="123"/>
        <v/>
      </c>
      <c r="BK161" s="173" t="str">
        <f t="shared" si="124"/>
        <v/>
      </c>
      <c r="BL161" s="173" t="str">
        <f t="shared" si="125"/>
        <v/>
      </c>
      <c r="BM161" s="180" t="str">
        <f t="shared" si="126"/>
        <v/>
      </c>
      <c r="BN161" s="168"/>
      <c r="BO161" s="185" t="str">
        <f t="shared" si="127"/>
        <v/>
      </c>
      <c r="BP161" s="173" t="str">
        <f t="shared" si="128"/>
        <v/>
      </c>
      <c r="BQ161" s="173" t="str">
        <f t="shared" si="129"/>
        <v/>
      </c>
      <c r="BR161" s="180" t="str">
        <f t="shared" si="130"/>
        <v/>
      </c>
      <c r="BS161" s="168"/>
      <c r="BT161" s="185" t="str">
        <f t="shared" si="131"/>
        <v/>
      </c>
      <c r="BU161" s="173" t="str">
        <f t="shared" si="132"/>
        <v/>
      </c>
      <c r="BV161" s="173" t="str">
        <f t="shared" si="133"/>
        <v/>
      </c>
      <c r="BW161" s="180" t="str">
        <f t="shared" si="134"/>
        <v/>
      </c>
      <c r="BX161" s="288"/>
    </row>
    <row r="162" spans="1:76">
      <c r="A162" s="168"/>
      <c r="B162" s="185">
        <f t="shared" si="135"/>
        <v>45</v>
      </c>
      <c r="C162" s="173">
        <f t="shared" si="76"/>
        <v>96.5</v>
      </c>
      <c r="D162" s="173">
        <f t="shared" si="77"/>
        <v>513</v>
      </c>
      <c r="E162" s="180">
        <f t="shared" si="78"/>
        <v>18</v>
      </c>
      <c r="F162" s="168"/>
      <c r="G162" s="185">
        <f t="shared" si="79"/>
        <v>45</v>
      </c>
      <c r="H162" s="173">
        <f t="shared" si="80"/>
        <v>96.5</v>
      </c>
      <c r="I162" s="173">
        <f t="shared" si="81"/>
        <v>273</v>
      </c>
      <c r="J162" s="180">
        <f t="shared" si="82"/>
        <v>18</v>
      </c>
      <c r="K162" s="168"/>
      <c r="L162" s="185">
        <f t="shared" si="83"/>
        <v>45</v>
      </c>
      <c r="M162" s="173">
        <f t="shared" si="84"/>
        <v>96.5</v>
      </c>
      <c r="N162" s="173">
        <f t="shared" si="85"/>
        <v>147</v>
      </c>
      <c r="O162" s="180">
        <f t="shared" si="86"/>
        <v>18</v>
      </c>
      <c r="P162" s="168"/>
      <c r="Q162" s="185">
        <f t="shared" si="87"/>
        <v>45</v>
      </c>
      <c r="R162" s="173">
        <f t="shared" si="88"/>
        <v>53.5</v>
      </c>
      <c r="S162" s="173">
        <f t="shared" si="89"/>
        <v>603</v>
      </c>
      <c r="T162" s="180">
        <f t="shared" si="90"/>
        <v>18</v>
      </c>
      <c r="U162" s="168"/>
      <c r="V162" s="185">
        <f t="shared" si="91"/>
        <v>45</v>
      </c>
      <c r="W162" s="173">
        <f t="shared" si="92"/>
        <v>53.5</v>
      </c>
      <c r="X162" s="173">
        <f t="shared" si="93"/>
        <v>260.5</v>
      </c>
      <c r="Y162" s="180">
        <f t="shared" si="94"/>
        <v>18</v>
      </c>
      <c r="Z162" s="168"/>
      <c r="AA162" s="185">
        <f t="shared" si="95"/>
        <v>45</v>
      </c>
      <c r="AB162" s="173">
        <f t="shared" si="96"/>
        <v>53.5</v>
      </c>
      <c r="AC162" s="173">
        <f t="shared" si="97"/>
        <v>92</v>
      </c>
      <c r="AD162" s="180">
        <f t="shared" si="98"/>
        <v>18</v>
      </c>
      <c r="AE162" s="168"/>
      <c r="AF162" s="185" t="str">
        <f t="shared" si="99"/>
        <v/>
      </c>
      <c r="AG162" s="173" t="str">
        <f t="shared" si="100"/>
        <v/>
      </c>
      <c r="AH162" s="173" t="str">
        <f t="shared" si="101"/>
        <v/>
      </c>
      <c r="AI162" s="180" t="str">
        <f t="shared" si="102"/>
        <v/>
      </c>
      <c r="AJ162" s="168"/>
      <c r="AK162" s="185" t="str">
        <f t="shared" si="103"/>
        <v/>
      </c>
      <c r="AL162" s="173" t="str">
        <f t="shared" si="104"/>
        <v/>
      </c>
      <c r="AM162" s="173" t="str">
        <f t="shared" si="105"/>
        <v/>
      </c>
      <c r="AN162" s="180" t="str">
        <f t="shared" si="106"/>
        <v/>
      </c>
      <c r="AO162" s="168"/>
      <c r="AP162" s="185">
        <f t="shared" si="107"/>
        <v>45</v>
      </c>
      <c r="AQ162" s="199">
        <f t="shared" si="108"/>
        <v>53.5</v>
      </c>
      <c r="AR162" s="199">
        <f t="shared" si="109"/>
        <v>753</v>
      </c>
      <c r="AS162" s="200">
        <f t="shared" si="110"/>
        <v>18</v>
      </c>
      <c r="AT162" s="277"/>
      <c r="AU162" s="185">
        <f t="shared" si="111"/>
        <v>45</v>
      </c>
      <c r="AV162" s="173">
        <f t="shared" si="112"/>
        <v>10.799999999999997</v>
      </c>
      <c r="AW162" s="173">
        <f t="shared" si="113"/>
        <v>64</v>
      </c>
      <c r="AX162" s="180">
        <f t="shared" si="114"/>
        <v>17.5</v>
      </c>
      <c r="AY162" s="168"/>
      <c r="AZ162" s="185" t="str">
        <f t="shared" si="115"/>
        <v/>
      </c>
      <c r="BA162" s="173" t="str">
        <f t="shared" si="116"/>
        <v/>
      </c>
      <c r="BB162" s="173" t="str">
        <f t="shared" si="117"/>
        <v/>
      </c>
      <c r="BC162" s="180" t="str">
        <f t="shared" si="118"/>
        <v/>
      </c>
      <c r="BD162" s="168"/>
      <c r="BE162" s="185" t="str">
        <f t="shared" si="119"/>
        <v/>
      </c>
      <c r="BF162" s="173" t="str">
        <f t="shared" si="120"/>
        <v/>
      </c>
      <c r="BG162" s="173" t="str">
        <f t="shared" si="121"/>
        <v/>
      </c>
      <c r="BH162" s="180" t="str">
        <f t="shared" si="122"/>
        <v/>
      </c>
      <c r="BI162" s="277"/>
      <c r="BJ162" s="185" t="str">
        <f t="shared" si="123"/>
        <v/>
      </c>
      <c r="BK162" s="173" t="str">
        <f t="shared" si="124"/>
        <v/>
      </c>
      <c r="BL162" s="173" t="str">
        <f t="shared" si="125"/>
        <v/>
      </c>
      <c r="BM162" s="180" t="str">
        <f t="shared" si="126"/>
        <v/>
      </c>
      <c r="BN162" s="168"/>
      <c r="BO162" s="185" t="str">
        <f t="shared" si="127"/>
        <v/>
      </c>
      <c r="BP162" s="173" t="str">
        <f t="shared" si="128"/>
        <v/>
      </c>
      <c r="BQ162" s="173" t="str">
        <f t="shared" si="129"/>
        <v/>
      </c>
      <c r="BR162" s="180" t="str">
        <f t="shared" si="130"/>
        <v/>
      </c>
      <c r="BS162" s="168"/>
      <c r="BT162" s="185" t="str">
        <f t="shared" si="131"/>
        <v/>
      </c>
      <c r="BU162" s="173" t="str">
        <f t="shared" si="132"/>
        <v/>
      </c>
      <c r="BV162" s="173" t="str">
        <f t="shared" si="133"/>
        <v/>
      </c>
      <c r="BW162" s="180" t="str">
        <f t="shared" si="134"/>
        <v/>
      </c>
      <c r="BX162" s="288"/>
    </row>
    <row r="163" spans="1:76">
      <c r="A163" s="168"/>
      <c r="B163" s="185">
        <f t="shared" si="135"/>
        <v>45</v>
      </c>
      <c r="C163" s="173">
        <f t="shared" si="76"/>
        <v>96.5</v>
      </c>
      <c r="D163" s="173">
        <f t="shared" si="77"/>
        <v>456</v>
      </c>
      <c r="E163" s="180">
        <f t="shared" si="78"/>
        <v>18</v>
      </c>
      <c r="F163" s="168"/>
      <c r="G163" s="185">
        <f t="shared" si="79"/>
        <v>45</v>
      </c>
      <c r="H163" s="173">
        <f t="shared" si="80"/>
        <v>96.5</v>
      </c>
      <c r="I163" s="173">
        <f t="shared" si="81"/>
        <v>216</v>
      </c>
      <c r="J163" s="180">
        <f t="shared" si="82"/>
        <v>18</v>
      </c>
      <c r="K163" s="168"/>
      <c r="L163" s="185">
        <f t="shared" si="83"/>
        <v>45</v>
      </c>
      <c r="M163" s="173">
        <f t="shared" si="84"/>
        <v>96.5</v>
      </c>
      <c r="N163" s="173">
        <f t="shared" si="85"/>
        <v>90</v>
      </c>
      <c r="O163" s="180">
        <f t="shared" si="86"/>
        <v>18</v>
      </c>
      <c r="P163" s="168"/>
      <c r="Q163" s="185">
        <f t="shared" si="87"/>
        <v>45</v>
      </c>
      <c r="R163" s="173">
        <f t="shared" si="88"/>
        <v>53.5</v>
      </c>
      <c r="S163" s="173">
        <f t="shared" si="89"/>
        <v>546</v>
      </c>
      <c r="T163" s="180">
        <f t="shared" si="90"/>
        <v>18</v>
      </c>
      <c r="U163" s="168"/>
      <c r="V163" s="185">
        <f t="shared" si="91"/>
        <v>45</v>
      </c>
      <c r="W163" s="173">
        <f t="shared" si="92"/>
        <v>53.5</v>
      </c>
      <c r="X163" s="173">
        <f t="shared" si="93"/>
        <v>203.5</v>
      </c>
      <c r="Y163" s="180">
        <f t="shared" si="94"/>
        <v>18</v>
      </c>
      <c r="Z163" s="168"/>
      <c r="AA163" s="185">
        <f t="shared" si="95"/>
        <v>45</v>
      </c>
      <c r="AB163" s="173">
        <f t="shared" si="96"/>
        <v>10.5</v>
      </c>
      <c r="AC163" s="173">
        <f t="shared" si="97"/>
        <v>412</v>
      </c>
      <c r="AD163" s="180">
        <f t="shared" si="98"/>
        <v>18</v>
      </c>
      <c r="AE163" s="168"/>
      <c r="AF163" s="185" t="str">
        <f t="shared" si="99"/>
        <v/>
      </c>
      <c r="AG163" s="173" t="str">
        <f t="shared" si="100"/>
        <v/>
      </c>
      <c r="AH163" s="173" t="str">
        <f t="shared" si="101"/>
        <v/>
      </c>
      <c r="AI163" s="180" t="str">
        <f t="shared" si="102"/>
        <v/>
      </c>
      <c r="AJ163" s="168"/>
      <c r="AK163" s="185" t="str">
        <f t="shared" si="103"/>
        <v/>
      </c>
      <c r="AL163" s="173" t="str">
        <f t="shared" si="104"/>
        <v/>
      </c>
      <c r="AM163" s="173" t="str">
        <f t="shared" si="105"/>
        <v/>
      </c>
      <c r="AN163" s="180" t="str">
        <f t="shared" si="106"/>
        <v/>
      </c>
      <c r="AO163" s="168"/>
      <c r="AP163" s="185">
        <f t="shared" si="107"/>
        <v>45</v>
      </c>
      <c r="AQ163" s="199">
        <f t="shared" si="108"/>
        <v>53.5</v>
      </c>
      <c r="AR163" s="199">
        <f t="shared" si="109"/>
        <v>696</v>
      </c>
      <c r="AS163" s="200">
        <f t="shared" si="110"/>
        <v>18</v>
      </c>
      <c r="AT163" s="277"/>
      <c r="AU163" s="185" t="str">
        <f t="shared" si="111"/>
        <v/>
      </c>
      <c r="AV163" s="173" t="str">
        <f t="shared" si="112"/>
        <v/>
      </c>
      <c r="AW163" s="173" t="str">
        <f t="shared" si="113"/>
        <v/>
      </c>
      <c r="AX163" s="180" t="str">
        <f t="shared" si="114"/>
        <v/>
      </c>
      <c r="AY163" s="168"/>
      <c r="AZ163" s="185" t="str">
        <f t="shared" si="115"/>
        <v/>
      </c>
      <c r="BA163" s="173" t="str">
        <f t="shared" si="116"/>
        <v/>
      </c>
      <c r="BB163" s="173" t="str">
        <f t="shared" si="117"/>
        <v/>
      </c>
      <c r="BC163" s="180" t="str">
        <f t="shared" si="118"/>
        <v/>
      </c>
      <c r="BD163" s="168"/>
      <c r="BE163" s="185" t="str">
        <f t="shared" si="119"/>
        <v/>
      </c>
      <c r="BF163" s="173" t="str">
        <f t="shared" si="120"/>
        <v/>
      </c>
      <c r="BG163" s="173" t="str">
        <f t="shared" si="121"/>
        <v/>
      </c>
      <c r="BH163" s="180" t="str">
        <f t="shared" si="122"/>
        <v/>
      </c>
      <c r="BI163" s="277"/>
      <c r="BJ163" s="185" t="str">
        <f t="shared" si="123"/>
        <v/>
      </c>
      <c r="BK163" s="173" t="str">
        <f t="shared" si="124"/>
        <v/>
      </c>
      <c r="BL163" s="173" t="str">
        <f t="shared" si="125"/>
        <v/>
      </c>
      <c r="BM163" s="180" t="str">
        <f t="shared" si="126"/>
        <v/>
      </c>
      <c r="BN163" s="168"/>
      <c r="BO163" s="185" t="str">
        <f t="shared" si="127"/>
        <v/>
      </c>
      <c r="BP163" s="173" t="str">
        <f t="shared" si="128"/>
        <v/>
      </c>
      <c r="BQ163" s="173" t="str">
        <f t="shared" si="129"/>
        <v/>
      </c>
      <c r="BR163" s="180" t="str">
        <f t="shared" si="130"/>
        <v/>
      </c>
      <c r="BS163" s="168"/>
      <c r="BT163" s="185" t="str">
        <f t="shared" si="131"/>
        <v/>
      </c>
      <c r="BU163" s="173" t="str">
        <f t="shared" si="132"/>
        <v/>
      </c>
      <c r="BV163" s="173" t="str">
        <f t="shared" si="133"/>
        <v/>
      </c>
      <c r="BW163" s="180" t="str">
        <f t="shared" si="134"/>
        <v/>
      </c>
      <c r="BX163" s="288"/>
    </row>
    <row r="164" spans="1:76">
      <c r="A164" s="168"/>
      <c r="B164" s="185">
        <f t="shared" si="135"/>
        <v>45</v>
      </c>
      <c r="C164" s="173">
        <f t="shared" si="76"/>
        <v>96.5</v>
      </c>
      <c r="D164" s="173">
        <f t="shared" si="77"/>
        <v>399</v>
      </c>
      <c r="E164" s="180">
        <f t="shared" si="78"/>
        <v>18</v>
      </c>
      <c r="F164" s="168"/>
      <c r="G164" s="185">
        <f t="shared" si="79"/>
        <v>45</v>
      </c>
      <c r="H164" s="173">
        <f t="shared" si="80"/>
        <v>96.5</v>
      </c>
      <c r="I164" s="173">
        <f t="shared" si="81"/>
        <v>159</v>
      </c>
      <c r="J164" s="180">
        <f t="shared" si="82"/>
        <v>18</v>
      </c>
      <c r="K164" s="168"/>
      <c r="L164" s="185">
        <f t="shared" si="83"/>
        <v>45</v>
      </c>
      <c r="M164" s="173">
        <f t="shared" si="84"/>
        <v>53.5</v>
      </c>
      <c r="N164" s="173">
        <f t="shared" si="85"/>
        <v>660</v>
      </c>
      <c r="O164" s="180">
        <f t="shared" si="86"/>
        <v>18</v>
      </c>
      <c r="P164" s="168"/>
      <c r="Q164" s="185">
        <f t="shared" si="87"/>
        <v>45</v>
      </c>
      <c r="R164" s="173">
        <f t="shared" si="88"/>
        <v>53.5</v>
      </c>
      <c r="S164" s="173">
        <f t="shared" si="89"/>
        <v>489</v>
      </c>
      <c r="T164" s="180">
        <f t="shared" si="90"/>
        <v>18</v>
      </c>
      <c r="U164" s="168"/>
      <c r="V164" s="185">
        <f t="shared" si="91"/>
        <v>45</v>
      </c>
      <c r="W164" s="173">
        <f t="shared" si="92"/>
        <v>53.5</v>
      </c>
      <c r="X164" s="173">
        <f t="shared" si="93"/>
        <v>146.5</v>
      </c>
      <c r="Y164" s="180">
        <f t="shared" si="94"/>
        <v>18</v>
      </c>
      <c r="Z164" s="168"/>
      <c r="AA164" s="185">
        <f t="shared" si="95"/>
        <v>45</v>
      </c>
      <c r="AB164" s="173">
        <f t="shared" si="96"/>
        <v>10.5</v>
      </c>
      <c r="AC164" s="173">
        <f t="shared" si="97"/>
        <v>354</v>
      </c>
      <c r="AD164" s="180">
        <f t="shared" si="98"/>
        <v>18</v>
      </c>
      <c r="AE164" s="168"/>
      <c r="AF164" s="185" t="str">
        <f t="shared" si="99"/>
        <v/>
      </c>
      <c r="AG164" s="173" t="str">
        <f t="shared" si="100"/>
        <v/>
      </c>
      <c r="AH164" s="173" t="str">
        <f t="shared" si="101"/>
        <v/>
      </c>
      <c r="AI164" s="180" t="str">
        <f t="shared" si="102"/>
        <v/>
      </c>
      <c r="AJ164" s="168"/>
      <c r="AK164" s="185" t="str">
        <f t="shared" si="103"/>
        <v/>
      </c>
      <c r="AL164" s="173" t="str">
        <f t="shared" si="104"/>
        <v/>
      </c>
      <c r="AM164" s="173" t="str">
        <f t="shared" si="105"/>
        <v/>
      </c>
      <c r="AN164" s="180" t="str">
        <f t="shared" si="106"/>
        <v/>
      </c>
      <c r="AO164" s="168"/>
      <c r="AP164" s="185">
        <f t="shared" si="107"/>
        <v>45</v>
      </c>
      <c r="AQ164" s="199">
        <f t="shared" si="108"/>
        <v>53.5</v>
      </c>
      <c r="AR164" s="199">
        <f t="shared" si="109"/>
        <v>639</v>
      </c>
      <c r="AS164" s="200">
        <f t="shared" si="110"/>
        <v>18</v>
      </c>
      <c r="AT164" s="277"/>
      <c r="AU164" s="185" t="str">
        <f t="shared" si="111"/>
        <v/>
      </c>
      <c r="AV164" s="173" t="str">
        <f t="shared" si="112"/>
        <v/>
      </c>
      <c r="AW164" s="173" t="str">
        <f t="shared" si="113"/>
        <v/>
      </c>
      <c r="AX164" s="180" t="str">
        <f t="shared" si="114"/>
        <v/>
      </c>
      <c r="AY164" s="168"/>
      <c r="AZ164" s="185" t="str">
        <f t="shared" si="115"/>
        <v/>
      </c>
      <c r="BA164" s="173" t="str">
        <f t="shared" si="116"/>
        <v/>
      </c>
      <c r="BB164" s="173" t="str">
        <f t="shared" si="117"/>
        <v/>
      </c>
      <c r="BC164" s="180" t="str">
        <f t="shared" si="118"/>
        <v/>
      </c>
      <c r="BD164" s="168"/>
      <c r="BE164" s="185" t="str">
        <f t="shared" si="119"/>
        <v/>
      </c>
      <c r="BF164" s="173" t="str">
        <f t="shared" si="120"/>
        <v/>
      </c>
      <c r="BG164" s="173" t="str">
        <f t="shared" si="121"/>
        <v/>
      </c>
      <c r="BH164" s="180" t="str">
        <f t="shared" si="122"/>
        <v/>
      </c>
      <c r="BI164" s="277"/>
      <c r="BJ164" s="185" t="str">
        <f t="shared" si="123"/>
        <v/>
      </c>
      <c r="BK164" s="173" t="str">
        <f t="shared" si="124"/>
        <v/>
      </c>
      <c r="BL164" s="173" t="str">
        <f t="shared" si="125"/>
        <v/>
      </c>
      <c r="BM164" s="180" t="str">
        <f t="shared" si="126"/>
        <v/>
      </c>
      <c r="BN164" s="168"/>
      <c r="BO164" s="185" t="str">
        <f t="shared" si="127"/>
        <v/>
      </c>
      <c r="BP164" s="173" t="str">
        <f t="shared" si="128"/>
        <v/>
      </c>
      <c r="BQ164" s="173" t="str">
        <f t="shared" si="129"/>
        <v/>
      </c>
      <c r="BR164" s="180" t="str">
        <f t="shared" si="130"/>
        <v/>
      </c>
      <c r="BS164" s="168"/>
      <c r="BT164" s="185" t="str">
        <f t="shared" si="131"/>
        <v/>
      </c>
      <c r="BU164" s="173" t="str">
        <f t="shared" si="132"/>
        <v/>
      </c>
      <c r="BV164" s="173" t="str">
        <f t="shared" si="133"/>
        <v/>
      </c>
      <c r="BW164" s="180" t="str">
        <f t="shared" si="134"/>
        <v/>
      </c>
      <c r="BX164" s="288"/>
    </row>
    <row r="165" spans="1:76">
      <c r="A165" s="168"/>
      <c r="B165" s="185">
        <f t="shared" si="135"/>
        <v>45</v>
      </c>
      <c r="C165" s="173">
        <f t="shared" si="76"/>
        <v>96.5</v>
      </c>
      <c r="D165" s="173">
        <f t="shared" si="77"/>
        <v>342</v>
      </c>
      <c r="E165" s="180">
        <f t="shared" si="78"/>
        <v>18</v>
      </c>
      <c r="F165" s="168"/>
      <c r="G165" s="185">
        <f t="shared" si="79"/>
        <v>45</v>
      </c>
      <c r="H165" s="173">
        <f t="shared" si="80"/>
        <v>96.5</v>
      </c>
      <c r="I165" s="173">
        <f t="shared" si="81"/>
        <v>102</v>
      </c>
      <c r="J165" s="180">
        <f t="shared" si="82"/>
        <v>18</v>
      </c>
      <c r="K165" s="168"/>
      <c r="L165" s="185">
        <f t="shared" si="83"/>
        <v>45</v>
      </c>
      <c r="M165" s="173">
        <f t="shared" si="84"/>
        <v>53.5</v>
      </c>
      <c r="N165" s="173">
        <f t="shared" si="85"/>
        <v>603</v>
      </c>
      <c r="O165" s="180">
        <f t="shared" si="86"/>
        <v>18</v>
      </c>
      <c r="P165" s="168"/>
      <c r="Q165" s="185">
        <f t="shared" si="87"/>
        <v>45</v>
      </c>
      <c r="R165" s="173">
        <f t="shared" si="88"/>
        <v>53.5</v>
      </c>
      <c r="S165" s="173">
        <f t="shared" si="89"/>
        <v>432</v>
      </c>
      <c r="T165" s="180">
        <f t="shared" si="90"/>
        <v>18</v>
      </c>
      <c r="U165" s="168"/>
      <c r="V165" s="185">
        <f t="shared" si="91"/>
        <v>45</v>
      </c>
      <c r="W165" s="173">
        <f t="shared" si="92"/>
        <v>53.5</v>
      </c>
      <c r="X165" s="173">
        <f t="shared" si="93"/>
        <v>89.5</v>
      </c>
      <c r="Y165" s="180">
        <f t="shared" si="94"/>
        <v>18</v>
      </c>
      <c r="Z165" s="168"/>
      <c r="AA165" s="185">
        <f t="shared" si="95"/>
        <v>45</v>
      </c>
      <c r="AB165" s="173">
        <f t="shared" si="96"/>
        <v>10.5</v>
      </c>
      <c r="AC165" s="173">
        <f t="shared" si="97"/>
        <v>296</v>
      </c>
      <c r="AD165" s="180">
        <f t="shared" si="98"/>
        <v>18</v>
      </c>
      <c r="AE165" s="168"/>
      <c r="AF165" s="185" t="str">
        <f t="shared" si="99"/>
        <v/>
      </c>
      <c r="AG165" s="173" t="str">
        <f t="shared" si="100"/>
        <v/>
      </c>
      <c r="AH165" s="173" t="str">
        <f t="shared" si="101"/>
        <v/>
      </c>
      <c r="AI165" s="180" t="str">
        <f t="shared" si="102"/>
        <v/>
      </c>
      <c r="AJ165" s="168"/>
      <c r="AK165" s="185" t="str">
        <f t="shared" si="103"/>
        <v/>
      </c>
      <c r="AL165" s="173" t="str">
        <f t="shared" si="104"/>
        <v/>
      </c>
      <c r="AM165" s="173" t="str">
        <f t="shared" si="105"/>
        <v/>
      </c>
      <c r="AN165" s="180" t="str">
        <f t="shared" si="106"/>
        <v/>
      </c>
      <c r="AO165" s="168"/>
      <c r="AP165" s="185">
        <f t="shared" si="107"/>
        <v>45</v>
      </c>
      <c r="AQ165" s="199">
        <f t="shared" si="108"/>
        <v>53.5</v>
      </c>
      <c r="AR165" s="199">
        <f t="shared" si="109"/>
        <v>582</v>
      </c>
      <c r="AS165" s="200">
        <f t="shared" si="110"/>
        <v>18</v>
      </c>
      <c r="AT165" s="277"/>
      <c r="AU165" s="185" t="str">
        <f t="shared" si="111"/>
        <v/>
      </c>
      <c r="AV165" s="173" t="str">
        <f t="shared" si="112"/>
        <v/>
      </c>
      <c r="AW165" s="173" t="str">
        <f t="shared" si="113"/>
        <v/>
      </c>
      <c r="AX165" s="180" t="str">
        <f t="shared" si="114"/>
        <v/>
      </c>
      <c r="AY165" s="168"/>
      <c r="AZ165" s="185" t="str">
        <f t="shared" si="115"/>
        <v/>
      </c>
      <c r="BA165" s="173" t="str">
        <f t="shared" si="116"/>
        <v/>
      </c>
      <c r="BB165" s="173" t="str">
        <f t="shared" si="117"/>
        <v/>
      </c>
      <c r="BC165" s="180" t="str">
        <f t="shared" si="118"/>
        <v/>
      </c>
      <c r="BD165" s="168"/>
      <c r="BE165" s="185" t="str">
        <f t="shared" si="119"/>
        <v/>
      </c>
      <c r="BF165" s="173" t="str">
        <f t="shared" si="120"/>
        <v/>
      </c>
      <c r="BG165" s="173" t="str">
        <f t="shared" si="121"/>
        <v/>
      </c>
      <c r="BH165" s="180" t="str">
        <f t="shared" si="122"/>
        <v/>
      </c>
      <c r="BI165" s="277"/>
      <c r="BJ165" s="185" t="str">
        <f t="shared" si="123"/>
        <v/>
      </c>
      <c r="BK165" s="173" t="str">
        <f t="shared" si="124"/>
        <v/>
      </c>
      <c r="BL165" s="173" t="str">
        <f t="shared" si="125"/>
        <v/>
      </c>
      <c r="BM165" s="180" t="str">
        <f t="shared" si="126"/>
        <v/>
      </c>
      <c r="BN165" s="168"/>
      <c r="BO165" s="185" t="str">
        <f t="shared" si="127"/>
        <v/>
      </c>
      <c r="BP165" s="173" t="str">
        <f t="shared" si="128"/>
        <v/>
      </c>
      <c r="BQ165" s="173" t="str">
        <f t="shared" si="129"/>
        <v/>
      </c>
      <c r="BR165" s="180" t="str">
        <f t="shared" si="130"/>
        <v/>
      </c>
      <c r="BS165" s="168"/>
      <c r="BT165" s="185" t="str">
        <f t="shared" si="131"/>
        <v/>
      </c>
      <c r="BU165" s="173" t="str">
        <f t="shared" si="132"/>
        <v/>
      </c>
      <c r="BV165" s="173" t="str">
        <f t="shared" si="133"/>
        <v/>
      </c>
      <c r="BW165" s="180" t="str">
        <f t="shared" si="134"/>
        <v/>
      </c>
      <c r="BX165" s="288"/>
    </row>
    <row r="166" spans="1:76">
      <c r="A166" s="168"/>
      <c r="B166" s="185">
        <f t="shared" si="135"/>
        <v>45</v>
      </c>
      <c r="C166" s="173">
        <f t="shared" si="76"/>
        <v>53.5</v>
      </c>
      <c r="D166" s="173">
        <f t="shared" si="77"/>
        <v>969</v>
      </c>
      <c r="E166" s="180">
        <f t="shared" si="78"/>
        <v>18</v>
      </c>
      <c r="F166" s="168"/>
      <c r="G166" s="185">
        <f t="shared" si="79"/>
        <v>45</v>
      </c>
      <c r="H166" s="173">
        <f t="shared" si="80"/>
        <v>53.5</v>
      </c>
      <c r="I166" s="173">
        <f t="shared" si="81"/>
        <v>729</v>
      </c>
      <c r="J166" s="180">
        <f t="shared" si="82"/>
        <v>18</v>
      </c>
      <c r="K166" s="168"/>
      <c r="L166" s="185">
        <f t="shared" si="83"/>
        <v>45</v>
      </c>
      <c r="M166" s="173">
        <f t="shared" si="84"/>
        <v>53.5</v>
      </c>
      <c r="N166" s="173">
        <f t="shared" si="85"/>
        <v>546</v>
      </c>
      <c r="O166" s="180">
        <f t="shared" si="86"/>
        <v>18</v>
      </c>
      <c r="P166" s="168"/>
      <c r="Q166" s="185">
        <f t="shared" si="87"/>
        <v>45</v>
      </c>
      <c r="R166" s="173">
        <f t="shared" si="88"/>
        <v>53.5</v>
      </c>
      <c r="S166" s="173">
        <f t="shared" si="89"/>
        <v>375</v>
      </c>
      <c r="T166" s="180">
        <f t="shared" si="90"/>
        <v>18</v>
      </c>
      <c r="U166" s="168"/>
      <c r="V166" s="185">
        <f t="shared" si="91"/>
        <v>45</v>
      </c>
      <c r="W166" s="173">
        <f t="shared" si="92"/>
        <v>10.5</v>
      </c>
      <c r="X166" s="173">
        <f t="shared" si="93"/>
        <v>460</v>
      </c>
      <c r="Y166" s="180">
        <f t="shared" si="94"/>
        <v>18</v>
      </c>
      <c r="Z166" s="168"/>
      <c r="AA166" s="185">
        <f t="shared" si="95"/>
        <v>45</v>
      </c>
      <c r="AB166" s="173">
        <f t="shared" si="96"/>
        <v>10.5</v>
      </c>
      <c r="AC166" s="173">
        <f t="shared" si="97"/>
        <v>238</v>
      </c>
      <c r="AD166" s="180">
        <f t="shared" si="98"/>
        <v>18</v>
      </c>
      <c r="AE166" s="168"/>
      <c r="AF166" s="185" t="str">
        <f t="shared" si="99"/>
        <v/>
      </c>
      <c r="AG166" s="173" t="str">
        <f t="shared" si="100"/>
        <v/>
      </c>
      <c r="AH166" s="173" t="str">
        <f t="shared" si="101"/>
        <v/>
      </c>
      <c r="AI166" s="180" t="str">
        <f t="shared" si="102"/>
        <v/>
      </c>
      <c r="AJ166" s="168"/>
      <c r="AK166" s="185" t="str">
        <f t="shared" si="103"/>
        <v/>
      </c>
      <c r="AL166" s="173" t="str">
        <f t="shared" si="104"/>
        <v/>
      </c>
      <c r="AM166" s="173" t="str">
        <f t="shared" si="105"/>
        <v/>
      </c>
      <c r="AN166" s="180" t="str">
        <f t="shared" si="106"/>
        <v/>
      </c>
      <c r="AO166" s="168"/>
      <c r="AP166" s="185">
        <f t="shared" si="107"/>
        <v>45</v>
      </c>
      <c r="AQ166" s="199">
        <f t="shared" si="108"/>
        <v>53.5</v>
      </c>
      <c r="AR166" s="199">
        <f t="shared" si="109"/>
        <v>525</v>
      </c>
      <c r="AS166" s="200">
        <f t="shared" si="110"/>
        <v>18</v>
      </c>
      <c r="AT166" s="277"/>
      <c r="AU166" s="185" t="str">
        <f t="shared" si="111"/>
        <v/>
      </c>
      <c r="AV166" s="173" t="str">
        <f t="shared" si="112"/>
        <v/>
      </c>
      <c r="AW166" s="173" t="str">
        <f t="shared" si="113"/>
        <v/>
      </c>
      <c r="AX166" s="180" t="str">
        <f t="shared" si="114"/>
        <v/>
      </c>
      <c r="AY166" s="168"/>
      <c r="AZ166" s="185" t="str">
        <f t="shared" si="115"/>
        <v/>
      </c>
      <c r="BA166" s="173" t="str">
        <f t="shared" si="116"/>
        <v/>
      </c>
      <c r="BB166" s="173" t="str">
        <f t="shared" si="117"/>
        <v/>
      </c>
      <c r="BC166" s="180" t="str">
        <f t="shared" si="118"/>
        <v/>
      </c>
      <c r="BD166" s="168"/>
      <c r="BE166" s="185" t="str">
        <f t="shared" si="119"/>
        <v/>
      </c>
      <c r="BF166" s="173" t="str">
        <f t="shared" si="120"/>
        <v/>
      </c>
      <c r="BG166" s="173" t="str">
        <f t="shared" si="121"/>
        <v/>
      </c>
      <c r="BH166" s="180" t="str">
        <f t="shared" si="122"/>
        <v/>
      </c>
      <c r="BI166" s="277"/>
      <c r="BJ166" s="185" t="str">
        <f t="shared" si="123"/>
        <v/>
      </c>
      <c r="BK166" s="173" t="str">
        <f t="shared" si="124"/>
        <v/>
      </c>
      <c r="BL166" s="173" t="str">
        <f t="shared" si="125"/>
        <v/>
      </c>
      <c r="BM166" s="180" t="str">
        <f t="shared" si="126"/>
        <v/>
      </c>
      <c r="BN166" s="168"/>
      <c r="BO166" s="185" t="str">
        <f t="shared" si="127"/>
        <v/>
      </c>
      <c r="BP166" s="173" t="str">
        <f t="shared" si="128"/>
        <v/>
      </c>
      <c r="BQ166" s="173" t="str">
        <f t="shared" si="129"/>
        <v/>
      </c>
      <c r="BR166" s="180" t="str">
        <f t="shared" si="130"/>
        <v/>
      </c>
      <c r="BS166" s="168"/>
      <c r="BT166" s="185" t="str">
        <f t="shared" si="131"/>
        <v/>
      </c>
      <c r="BU166" s="173" t="str">
        <f t="shared" si="132"/>
        <v/>
      </c>
      <c r="BV166" s="173" t="str">
        <f t="shared" si="133"/>
        <v/>
      </c>
      <c r="BW166" s="180" t="str">
        <f t="shared" si="134"/>
        <v/>
      </c>
      <c r="BX166" s="288"/>
    </row>
    <row r="167" spans="1:76">
      <c r="A167" s="168"/>
      <c r="B167" s="185">
        <f t="shared" si="135"/>
        <v>45</v>
      </c>
      <c r="C167" s="173">
        <f t="shared" si="76"/>
        <v>53.5</v>
      </c>
      <c r="D167" s="173">
        <f t="shared" si="77"/>
        <v>912</v>
      </c>
      <c r="E167" s="180">
        <f t="shared" si="78"/>
        <v>18</v>
      </c>
      <c r="F167" s="168"/>
      <c r="G167" s="185">
        <f t="shared" si="79"/>
        <v>45</v>
      </c>
      <c r="H167" s="173">
        <f t="shared" si="80"/>
        <v>53.5</v>
      </c>
      <c r="I167" s="173">
        <f t="shared" si="81"/>
        <v>672</v>
      </c>
      <c r="J167" s="180">
        <f t="shared" si="82"/>
        <v>18</v>
      </c>
      <c r="K167" s="168"/>
      <c r="L167" s="185">
        <f t="shared" si="83"/>
        <v>45</v>
      </c>
      <c r="M167" s="173">
        <f t="shared" si="84"/>
        <v>53.5</v>
      </c>
      <c r="N167" s="173">
        <f t="shared" si="85"/>
        <v>489</v>
      </c>
      <c r="O167" s="180">
        <f t="shared" si="86"/>
        <v>18</v>
      </c>
      <c r="P167" s="168"/>
      <c r="Q167" s="185">
        <f t="shared" si="87"/>
        <v>45</v>
      </c>
      <c r="R167" s="173">
        <f t="shared" si="88"/>
        <v>53.5</v>
      </c>
      <c r="S167" s="173">
        <f t="shared" si="89"/>
        <v>318</v>
      </c>
      <c r="T167" s="180">
        <f t="shared" si="90"/>
        <v>18</v>
      </c>
      <c r="U167" s="168"/>
      <c r="V167" s="185">
        <f t="shared" si="91"/>
        <v>45</v>
      </c>
      <c r="W167" s="173">
        <f t="shared" si="92"/>
        <v>10.5</v>
      </c>
      <c r="X167" s="173">
        <f t="shared" si="93"/>
        <v>403</v>
      </c>
      <c r="Y167" s="180">
        <f t="shared" si="94"/>
        <v>18</v>
      </c>
      <c r="Z167" s="168"/>
      <c r="AA167" s="185">
        <f t="shared" si="95"/>
        <v>45</v>
      </c>
      <c r="AB167" s="173">
        <f t="shared" si="96"/>
        <v>10.5</v>
      </c>
      <c r="AC167" s="173">
        <f t="shared" si="97"/>
        <v>180</v>
      </c>
      <c r="AD167" s="180">
        <f t="shared" si="98"/>
        <v>18</v>
      </c>
      <c r="AE167" s="168"/>
      <c r="AF167" s="185" t="str">
        <f t="shared" si="99"/>
        <v/>
      </c>
      <c r="AG167" s="173" t="str">
        <f t="shared" si="100"/>
        <v/>
      </c>
      <c r="AH167" s="173" t="str">
        <f t="shared" si="101"/>
        <v/>
      </c>
      <c r="AI167" s="180" t="str">
        <f t="shared" si="102"/>
        <v/>
      </c>
      <c r="AJ167" s="168"/>
      <c r="AK167" s="185" t="str">
        <f t="shared" si="103"/>
        <v/>
      </c>
      <c r="AL167" s="173" t="str">
        <f t="shared" si="104"/>
        <v/>
      </c>
      <c r="AM167" s="173" t="str">
        <f t="shared" si="105"/>
        <v/>
      </c>
      <c r="AN167" s="180" t="str">
        <f t="shared" si="106"/>
        <v/>
      </c>
      <c r="AO167" s="168"/>
      <c r="AP167" s="185">
        <f t="shared" si="107"/>
        <v>45</v>
      </c>
      <c r="AQ167" s="199">
        <f t="shared" si="108"/>
        <v>53.5</v>
      </c>
      <c r="AR167" s="199">
        <f t="shared" si="109"/>
        <v>468</v>
      </c>
      <c r="AS167" s="200">
        <f t="shared" si="110"/>
        <v>18</v>
      </c>
      <c r="AT167" s="277"/>
      <c r="AU167" s="185" t="str">
        <f t="shared" si="111"/>
        <v/>
      </c>
      <c r="AV167" s="173" t="str">
        <f t="shared" si="112"/>
        <v/>
      </c>
      <c r="AW167" s="173" t="str">
        <f t="shared" si="113"/>
        <v/>
      </c>
      <c r="AX167" s="180" t="str">
        <f t="shared" si="114"/>
        <v/>
      </c>
      <c r="AY167" s="168"/>
      <c r="AZ167" s="185" t="str">
        <f t="shared" si="115"/>
        <v/>
      </c>
      <c r="BA167" s="173" t="str">
        <f t="shared" si="116"/>
        <v/>
      </c>
      <c r="BB167" s="173" t="str">
        <f t="shared" si="117"/>
        <v/>
      </c>
      <c r="BC167" s="180" t="str">
        <f t="shared" si="118"/>
        <v/>
      </c>
      <c r="BD167" s="168"/>
      <c r="BE167" s="185" t="str">
        <f t="shared" si="119"/>
        <v/>
      </c>
      <c r="BF167" s="173" t="str">
        <f t="shared" si="120"/>
        <v/>
      </c>
      <c r="BG167" s="173" t="str">
        <f t="shared" si="121"/>
        <v/>
      </c>
      <c r="BH167" s="180" t="str">
        <f t="shared" si="122"/>
        <v/>
      </c>
      <c r="BI167" s="277"/>
      <c r="BJ167" s="185" t="str">
        <f t="shared" si="123"/>
        <v/>
      </c>
      <c r="BK167" s="173" t="str">
        <f t="shared" si="124"/>
        <v/>
      </c>
      <c r="BL167" s="173" t="str">
        <f t="shared" si="125"/>
        <v/>
      </c>
      <c r="BM167" s="180" t="str">
        <f t="shared" si="126"/>
        <v/>
      </c>
      <c r="BN167" s="168"/>
      <c r="BO167" s="185" t="str">
        <f t="shared" si="127"/>
        <v/>
      </c>
      <c r="BP167" s="173" t="str">
        <f t="shared" si="128"/>
        <v/>
      </c>
      <c r="BQ167" s="173" t="str">
        <f t="shared" si="129"/>
        <v/>
      </c>
      <c r="BR167" s="180" t="str">
        <f t="shared" si="130"/>
        <v/>
      </c>
      <c r="BS167" s="168"/>
      <c r="BT167" s="185" t="str">
        <f t="shared" si="131"/>
        <v/>
      </c>
      <c r="BU167" s="173" t="str">
        <f t="shared" si="132"/>
        <v/>
      </c>
      <c r="BV167" s="173" t="str">
        <f t="shared" si="133"/>
        <v/>
      </c>
      <c r="BW167" s="180" t="str">
        <f t="shared" si="134"/>
        <v/>
      </c>
      <c r="BX167" s="288"/>
    </row>
    <row r="168" spans="1:76">
      <c r="A168" s="168"/>
      <c r="B168" s="185">
        <f t="shared" si="135"/>
        <v>45</v>
      </c>
      <c r="C168" s="173">
        <f t="shared" si="76"/>
        <v>53.5</v>
      </c>
      <c r="D168" s="173">
        <f t="shared" si="77"/>
        <v>855</v>
      </c>
      <c r="E168" s="180">
        <f t="shared" si="78"/>
        <v>18</v>
      </c>
      <c r="F168" s="168"/>
      <c r="G168" s="185">
        <f t="shared" si="79"/>
        <v>45</v>
      </c>
      <c r="H168" s="173">
        <f t="shared" si="80"/>
        <v>53.5</v>
      </c>
      <c r="I168" s="173">
        <f t="shared" si="81"/>
        <v>615</v>
      </c>
      <c r="J168" s="180">
        <f t="shared" si="82"/>
        <v>18</v>
      </c>
      <c r="K168" s="168"/>
      <c r="L168" s="185">
        <f t="shared" si="83"/>
        <v>45</v>
      </c>
      <c r="M168" s="173">
        <f t="shared" si="84"/>
        <v>53.5</v>
      </c>
      <c r="N168" s="173">
        <f t="shared" si="85"/>
        <v>432</v>
      </c>
      <c r="O168" s="180">
        <f t="shared" si="86"/>
        <v>18</v>
      </c>
      <c r="P168" s="168"/>
      <c r="Q168" s="185">
        <f t="shared" si="87"/>
        <v>45</v>
      </c>
      <c r="R168" s="173">
        <f t="shared" si="88"/>
        <v>53.5</v>
      </c>
      <c r="S168" s="173">
        <f t="shared" si="89"/>
        <v>261</v>
      </c>
      <c r="T168" s="180">
        <f t="shared" si="90"/>
        <v>18</v>
      </c>
      <c r="U168" s="168"/>
      <c r="V168" s="185">
        <f t="shared" si="91"/>
        <v>45</v>
      </c>
      <c r="W168" s="173">
        <f t="shared" si="92"/>
        <v>10.5</v>
      </c>
      <c r="X168" s="173">
        <f t="shared" si="93"/>
        <v>346</v>
      </c>
      <c r="Y168" s="180">
        <f t="shared" si="94"/>
        <v>18</v>
      </c>
      <c r="Z168" s="168"/>
      <c r="AA168" s="185">
        <f t="shared" si="95"/>
        <v>45</v>
      </c>
      <c r="AB168" s="173">
        <f t="shared" si="96"/>
        <v>10.5</v>
      </c>
      <c r="AC168" s="173">
        <f t="shared" si="97"/>
        <v>122</v>
      </c>
      <c r="AD168" s="180">
        <f t="shared" si="98"/>
        <v>18</v>
      </c>
      <c r="AE168" s="168"/>
      <c r="AF168" s="185" t="str">
        <f t="shared" si="99"/>
        <v/>
      </c>
      <c r="AG168" s="173" t="str">
        <f t="shared" si="100"/>
        <v/>
      </c>
      <c r="AH168" s="173" t="str">
        <f t="shared" si="101"/>
        <v/>
      </c>
      <c r="AI168" s="180" t="str">
        <f t="shared" si="102"/>
        <v/>
      </c>
      <c r="AJ168" s="168"/>
      <c r="AK168" s="185" t="str">
        <f t="shared" si="103"/>
        <v/>
      </c>
      <c r="AL168" s="173" t="str">
        <f t="shared" si="104"/>
        <v/>
      </c>
      <c r="AM168" s="173" t="str">
        <f t="shared" si="105"/>
        <v/>
      </c>
      <c r="AN168" s="180" t="str">
        <f t="shared" si="106"/>
        <v/>
      </c>
      <c r="AO168" s="168"/>
      <c r="AP168" s="185">
        <f t="shared" si="107"/>
        <v>45</v>
      </c>
      <c r="AQ168" s="199">
        <f t="shared" si="108"/>
        <v>53.5</v>
      </c>
      <c r="AR168" s="199">
        <f t="shared" si="109"/>
        <v>411</v>
      </c>
      <c r="AS168" s="200">
        <f t="shared" si="110"/>
        <v>18</v>
      </c>
      <c r="AT168" s="277"/>
      <c r="AU168" s="185" t="str">
        <f t="shared" si="111"/>
        <v/>
      </c>
      <c r="AV168" s="173" t="str">
        <f t="shared" si="112"/>
        <v/>
      </c>
      <c r="AW168" s="173" t="str">
        <f t="shared" si="113"/>
        <v/>
      </c>
      <c r="AX168" s="180" t="str">
        <f t="shared" si="114"/>
        <v/>
      </c>
      <c r="AY168" s="168"/>
      <c r="AZ168" s="185" t="str">
        <f t="shared" si="115"/>
        <v/>
      </c>
      <c r="BA168" s="173" t="str">
        <f t="shared" si="116"/>
        <v/>
      </c>
      <c r="BB168" s="173" t="str">
        <f t="shared" si="117"/>
        <v/>
      </c>
      <c r="BC168" s="180" t="str">
        <f t="shared" si="118"/>
        <v/>
      </c>
      <c r="BD168" s="168"/>
      <c r="BE168" s="185" t="str">
        <f t="shared" si="119"/>
        <v/>
      </c>
      <c r="BF168" s="173" t="str">
        <f t="shared" si="120"/>
        <v/>
      </c>
      <c r="BG168" s="173" t="str">
        <f t="shared" si="121"/>
        <v/>
      </c>
      <c r="BH168" s="180" t="str">
        <f t="shared" si="122"/>
        <v/>
      </c>
      <c r="BI168" s="277"/>
      <c r="BJ168" s="185" t="str">
        <f t="shared" si="123"/>
        <v/>
      </c>
      <c r="BK168" s="173" t="str">
        <f t="shared" si="124"/>
        <v/>
      </c>
      <c r="BL168" s="173" t="str">
        <f t="shared" si="125"/>
        <v/>
      </c>
      <c r="BM168" s="180" t="str">
        <f t="shared" si="126"/>
        <v/>
      </c>
      <c r="BN168" s="168"/>
      <c r="BO168" s="185" t="str">
        <f t="shared" si="127"/>
        <v/>
      </c>
      <c r="BP168" s="173" t="str">
        <f t="shared" si="128"/>
        <v/>
      </c>
      <c r="BQ168" s="173" t="str">
        <f t="shared" si="129"/>
        <v/>
      </c>
      <c r="BR168" s="180" t="str">
        <f t="shared" si="130"/>
        <v/>
      </c>
      <c r="BS168" s="168"/>
      <c r="BT168" s="185" t="str">
        <f t="shared" si="131"/>
        <v/>
      </c>
      <c r="BU168" s="173" t="str">
        <f t="shared" si="132"/>
        <v/>
      </c>
      <c r="BV168" s="173" t="str">
        <f t="shared" si="133"/>
        <v/>
      </c>
      <c r="BW168" s="180" t="str">
        <f t="shared" si="134"/>
        <v/>
      </c>
      <c r="BX168" s="288"/>
    </row>
    <row r="169" spans="1:76">
      <c r="A169" s="168"/>
      <c r="B169" s="185">
        <f t="shared" si="135"/>
        <v>45</v>
      </c>
      <c r="C169" s="173">
        <f t="shared" si="76"/>
        <v>53.5</v>
      </c>
      <c r="D169" s="173">
        <f t="shared" si="77"/>
        <v>798</v>
      </c>
      <c r="E169" s="180">
        <f t="shared" si="78"/>
        <v>18</v>
      </c>
      <c r="F169" s="168"/>
      <c r="G169" s="185">
        <f t="shared" si="79"/>
        <v>45</v>
      </c>
      <c r="H169" s="173">
        <f t="shared" si="80"/>
        <v>53.5</v>
      </c>
      <c r="I169" s="173">
        <f t="shared" si="81"/>
        <v>558</v>
      </c>
      <c r="J169" s="180">
        <f t="shared" si="82"/>
        <v>18</v>
      </c>
      <c r="K169" s="168"/>
      <c r="L169" s="185">
        <f t="shared" si="83"/>
        <v>45</v>
      </c>
      <c r="M169" s="173">
        <f t="shared" si="84"/>
        <v>53.5</v>
      </c>
      <c r="N169" s="173">
        <f t="shared" si="85"/>
        <v>375</v>
      </c>
      <c r="O169" s="180">
        <f t="shared" si="86"/>
        <v>18</v>
      </c>
      <c r="P169" s="168"/>
      <c r="Q169" s="185">
        <f t="shared" si="87"/>
        <v>45</v>
      </c>
      <c r="R169" s="173">
        <f t="shared" si="88"/>
        <v>53.5</v>
      </c>
      <c r="S169" s="173">
        <f t="shared" si="89"/>
        <v>204</v>
      </c>
      <c r="T169" s="180">
        <f t="shared" si="90"/>
        <v>18</v>
      </c>
      <c r="U169" s="168"/>
      <c r="V169" s="185">
        <f t="shared" si="91"/>
        <v>45</v>
      </c>
      <c r="W169" s="173">
        <f t="shared" si="92"/>
        <v>10.5</v>
      </c>
      <c r="X169" s="173">
        <f t="shared" si="93"/>
        <v>289</v>
      </c>
      <c r="Y169" s="180">
        <f t="shared" si="94"/>
        <v>18</v>
      </c>
      <c r="Z169" s="168"/>
      <c r="AA169" s="185">
        <f t="shared" si="95"/>
        <v>45</v>
      </c>
      <c r="AB169" s="173">
        <f t="shared" si="96"/>
        <v>10.5</v>
      </c>
      <c r="AC169" s="173">
        <f t="shared" si="97"/>
        <v>64</v>
      </c>
      <c r="AD169" s="180">
        <f t="shared" si="98"/>
        <v>18</v>
      </c>
      <c r="AE169" s="168"/>
      <c r="AF169" s="185" t="str">
        <f t="shared" si="99"/>
        <v/>
      </c>
      <c r="AG169" s="173" t="str">
        <f t="shared" si="100"/>
        <v/>
      </c>
      <c r="AH169" s="173" t="str">
        <f t="shared" si="101"/>
        <v/>
      </c>
      <c r="AI169" s="180" t="str">
        <f t="shared" si="102"/>
        <v/>
      </c>
      <c r="AJ169" s="168"/>
      <c r="AK169" s="185" t="str">
        <f t="shared" si="103"/>
        <v/>
      </c>
      <c r="AL169" s="173" t="str">
        <f t="shared" si="104"/>
        <v/>
      </c>
      <c r="AM169" s="173" t="str">
        <f t="shared" si="105"/>
        <v/>
      </c>
      <c r="AN169" s="180" t="str">
        <f t="shared" si="106"/>
        <v/>
      </c>
      <c r="AO169" s="168"/>
      <c r="AP169" s="185">
        <f t="shared" si="107"/>
        <v>45</v>
      </c>
      <c r="AQ169" s="199">
        <f t="shared" si="108"/>
        <v>53.5</v>
      </c>
      <c r="AR169" s="199">
        <f t="shared" si="109"/>
        <v>354</v>
      </c>
      <c r="AS169" s="200">
        <f t="shared" si="110"/>
        <v>18</v>
      </c>
      <c r="AT169" s="277"/>
      <c r="AU169" s="185" t="str">
        <f t="shared" si="111"/>
        <v/>
      </c>
      <c r="AV169" s="173" t="str">
        <f t="shared" si="112"/>
        <v/>
      </c>
      <c r="AW169" s="173" t="str">
        <f t="shared" si="113"/>
        <v/>
      </c>
      <c r="AX169" s="180" t="str">
        <f t="shared" si="114"/>
        <v/>
      </c>
      <c r="AY169" s="168"/>
      <c r="AZ169" s="185" t="str">
        <f t="shared" si="115"/>
        <v/>
      </c>
      <c r="BA169" s="173" t="str">
        <f t="shared" si="116"/>
        <v/>
      </c>
      <c r="BB169" s="173" t="str">
        <f t="shared" si="117"/>
        <v/>
      </c>
      <c r="BC169" s="180" t="str">
        <f t="shared" si="118"/>
        <v/>
      </c>
      <c r="BD169" s="168"/>
      <c r="BE169" s="185" t="str">
        <f t="shared" si="119"/>
        <v/>
      </c>
      <c r="BF169" s="173" t="str">
        <f t="shared" si="120"/>
        <v/>
      </c>
      <c r="BG169" s="173" t="str">
        <f t="shared" si="121"/>
        <v/>
      </c>
      <c r="BH169" s="180" t="str">
        <f t="shared" si="122"/>
        <v/>
      </c>
      <c r="BI169" s="277"/>
      <c r="BJ169" s="185" t="str">
        <f t="shared" si="123"/>
        <v/>
      </c>
      <c r="BK169" s="173" t="str">
        <f t="shared" si="124"/>
        <v/>
      </c>
      <c r="BL169" s="173" t="str">
        <f t="shared" si="125"/>
        <v/>
      </c>
      <c r="BM169" s="180" t="str">
        <f t="shared" si="126"/>
        <v/>
      </c>
      <c r="BN169" s="168"/>
      <c r="BO169" s="185" t="str">
        <f t="shared" si="127"/>
        <v/>
      </c>
      <c r="BP169" s="173" t="str">
        <f t="shared" si="128"/>
        <v/>
      </c>
      <c r="BQ169" s="173" t="str">
        <f t="shared" si="129"/>
        <v/>
      </c>
      <c r="BR169" s="180" t="str">
        <f t="shared" si="130"/>
        <v/>
      </c>
      <c r="BS169" s="168"/>
      <c r="BT169" s="185" t="str">
        <f t="shared" si="131"/>
        <v/>
      </c>
      <c r="BU169" s="173" t="str">
        <f t="shared" si="132"/>
        <v/>
      </c>
      <c r="BV169" s="173" t="str">
        <f t="shared" si="133"/>
        <v/>
      </c>
      <c r="BW169" s="180" t="str">
        <f t="shared" si="134"/>
        <v/>
      </c>
      <c r="BX169" s="288"/>
    </row>
    <row r="170" spans="1:76">
      <c r="A170" s="168"/>
      <c r="B170" s="185">
        <f t="shared" si="135"/>
        <v>45</v>
      </c>
      <c r="C170" s="173">
        <f t="shared" si="76"/>
        <v>53.5</v>
      </c>
      <c r="D170" s="173">
        <f t="shared" si="77"/>
        <v>741</v>
      </c>
      <c r="E170" s="180">
        <f t="shared" si="78"/>
        <v>18</v>
      </c>
      <c r="F170" s="168"/>
      <c r="G170" s="185">
        <f t="shared" si="79"/>
        <v>45</v>
      </c>
      <c r="H170" s="173">
        <f t="shared" si="80"/>
        <v>53.5</v>
      </c>
      <c r="I170" s="173">
        <f t="shared" si="81"/>
        <v>501</v>
      </c>
      <c r="J170" s="180">
        <f t="shared" si="82"/>
        <v>18</v>
      </c>
      <c r="K170" s="168"/>
      <c r="L170" s="185">
        <f t="shared" si="83"/>
        <v>45</v>
      </c>
      <c r="M170" s="173">
        <f t="shared" si="84"/>
        <v>53.5</v>
      </c>
      <c r="N170" s="173">
        <f t="shared" si="85"/>
        <v>318</v>
      </c>
      <c r="O170" s="180">
        <f t="shared" si="86"/>
        <v>18</v>
      </c>
      <c r="P170" s="168"/>
      <c r="Q170" s="185">
        <f t="shared" si="87"/>
        <v>45</v>
      </c>
      <c r="R170" s="173">
        <f t="shared" si="88"/>
        <v>53.5</v>
      </c>
      <c r="S170" s="173">
        <f t="shared" si="89"/>
        <v>147</v>
      </c>
      <c r="T170" s="180">
        <f t="shared" si="90"/>
        <v>18</v>
      </c>
      <c r="U170" s="168"/>
      <c r="V170" s="185">
        <f t="shared" si="91"/>
        <v>45</v>
      </c>
      <c r="W170" s="173">
        <f t="shared" si="92"/>
        <v>10.5</v>
      </c>
      <c r="X170" s="173">
        <f t="shared" si="93"/>
        <v>232</v>
      </c>
      <c r="Y170" s="180">
        <f t="shared" si="94"/>
        <v>18</v>
      </c>
      <c r="Z170" s="168"/>
      <c r="AA170" s="185" t="str">
        <f t="shared" si="95"/>
        <v/>
      </c>
      <c r="AB170" s="173" t="str">
        <f t="shared" si="96"/>
        <v/>
      </c>
      <c r="AC170" s="173" t="str">
        <f t="shared" si="97"/>
        <v/>
      </c>
      <c r="AD170" s="180" t="str">
        <f t="shared" si="98"/>
        <v/>
      </c>
      <c r="AE170" s="168"/>
      <c r="AF170" s="185" t="str">
        <f t="shared" si="99"/>
        <v/>
      </c>
      <c r="AG170" s="173" t="str">
        <f t="shared" si="100"/>
        <v/>
      </c>
      <c r="AH170" s="173" t="str">
        <f t="shared" si="101"/>
        <v/>
      </c>
      <c r="AI170" s="180" t="str">
        <f t="shared" si="102"/>
        <v/>
      </c>
      <c r="AJ170" s="168"/>
      <c r="AK170" s="185" t="str">
        <f t="shared" si="103"/>
        <v/>
      </c>
      <c r="AL170" s="173" t="str">
        <f t="shared" si="104"/>
        <v/>
      </c>
      <c r="AM170" s="173" t="str">
        <f t="shared" si="105"/>
        <v/>
      </c>
      <c r="AN170" s="180" t="str">
        <f t="shared" si="106"/>
        <v/>
      </c>
      <c r="AO170" s="168"/>
      <c r="AP170" s="185">
        <f t="shared" si="107"/>
        <v>45</v>
      </c>
      <c r="AQ170" s="199">
        <f t="shared" si="108"/>
        <v>53.5</v>
      </c>
      <c r="AR170" s="199">
        <f t="shared" si="109"/>
        <v>297</v>
      </c>
      <c r="AS170" s="200">
        <f t="shared" si="110"/>
        <v>18</v>
      </c>
      <c r="AT170" s="277"/>
      <c r="AU170" s="185" t="str">
        <f t="shared" si="111"/>
        <v/>
      </c>
      <c r="AV170" s="173" t="str">
        <f t="shared" si="112"/>
        <v/>
      </c>
      <c r="AW170" s="173" t="str">
        <f t="shared" si="113"/>
        <v/>
      </c>
      <c r="AX170" s="180" t="str">
        <f t="shared" si="114"/>
        <v/>
      </c>
      <c r="AY170" s="168"/>
      <c r="AZ170" s="185" t="str">
        <f t="shared" si="115"/>
        <v/>
      </c>
      <c r="BA170" s="173" t="str">
        <f t="shared" si="116"/>
        <v/>
      </c>
      <c r="BB170" s="173" t="str">
        <f t="shared" si="117"/>
        <v/>
      </c>
      <c r="BC170" s="180" t="str">
        <f t="shared" si="118"/>
        <v/>
      </c>
      <c r="BD170" s="168"/>
      <c r="BE170" s="185" t="str">
        <f t="shared" si="119"/>
        <v/>
      </c>
      <c r="BF170" s="173" t="str">
        <f t="shared" si="120"/>
        <v/>
      </c>
      <c r="BG170" s="173" t="str">
        <f t="shared" si="121"/>
        <v/>
      </c>
      <c r="BH170" s="180" t="str">
        <f t="shared" si="122"/>
        <v/>
      </c>
      <c r="BI170" s="277"/>
      <c r="BJ170" s="185" t="str">
        <f t="shared" si="123"/>
        <v/>
      </c>
      <c r="BK170" s="173" t="str">
        <f t="shared" si="124"/>
        <v/>
      </c>
      <c r="BL170" s="173" t="str">
        <f t="shared" si="125"/>
        <v/>
      </c>
      <c r="BM170" s="180" t="str">
        <f t="shared" si="126"/>
        <v/>
      </c>
      <c r="BN170" s="168"/>
      <c r="BO170" s="185" t="str">
        <f t="shared" si="127"/>
        <v/>
      </c>
      <c r="BP170" s="173" t="str">
        <f t="shared" si="128"/>
        <v/>
      </c>
      <c r="BQ170" s="173" t="str">
        <f t="shared" si="129"/>
        <v/>
      </c>
      <c r="BR170" s="180" t="str">
        <f t="shared" si="130"/>
        <v/>
      </c>
      <c r="BS170" s="168"/>
      <c r="BT170" s="185" t="str">
        <f t="shared" si="131"/>
        <v/>
      </c>
      <c r="BU170" s="173" t="str">
        <f t="shared" si="132"/>
        <v/>
      </c>
      <c r="BV170" s="173" t="str">
        <f t="shared" si="133"/>
        <v/>
      </c>
      <c r="BW170" s="180" t="str">
        <f t="shared" si="134"/>
        <v/>
      </c>
      <c r="BX170" s="288"/>
    </row>
    <row r="171" spans="1:76">
      <c r="A171" s="168"/>
      <c r="B171" s="185">
        <f t="shared" si="135"/>
        <v>45</v>
      </c>
      <c r="C171" s="173">
        <f t="shared" si="76"/>
        <v>53.5</v>
      </c>
      <c r="D171" s="173">
        <f t="shared" si="77"/>
        <v>684</v>
      </c>
      <c r="E171" s="180">
        <f t="shared" si="78"/>
        <v>18</v>
      </c>
      <c r="F171" s="168"/>
      <c r="G171" s="185">
        <f t="shared" si="79"/>
        <v>45</v>
      </c>
      <c r="H171" s="173">
        <f t="shared" si="80"/>
        <v>53.5</v>
      </c>
      <c r="I171" s="173">
        <f t="shared" si="81"/>
        <v>444</v>
      </c>
      <c r="J171" s="180">
        <f t="shared" si="82"/>
        <v>18</v>
      </c>
      <c r="K171" s="168"/>
      <c r="L171" s="185">
        <f t="shared" si="83"/>
        <v>45</v>
      </c>
      <c r="M171" s="173">
        <f t="shared" si="84"/>
        <v>53.5</v>
      </c>
      <c r="N171" s="173">
        <f t="shared" si="85"/>
        <v>261</v>
      </c>
      <c r="O171" s="180">
        <f t="shared" si="86"/>
        <v>18</v>
      </c>
      <c r="P171" s="168"/>
      <c r="Q171" s="185">
        <f t="shared" si="87"/>
        <v>45</v>
      </c>
      <c r="R171" s="173">
        <f t="shared" si="88"/>
        <v>53.5</v>
      </c>
      <c r="S171" s="173">
        <f t="shared" si="89"/>
        <v>90</v>
      </c>
      <c r="T171" s="180">
        <f t="shared" si="90"/>
        <v>18</v>
      </c>
      <c r="U171" s="168"/>
      <c r="V171" s="185">
        <f t="shared" si="91"/>
        <v>45</v>
      </c>
      <c r="W171" s="173">
        <f t="shared" si="92"/>
        <v>10.5</v>
      </c>
      <c r="X171" s="173">
        <f t="shared" si="93"/>
        <v>175</v>
      </c>
      <c r="Y171" s="180">
        <f t="shared" si="94"/>
        <v>18</v>
      </c>
      <c r="Z171" s="168"/>
      <c r="AA171" s="185" t="str">
        <f t="shared" si="95"/>
        <v/>
      </c>
      <c r="AB171" s="173" t="str">
        <f t="shared" si="96"/>
        <v/>
      </c>
      <c r="AC171" s="173" t="str">
        <f t="shared" si="97"/>
        <v/>
      </c>
      <c r="AD171" s="180" t="str">
        <f t="shared" si="98"/>
        <v/>
      </c>
      <c r="AE171" s="168"/>
      <c r="AF171" s="185" t="str">
        <f t="shared" si="99"/>
        <v/>
      </c>
      <c r="AG171" s="173" t="str">
        <f t="shared" si="100"/>
        <v/>
      </c>
      <c r="AH171" s="173" t="str">
        <f t="shared" si="101"/>
        <v/>
      </c>
      <c r="AI171" s="180" t="str">
        <f t="shared" si="102"/>
        <v/>
      </c>
      <c r="AJ171" s="168"/>
      <c r="AK171" s="185" t="str">
        <f t="shared" si="103"/>
        <v/>
      </c>
      <c r="AL171" s="173" t="str">
        <f t="shared" si="104"/>
        <v/>
      </c>
      <c r="AM171" s="173" t="str">
        <f t="shared" si="105"/>
        <v/>
      </c>
      <c r="AN171" s="180" t="str">
        <f t="shared" si="106"/>
        <v/>
      </c>
      <c r="AO171" s="168"/>
      <c r="AP171" s="185">
        <f t="shared" si="107"/>
        <v>45</v>
      </c>
      <c r="AQ171" s="199">
        <f t="shared" si="108"/>
        <v>53.5</v>
      </c>
      <c r="AR171" s="199">
        <f t="shared" si="109"/>
        <v>240</v>
      </c>
      <c r="AS171" s="200">
        <f t="shared" si="110"/>
        <v>18</v>
      </c>
      <c r="AT171" s="277"/>
      <c r="AU171" s="185" t="str">
        <f t="shared" si="111"/>
        <v/>
      </c>
      <c r="AV171" s="173" t="str">
        <f t="shared" si="112"/>
        <v/>
      </c>
      <c r="AW171" s="173" t="str">
        <f t="shared" si="113"/>
        <v/>
      </c>
      <c r="AX171" s="180" t="str">
        <f t="shared" si="114"/>
        <v/>
      </c>
      <c r="AY171" s="168"/>
      <c r="AZ171" s="185" t="str">
        <f t="shared" si="115"/>
        <v/>
      </c>
      <c r="BA171" s="173" t="str">
        <f t="shared" si="116"/>
        <v/>
      </c>
      <c r="BB171" s="173" t="str">
        <f t="shared" si="117"/>
        <v/>
      </c>
      <c r="BC171" s="180" t="str">
        <f t="shared" si="118"/>
        <v/>
      </c>
      <c r="BD171" s="168"/>
      <c r="BE171" s="185" t="str">
        <f t="shared" si="119"/>
        <v/>
      </c>
      <c r="BF171" s="173" t="str">
        <f t="shared" si="120"/>
        <v/>
      </c>
      <c r="BG171" s="173" t="str">
        <f t="shared" si="121"/>
        <v/>
      </c>
      <c r="BH171" s="180" t="str">
        <f t="shared" si="122"/>
        <v/>
      </c>
      <c r="BI171" s="277"/>
      <c r="BJ171" s="185" t="str">
        <f t="shared" si="123"/>
        <v/>
      </c>
      <c r="BK171" s="173" t="str">
        <f t="shared" si="124"/>
        <v/>
      </c>
      <c r="BL171" s="173" t="str">
        <f t="shared" si="125"/>
        <v/>
      </c>
      <c r="BM171" s="180" t="str">
        <f t="shared" si="126"/>
        <v/>
      </c>
      <c r="BN171" s="168"/>
      <c r="BO171" s="185" t="str">
        <f t="shared" si="127"/>
        <v/>
      </c>
      <c r="BP171" s="173" t="str">
        <f t="shared" si="128"/>
        <v/>
      </c>
      <c r="BQ171" s="173" t="str">
        <f t="shared" si="129"/>
        <v/>
      </c>
      <c r="BR171" s="180" t="str">
        <f t="shared" si="130"/>
        <v/>
      </c>
      <c r="BS171" s="168"/>
      <c r="BT171" s="185" t="str">
        <f t="shared" si="131"/>
        <v/>
      </c>
      <c r="BU171" s="173" t="str">
        <f t="shared" si="132"/>
        <v/>
      </c>
      <c r="BV171" s="173" t="str">
        <f t="shared" si="133"/>
        <v/>
      </c>
      <c r="BW171" s="180" t="str">
        <f t="shared" si="134"/>
        <v/>
      </c>
      <c r="BX171" s="288"/>
    </row>
    <row r="172" spans="1:76">
      <c r="A172" s="168"/>
      <c r="B172" s="185">
        <f t="shared" si="135"/>
        <v>45</v>
      </c>
      <c r="C172" s="173">
        <f t="shared" si="76"/>
        <v>53.5</v>
      </c>
      <c r="D172" s="173">
        <f t="shared" si="77"/>
        <v>627</v>
      </c>
      <c r="E172" s="180">
        <f t="shared" si="78"/>
        <v>18</v>
      </c>
      <c r="F172" s="168"/>
      <c r="G172" s="185">
        <f t="shared" si="79"/>
        <v>45</v>
      </c>
      <c r="H172" s="173">
        <f t="shared" si="80"/>
        <v>53.5</v>
      </c>
      <c r="I172" s="173">
        <f t="shared" si="81"/>
        <v>387</v>
      </c>
      <c r="J172" s="180">
        <f t="shared" si="82"/>
        <v>18</v>
      </c>
      <c r="K172" s="168"/>
      <c r="L172" s="185">
        <f t="shared" si="83"/>
        <v>45</v>
      </c>
      <c r="M172" s="173">
        <f t="shared" si="84"/>
        <v>53.5</v>
      </c>
      <c r="N172" s="173">
        <f t="shared" si="85"/>
        <v>204</v>
      </c>
      <c r="O172" s="180">
        <f t="shared" si="86"/>
        <v>18</v>
      </c>
      <c r="P172" s="168"/>
      <c r="Q172" s="185">
        <f t="shared" si="87"/>
        <v>45</v>
      </c>
      <c r="R172" s="173">
        <f t="shared" si="88"/>
        <v>10.5</v>
      </c>
      <c r="S172" s="173">
        <f t="shared" si="89"/>
        <v>574</v>
      </c>
      <c r="T172" s="180">
        <f t="shared" si="90"/>
        <v>18</v>
      </c>
      <c r="U172" s="168"/>
      <c r="V172" s="185">
        <f t="shared" si="91"/>
        <v>45</v>
      </c>
      <c r="W172" s="173">
        <f t="shared" si="92"/>
        <v>10.5</v>
      </c>
      <c r="X172" s="173">
        <f t="shared" si="93"/>
        <v>118</v>
      </c>
      <c r="Y172" s="180">
        <f t="shared" si="94"/>
        <v>18</v>
      </c>
      <c r="Z172" s="168"/>
      <c r="AA172" s="185" t="str">
        <f t="shared" si="95"/>
        <v/>
      </c>
      <c r="AB172" s="173" t="str">
        <f t="shared" si="96"/>
        <v/>
      </c>
      <c r="AC172" s="173" t="str">
        <f t="shared" si="97"/>
        <v/>
      </c>
      <c r="AD172" s="180" t="str">
        <f t="shared" si="98"/>
        <v/>
      </c>
      <c r="AE172" s="168"/>
      <c r="AF172" s="185" t="str">
        <f t="shared" si="99"/>
        <v/>
      </c>
      <c r="AG172" s="173" t="str">
        <f t="shared" si="100"/>
        <v/>
      </c>
      <c r="AH172" s="173" t="str">
        <f t="shared" si="101"/>
        <v/>
      </c>
      <c r="AI172" s="180" t="str">
        <f t="shared" si="102"/>
        <v/>
      </c>
      <c r="AJ172" s="168"/>
      <c r="AK172" s="185" t="str">
        <f t="shared" si="103"/>
        <v/>
      </c>
      <c r="AL172" s="173" t="str">
        <f t="shared" si="104"/>
        <v/>
      </c>
      <c r="AM172" s="173" t="str">
        <f t="shared" si="105"/>
        <v/>
      </c>
      <c r="AN172" s="180" t="str">
        <f t="shared" si="106"/>
        <v/>
      </c>
      <c r="AO172" s="168"/>
      <c r="AP172" s="185">
        <f t="shared" si="107"/>
        <v>45</v>
      </c>
      <c r="AQ172" s="199">
        <f t="shared" si="108"/>
        <v>10.5</v>
      </c>
      <c r="AR172" s="199">
        <f t="shared" si="109"/>
        <v>724</v>
      </c>
      <c r="AS172" s="200">
        <f t="shared" si="110"/>
        <v>18</v>
      </c>
      <c r="AT172" s="277"/>
      <c r="AU172" s="185" t="str">
        <f t="shared" si="111"/>
        <v/>
      </c>
      <c r="AV172" s="173" t="str">
        <f t="shared" si="112"/>
        <v/>
      </c>
      <c r="AW172" s="173" t="str">
        <f t="shared" si="113"/>
        <v/>
      </c>
      <c r="AX172" s="180" t="str">
        <f t="shared" si="114"/>
        <v/>
      </c>
      <c r="AY172" s="168"/>
      <c r="AZ172" s="185" t="str">
        <f t="shared" si="115"/>
        <v/>
      </c>
      <c r="BA172" s="173" t="str">
        <f t="shared" si="116"/>
        <v/>
      </c>
      <c r="BB172" s="173" t="str">
        <f t="shared" si="117"/>
        <v/>
      </c>
      <c r="BC172" s="180" t="str">
        <f t="shared" si="118"/>
        <v/>
      </c>
      <c r="BD172" s="168"/>
      <c r="BE172" s="185" t="str">
        <f t="shared" si="119"/>
        <v/>
      </c>
      <c r="BF172" s="173" t="str">
        <f t="shared" si="120"/>
        <v/>
      </c>
      <c r="BG172" s="173" t="str">
        <f t="shared" si="121"/>
        <v/>
      </c>
      <c r="BH172" s="180" t="str">
        <f t="shared" si="122"/>
        <v/>
      </c>
      <c r="BI172" s="277"/>
      <c r="BJ172" s="185" t="str">
        <f t="shared" si="123"/>
        <v/>
      </c>
      <c r="BK172" s="173" t="str">
        <f t="shared" si="124"/>
        <v/>
      </c>
      <c r="BL172" s="173" t="str">
        <f t="shared" si="125"/>
        <v/>
      </c>
      <c r="BM172" s="180" t="str">
        <f t="shared" si="126"/>
        <v/>
      </c>
      <c r="BN172" s="168"/>
      <c r="BO172" s="185" t="str">
        <f t="shared" si="127"/>
        <v/>
      </c>
      <c r="BP172" s="173" t="str">
        <f t="shared" si="128"/>
        <v/>
      </c>
      <c r="BQ172" s="173" t="str">
        <f t="shared" si="129"/>
        <v/>
      </c>
      <c r="BR172" s="180" t="str">
        <f t="shared" si="130"/>
        <v/>
      </c>
      <c r="BS172" s="168"/>
      <c r="BT172" s="185" t="str">
        <f t="shared" si="131"/>
        <v/>
      </c>
      <c r="BU172" s="173" t="str">
        <f t="shared" si="132"/>
        <v/>
      </c>
      <c r="BV172" s="173" t="str">
        <f t="shared" si="133"/>
        <v/>
      </c>
      <c r="BW172" s="180" t="str">
        <f t="shared" si="134"/>
        <v/>
      </c>
      <c r="BX172" s="288"/>
    </row>
    <row r="173" spans="1:76">
      <c r="A173" s="168"/>
      <c r="B173" s="185">
        <f t="shared" si="135"/>
        <v>45</v>
      </c>
      <c r="C173" s="173">
        <f t="shared" si="76"/>
        <v>53.5</v>
      </c>
      <c r="D173" s="173">
        <f t="shared" si="77"/>
        <v>570</v>
      </c>
      <c r="E173" s="180">
        <f t="shared" si="78"/>
        <v>18</v>
      </c>
      <c r="F173" s="168"/>
      <c r="G173" s="185">
        <f t="shared" si="79"/>
        <v>45</v>
      </c>
      <c r="H173" s="173">
        <f t="shared" si="80"/>
        <v>53.5</v>
      </c>
      <c r="I173" s="173">
        <f t="shared" si="81"/>
        <v>330</v>
      </c>
      <c r="J173" s="180">
        <f t="shared" si="82"/>
        <v>18</v>
      </c>
      <c r="K173" s="168"/>
      <c r="L173" s="185">
        <f t="shared" si="83"/>
        <v>45</v>
      </c>
      <c r="M173" s="173">
        <f t="shared" si="84"/>
        <v>53.5</v>
      </c>
      <c r="N173" s="173">
        <f t="shared" si="85"/>
        <v>147</v>
      </c>
      <c r="O173" s="180">
        <f t="shared" si="86"/>
        <v>18</v>
      </c>
      <c r="P173" s="168"/>
      <c r="Q173" s="185">
        <f t="shared" si="87"/>
        <v>45</v>
      </c>
      <c r="R173" s="173">
        <f t="shared" si="88"/>
        <v>10.5</v>
      </c>
      <c r="S173" s="173">
        <f t="shared" si="89"/>
        <v>517</v>
      </c>
      <c r="T173" s="180">
        <f t="shared" si="90"/>
        <v>18</v>
      </c>
      <c r="U173" s="168"/>
      <c r="V173" s="185">
        <f t="shared" si="91"/>
        <v>45</v>
      </c>
      <c r="W173" s="173">
        <f t="shared" si="92"/>
        <v>10.5</v>
      </c>
      <c r="X173" s="173">
        <f t="shared" si="93"/>
        <v>61</v>
      </c>
      <c r="Y173" s="180">
        <f t="shared" si="94"/>
        <v>18</v>
      </c>
      <c r="Z173" s="168"/>
      <c r="AA173" s="185" t="str">
        <f t="shared" si="95"/>
        <v/>
      </c>
      <c r="AB173" s="173" t="str">
        <f t="shared" si="96"/>
        <v/>
      </c>
      <c r="AC173" s="173" t="str">
        <f t="shared" si="97"/>
        <v/>
      </c>
      <c r="AD173" s="180" t="str">
        <f t="shared" si="98"/>
        <v/>
      </c>
      <c r="AE173" s="168"/>
      <c r="AF173" s="185" t="str">
        <f t="shared" si="99"/>
        <v/>
      </c>
      <c r="AG173" s="173" t="str">
        <f t="shared" si="100"/>
        <v/>
      </c>
      <c r="AH173" s="173" t="str">
        <f t="shared" si="101"/>
        <v/>
      </c>
      <c r="AI173" s="180" t="str">
        <f t="shared" si="102"/>
        <v/>
      </c>
      <c r="AJ173" s="168"/>
      <c r="AK173" s="185" t="str">
        <f t="shared" si="103"/>
        <v/>
      </c>
      <c r="AL173" s="173" t="str">
        <f t="shared" si="104"/>
        <v/>
      </c>
      <c r="AM173" s="173" t="str">
        <f t="shared" si="105"/>
        <v/>
      </c>
      <c r="AN173" s="180" t="str">
        <f t="shared" si="106"/>
        <v/>
      </c>
      <c r="AO173" s="168"/>
      <c r="AP173" s="185">
        <f t="shared" si="107"/>
        <v>45</v>
      </c>
      <c r="AQ173" s="199">
        <f t="shared" si="108"/>
        <v>10.5</v>
      </c>
      <c r="AR173" s="199">
        <f t="shared" si="109"/>
        <v>667</v>
      </c>
      <c r="AS173" s="200">
        <f t="shared" si="110"/>
        <v>18</v>
      </c>
      <c r="AT173" s="277"/>
      <c r="AU173" s="185" t="str">
        <f t="shared" si="111"/>
        <v/>
      </c>
      <c r="AV173" s="173" t="str">
        <f t="shared" si="112"/>
        <v/>
      </c>
      <c r="AW173" s="173" t="str">
        <f t="shared" si="113"/>
        <v/>
      </c>
      <c r="AX173" s="180" t="str">
        <f t="shared" si="114"/>
        <v/>
      </c>
      <c r="AY173" s="168"/>
      <c r="AZ173" s="185" t="str">
        <f t="shared" si="115"/>
        <v/>
      </c>
      <c r="BA173" s="173" t="str">
        <f t="shared" si="116"/>
        <v/>
      </c>
      <c r="BB173" s="173" t="str">
        <f t="shared" si="117"/>
        <v/>
      </c>
      <c r="BC173" s="180" t="str">
        <f t="shared" si="118"/>
        <v/>
      </c>
      <c r="BD173" s="168"/>
      <c r="BE173" s="185" t="str">
        <f t="shared" si="119"/>
        <v/>
      </c>
      <c r="BF173" s="173" t="str">
        <f t="shared" si="120"/>
        <v/>
      </c>
      <c r="BG173" s="173" t="str">
        <f t="shared" si="121"/>
        <v/>
      </c>
      <c r="BH173" s="180" t="str">
        <f t="shared" si="122"/>
        <v/>
      </c>
      <c r="BI173" s="277"/>
      <c r="BJ173" s="185" t="str">
        <f t="shared" si="123"/>
        <v/>
      </c>
      <c r="BK173" s="173" t="str">
        <f t="shared" si="124"/>
        <v/>
      </c>
      <c r="BL173" s="173" t="str">
        <f t="shared" si="125"/>
        <v/>
      </c>
      <c r="BM173" s="180" t="str">
        <f t="shared" si="126"/>
        <v/>
      </c>
      <c r="BN173" s="168"/>
      <c r="BO173" s="185" t="str">
        <f t="shared" si="127"/>
        <v/>
      </c>
      <c r="BP173" s="173" t="str">
        <f t="shared" si="128"/>
        <v/>
      </c>
      <c r="BQ173" s="173" t="str">
        <f t="shared" si="129"/>
        <v/>
      </c>
      <c r="BR173" s="180" t="str">
        <f t="shared" si="130"/>
        <v/>
      </c>
      <c r="BS173" s="168"/>
      <c r="BT173" s="185" t="str">
        <f t="shared" si="131"/>
        <v/>
      </c>
      <c r="BU173" s="173" t="str">
        <f t="shared" si="132"/>
        <v/>
      </c>
      <c r="BV173" s="173" t="str">
        <f t="shared" si="133"/>
        <v/>
      </c>
      <c r="BW173" s="180" t="str">
        <f t="shared" si="134"/>
        <v/>
      </c>
      <c r="BX173" s="288"/>
    </row>
    <row r="174" spans="1:76">
      <c r="A174" s="168"/>
      <c r="B174" s="185">
        <f t="shared" si="135"/>
        <v>45</v>
      </c>
      <c r="C174" s="173">
        <f t="shared" si="76"/>
        <v>53.5</v>
      </c>
      <c r="D174" s="173">
        <f t="shared" si="77"/>
        <v>513</v>
      </c>
      <c r="E174" s="180">
        <f t="shared" si="78"/>
        <v>18</v>
      </c>
      <c r="F174" s="168"/>
      <c r="G174" s="185">
        <f t="shared" si="79"/>
        <v>45</v>
      </c>
      <c r="H174" s="173">
        <f t="shared" si="80"/>
        <v>53.5</v>
      </c>
      <c r="I174" s="173">
        <f t="shared" si="81"/>
        <v>273</v>
      </c>
      <c r="J174" s="180">
        <f t="shared" si="82"/>
        <v>18</v>
      </c>
      <c r="K174" s="168"/>
      <c r="L174" s="185">
        <f t="shared" si="83"/>
        <v>45</v>
      </c>
      <c r="M174" s="173">
        <f t="shared" si="84"/>
        <v>53.5</v>
      </c>
      <c r="N174" s="173">
        <f t="shared" si="85"/>
        <v>90</v>
      </c>
      <c r="O174" s="180">
        <f t="shared" si="86"/>
        <v>18</v>
      </c>
      <c r="P174" s="168"/>
      <c r="Q174" s="185">
        <f t="shared" si="87"/>
        <v>45</v>
      </c>
      <c r="R174" s="173">
        <f t="shared" si="88"/>
        <v>10.5</v>
      </c>
      <c r="S174" s="173">
        <f t="shared" si="89"/>
        <v>460</v>
      </c>
      <c r="T174" s="180">
        <f t="shared" si="90"/>
        <v>18</v>
      </c>
      <c r="U174" s="168"/>
      <c r="V174" s="185" t="str">
        <f t="shared" si="91"/>
        <v/>
      </c>
      <c r="W174" s="173" t="str">
        <f t="shared" si="92"/>
        <v/>
      </c>
      <c r="X174" s="173" t="str">
        <f t="shared" si="93"/>
        <v/>
      </c>
      <c r="Y174" s="180" t="str">
        <f t="shared" si="94"/>
        <v/>
      </c>
      <c r="Z174" s="168"/>
      <c r="AA174" s="185" t="str">
        <f t="shared" si="95"/>
        <v/>
      </c>
      <c r="AB174" s="173" t="str">
        <f t="shared" si="96"/>
        <v/>
      </c>
      <c r="AC174" s="173" t="str">
        <f t="shared" si="97"/>
        <v/>
      </c>
      <c r="AD174" s="180" t="str">
        <f t="shared" si="98"/>
        <v/>
      </c>
      <c r="AE174" s="168"/>
      <c r="AF174" s="185" t="str">
        <f t="shared" si="99"/>
        <v/>
      </c>
      <c r="AG174" s="173" t="str">
        <f t="shared" si="100"/>
        <v/>
      </c>
      <c r="AH174" s="173" t="str">
        <f t="shared" si="101"/>
        <v/>
      </c>
      <c r="AI174" s="180" t="str">
        <f t="shared" si="102"/>
        <v/>
      </c>
      <c r="AJ174" s="168"/>
      <c r="AK174" s="185" t="str">
        <f t="shared" si="103"/>
        <v/>
      </c>
      <c r="AL174" s="173" t="str">
        <f t="shared" si="104"/>
        <v/>
      </c>
      <c r="AM174" s="173" t="str">
        <f t="shared" si="105"/>
        <v/>
      </c>
      <c r="AN174" s="180" t="str">
        <f t="shared" si="106"/>
        <v/>
      </c>
      <c r="AO174" s="168"/>
      <c r="AP174" s="185">
        <f t="shared" si="107"/>
        <v>45</v>
      </c>
      <c r="AQ174" s="199">
        <f t="shared" si="108"/>
        <v>10.5</v>
      </c>
      <c r="AR174" s="199">
        <f t="shared" si="109"/>
        <v>610</v>
      </c>
      <c r="AS174" s="200">
        <f t="shared" si="110"/>
        <v>18</v>
      </c>
      <c r="AT174" s="277"/>
      <c r="AU174" s="185" t="str">
        <f t="shared" si="111"/>
        <v/>
      </c>
      <c r="AV174" s="173" t="str">
        <f t="shared" si="112"/>
        <v/>
      </c>
      <c r="AW174" s="173" t="str">
        <f t="shared" si="113"/>
        <v/>
      </c>
      <c r="AX174" s="180" t="str">
        <f t="shared" si="114"/>
        <v/>
      </c>
      <c r="AY174" s="168"/>
      <c r="AZ174" s="185" t="str">
        <f t="shared" si="115"/>
        <v/>
      </c>
      <c r="BA174" s="173" t="str">
        <f t="shared" si="116"/>
        <v/>
      </c>
      <c r="BB174" s="173" t="str">
        <f t="shared" si="117"/>
        <v/>
      </c>
      <c r="BC174" s="180" t="str">
        <f t="shared" si="118"/>
        <v/>
      </c>
      <c r="BD174" s="168"/>
      <c r="BE174" s="185" t="str">
        <f t="shared" si="119"/>
        <v/>
      </c>
      <c r="BF174" s="173" t="str">
        <f t="shared" si="120"/>
        <v/>
      </c>
      <c r="BG174" s="173" t="str">
        <f t="shared" si="121"/>
        <v/>
      </c>
      <c r="BH174" s="180" t="str">
        <f t="shared" si="122"/>
        <v/>
      </c>
      <c r="BI174" s="277"/>
      <c r="BJ174" s="185" t="str">
        <f t="shared" si="123"/>
        <v/>
      </c>
      <c r="BK174" s="173" t="str">
        <f t="shared" si="124"/>
        <v/>
      </c>
      <c r="BL174" s="173" t="str">
        <f t="shared" si="125"/>
        <v/>
      </c>
      <c r="BM174" s="180" t="str">
        <f t="shared" si="126"/>
        <v/>
      </c>
      <c r="BN174" s="168"/>
      <c r="BO174" s="185" t="str">
        <f t="shared" si="127"/>
        <v/>
      </c>
      <c r="BP174" s="173" t="str">
        <f t="shared" si="128"/>
        <v/>
      </c>
      <c r="BQ174" s="173" t="str">
        <f t="shared" si="129"/>
        <v/>
      </c>
      <c r="BR174" s="180" t="str">
        <f t="shared" si="130"/>
        <v/>
      </c>
      <c r="BS174" s="168"/>
      <c r="BT174" s="185" t="str">
        <f t="shared" si="131"/>
        <v/>
      </c>
      <c r="BU174" s="173" t="str">
        <f t="shared" si="132"/>
        <v/>
      </c>
      <c r="BV174" s="173" t="str">
        <f t="shared" si="133"/>
        <v/>
      </c>
      <c r="BW174" s="180" t="str">
        <f t="shared" si="134"/>
        <v/>
      </c>
      <c r="BX174" s="288"/>
    </row>
    <row r="175" spans="1:76">
      <c r="A175" s="168"/>
      <c r="B175" s="185">
        <f t="shared" si="135"/>
        <v>45</v>
      </c>
      <c r="C175" s="173">
        <f t="shared" si="76"/>
        <v>53.5</v>
      </c>
      <c r="D175" s="173">
        <f t="shared" si="77"/>
        <v>456</v>
      </c>
      <c r="E175" s="180">
        <f t="shared" si="78"/>
        <v>18</v>
      </c>
      <c r="F175" s="168"/>
      <c r="G175" s="185">
        <f t="shared" si="79"/>
        <v>45</v>
      </c>
      <c r="H175" s="173">
        <f t="shared" si="80"/>
        <v>53.5</v>
      </c>
      <c r="I175" s="173">
        <f t="shared" si="81"/>
        <v>216</v>
      </c>
      <c r="J175" s="180">
        <f t="shared" si="82"/>
        <v>18</v>
      </c>
      <c r="K175" s="168"/>
      <c r="L175" s="185">
        <f t="shared" si="83"/>
        <v>45</v>
      </c>
      <c r="M175" s="173">
        <f t="shared" si="84"/>
        <v>10.5</v>
      </c>
      <c r="N175" s="173">
        <f t="shared" si="85"/>
        <v>631</v>
      </c>
      <c r="O175" s="180">
        <f t="shared" si="86"/>
        <v>18</v>
      </c>
      <c r="P175" s="168"/>
      <c r="Q175" s="185">
        <f t="shared" si="87"/>
        <v>45</v>
      </c>
      <c r="R175" s="173">
        <f t="shared" si="88"/>
        <v>10.5</v>
      </c>
      <c r="S175" s="173">
        <f t="shared" si="89"/>
        <v>403</v>
      </c>
      <c r="T175" s="180">
        <f t="shared" si="90"/>
        <v>18</v>
      </c>
      <c r="U175" s="168"/>
      <c r="V175" s="185" t="str">
        <f t="shared" si="91"/>
        <v/>
      </c>
      <c r="W175" s="173" t="str">
        <f t="shared" si="92"/>
        <v/>
      </c>
      <c r="X175" s="173" t="str">
        <f t="shared" si="93"/>
        <v/>
      </c>
      <c r="Y175" s="180" t="str">
        <f t="shared" si="94"/>
        <v/>
      </c>
      <c r="Z175" s="168"/>
      <c r="AA175" s="185" t="str">
        <f t="shared" si="95"/>
        <v/>
      </c>
      <c r="AB175" s="173" t="str">
        <f t="shared" si="96"/>
        <v/>
      </c>
      <c r="AC175" s="173" t="str">
        <f t="shared" si="97"/>
        <v/>
      </c>
      <c r="AD175" s="180" t="str">
        <f t="shared" si="98"/>
        <v/>
      </c>
      <c r="AE175" s="168"/>
      <c r="AF175" s="185" t="str">
        <f t="shared" si="99"/>
        <v/>
      </c>
      <c r="AG175" s="173" t="str">
        <f t="shared" si="100"/>
        <v/>
      </c>
      <c r="AH175" s="173" t="str">
        <f t="shared" si="101"/>
        <v/>
      </c>
      <c r="AI175" s="180" t="str">
        <f t="shared" si="102"/>
        <v/>
      </c>
      <c r="AJ175" s="168"/>
      <c r="AK175" s="185" t="str">
        <f t="shared" si="103"/>
        <v/>
      </c>
      <c r="AL175" s="173" t="str">
        <f t="shared" si="104"/>
        <v/>
      </c>
      <c r="AM175" s="173" t="str">
        <f t="shared" si="105"/>
        <v/>
      </c>
      <c r="AN175" s="180" t="str">
        <f t="shared" si="106"/>
        <v/>
      </c>
      <c r="AO175" s="168"/>
      <c r="AP175" s="185">
        <f t="shared" si="107"/>
        <v>45</v>
      </c>
      <c r="AQ175" s="199">
        <f t="shared" si="108"/>
        <v>10.5</v>
      </c>
      <c r="AR175" s="199">
        <f t="shared" si="109"/>
        <v>553</v>
      </c>
      <c r="AS175" s="200">
        <f t="shared" si="110"/>
        <v>18</v>
      </c>
      <c r="AT175" s="277"/>
      <c r="AU175" s="185" t="str">
        <f t="shared" si="111"/>
        <v/>
      </c>
      <c r="AV175" s="173" t="str">
        <f t="shared" si="112"/>
        <v/>
      </c>
      <c r="AW175" s="173" t="str">
        <f t="shared" si="113"/>
        <v/>
      </c>
      <c r="AX175" s="180" t="str">
        <f t="shared" si="114"/>
        <v/>
      </c>
      <c r="AY175" s="168"/>
      <c r="AZ175" s="185" t="str">
        <f t="shared" si="115"/>
        <v/>
      </c>
      <c r="BA175" s="173" t="str">
        <f t="shared" si="116"/>
        <v/>
      </c>
      <c r="BB175" s="173" t="str">
        <f t="shared" si="117"/>
        <v/>
      </c>
      <c r="BC175" s="180" t="str">
        <f t="shared" si="118"/>
        <v/>
      </c>
      <c r="BD175" s="168"/>
      <c r="BE175" s="185" t="str">
        <f t="shared" si="119"/>
        <v/>
      </c>
      <c r="BF175" s="173" t="str">
        <f t="shared" si="120"/>
        <v/>
      </c>
      <c r="BG175" s="173" t="str">
        <f t="shared" si="121"/>
        <v/>
      </c>
      <c r="BH175" s="180" t="str">
        <f t="shared" si="122"/>
        <v/>
      </c>
      <c r="BI175" s="277"/>
      <c r="BJ175" s="185" t="str">
        <f t="shared" si="123"/>
        <v/>
      </c>
      <c r="BK175" s="173" t="str">
        <f t="shared" si="124"/>
        <v/>
      </c>
      <c r="BL175" s="173" t="str">
        <f t="shared" si="125"/>
        <v/>
      </c>
      <c r="BM175" s="180" t="str">
        <f t="shared" si="126"/>
        <v/>
      </c>
      <c r="BN175" s="168"/>
      <c r="BO175" s="185" t="str">
        <f t="shared" si="127"/>
        <v/>
      </c>
      <c r="BP175" s="173" t="str">
        <f t="shared" si="128"/>
        <v/>
      </c>
      <c r="BQ175" s="173" t="str">
        <f t="shared" si="129"/>
        <v/>
      </c>
      <c r="BR175" s="180" t="str">
        <f t="shared" si="130"/>
        <v/>
      </c>
      <c r="BS175" s="168"/>
      <c r="BT175" s="185" t="str">
        <f t="shared" si="131"/>
        <v/>
      </c>
      <c r="BU175" s="173" t="str">
        <f t="shared" si="132"/>
        <v/>
      </c>
      <c r="BV175" s="173" t="str">
        <f t="shared" si="133"/>
        <v/>
      </c>
      <c r="BW175" s="180" t="str">
        <f t="shared" si="134"/>
        <v/>
      </c>
      <c r="BX175" s="288"/>
    </row>
    <row r="176" spans="1:76">
      <c r="A176" s="168"/>
      <c r="B176" s="185">
        <f t="shared" si="135"/>
        <v>45</v>
      </c>
      <c r="C176" s="173">
        <f t="shared" si="76"/>
        <v>53.5</v>
      </c>
      <c r="D176" s="173">
        <f t="shared" si="77"/>
        <v>399</v>
      </c>
      <c r="E176" s="180">
        <f t="shared" si="78"/>
        <v>18</v>
      </c>
      <c r="F176" s="168"/>
      <c r="G176" s="185">
        <f t="shared" si="79"/>
        <v>45</v>
      </c>
      <c r="H176" s="173">
        <f t="shared" si="80"/>
        <v>53.5</v>
      </c>
      <c r="I176" s="173">
        <f t="shared" si="81"/>
        <v>159</v>
      </c>
      <c r="J176" s="180">
        <f t="shared" si="82"/>
        <v>18</v>
      </c>
      <c r="K176" s="168"/>
      <c r="L176" s="185">
        <f t="shared" si="83"/>
        <v>45</v>
      </c>
      <c r="M176" s="173">
        <f t="shared" si="84"/>
        <v>10.5</v>
      </c>
      <c r="N176" s="173">
        <f t="shared" si="85"/>
        <v>574</v>
      </c>
      <c r="O176" s="180">
        <f t="shared" si="86"/>
        <v>18</v>
      </c>
      <c r="P176" s="168"/>
      <c r="Q176" s="185">
        <f t="shared" si="87"/>
        <v>45</v>
      </c>
      <c r="R176" s="173">
        <f t="shared" si="88"/>
        <v>10.5</v>
      </c>
      <c r="S176" s="173">
        <f t="shared" si="89"/>
        <v>346</v>
      </c>
      <c r="T176" s="180">
        <f t="shared" si="90"/>
        <v>18</v>
      </c>
      <c r="U176" s="168"/>
      <c r="V176" s="185" t="str">
        <f t="shared" si="91"/>
        <v/>
      </c>
      <c r="W176" s="173" t="str">
        <f t="shared" si="92"/>
        <v/>
      </c>
      <c r="X176" s="173" t="str">
        <f t="shared" si="93"/>
        <v/>
      </c>
      <c r="Y176" s="180" t="str">
        <f t="shared" si="94"/>
        <v/>
      </c>
      <c r="Z176" s="168"/>
      <c r="AA176" s="185" t="str">
        <f t="shared" si="95"/>
        <v/>
      </c>
      <c r="AB176" s="173" t="str">
        <f t="shared" si="96"/>
        <v/>
      </c>
      <c r="AC176" s="173" t="str">
        <f t="shared" si="97"/>
        <v/>
      </c>
      <c r="AD176" s="180" t="str">
        <f t="shared" si="98"/>
        <v/>
      </c>
      <c r="AE176" s="168"/>
      <c r="AF176" s="185" t="str">
        <f t="shared" si="99"/>
        <v/>
      </c>
      <c r="AG176" s="173" t="str">
        <f t="shared" si="100"/>
        <v/>
      </c>
      <c r="AH176" s="173" t="str">
        <f t="shared" si="101"/>
        <v/>
      </c>
      <c r="AI176" s="180" t="str">
        <f t="shared" si="102"/>
        <v/>
      </c>
      <c r="AJ176" s="168"/>
      <c r="AK176" s="185" t="str">
        <f t="shared" si="103"/>
        <v/>
      </c>
      <c r="AL176" s="173" t="str">
        <f t="shared" si="104"/>
        <v/>
      </c>
      <c r="AM176" s="173" t="str">
        <f t="shared" si="105"/>
        <v/>
      </c>
      <c r="AN176" s="180" t="str">
        <f t="shared" si="106"/>
        <v/>
      </c>
      <c r="AO176" s="168"/>
      <c r="AP176" s="185">
        <f t="shared" si="107"/>
        <v>45</v>
      </c>
      <c r="AQ176" s="199">
        <f t="shared" si="108"/>
        <v>10.5</v>
      </c>
      <c r="AR176" s="199">
        <f t="shared" si="109"/>
        <v>496</v>
      </c>
      <c r="AS176" s="200">
        <f t="shared" si="110"/>
        <v>18</v>
      </c>
      <c r="AT176" s="277"/>
      <c r="AU176" s="185" t="str">
        <f t="shared" si="111"/>
        <v/>
      </c>
      <c r="AV176" s="173" t="str">
        <f t="shared" si="112"/>
        <v/>
      </c>
      <c r="AW176" s="173" t="str">
        <f t="shared" si="113"/>
        <v/>
      </c>
      <c r="AX176" s="180" t="str">
        <f t="shared" si="114"/>
        <v/>
      </c>
      <c r="AY176" s="168"/>
      <c r="AZ176" s="185" t="str">
        <f t="shared" si="115"/>
        <v/>
      </c>
      <c r="BA176" s="173" t="str">
        <f t="shared" si="116"/>
        <v/>
      </c>
      <c r="BB176" s="173" t="str">
        <f t="shared" si="117"/>
        <v/>
      </c>
      <c r="BC176" s="180" t="str">
        <f t="shared" si="118"/>
        <v/>
      </c>
      <c r="BD176" s="168"/>
      <c r="BE176" s="185" t="str">
        <f t="shared" si="119"/>
        <v/>
      </c>
      <c r="BF176" s="173" t="str">
        <f t="shared" si="120"/>
        <v/>
      </c>
      <c r="BG176" s="173" t="str">
        <f t="shared" si="121"/>
        <v/>
      </c>
      <c r="BH176" s="180" t="str">
        <f t="shared" si="122"/>
        <v/>
      </c>
      <c r="BI176" s="277"/>
      <c r="BJ176" s="185" t="str">
        <f t="shared" si="123"/>
        <v/>
      </c>
      <c r="BK176" s="173" t="str">
        <f t="shared" si="124"/>
        <v/>
      </c>
      <c r="BL176" s="173" t="str">
        <f t="shared" si="125"/>
        <v/>
      </c>
      <c r="BM176" s="180" t="str">
        <f t="shared" si="126"/>
        <v/>
      </c>
      <c r="BN176" s="168"/>
      <c r="BO176" s="185" t="str">
        <f t="shared" si="127"/>
        <v/>
      </c>
      <c r="BP176" s="173" t="str">
        <f t="shared" si="128"/>
        <v/>
      </c>
      <c r="BQ176" s="173" t="str">
        <f t="shared" si="129"/>
        <v/>
      </c>
      <c r="BR176" s="180" t="str">
        <f t="shared" si="130"/>
        <v/>
      </c>
      <c r="BS176" s="168"/>
      <c r="BT176" s="185" t="str">
        <f t="shared" si="131"/>
        <v/>
      </c>
      <c r="BU176" s="173" t="str">
        <f t="shared" si="132"/>
        <v/>
      </c>
      <c r="BV176" s="173" t="str">
        <f t="shared" si="133"/>
        <v/>
      </c>
      <c r="BW176" s="180" t="str">
        <f t="shared" si="134"/>
        <v/>
      </c>
      <c r="BX176" s="288"/>
    </row>
    <row r="177" spans="1:76">
      <c r="A177" s="168"/>
      <c r="B177" s="185">
        <f t="shared" si="135"/>
        <v>45</v>
      </c>
      <c r="C177" s="173">
        <f t="shared" si="76"/>
        <v>53.5</v>
      </c>
      <c r="D177" s="173">
        <f t="shared" si="77"/>
        <v>342</v>
      </c>
      <c r="E177" s="180">
        <f t="shared" si="78"/>
        <v>18</v>
      </c>
      <c r="F177" s="168"/>
      <c r="G177" s="185">
        <f t="shared" si="79"/>
        <v>45</v>
      </c>
      <c r="H177" s="173">
        <f t="shared" si="80"/>
        <v>53.5</v>
      </c>
      <c r="I177" s="173">
        <f t="shared" si="81"/>
        <v>102</v>
      </c>
      <c r="J177" s="180">
        <f t="shared" si="82"/>
        <v>18</v>
      </c>
      <c r="K177" s="168"/>
      <c r="L177" s="185">
        <f t="shared" si="83"/>
        <v>45</v>
      </c>
      <c r="M177" s="173">
        <f t="shared" si="84"/>
        <v>10.5</v>
      </c>
      <c r="N177" s="173">
        <f t="shared" si="85"/>
        <v>517</v>
      </c>
      <c r="O177" s="180">
        <f t="shared" si="86"/>
        <v>18</v>
      </c>
      <c r="P177" s="168"/>
      <c r="Q177" s="185">
        <f t="shared" si="87"/>
        <v>45</v>
      </c>
      <c r="R177" s="173">
        <f t="shared" si="88"/>
        <v>10.5</v>
      </c>
      <c r="S177" s="173">
        <f t="shared" si="89"/>
        <v>289</v>
      </c>
      <c r="T177" s="180">
        <f t="shared" si="90"/>
        <v>18</v>
      </c>
      <c r="U177" s="168"/>
      <c r="V177" s="185" t="str">
        <f t="shared" si="91"/>
        <v/>
      </c>
      <c r="W177" s="173" t="str">
        <f t="shared" si="92"/>
        <v/>
      </c>
      <c r="X177" s="173" t="str">
        <f t="shared" si="93"/>
        <v/>
      </c>
      <c r="Y177" s="180" t="str">
        <f t="shared" si="94"/>
        <v/>
      </c>
      <c r="Z177" s="168"/>
      <c r="AA177" s="185" t="str">
        <f t="shared" si="95"/>
        <v/>
      </c>
      <c r="AB177" s="173" t="str">
        <f t="shared" si="96"/>
        <v/>
      </c>
      <c r="AC177" s="173" t="str">
        <f t="shared" si="97"/>
        <v/>
      </c>
      <c r="AD177" s="180" t="str">
        <f t="shared" si="98"/>
        <v/>
      </c>
      <c r="AE177" s="168"/>
      <c r="AF177" s="185" t="str">
        <f t="shared" si="99"/>
        <v/>
      </c>
      <c r="AG177" s="173" t="str">
        <f t="shared" si="100"/>
        <v/>
      </c>
      <c r="AH177" s="173" t="str">
        <f t="shared" si="101"/>
        <v/>
      </c>
      <c r="AI177" s="180" t="str">
        <f t="shared" si="102"/>
        <v/>
      </c>
      <c r="AJ177" s="168"/>
      <c r="AK177" s="185" t="str">
        <f t="shared" si="103"/>
        <v/>
      </c>
      <c r="AL177" s="173" t="str">
        <f t="shared" si="104"/>
        <v/>
      </c>
      <c r="AM177" s="173" t="str">
        <f t="shared" si="105"/>
        <v/>
      </c>
      <c r="AN177" s="180" t="str">
        <f t="shared" si="106"/>
        <v/>
      </c>
      <c r="AO177" s="168"/>
      <c r="AP177" s="185">
        <f t="shared" si="107"/>
        <v>45</v>
      </c>
      <c r="AQ177" s="199">
        <f t="shared" si="108"/>
        <v>10.5</v>
      </c>
      <c r="AR177" s="199">
        <f t="shared" si="109"/>
        <v>439</v>
      </c>
      <c r="AS177" s="200">
        <f t="shared" si="110"/>
        <v>18</v>
      </c>
      <c r="AT177" s="277"/>
      <c r="AU177" s="185" t="str">
        <f t="shared" si="111"/>
        <v/>
      </c>
      <c r="AV177" s="173" t="str">
        <f t="shared" si="112"/>
        <v/>
      </c>
      <c r="AW177" s="173" t="str">
        <f t="shared" si="113"/>
        <v/>
      </c>
      <c r="AX177" s="180" t="str">
        <f t="shared" si="114"/>
        <v/>
      </c>
      <c r="AY177" s="168"/>
      <c r="AZ177" s="185" t="str">
        <f t="shared" si="115"/>
        <v/>
      </c>
      <c r="BA177" s="173" t="str">
        <f t="shared" si="116"/>
        <v/>
      </c>
      <c r="BB177" s="173" t="str">
        <f t="shared" si="117"/>
        <v/>
      </c>
      <c r="BC177" s="180" t="str">
        <f t="shared" si="118"/>
        <v/>
      </c>
      <c r="BD177" s="168"/>
      <c r="BE177" s="185" t="str">
        <f t="shared" si="119"/>
        <v/>
      </c>
      <c r="BF177" s="173" t="str">
        <f t="shared" si="120"/>
        <v/>
      </c>
      <c r="BG177" s="173" t="str">
        <f t="shared" si="121"/>
        <v/>
      </c>
      <c r="BH177" s="180" t="str">
        <f t="shared" si="122"/>
        <v/>
      </c>
      <c r="BI177" s="277"/>
      <c r="BJ177" s="185" t="str">
        <f t="shared" si="123"/>
        <v/>
      </c>
      <c r="BK177" s="173" t="str">
        <f t="shared" si="124"/>
        <v/>
      </c>
      <c r="BL177" s="173" t="str">
        <f t="shared" si="125"/>
        <v/>
      </c>
      <c r="BM177" s="180" t="str">
        <f t="shared" si="126"/>
        <v/>
      </c>
      <c r="BN177" s="168"/>
      <c r="BO177" s="185" t="str">
        <f t="shared" si="127"/>
        <v/>
      </c>
      <c r="BP177" s="173" t="str">
        <f t="shared" si="128"/>
        <v/>
      </c>
      <c r="BQ177" s="173" t="str">
        <f t="shared" si="129"/>
        <v/>
      </c>
      <c r="BR177" s="180" t="str">
        <f t="shared" si="130"/>
        <v/>
      </c>
      <c r="BS177" s="168"/>
      <c r="BT177" s="185" t="str">
        <f t="shared" si="131"/>
        <v/>
      </c>
      <c r="BU177" s="173" t="str">
        <f t="shared" si="132"/>
        <v/>
      </c>
      <c r="BV177" s="173" t="str">
        <f t="shared" si="133"/>
        <v/>
      </c>
      <c r="BW177" s="180" t="str">
        <f t="shared" si="134"/>
        <v/>
      </c>
      <c r="BX177" s="288"/>
    </row>
    <row r="178" spans="1:76">
      <c r="A178" s="168"/>
      <c r="B178" s="185">
        <f t="shared" si="135"/>
        <v>45</v>
      </c>
      <c r="C178" s="173">
        <f t="shared" si="76"/>
        <v>10.5</v>
      </c>
      <c r="D178" s="173">
        <f t="shared" si="77"/>
        <v>940</v>
      </c>
      <c r="E178" s="180">
        <f t="shared" si="78"/>
        <v>18</v>
      </c>
      <c r="F178" s="168"/>
      <c r="G178" s="185">
        <f t="shared" si="79"/>
        <v>45</v>
      </c>
      <c r="H178" s="173">
        <f t="shared" si="80"/>
        <v>10.5</v>
      </c>
      <c r="I178" s="173">
        <f t="shared" si="81"/>
        <v>700</v>
      </c>
      <c r="J178" s="180">
        <f t="shared" si="82"/>
        <v>18</v>
      </c>
      <c r="K178" s="168"/>
      <c r="L178" s="185">
        <f t="shared" si="83"/>
        <v>45</v>
      </c>
      <c r="M178" s="173">
        <f t="shared" si="84"/>
        <v>10.5</v>
      </c>
      <c r="N178" s="173">
        <f t="shared" si="85"/>
        <v>460</v>
      </c>
      <c r="O178" s="180">
        <f t="shared" si="86"/>
        <v>18</v>
      </c>
      <c r="P178" s="168"/>
      <c r="Q178" s="185">
        <f t="shared" si="87"/>
        <v>45</v>
      </c>
      <c r="R178" s="173">
        <f t="shared" si="88"/>
        <v>10.5</v>
      </c>
      <c r="S178" s="173">
        <f t="shared" si="89"/>
        <v>232</v>
      </c>
      <c r="T178" s="180">
        <f t="shared" si="90"/>
        <v>18</v>
      </c>
      <c r="U178" s="168"/>
      <c r="V178" s="185" t="str">
        <f t="shared" si="91"/>
        <v/>
      </c>
      <c r="W178" s="173" t="str">
        <f t="shared" si="92"/>
        <v/>
      </c>
      <c r="X178" s="173" t="str">
        <f t="shared" si="93"/>
        <v/>
      </c>
      <c r="Y178" s="180" t="str">
        <f t="shared" si="94"/>
        <v/>
      </c>
      <c r="Z178" s="168"/>
      <c r="AA178" s="185" t="str">
        <f t="shared" si="95"/>
        <v/>
      </c>
      <c r="AB178" s="173" t="str">
        <f t="shared" si="96"/>
        <v/>
      </c>
      <c r="AC178" s="173" t="str">
        <f t="shared" si="97"/>
        <v/>
      </c>
      <c r="AD178" s="180" t="str">
        <f t="shared" si="98"/>
        <v/>
      </c>
      <c r="AE178" s="168"/>
      <c r="AF178" s="185" t="str">
        <f t="shared" si="99"/>
        <v/>
      </c>
      <c r="AG178" s="173" t="str">
        <f t="shared" si="100"/>
        <v/>
      </c>
      <c r="AH178" s="173" t="str">
        <f t="shared" si="101"/>
        <v/>
      </c>
      <c r="AI178" s="180" t="str">
        <f t="shared" si="102"/>
        <v/>
      </c>
      <c r="AJ178" s="168"/>
      <c r="AK178" s="185" t="str">
        <f t="shared" si="103"/>
        <v/>
      </c>
      <c r="AL178" s="173" t="str">
        <f t="shared" si="104"/>
        <v/>
      </c>
      <c r="AM178" s="173" t="str">
        <f t="shared" si="105"/>
        <v/>
      </c>
      <c r="AN178" s="180" t="str">
        <f t="shared" si="106"/>
        <v/>
      </c>
      <c r="AO178" s="168"/>
      <c r="AP178" s="185">
        <f t="shared" si="107"/>
        <v>45</v>
      </c>
      <c r="AQ178" s="199">
        <f t="shared" si="108"/>
        <v>10.5</v>
      </c>
      <c r="AR178" s="199">
        <f t="shared" si="109"/>
        <v>382</v>
      </c>
      <c r="AS178" s="200">
        <f t="shared" si="110"/>
        <v>18</v>
      </c>
      <c r="AT178" s="277"/>
      <c r="AU178" s="185" t="str">
        <f t="shared" si="111"/>
        <v/>
      </c>
      <c r="AV178" s="173" t="str">
        <f t="shared" si="112"/>
        <v/>
      </c>
      <c r="AW178" s="173" t="str">
        <f t="shared" si="113"/>
        <v/>
      </c>
      <c r="AX178" s="180" t="str">
        <f t="shared" si="114"/>
        <v/>
      </c>
      <c r="AY178" s="168"/>
      <c r="AZ178" s="185" t="str">
        <f t="shared" si="115"/>
        <v/>
      </c>
      <c r="BA178" s="173" t="str">
        <f t="shared" si="116"/>
        <v/>
      </c>
      <c r="BB178" s="173" t="str">
        <f t="shared" si="117"/>
        <v/>
      </c>
      <c r="BC178" s="180" t="str">
        <f t="shared" si="118"/>
        <v/>
      </c>
      <c r="BD178" s="168"/>
      <c r="BE178" s="185" t="str">
        <f t="shared" si="119"/>
        <v/>
      </c>
      <c r="BF178" s="173" t="str">
        <f t="shared" si="120"/>
        <v/>
      </c>
      <c r="BG178" s="173" t="str">
        <f t="shared" si="121"/>
        <v/>
      </c>
      <c r="BH178" s="180" t="str">
        <f t="shared" si="122"/>
        <v/>
      </c>
      <c r="BI178" s="277"/>
      <c r="BJ178" s="185" t="str">
        <f t="shared" si="123"/>
        <v/>
      </c>
      <c r="BK178" s="173" t="str">
        <f t="shared" si="124"/>
        <v/>
      </c>
      <c r="BL178" s="173" t="str">
        <f t="shared" si="125"/>
        <v/>
      </c>
      <c r="BM178" s="180" t="str">
        <f t="shared" si="126"/>
        <v/>
      </c>
      <c r="BN178" s="168"/>
      <c r="BO178" s="185" t="str">
        <f t="shared" si="127"/>
        <v/>
      </c>
      <c r="BP178" s="173" t="str">
        <f t="shared" si="128"/>
        <v/>
      </c>
      <c r="BQ178" s="173" t="str">
        <f t="shared" si="129"/>
        <v/>
      </c>
      <c r="BR178" s="180" t="str">
        <f t="shared" si="130"/>
        <v/>
      </c>
      <c r="BS178" s="168"/>
      <c r="BT178" s="185" t="str">
        <f t="shared" si="131"/>
        <v/>
      </c>
      <c r="BU178" s="173" t="str">
        <f t="shared" si="132"/>
        <v/>
      </c>
      <c r="BV178" s="173" t="str">
        <f t="shared" si="133"/>
        <v/>
      </c>
      <c r="BW178" s="180" t="str">
        <f t="shared" si="134"/>
        <v/>
      </c>
      <c r="BX178" s="288"/>
    </row>
    <row r="179" spans="1:76">
      <c r="A179" s="168"/>
      <c r="B179" s="185">
        <f t="shared" si="135"/>
        <v>45</v>
      </c>
      <c r="C179" s="173">
        <f t="shared" si="76"/>
        <v>10.5</v>
      </c>
      <c r="D179" s="173">
        <f t="shared" si="77"/>
        <v>883</v>
      </c>
      <c r="E179" s="180">
        <f t="shared" si="78"/>
        <v>18</v>
      </c>
      <c r="F179" s="168"/>
      <c r="G179" s="185">
        <f t="shared" si="79"/>
        <v>45</v>
      </c>
      <c r="H179" s="173">
        <f t="shared" si="80"/>
        <v>10.5</v>
      </c>
      <c r="I179" s="173">
        <f t="shared" si="81"/>
        <v>643</v>
      </c>
      <c r="J179" s="180">
        <f t="shared" si="82"/>
        <v>18</v>
      </c>
      <c r="K179" s="168"/>
      <c r="L179" s="185">
        <f t="shared" si="83"/>
        <v>45</v>
      </c>
      <c r="M179" s="173">
        <f t="shared" si="84"/>
        <v>10.5</v>
      </c>
      <c r="N179" s="173">
        <f t="shared" si="85"/>
        <v>403</v>
      </c>
      <c r="O179" s="180">
        <f t="shared" si="86"/>
        <v>18</v>
      </c>
      <c r="P179" s="168"/>
      <c r="Q179" s="185">
        <f t="shared" si="87"/>
        <v>45</v>
      </c>
      <c r="R179" s="173">
        <f t="shared" si="88"/>
        <v>10.5</v>
      </c>
      <c r="S179" s="173">
        <f t="shared" si="89"/>
        <v>175</v>
      </c>
      <c r="T179" s="180">
        <f t="shared" si="90"/>
        <v>18</v>
      </c>
      <c r="U179" s="168"/>
      <c r="V179" s="185" t="str">
        <f t="shared" si="91"/>
        <v/>
      </c>
      <c r="W179" s="173" t="str">
        <f t="shared" si="92"/>
        <v/>
      </c>
      <c r="X179" s="173" t="str">
        <f t="shared" si="93"/>
        <v/>
      </c>
      <c r="Y179" s="180" t="str">
        <f t="shared" si="94"/>
        <v/>
      </c>
      <c r="Z179" s="168"/>
      <c r="AA179" s="185" t="str">
        <f t="shared" si="95"/>
        <v/>
      </c>
      <c r="AB179" s="173" t="str">
        <f t="shared" si="96"/>
        <v/>
      </c>
      <c r="AC179" s="173" t="str">
        <f t="shared" si="97"/>
        <v/>
      </c>
      <c r="AD179" s="180" t="str">
        <f t="shared" si="98"/>
        <v/>
      </c>
      <c r="AE179" s="168"/>
      <c r="AF179" s="185" t="str">
        <f t="shared" si="99"/>
        <v/>
      </c>
      <c r="AG179" s="173" t="str">
        <f t="shared" si="100"/>
        <v/>
      </c>
      <c r="AH179" s="173" t="str">
        <f t="shared" si="101"/>
        <v/>
      </c>
      <c r="AI179" s="180" t="str">
        <f t="shared" si="102"/>
        <v/>
      </c>
      <c r="AJ179" s="168"/>
      <c r="AK179" s="185" t="str">
        <f t="shared" si="103"/>
        <v/>
      </c>
      <c r="AL179" s="173" t="str">
        <f t="shared" si="104"/>
        <v/>
      </c>
      <c r="AM179" s="173" t="str">
        <f t="shared" si="105"/>
        <v/>
      </c>
      <c r="AN179" s="180" t="str">
        <f t="shared" si="106"/>
        <v/>
      </c>
      <c r="AO179" s="168"/>
      <c r="AP179" s="185">
        <f t="shared" si="107"/>
        <v>45</v>
      </c>
      <c r="AQ179" s="199">
        <f t="shared" si="108"/>
        <v>10.5</v>
      </c>
      <c r="AR179" s="199">
        <f t="shared" si="109"/>
        <v>325</v>
      </c>
      <c r="AS179" s="200">
        <f t="shared" si="110"/>
        <v>18</v>
      </c>
      <c r="AT179" s="277"/>
      <c r="AU179" s="185" t="str">
        <f t="shared" si="111"/>
        <v/>
      </c>
      <c r="AV179" s="173" t="str">
        <f t="shared" si="112"/>
        <v/>
      </c>
      <c r="AW179" s="173" t="str">
        <f t="shared" si="113"/>
        <v/>
      </c>
      <c r="AX179" s="180" t="str">
        <f t="shared" si="114"/>
        <v/>
      </c>
      <c r="AY179" s="168"/>
      <c r="AZ179" s="185" t="str">
        <f t="shared" si="115"/>
        <v/>
      </c>
      <c r="BA179" s="173" t="str">
        <f t="shared" si="116"/>
        <v/>
      </c>
      <c r="BB179" s="173" t="str">
        <f t="shared" si="117"/>
        <v/>
      </c>
      <c r="BC179" s="180" t="str">
        <f t="shared" si="118"/>
        <v/>
      </c>
      <c r="BD179" s="168"/>
      <c r="BE179" s="185" t="str">
        <f t="shared" si="119"/>
        <v/>
      </c>
      <c r="BF179" s="173" t="str">
        <f t="shared" si="120"/>
        <v/>
      </c>
      <c r="BG179" s="173" t="str">
        <f t="shared" si="121"/>
        <v/>
      </c>
      <c r="BH179" s="180" t="str">
        <f t="shared" si="122"/>
        <v/>
      </c>
      <c r="BI179" s="277"/>
      <c r="BJ179" s="185" t="str">
        <f t="shared" si="123"/>
        <v/>
      </c>
      <c r="BK179" s="173" t="str">
        <f t="shared" si="124"/>
        <v/>
      </c>
      <c r="BL179" s="173" t="str">
        <f t="shared" si="125"/>
        <v/>
      </c>
      <c r="BM179" s="180" t="str">
        <f t="shared" si="126"/>
        <v/>
      </c>
      <c r="BN179" s="168"/>
      <c r="BO179" s="185" t="str">
        <f t="shared" si="127"/>
        <v/>
      </c>
      <c r="BP179" s="173" t="str">
        <f t="shared" si="128"/>
        <v/>
      </c>
      <c r="BQ179" s="173" t="str">
        <f t="shared" si="129"/>
        <v/>
      </c>
      <c r="BR179" s="180" t="str">
        <f t="shared" si="130"/>
        <v/>
      </c>
      <c r="BS179" s="168"/>
      <c r="BT179" s="185" t="str">
        <f t="shared" si="131"/>
        <v/>
      </c>
      <c r="BU179" s="173" t="str">
        <f t="shared" si="132"/>
        <v/>
      </c>
      <c r="BV179" s="173" t="str">
        <f t="shared" si="133"/>
        <v/>
      </c>
      <c r="BW179" s="180" t="str">
        <f t="shared" si="134"/>
        <v/>
      </c>
      <c r="BX179" s="288"/>
    </row>
    <row r="180" spans="1:76">
      <c r="A180" s="168"/>
      <c r="B180" s="185">
        <f t="shared" si="135"/>
        <v>45</v>
      </c>
      <c r="C180" s="173">
        <f t="shared" si="76"/>
        <v>10.5</v>
      </c>
      <c r="D180" s="173">
        <f t="shared" si="77"/>
        <v>826</v>
      </c>
      <c r="E180" s="180">
        <f t="shared" si="78"/>
        <v>18</v>
      </c>
      <c r="F180" s="168"/>
      <c r="G180" s="185">
        <f t="shared" si="79"/>
        <v>45</v>
      </c>
      <c r="H180" s="173">
        <f t="shared" si="80"/>
        <v>10.5</v>
      </c>
      <c r="I180" s="173">
        <f t="shared" si="81"/>
        <v>586</v>
      </c>
      <c r="J180" s="180">
        <f t="shared" si="82"/>
        <v>18</v>
      </c>
      <c r="K180" s="168"/>
      <c r="L180" s="185">
        <f t="shared" si="83"/>
        <v>45</v>
      </c>
      <c r="M180" s="173">
        <f t="shared" si="84"/>
        <v>10.5</v>
      </c>
      <c r="N180" s="173">
        <f t="shared" si="85"/>
        <v>346</v>
      </c>
      <c r="O180" s="180">
        <f t="shared" si="86"/>
        <v>18</v>
      </c>
      <c r="P180" s="168"/>
      <c r="Q180" s="185">
        <f t="shared" si="87"/>
        <v>45</v>
      </c>
      <c r="R180" s="173">
        <f t="shared" si="88"/>
        <v>10.5</v>
      </c>
      <c r="S180" s="173">
        <f t="shared" si="89"/>
        <v>118</v>
      </c>
      <c r="T180" s="180">
        <f t="shared" si="90"/>
        <v>18</v>
      </c>
      <c r="U180" s="168"/>
      <c r="V180" s="185" t="str">
        <f t="shared" si="91"/>
        <v/>
      </c>
      <c r="W180" s="173" t="str">
        <f t="shared" si="92"/>
        <v/>
      </c>
      <c r="X180" s="173" t="str">
        <f t="shared" si="93"/>
        <v/>
      </c>
      <c r="Y180" s="180" t="str">
        <f t="shared" si="94"/>
        <v/>
      </c>
      <c r="Z180" s="168"/>
      <c r="AA180" s="185" t="str">
        <f t="shared" si="95"/>
        <v/>
      </c>
      <c r="AB180" s="173" t="str">
        <f t="shared" si="96"/>
        <v/>
      </c>
      <c r="AC180" s="173" t="str">
        <f t="shared" si="97"/>
        <v/>
      </c>
      <c r="AD180" s="180" t="str">
        <f t="shared" si="98"/>
        <v/>
      </c>
      <c r="AE180" s="168"/>
      <c r="AF180" s="185" t="str">
        <f t="shared" si="99"/>
        <v/>
      </c>
      <c r="AG180" s="173" t="str">
        <f t="shared" si="100"/>
        <v/>
      </c>
      <c r="AH180" s="173" t="str">
        <f t="shared" si="101"/>
        <v/>
      </c>
      <c r="AI180" s="180" t="str">
        <f t="shared" si="102"/>
        <v/>
      </c>
      <c r="AJ180" s="168"/>
      <c r="AK180" s="185" t="str">
        <f t="shared" si="103"/>
        <v/>
      </c>
      <c r="AL180" s="173" t="str">
        <f t="shared" si="104"/>
        <v/>
      </c>
      <c r="AM180" s="173" t="str">
        <f t="shared" si="105"/>
        <v/>
      </c>
      <c r="AN180" s="180" t="str">
        <f t="shared" si="106"/>
        <v/>
      </c>
      <c r="AO180" s="168"/>
      <c r="AP180" s="185">
        <f t="shared" si="107"/>
        <v>45</v>
      </c>
      <c r="AQ180" s="199">
        <f t="shared" si="108"/>
        <v>10.5</v>
      </c>
      <c r="AR180" s="199">
        <f t="shared" si="109"/>
        <v>268</v>
      </c>
      <c r="AS180" s="200">
        <f t="shared" si="110"/>
        <v>18</v>
      </c>
      <c r="AT180" s="277"/>
      <c r="AU180" s="185" t="str">
        <f t="shared" si="111"/>
        <v/>
      </c>
      <c r="AV180" s="173" t="str">
        <f t="shared" si="112"/>
        <v/>
      </c>
      <c r="AW180" s="173" t="str">
        <f t="shared" si="113"/>
        <v/>
      </c>
      <c r="AX180" s="180" t="str">
        <f t="shared" si="114"/>
        <v/>
      </c>
      <c r="AY180" s="168"/>
      <c r="AZ180" s="185" t="str">
        <f t="shared" si="115"/>
        <v/>
      </c>
      <c r="BA180" s="173" t="str">
        <f t="shared" si="116"/>
        <v/>
      </c>
      <c r="BB180" s="173" t="str">
        <f t="shared" si="117"/>
        <v/>
      </c>
      <c r="BC180" s="180" t="str">
        <f t="shared" si="118"/>
        <v/>
      </c>
      <c r="BD180" s="168"/>
      <c r="BE180" s="185" t="str">
        <f t="shared" si="119"/>
        <v/>
      </c>
      <c r="BF180" s="173" t="str">
        <f t="shared" si="120"/>
        <v/>
      </c>
      <c r="BG180" s="173" t="str">
        <f t="shared" si="121"/>
        <v/>
      </c>
      <c r="BH180" s="180" t="str">
        <f t="shared" si="122"/>
        <v/>
      </c>
      <c r="BI180" s="277"/>
      <c r="BJ180" s="185" t="str">
        <f t="shared" si="123"/>
        <v/>
      </c>
      <c r="BK180" s="173" t="str">
        <f t="shared" si="124"/>
        <v/>
      </c>
      <c r="BL180" s="173" t="str">
        <f t="shared" si="125"/>
        <v/>
      </c>
      <c r="BM180" s="180" t="str">
        <f t="shared" si="126"/>
        <v/>
      </c>
      <c r="BN180" s="168"/>
      <c r="BO180" s="185" t="str">
        <f t="shared" si="127"/>
        <v/>
      </c>
      <c r="BP180" s="173" t="str">
        <f t="shared" si="128"/>
        <v/>
      </c>
      <c r="BQ180" s="173" t="str">
        <f t="shared" si="129"/>
        <v/>
      </c>
      <c r="BR180" s="180" t="str">
        <f t="shared" si="130"/>
        <v/>
      </c>
      <c r="BS180" s="168"/>
      <c r="BT180" s="185" t="str">
        <f t="shared" si="131"/>
        <v/>
      </c>
      <c r="BU180" s="173" t="str">
        <f t="shared" si="132"/>
        <v/>
      </c>
      <c r="BV180" s="173" t="str">
        <f t="shared" si="133"/>
        <v/>
      </c>
      <c r="BW180" s="180" t="str">
        <f t="shared" si="134"/>
        <v/>
      </c>
      <c r="BX180" s="288"/>
    </row>
    <row r="181" spans="1:76">
      <c r="A181" s="168"/>
      <c r="B181" s="185">
        <f t="shared" si="135"/>
        <v>45</v>
      </c>
      <c r="C181" s="173">
        <f t="shared" si="76"/>
        <v>10.5</v>
      </c>
      <c r="D181" s="173">
        <f t="shared" si="77"/>
        <v>769</v>
      </c>
      <c r="E181" s="180">
        <f t="shared" si="78"/>
        <v>18</v>
      </c>
      <c r="F181" s="168"/>
      <c r="G181" s="185">
        <f t="shared" si="79"/>
        <v>45</v>
      </c>
      <c r="H181" s="173">
        <f t="shared" si="80"/>
        <v>10.5</v>
      </c>
      <c r="I181" s="173">
        <f t="shared" si="81"/>
        <v>529</v>
      </c>
      <c r="J181" s="180">
        <f t="shared" si="82"/>
        <v>18</v>
      </c>
      <c r="K181" s="168"/>
      <c r="L181" s="185">
        <f t="shared" si="83"/>
        <v>45</v>
      </c>
      <c r="M181" s="173">
        <f t="shared" si="84"/>
        <v>10.5</v>
      </c>
      <c r="N181" s="173">
        <f t="shared" si="85"/>
        <v>289</v>
      </c>
      <c r="O181" s="180">
        <f t="shared" si="86"/>
        <v>18</v>
      </c>
      <c r="P181" s="168"/>
      <c r="Q181" s="185">
        <f t="shared" si="87"/>
        <v>45</v>
      </c>
      <c r="R181" s="173">
        <f t="shared" si="88"/>
        <v>10.5</v>
      </c>
      <c r="S181" s="173">
        <f t="shared" si="89"/>
        <v>61</v>
      </c>
      <c r="T181" s="180">
        <f t="shared" si="90"/>
        <v>18</v>
      </c>
      <c r="U181" s="168"/>
      <c r="V181" s="185" t="str">
        <f t="shared" si="91"/>
        <v/>
      </c>
      <c r="W181" s="173" t="str">
        <f t="shared" si="92"/>
        <v/>
      </c>
      <c r="X181" s="173" t="str">
        <f t="shared" si="93"/>
        <v/>
      </c>
      <c r="Y181" s="180" t="str">
        <f t="shared" si="94"/>
        <v/>
      </c>
      <c r="Z181" s="168"/>
      <c r="AA181" s="185" t="str">
        <f t="shared" si="95"/>
        <v/>
      </c>
      <c r="AB181" s="173" t="str">
        <f t="shared" si="96"/>
        <v/>
      </c>
      <c r="AC181" s="173" t="str">
        <f t="shared" si="97"/>
        <v/>
      </c>
      <c r="AD181" s="180" t="str">
        <f t="shared" si="98"/>
        <v/>
      </c>
      <c r="AE181" s="168"/>
      <c r="AF181" s="185" t="str">
        <f t="shared" si="99"/>
        <v/>
      </c>
      <c r="AG181" s="173" t="str">
        <f t="shared" si="100"/>
        <v/>
      </c>
      <c r="AH181" s="173" t="str">
        <f t="shared" si="101"/>
        <v/>
      </c>
      <c r="AI181" s="180" t="str">
        <f t="shared" si="102"/>
        <v/>
      </c>
      <c r="AJ181" s="168"/>
      <c r="AK181" s="185" t="str">
        <f t="shared" si="103"/>
        <v/>
      </c>
      <c r="AL181" s="173" t="str">
        <f t="shared" si="104"/>
        <v/>
      </c>
      <c r="AM181" s="173" t="str">
        <f t="shared" si="105"/>
        <v/>
      </c>
      <c r="AN181" s="180" t="str">
        <f t="shared" si="106"/>
        <v/>
      </c>
      <c r="AO181" s="168"/>
      <c r="AP181" s="185">
        <f t="shared" si="107"/>
        <v>45</v>
      </c>
      <c r="AQ181" s="251">
        <f t="shared" si="108"/>
        <v>10.5</v>
      </c>
      <c r="AR181" s="251">
        <f t="shared" si="109"/>
        <v>211</v>
      </c>
      <c r="AS181" s="252">
        <f t="shared" si="110"/>
        <v>18</v>
      </c>
      <c r="AT181" s="277"/>
      <c r="AU181" s="185" t="str">
        <f t="shared" si="111"/>
        <v/>
      </c>
      <c r="AV181" s="173" t="str">
        <f t="shared" si="112"/>
        <v/>
      </c>
      <c r="AW181" s="173" t="str">
        <f t="shared" si="113"/>
        <v/>
      </c>
      <c r="AX181" s="180" t="str">
        <f t="shared" si="114"/>
        <v/>
      </c>
      <c r="AY181" s="168"/>
      <c r="AZ181" s="185" t="str">
        <f t="shared" si="115"/>
        <v/>
      </c>
      <c r="BA181" s="173" t="str">
        <f t="shared" si="116"/>
        <v/>
      </c>
      <c r="BB181" s="173" t="str">
        <f t="shared" si="117"/>
        <v/>
      </c>
      <c r="BC181" s="180" t="str">
        <f t="shared" si="118"/>
        <v/>
      </c>
      <c r="BD181" s="168"/>
      <c r="BE181" s="185" t="str">
        <f t="shared" si="119"/>
        <v/>
      </c>
      <c r="BF181" s="173" t="str">
        <f t="shared" si="120"/>
        <v/>
      </c>
      <c r="BG181" s="173" t="str">
        <f t="shared" si="121"/>
        <v/>
      </c>
      <c r="BH181" s="180" t="str">
        <f t="shared" si="122"/>
        <v/>
      </c>
      <c r="BI181" s="277"/>
      <c r="BJ181" s="185" t="str">
        <f t="shared" si="123"/>
        <v/>
      </c>
      <c r="BK181" s="173" t="str">
        <f t="shared" si="124"/>
        <v/>
      </c>
      <c r="BL181" s="173" t="str">
        <f t="shared" si="125"/>
        <v/>
      </c>
      <c r="BM181" s="180" t="str">
        <f t="shared" si="126"/>
        <v/>
      </c>
      <c r="BN181" s="168"/>
      <c r="BO181" s="185" t="str">
        <f t="shared" si="127"/>
        <v/>
      </c>
      <c r="BP181" s="173" t="str">
        <f t="shared" si="128"/>
        <v/>
      </c>
      <c r="BQ181" s="173" t="str">
        <f t="shared" si="129"/>
        <v/>
      </c>
      <c r="BR181" s="180" t="str">
        <f t="shared" si="130"/>
        <v/>
      </c>
      <c r="BS181" s="168"/>
      <c r="BT181" s="185" t="str">
        <f t="shared" si="131"/>
        <v/>
      </c>
      <c r="BU181" s="173" t="str">
        <f t="shared" si="132"/>
        <v/>
      </c>
      <c r="BV181" s="173" t="str">
        <f t="shared" si="133"/>
        <v/>
      </c>
      <c r="BW181" s="180" t="str">
        <f t="shared" si="134"/>
        <v/>
      </c>
      <c r="BX181" s="288"/>
    </row>
    <row r="182" spans="1:76">
      <c r="A182" s="168"/>
      <c r="B182" s="185">
        <f t="shared" si="135"/>
        <v>45</v>
      </c>
      <c r="C182" s="173">
        <f t="shared" si="76"/>
        <v>10.5</v>
      </c>
      <c r="D182" s="173">
        <f t="shared" si="77"/>
        <v>712</v>
      </c>
      <c r="E182" s="180">
        <f t="shared" si="78"/>
        <v>18</v>
      </c>
      <c r="F182" s="168"/>
      <c r="G182" s="185">
        <f t="shared" si="79"/>
        <v>45</v>
      </c>
      <c r="H182" s="173">
        <f t="shared" si="80"/>
        <v>10.5</v>
      </c>
      <c r="I182" s="173">
        <f t="shared" si="81"/>
        <v>472</v>
      </c>
      <c r="J182" s="180">
        <f t="shared" si="82"/>
        <v>18</v>
      </c>
      <c r="K182" s="168"/>
      <c r="L182" s="185">
        <f t="shared" si="83"/>
        <v>45</v>
      </c>
      <c r="M182" s="173">
        <f t="shared" si="84"/>
        <v>10.5</v>
      </c>
      <c r="N182" s="173">
        <f t="shared" si="85"/>
        <v>232</v>
      </c>
      <c r="O182" s="180">
        <f t="shared" si="86"/>
        <v>18</v>
      </c>
      <c r="P182" s="168"/>
      <c r="Q182" s="185" t="str">
        <f t="shared" si="87"/>
        <v/>
      </c>
      <c r="R182" s="173" t="str">
        <f t="shared" si="88"/>
        <v/>
      </c>
      <c r="S182" s="173" t="str">
        <f t="shared" si="89"/>
        <v/>
      </c>
      <c r="T182" s="180" t="str">
        <f t="shared" si="90"/>
        <v/>
      </c>
      <c r="U182" s="168"/>
      <c r="V182" s="185" t="str">
        <f t="shared" si="91"/>
        <v/>
      </c>
      <c r="W182" s="173" t="str">
        <f t="shared" si="92"/>
        <v/>
      </c>
      <c r="X182" s="173" t="str">
        <f t="shared" si="93"/>
        <v/>
      </c>
      <c r="Y182" s="180" t="str">
        <f t="shared" si="94"/>
        <v/>
      </c>
      <c r="Z182" s="168"/>
      <c r="AA182" s="185" t="str">
        <f t="shared" si="95"/>
        <v/>
      </c>
      <c r="AB182" s="173" t="str">
        <f t="shared" si="96"/>
        <v/>
      </c>
      <c r="AC182" s="173" t="str">
        <f t="shared" si="97"/>
        <v/>
      </c>
      <c r="AD182" s="180" t="str">
        <f t="shared" si="98"/>
        <v/>
      </c>
      <c r="AE182" s="168"/>
      <c r="AF182" s="185" t="str">
        <f t="shared" si="99"/>
        <v/>
      </c>
      <c r="AG182" s="173" t="str">
        <f t="shared" si="100"/>
        <v/>
      </c>
      <c r="AH182" s="173" t="str">
        <f t="shared" si="101"/>
        <v/>
      </c>
      <c r="AI182" s="180" t="str">
        <f t="shared" si="102"/>
        <v/>
      </c>
      <c r="AJ182" s="168"/>
      <c r="AK182" s="185" t="str">
        <f t="shared" si="103"/>
        <v/>
      </c>
      <c r="AL182" s="173" t="str">
        <f t="shared" si="104"/>
        <v/>
      </c>
      <c r="AM182" s="173" t="str">
        <f t="shared" si="105"/>
        <v/>
      </c>
      <c r="AN182" s="180" t="str">
        <f t="shared" si="106"/>
        <v/>
      </c>
      <c r="AO182" s="168" t="s">
        <v>217</v>
      </c>
      <c r="AP182" s="254">
        <f t="shared" si="107"/>
        <v>45</v>
      </c>
      <c r="AQ182" s="242">
        <f t="shared" si="108"/>
        <v>140</v>
      </c>
      <c r="AR182" s="242">
        <f t="shared" si="109"/>
        <v>980</v>
      </c>
      <c r="AS182" s="243">
        <f t="shared" si="110"/>
        <v>18</v>
      </c>
      <c r="AT182" s="277"/>
      <c r="AU182" s="185" t="str">
        <f t="shared" si="111"/>
        <v/>
      </c>
      <c r="AV182" s="173" t="str">
        <f t="shared" si="112"/>
        <v/>
      </c>
      <c r="AW182" s="173" t="str">
        <f t="shared" si="113"/>
        <v/>
      </c>
      <c r="AX182" s="180" t="str">
        <f t="shared" si="114"/>
        <v/>
      </c>
      <c r="AY182" s="168"/>
      <c r="AZ182" s="185" t="str">
        <f t="shared" si="115"/>
        <v/>
      </c>
      <c r="BA182" s="173" t="str">
        <f t="shared" si="116"/>
        <v/>
      </c>
      <c r="BB182" s="173" t="str">
        <f t="shared" si="117"/>
        <v/>
      </c>
      <c r="BC182" s="180" t="str">
        <f t="shared" si="118"/>
        <v/>
      </c>
      <c r="BD182" s="168"/>
      <c r="BE182" s="185" t="str">
        <f t="shared" si="119"/>
        <v/>
      </c>
      <c r="BF182" s="173" t="str">
        <f t="shared" si="120"/>
        <v/>
      </c>
      <c r="BG182" s="173" t="str">
        <f t="shared" si="121"/>
        <v/>
      </c>
      <c r="BH182" s="180" t="str">
        <f t="shared" si="122"/>
        <v/>
      </c>
      <c r="BI182" s="277"/>
      <c r="BJ182" s="185" t="str">
        <f t="shared" si="123"/>
        <v/>
      </c>
      <c r="BK182" s="173" t="str">
        <f t="shared" si="124"/>
        <v/>
      </c>
      <c r="BL182" s="173" t="str">
        <f t="shared" si="125"/>
        <v/>
      </c>
      <c r="BM182" s="180" t="str">
        <f t="shared" si="126"/>
        <v/>
      </c>
      <c r="BN182" s="168"/>
      <c r="BO182" s="185" t="str">
        <f t="shared" si="127"/>
        <v/>
      </c>
      <c r="BP182" s="173" t="str">
        <f t="shared" si="128"/>
        <v/>
      </c>
      <c r="BQ182" s="173" t="str">
        <f t="shared" si="129"/>
        <v/>
      </c>
      <c r="BR182" s="180" t="str">
        <f t="shared" si="130"/>
        <v/>
      </c>
      <c r="BS182" s="168"/>
      <c r="BT182" s="185" t="str">
        <f t="shared" si="131"/>
        <v/>
      </c>
      <c r="BU182" s="173" t="str">
        <f t="shared" si="132"/>
        <v/>
      </c>
      <c r="BV182" s="173" t="str">
        <f t="shared" si="133"/>
        <v/>
      </c>
      <c r="BW182" s="180" t="str">
        <f t="shared" si="134"/>
        <v/>
      </c>
      <c r="BX182" s="288"/>
    </row>
    <row r="183" spans="1:76">
      <c r="B183" s="185">
        <f t="shared" si="135"/>
        <v>45</v>
      </c>
      <c r="C183" s="173">
        <f t="shared" si="76"/>
        <v>10.5</v>
      </c>
      <c r="D183" s="173">
        <f t="shared" si="77"/>
        <v>655</v>
      </c>
      <c r="E183" s="180">
        <f t="shared" si="78"/>
        <v>18</v>
      </c>
      <c r="G183" s="185">
        <f t="shared" si="79"/>
        <v>45</v>
      </c>
      <c r="H183" s="173">
        <f t="shared" si="80"/>
        <v>10.5</v>
      </c>
      <c r="I183" s="173">
        <f t="shared" si="81"/>
        <v>415</v>
      </c>
      <c r="J183" s="180">
        <f t="shared" si="82"/>
        <v>18</v>
      </c>
      <c r="L183" s="185">
        <f t="shared" si="83"/>
        <v>45</v>
      </c>
      <c r="M183" s="173">
        <f t="shared" si="84"/>
        <v>10.5</v>
      </c>
      <c r="N183" s="173">
        <f t="shared" si="85"/>
        <v>175</v>
      </c>
      <c r="O183" s="180">
        <f t="shared" si="86"/>
        <v>18</v>
      </c>
      <c r="Q183" s="185" t="str">
        <f t="shared" si="87"/>
        <v/>
      </c>
      <c r="R183" s="173" t="str">
        <f t="shared" si="88"/>
        <v/>
      </c>
      <c r="S183" s="173" t="str">
        <f t="shared" si="89"/>
        <v/>
      </c>
      <c r="T183" s="180" t="str">
        <f t="shared" si="90"/>
        <v/>
      </c>
      <c r="V183" s="185" t="str">
        <f t="shared" si="91"/>
        <v/>
      </c>
      <c r="W183" s="173" t="str">
        <f t="shared" si="92"/>
        <v/>
      </c>
      <c r="X183" s="173" t="str">
        <f t="shared" si="93"/>
        <v/>
      </c>
      <c r="Y183" s="180" t="str">
        <f t="shared" si="94"/>
        <v/>
      </c>
      <c r="AA183" s="185" t="str">
        <f t="shared" si="95"/>
        <v/>
      </c>
      <c r="AB183" s="173" t="str">
        <f t="shared" si="96"/>
        <v/>
      </c>
      <c r="AC183" s="173" t="str">
        <f t="shared" si="97"/>
        <v/>
      </c>
      <c r="AD183" s="180" t="str">
        <f t="shared" si="98"/>
        <v/>
      </c>
      <c r="AF183" s="185" t="str">
        <f t="shared" si="99"/>
        <v/>
      </c>
      <c r="AG183" s="173" t="str">
        <f t="shared" si="100"/>
        <v/>
      </c>
      <c r="AH183" s="173" t="str">
        <f t="shared" si="101"/>
        <v/>
      </c>
      <c r="AI183" s="180" t="str">
        <f t="shared" si="102"/>
        <v/>
      </c>
      <c r="AK183" s="185" t="str">
        <f t="shared" si="103"/>
        <v/>
      </c>
      <c r="AL183" s="173" t="str">
        <f t="shared" si="104"/>
        <v/>
      </c>
      <c r="AM183" s="173" t="str">
        <f t="shared" si="105"/>
        <v/>
      </c>
      <c r="AN183" s="180" t="str">
        <f t="shared" si="106"/>
        <v/>
      </c>
      <c r="AP183" s="255">
        <f t="shared" si="107"/>
        <v>45</v>
      </c>
      <c r="AQ183" s="245">
        <f t="shared" si="108"/>
        <v>140</v>
      </c>
      <c r="AR183" s="245">
        <f t="shared" si="109"/>
        <v>923</v>
      </c>
      <c r="AS183" s="246">
        <f t="shared" si="110"/>
        <v>18</v>
      </c>
      <c r="AT183" s="288"/>
      <c r="AU183" s="185" t="str">
        <f t="shared" si="111"/>
        <v/>
      </c>
      <c r="AV183" s="173" t="str">
        <f t="shared" si="112"/>
        <v/>
      </c>
      <c r="AW183" s="173" t="str">
        <f t="shared" si="113"/>
        <v/>
      </c>
      <c r="AX183" s="180" t="str">
        <f t="shared" si="114"/>
        <v/>
      </c>
      <c r="AZ183" s="185" t="str">
        <f t="shared" si="115"/>
        <v/>
      </c>
      <c r="BA183" s="173" t="str">
        <f t="shared" si="116"/>
        <v/>
      </c>
      <c r="BB183" s="173" t="str">
        <f t="shared" si="117"/>
        <v/>
      </c>
      <c r="BC183" s="180" t="str">
        <f t="shared" si="118"/>
        <v/>
      </c>
      <c r="BE183" s="185" t="str">
        <f t="shared" si="119"/>
        <v/>
      </c>
      <c r="BF183" s="173" t="str">
        <f t="shared" si="120"/>
        <v/>
      </c>
      <c r="BG183" s="173" t="str">
        <f t="shared" si="121"/>
        <v/>
      </c>
      <c r="BH183" s="180" t="str">
        <f t="shared" si="122"/>
        <v/>
      </c>
      <c r="BI183" s="288"/>
      <c r="BJ183" s="185" t="str">
        <f t="shared" si="123"/>
        <v/>
      </c>
      <c r="BK183" s="173" t="str">
        <f t="shared" si="124"/>
        <v/>
      </c>
      <c r="BL183" s="173" t="str">
        <f t="shared" si="125"/>
        <v/>
      </c>
      <c r="BM183" s="180" t="str">
        <f t="shared" si="126"/>
        <v/>
      </c>
      <c r="BO183" s="185" t="str">
        <f t="shared" si="127"/>
        <v/>
      </c>
      <c r="BP183" s="173" t="str">
        <f t="shared" si="128"/>
        <v/>
      </c>
      <c r="BQ183" s="173" t="str">
        <f t="shared" si="129"/>
        <v/>
      </c>
      <c r="BR183" s="180" t="str">
        <f t="shared" si="130"/>
        <v/>
      </c>
      <c r="BT183" s="185" t="str">
        <f t="shared" si="131"/>
        <v/>
      </c>
      <c r="BU183" s="173" t="str">
        <f t="shared" si="132"/>
        <v/>
      </c>
      <c r="BV183" s="173" t="str">
        <f t="shared" si="133"/>
        <v/>
      </c>
      <c r="BW183" s="180" t="str">
        <f t="shared" si="134"/>
        <v/>
      </c>
      <c r="BX183" s="288"/>
    </row>
    <row r="184" spans="1:76">
      <c r="A184" s="168"/>
      <c r="B184" s="185">
        <f t="shared" si="135"/>
        <v>45</v>
      </c>
      <c r="C184" s="173">
        <f t="shared" si="76"/>
        <v>10.5</v>
      </c>
      <c r="D184" s="173">
        <f t="shared" si="77"/>
        <v>598</v>
      </c>
      <c r="E184" s="180">
        <f t="shared" si="78"/>
        <v>18</v>
      </c>
      <c r="F184" s="168"/>
      <c r="G184" s="185">
        <f t="shared" si="79"/>
        <v>45</v>
      </c>
      <c r="H184" s="173">
        <f t="shared" si="80"/>
        <v>10.5</v>
      </c>
      <c r="I184" s="173">
        <f t="shared" si="81"/>
        <v>358</v>
      </c>
      <c r="J184" s="180">
        <f t="shared" si="82"/>
        <v>18</v>
      </c>
      <c r="K184" s="168"/>
      <c r="L184" s="185">
        <f t="shared" si="83"/>
        <v>45</v>
      </c>
      <c r="M184" s="173">
        <f t="shared" si="84"/>
        <v>10.5</v>
      </c>
      <c r="N184" s="173">
        <f t="shared" si="85"/>
        <v>118</v>
      </c>
      <c r="O184" s="180">
        <f t="shared" si="86"/>
        <v>18</v>
      </c>
      <c r="P184" s="168"/>
      <c r="Q184" s="185" t="str">
        <f t="shared" si="87"/>
        <v/>
      </c>
      <c r="R184" s="173" t="str">
        <f t="shared" si="88"/>
        <v/>
      </c>
      <c r="S184" s="173" t="str">
        <f t="shared" si="89"/>
        <v/>
      </c>
      <c r="T184" s="180" t="str">
        <f t="shared" si="90"/>
        <v/>
      </c>
      <c r="U184" s="168"/>
      <c r="V184" s="185" t="str">
        <f t="shared" si="91"/>
        <v/>
      </c>
      <c r="W184" s="173" t="str">
        <f t="shared" si="92"/>
        <v/>
      </c>
      <c r="X184" s="173" t="str">
        <f t="shared" si="93"/>
        <v/>
      </c>
      <c r="Y184" s="180" t="str">
        <f t="shared" si="94"/>
        <v/>
      </c>
      <c r="Z184" s="168"/>
      <c r="AA184" s="185" t="str">
        <f t="shared" si="95"/>
        <v/>
      </c>
      <c r="AB184" s="173" t="str">
        <f t="shared" si="96"/>
        <v/>
      </c>
      <c r="AC184" s="173" t="str">
        <f t="shared" si="97"/>
        <v/>
      </c>
      <c r="AD184" s="180" t="str">
        <f t="shared" si="98"/>
        <v/>
      </c>
      <c r="AE184" s="168"/>
      <c r="AF184" s="185" t="str">
        <f t="shared" si="99"/>
        <v/>
      </c>
      <c r="AG184" s="173" t="str">
        <f t="shared" si="100"/>
        <v/>
      </c>
      <c r="AH184" s="173" t="str">
        <f t="shared" si="101"/>
        <v/>
      </c>
      <c r="AI184" s="180" t="str">
        <f t="shared" si="102"/>
        <v/>
      </c>
      <c r="AJ184" s="168"/>
      <c r="AK184" s="185" t="str">
        <f t="shared" si="103"/>
        <v/>
      </c>
      <c r="AL184" s="173" t="str">
        <f t="shared" si="104"/>
        <v/>
      </c>
      <c r="AM184" s="173" t="str">
        <f t="shared" si="105"/>
        <v/>
      </c>
      <c r="AN184" s="180" t="str">
        <f t="shared" si="106"/>
        <v/>
      </c>
      <c r="AO184" s="168"/>
      <c r="AP184" s="255">
        <f t="shared" si="107"/>
        <v>45</v>
      </c>
      <c r="AQ184" s="245">
        <f t="shared" si="108"/>
        <v>96</v>
      </c>
      <c r="AR184" s="245">
        <f t="shared" si="109"/>
        <v>980</v>
      </c>
      <c r="AS184" s="246">
        <f t="shared" si="110"/>
        <v>18</v>
      </c>
      <c r="AT184" s="277"/>
      <c r="AU184" s="185" t="str">
        <f t="shared" si="111"/>
        <v/>
      </c>
      <c r="AV184" s="173" t="str">
        <f t="shared" si="112"/>
        <v/>
      </c>
      <c r="AW184" s="173" t="str">
        <f t="shared" si="113"/>
        <v/>
      </c>
      <c r="AX184" s="180" t="str">
        <f t="shared" si="114"/>
        <v/>
      </c>
      <c r="AY184" s="168"/>
      <c r="AZ184" s="185" t="str">
        <f t="shared" si="115"/>
        <v/>
      </c>
      <c r="BA184" s="173" t="str">
        <f t="shared" si="116"/>
        <v/>
      </c>
      <c r="BB184" s="173" t="str">
        <f t="shared" si="117"/>
        <v/>
      </c>
      <c r="BC184" s="180" t="str">
        <f t="shared" si="118"/>
        <v/>
      </c>
      <c r="BD184" s="168"/>
      <c r="BE184" s="185" t="str">
        <f t="shared" si="119"/>
        <v/>
      </c>
      <c r="BF184" s="173" t="str">
        <f t="shared" si="120"/>
        <v/>
      </c>
      <c r="BG184" s="173" t="str">
        <f t="shared" si="121"/>
        <v/>
      </c>
      <c r="BH184" s="180" t="str">
        <f t="shared" si="122"/>
        <v/>
      </c>
      <c r="BI184" s="277"/>
      <c r="BJ184" s="185" t="str">
        <f t="shared" si="123"/>
        <v/>
      </c>
      <c r="BK184" s="173" t="str">
        <f t="shared" si="124"/>
        <v/>
      </c>
      <c r="BL184" s="173" t="str">
        <f t="shared" si="125"/>
        <v/>
      </c>
      <c r="BM184" s="180" t="str">
        <f t="shared" si="126"/>
        <v/>
      </c>
      <c r="BN184" s="168"/>
      <c r="BO184" s="185" t="str">
        <f t="shared" si="127"/>
        <v/>
      </c>
      <c r="BP184" s="173" t="str">
        <f t="shared" si="128"/>
        <v/>
      </c>
      <c r="BQ184" s="173" t="str">
        <f t="shared" si="129"/>
        <v/>
      </c>
      <c r="BR184" s="180" t="str">
        <f t="shared" si="130"/>
        <v/>
      </c>
      <c r="BS184" s="168"/>
      <c r="BT184" s="185" t="str">
        <f t="shared" si="131"/>
        <v/>
      </c>
      <c r="BU184" s="173" t="str">
        <f t="shared" si="132"/>
        <v/>
      </c>
      <c r="BV184" s="173" t="str">
        <f t="shared" si="133"/>
        <v/>
      </c>
      <c r="BW184" s="180" t="str">
        <f t="shared" si="134"/>
        <v/>
      </c>
      <c r="BX184" s="288"/>
    </row>
    <row r="185" spans="1:76">
      <c r="A185" s="168"/>
      <c r="B185" s="185">
        <f t="shared" si="135"/>
        <v>45</v>
      </c>
      <c r="C185" s="173">
        <f t="shared" si="76"/>
        <v>10.5</v>
      </c>
      <c r="D185" s="173">
        <f t="shared" si="77"/>
        <v>541</v>
      </c>
      <c r="E185" s="180">
        <f t="shared" si="78"/>
        <v>18</v>
      </c>
      <c r="F185" s="168"/>
      <c r="G185" s="185">
        <f t="shared" si="79"/>
        <v>45</v>
      </c>
      <c r="H185" s="173">
        <f t="shared" si="80"/>
        <v>10.5</v>
      </c>
      <c r="I185" s="173">
        <f t="shared" si="81"/>
        <v>301</v>
      </c>
      <c r="J185" s="180">
        <f t="shared" si="82"/>
        <v>18</v>
      </c>
      <c r="K185" s="168"/>
      <c r="L185" s="185">
        <f t="shared" si="83"/>
        <v>45</v>
      </c>
      <c r="M185" s="173">
        <f t="shared" si="84"/>
        <v>10.5</v>
      </c>
      <c r="N185" s="173">
        <f t="shared" si="85"/>
        <v>61</v>
      </c>
      <c r="O185" s="180">
        <f t="shared" si="86"/>
        <v>18</v>
      </c>
      <c r="P185" s="168"/>
      <c r="Q185" s="185" t="str">
        <f t="shared" si="87"/>
        <v/>
      </c>
      <c r="R185" s="173" t="str">
        <f t="shared" si="88"/>
        <v/>
      </c>
      <c r="S185" s="173" t="str">
        <f t="shared" si="89"/>
        <v/>
      </c>
      <c r="T185" s="180" t="str">
        <f t="shared" si="90"/>
        <v/>
      </c>
      <c r="U185" s="168"/>
      <c r="V185" s="185" t="str">
        <f t="shared" si="91"/>
        <v/>
      </c>
      <c r="W185" s="173" t="str">
        <f t="shared" si="92"/>
        <v/>
      </c>
      <c r="X185" s="173" t="str">
        <f t="shared" si="93"/>
        <v/>
      </c>
      <c r="Y185" s="180" t="str">
        <f t="shared" si="94"/>
        <v/>
      </c>
      <c r="Z185" s="168"/>
      <c r="AA185" s="185" t="str">
        <f t="shared" si="95"/>
        <v/>
      </c>
      <c r="AB185" s="173" t="str">
        <f t="shared" si="96"/>
        <v/>
      </c>
      <c r="AC185" s="173" t="str">
        <f t="shared" si="97"/>
        <v/>
      </c>
      <c r="AD185" s="180" t="str">
        <f t="shared" si="98"/>
        <v/>
      </c>
      <c r="AE185" s="168"/>
      <c r="AF185" s="185" t="str">
        <f t="shared" si="99"/>
        <v/>
      </c>
      <c r="AG185" s="173" t="str">
        <f t="shared" si="100"/>
        <v/>
      </c>
      <c r="AH185" s="173" t="str">
        <f t="shared" si="101"/>
        <v/>
      </c>
      <c r="AI185" s="180" t="str">
        <f t="shared" si="102"/>
        <v/>
      </c>
      <c r="AJ185" s="168"/>
      <c r="AK185" s="185" t="str">
        <f t="shared" si="103"/>
        <v/>
      </c>
      <c r="AL185" s="173" t="str">
        <f t="shared" si="104"/>
        <v/>
      </c>
      <c r="AM185" s="173" t="str">
        <f t="shared" si="105"/>
        <v/>
      </c>
      <c r="AN185" s="180" t="str">
        <f t="shared" si="106"/>
        <v/>
      </c>
      <c r="AO185" s="168"/>
      <c r="AP185" s="255">
        <f t="shared" si="107"/>
        <v>45</v>
      </c>
      <c r="AQ185" s="245">
        <f t="shared" si="108"/>
        <v>96</v>
      </c>
      <c r="AR185" s="245">
        <f t="shared" si="109"/>
        <v>923</v>
      </c>
      <c r="AS185" s="246">
        <f t="shared" si="110"/>
        <v>18</v>
      </c>
      <c r="AT185" s="277"/>
      <c r="AU185" s="185" t="str">
        <f t="shared" si="111"/>
        <v/>
      </c>
      <c r="AV185" s="173" t="str">
        <f t="shared" si="112"/>
        <v/>
      </c>
      <c r="AW185" s="173" t="str">
        <f t="shared" si="113"/>
        <v/>
      </c>
      <c r="AX185" s="180" t="str">
        <f t="shared" si="114"/>
        <v/>
      </c>
      <c r="AY185" s="168"/>
      <c r="AZ185" s="185" t="str">
        <f t="shared" si="115"/>
        <v/>
      </c>
      <c r="BA185" s="173" t="str">
        <f t="shared" si="116"/>
        <v/>
      </c>
      <c r="BB185" s="173" t="str">
        <f t="shared" si="117"/>
        <v/>
      </c>
      <c r="BC185" s="180" t="str">
        <f t="shared" si="118"/>
        <v/>
      </c>
      <c r="BD185" s="168"/>
      <c r="BE185" s="185" t="str">
        <f t="shared" si="119"/>
        <v/>
      </c>
      <c r="BF185" s="173" t="str">
        <f t="shared" si="120"/>
        <v/>
      </c>
      <c r="BG185" s="173" t="str">
        <f t="shared" si="121"/>
        <v/>
      </c>
      <c r="BH185" s="180" t="str">
        <f t="shared" si="122"/>
        <v/>
      </c>
      <c r="BI185" s="277"/>
      <c r="BJ185" s="185" t="str">
        <f t="shared" si="123"/>
        <v/>
      </c>
      <c r="BK185" s="173" t="str">
        <f t="shared" si="124"/>
        <v/>
      </c>
      <c r="BL185" s="173" t="str">
        <f t="shared" si="125"/>
        <v/>
      </c>
      <c r="BM185" s="180" t="str">
        <f t="shared" si="126"/>
        <v/>
      </c>
      <c r="BN185" s="168"/>
      <c r="BO185" s="185" t="str">
        <f t="shared" si="127"/>
        <v/>
      </c>
      <c r="BP185" s="173" t="str">
        <f t="shared" si="128"/>
        <v/>
      </c>
      <c r="BQ185" s="173" t="str">
        <f t="shared" si="129"/>
        <v/>
      </c>
      <c r="BR185" s="180" t="str">
        <f t="shared" si="130"/>
        <v/>
      </c>
      <c r="BS185" s="168"/>
      <c r="BT185" s="185" t="str">
        <f t="shared" si="131"/>
        <v/>
      </c>
      <c r="BU185" s="173" t="str">
        <f t="shared" si="132"/>
        <v/>
      </c>
      <c r="BV185" s="173" t="str">
        <f t="shared" si="133"/>
        <v/>
      </c>
      <c r="BW185" s="180" t="str">
        <f t="shared" si="134"/>
        <v/>
      </c>
      <c r="BX185" s="288"/>
    </row>
    <row r="186" spans="1:76">
      <c r="A186" s="168"/>
      <c r="B186" s="185">
        <f t="shared" si="135"/>
        <v>45</v>
      </c>
      <c r="C186" s="173">
        <f t="shared" si="76"/>
        <v>10.5</v>
      </c>
      <c r="D186" s="173">
        <f t="shared" si="77"/>
        <v>484</v>
      </c>
      <c r="E186" s="180">
        <f t="shared" si="78"/>
        <v>18</v>
      </c>
      <c r="F186" s="168"/>
      <c r="G186" s="185">
        <f t="shared" si="79"/>
        <v>45</v>
      </c>
      <c r="H186" s="173">
        <f t="shared" si="80"/>
        <v>10.5</v>
      </c>
      <c r="I186" s="173">
        <f t="shared" si="81"/>
        <v>244</v>
      </c>
      <c r="J186" s="180">
        <f t="shared" si="82"/>
        <v>18</v>
      </c>
      <c r="K186" s="168"/>
      <c r="L186" s="185" t="str">
        <f t="shared" si="83"/>
        <v/>
      </c>
      <c r="M186" s="173" t="str">
        <f t="shared" si="84"/>
        <v/>
      </c>
      <c r="N186" s="173" t="str">
        <f t="shared" si="85"/>
        <v/>
      </c>
      <c r="O186" s="180" t="str">
        <f t="shared" si="86"/>
        <v/>
      </c>
      <c r="P186" s="168"/>
      <c r="Q186" s="185" t="str">
        <f t="shared" si="87"/>
        <v/>
      </c>
      <c r="R186" s="173" t="str">
        <f t="shared" si="88"/>
        <v/>
      </c>
      <c r="S186" s="173" t="str">
        <f t="shared" si="89"/>
        <v/>
      </c>
      <c r="T186" s="180" t="str">
        <f t="shared" si="90"/>
        <v/>
      </c>
      <c r="U186" s="168"/>
      <c r="V186" s="185" t="str">
        <f t="shared" si="91"/>
        <v/>
      </c>
      <c r="W186" s="173" t="str">
        <f t="shared" si="92"/>
        <v/>
      </c>
      <c r="X186" s="173" t="str">
        <f t="shared" si="93"/>
        <v/>
      </c>
      <c r="Y186" s="180" t="str">
        <f t="shared" si="94"/>
        <v/>
      </c>
      <c r="Z186" s="168"/>
      <c r="AA186" s="185" t="str">
        <f t="shared" si="95"/>
        <v/>
      </c>
      <c r="AB186" s="173" t="str">
        <f t="shared" si="96"/>
        <v/>
      </c>
      <c r="AC186" s="173" t="str">
        <f t="shared" si="97"/>
        <v/>
      </c>
      <c r="AD186" s="180" t="str">
        <f t="shared" si="98"/>
        <v/>
      </c>
      <c r="AE186" s="168"/>
      <c r="AF186" s="185" t="str">
        <f t="shared" si="99"/>
        <v/>
      </c>
      <c r="AG186" s="173" t="str">
        <f t="shared" si="100"/>
        <v/>
      </c>
      <c r="AH186" s="173" t="str">
        <f t="shared" si="101"/>
        <v/>
      </c>
      <c r="AI186" s="180" t="str">
        <f t="shared" si="102"/>
        <v/>
      </c>
      <c r="AJ186" s="168"/>
      <c r="AK186" s="185" t="str">
        <f t="shared" si="103"/>
        <v/>
      </c>
      <c r="AL186" s="173" t="str">
        <f t="shared" si="104"/>
        <v/>
      </c>
      <c r="AM186" s="173" t="str">
        <f t="shared" si="105"/>
        <v/>
      </c>
      <c r="AN186" s="180" t="str">
        <f t="shared" si="106"/>
        <v/>
      </c>
      <c r="AO186" s="168"/>
      <c r="AP186" s="255">
        <f t="shared" si="107"/>
        <v>45</v>
      </c>
      <c r="AQ186" s="245">
        <f t="shared" si="108"/>
        <v>54</v>
      </c>
      <c r="AR186" s="245">
        <f t="shared" si="109"/>
        <v>980</v>
      </c>
      <c r="AS186" s="246">
        <f t="shared" si="110"/>
        <v>18</v>
      </c>
      <c r="AT186" s="277"/>
      <c r="AU186" s="185" t="str">
        <f t="shared" si="111"/>
        <v/>
      </c>
      <c r="AV186" s="173" t="str">
        <f t="shared" si="112"/>
        <v/>
      </c>
      <c r="AW186" s="173" t="str">
        <f t="shared" si="113"/>
        <v/>
      </c>
      <c r="AX186" s="180" t="str">
        <f t="shared" si="114"/>
        <v/>
      </c>
      <c r="AY186" s="168"/>
      <c r="AZ186" s="185" t="str">
        <f t="shared" si="115"/>
        <v/>
      </c>
      <c r="BA186" s="173" t="str">
        <f t="shared" si="116"/>
        <v/>
      </c>
      <c r="BB186" s="173" t="str">
        <f t="shared" si="117"/>
        <v/>
      </c>
      <c r="BC186" s="180" t="str">
        <f t="shared" si="118"/>
        <v/>
      </c>
      <c r="BD186" s="168"/>
      <c r="BE186" s="185" t="str">
        <f t="shared" si="119"/>
        <v/>
      </c>
      <c r="BF186" s="173" t="str">
        <f t="shared" si="120"/>
        <v/>
      </c>
      <c r="BG186" s="173" t="str">
        <f t="shared" si="121"/>
        <v/>
      </c>
      <c r="BH186" s="180" t="str">
        <f t="shared" si="122"/>
        <v/>
      </c>
      <c r="BI186" s="277"/>
      <c r="BJ186" s="185" t="str">
        <f t="shared" si="123"/>
        <v/>
      </c>
      <c r="BK186" s="173" t="str">
        <f t="shared" si="124"/>
        <v/>
      </c>
      <c r="BL186" s="173" t="str">
        <f t="shared" si="125"/>
        <v/>
      </c>
      <c r="BM186" s="180" t="str">
        <f t="shared" si="126"/>
        <v/>
      </c>
      <c r="BN186" s="168"/>
      <c r="BO186" s="185" t="str">
        <f t="shared" si="127"/>
        <v/>
      </c>
      <c r="BP186" s="173" t="str">
        <f t="shared" si="128"/>
        <v/>
      </c>
      <c r="BQ186" s="173" t="str">
        <f t="shared" si="129"/>
        <v/>
      </c>
      <c r="BR186" s="180" t="str">
        <f t="shared" si="130"/>
        <v/>
      </c>
      <c r="BS186" s="168"/>
      <c r="BT186" s="185" t="str">
        <f t="shared" si="131"/>
        <v/>
      </c>
      <c r="BU186" s="173" t="str">
        <f t="shared" si="132"/>
        <v/>
      </c>
      <c r="BV186" s="173" t="str">
        <f t="shared" si="133"/>
        <v/>
      </c>
      <c r="BW186" s="180" t="str">
        <f t="shared" si="134"/>
        <v/>
      </c>
      <c r="BX186" s="288"/>
    </row>
    <row r="187" spans="1:76">
      <c r="A187" s="168"/>
      <c r="B187" s="185">
        <f t="shared" si="135"/>
        <v>45</v>
      </c>
      <c r="C187" s="173">
        <f>IF(C106="","",C$4-C106)</f>
        <v>10.5</v>
      </c>
      <c r="D187" s="173">
        <f>IF(D106="","",B$4-D106)</f>
        <v>427</v>
      </c>
      <c r="E187" s="180">
        <f>E106</f>
        <v>18</v>
      </c>
      <c r="F187" s="168"/>
      <c r="G187" s="185">
        <f t="shared" ref="G187:G200" si="136">IF(G106="","",G106)</f>
        <v>45</v>
      </c>
      <c r="H187" s="173">
        <f t="shared" ref="H187:H200" si="137">IF(H106="","",H$4-H106)</f>
        <v>10.5</v>
      </c>
      <c r="I187" s="173">
        <f>IF(I106="","",G$4-I106)</f>
        <v>187</v>
      </c>
      <c r="J187" s="180">
        <f t="shared" ref="J187:J200" si="138">J106</f>
        <v>18</v>
      </c>
      <c r="K187" s="168"/>
      <c r="L187" s="185" t="str">
        <f t="shared" ref="L187:L200" si="139">IF(L106="","",L106)</f>
        <v/>
      </c>
      <c r="M187" s="173" t="str">
        <f t="shared" ref="M187:M200" si="140">IF(M106="","",M$4-M106)</f>
        <v/>
      </c>
      <c r="N187" s="173" t="str">
        <f t="shared" ref="N187:N200" si="141">IF(N106="","",L$4-N106)</f>
        <v/>
      </c>
      <c r="O187" s="180" t="str">
        <f t="shared" ref="O187:O200" si="142">O106</f>
        <v/>
      </c>
      <c r="P187" s="168"/>
      <c r="Q187" s="185" t="str">
        <f t="shared" ref="Q187:Q200" si="143">IF(Q106="","",Q106)</f>
        <v/>
      </c>
      <c r="R187" s="173" t="str">
        <f t="shared" ref="R187:R200" si="144">IF(R106="","",R$4-R106)</f>
        <v/>
      </c>
      <c r="S187" s="173" t="str">
        <f t="shared" ref="S187:S200" si="145">IF(S106="","",Q$4-S106)</f>
        <v/>
      </c>
      <c r="T187" s="180" t="str">
        <f t="shared" ref="T187:T200" si="146">T106</f>
        <v/>
      </c>
      <c r="U187" s="168"/>
      <c r="V187" s="185" t="str">
        <f t="shared" ref="V187:V200" si="147">IF(V106="","",V106)</f>
        <v/>
      </c>
      <c r="W187" s="173" t="str">
        <f t="shared" ref="W187:W200" si="148">IF(W106="","",W$4-W106)</f>
        <v/>
      </c>
      <c r="X187" s="173" t="str">
        <f t="shared" ref="X187:X200" si="149">IF(X106="","",V$4-X106)</f>
        <v/>
      </c>
      <c r="Y187" s="180" t="str">
        <f t="shared" ref="Y187:Y200" si="150">Y106</f>
        <v/>
      </c>
      <c r="Z187" s="168"/>
      <c r="AA187" s="185" t="str">
        <f t="shared" ref="AA187:AA200" si="151">IF(AA106="","",AA106)</f>
        <v/>
      </c>
      <c r="AB187" s="173" t="str">
        <f t="shared" ref="AB187:AB200" si="152">IF(AB106="","",AB$4-AB106)</f>
        <v/>
      </c>
      <c r="AC187" s="173" t="str">
        <f t="shared" ref="AC187:AC200" si="153">IF(AC106="","",AA$4-AC106)</f>
        <v/>
      </c>
      <c r="AD187" s="180" t="str">
        <f t="shared" ref="AD187:AD200" si="154">AD106</f>
        <v/>
      </c>
      <c r="AE187" s="168"/>
      <c r="AF187" s="185" t="str">
        <f t="shared" ref="AF187:AF200" si="155">IF(AF106="","",AF106)</f>
        <v/>
      </c>
      <c r="AG187" s="173" t="str">
        <f t="shared" ref="AG187:AG200" si="156">IF(AG106="","",AG$4-AG106)</f>
        <v/>
      </c>
      <c r="AH187" s="173" t="str">
        <f t="shared" ref="AH187:AH200" si="157">IF(AH106="","",AF$4-AH106)</f>
        <v/>
      </c>
      <c r="AI187" s="180" t="str">
        <f t="shared" ref="AI187:AI200" si="158">AI106</f>
        <v/>
      </c>
      <c r="AJ187" s="168"/>
      <c r="AK187" s="185" t="str">
        <f t="shared" ref="AK187:AK200" si="159">IF(AK106="","",AK106)</f>
        <v/>
      </c>
      <c r="AL187" s="173" t="str">
        <f t="shared" ref="AL187:AL200" si="160">IF(AL106="","",AL$4-AL106)</f>
        <v/>
      </c>
      <c r="AM187" s="173" t="str">
        <f t="shared" ref="AM187:AM200" si="161">IF(AM106="","",AK$4-AM106)</f>
        <v/>
      </c>
      <c r="AN187" s="180" t="str">
        <f t="shared" ref="AN187:AN200" si="162">AN106</f>
        <v/>
      </c>
      <c r="AO187" s="168"/>
      <c r="AP187" s="255">
        <f t="shared" ref="AP187:AP200" si="163">IF(AP106="","",AP106)</f>
        <v>45</v>
      </c>
      <c r="AQ187" s="245">
        <f t="shared" ref="AQ187:AQ200" si="164">IF(AQ106="","",AQ$4-AQ106)</f>
        <v>54</v>
      </c>
      <c r="AR187" s="245">
        <f t="shared" ref="AR187:AR195" si="165">IF(AR106="","",AP$4-AR106)</f>
        <v>923</v>
      </c>
      <c r="AS187" s="246">
        <f t="shared" ref="AS187:AS200" si="166">AS106</f>
        <v>18</v>
      </c>
      <c r="AT187" s="277"/>
      <c r="AU187" s="185" t="str">
        <f t="shared" ref="AU187:AU200" si="167">IF(AU106="","",AU106)</f>
        <v/>
      </c>
      <c r="AV187" s="173" t="str">
        <f t="shared" ref="AV187:AV200" si="168">IF(AV106="","",AV$4-AV106)</f>
        <v/>
      </c>
      <c r="AW187" s="173" t="str">
        <f t="shared" ref="AW187:AW200" si="169">IF(AW106="","",AU$4-AW106)</f>
        <v/>
      </c>
      <c r="AX187" s="180" t="str">
        <f t="shared" ref="AX187:AX200" si="170">AX106</f>
        <v/>
      </c>
      <c r="AY187" s="168"/>
      <c r="AZ187" s="185" t="str">
        <f t="shared" ref="AZ187:AZ200" si="171">IF(AZ106="","",AZ106)</f>
        <v/>
      </c>
      <c r="BA187" s="173" t="str">
        <f t="shared" ref="BA187:BA200" si="172">IF(BA106="","",BA$4-BA106)</f>
        <v/>
      </c>
      <c r="BB187" s="173" t="str">
        <f t="shared" ref="BB187:BB200" si="173">IF(BB106="","",AZ$4-BB106)</f>
        <v/>
      </c>
      <c r="BC187" s="180" t="str">
        <f t="shared" ref="BC187:BC200" si="174">BC106</f>
        <v/>
      </c>
      <c r="BD187" s="168"/>
      <c r="BE187" s="185" t="str">
        <f t="shared" ref="BE187:BE200" si="175">IF(BE106="","",BE106)</f>
        <v/>
      </c>
      <c r="BF187" s="173" t="str">
        <f t="shared" ref="BF187:BF200" si="176">IF(BF106="","",BF$4-BF106)</f>
        <v/>
      </c>
      <c r="BG187" s="173" t="str">
        <f t="shared" ref="BG187:BG200" si="177">IF(BG106="","",BE$4-BG106)</f>
        <v/>
      </c>
      <c r="BH187" s="180" t="str">
        <f t="shared" ref="BH187:BH200" si="178">BH106</f>
        <v/>
      </c>
      <c r="BI187" s="277"/>
      <c r="BJ187" s="185" t="str">
        <f t="shared" ref="BJ187:BJ200" si="179">IF(BJ106="","",BJ106)</f>
        <v/>
      </c>
      <c r="BK187" s="173" t="str">
        <f t="shared" ref="BK187:BK200" si="180">IF(BK106="","",BK$4-BK106)</f>
        <v/>
      </c>
      <c r="BL187" s="173" t="str">
        <f t="shared" ref="BL187:BL200" si="181">IF(BL106="","",BJ$4-BL106)</f>
        <v/>
      </c>
      <c r="BM187" s="180" t="str">
        <f t="shared" ref="BM187:BM200" si="182">BM106</f>
        <v/>
      </c>
      <c r="BN187" s="168"/>
      <c r="BO187" s="185" t="str">
        <f t="shared" ref="BO187:BO200" si="183">IF(BO106="","",BO106)</f>
        <v/>
      </c>
      <c r="BP187" s="173" t="str">
        <f t="shared" ref="BP187:BP200" si="184">IF(BP106="","",BP$4-BP106)</f>
        <v/>
      </c>
      <c r="BQ187" s="173" t="str">
        <f t="shared" ref="BQ187:BQ200" si="185">IF(BQ106="","",BO$4-BQ106)</f>
        <v/>
      </c>
      <c r="BR187" s="180" t="str">
        <f t="shared" ref="BR187:BR200" si="186">BR106</f>
        <v/>
      </c>
      <c r="BS187" s="168"/>
      <c r="BT187" s="185" t="str">
        <f t="shared" ref="BT187:BT200" si="187">IF(BT106="","",BT106)</f>
        <v/>
      </c>
      <c r="BU187" s="173" t="str">
        <f t="shared" ref="BU187:BU200" si="188">IF(BU106="","",BU$4-BU106)</f>
        <v/>
      </c>
      <c r="BV187" s="173" t="str">
        <f t="shared" ref="BV187:BV200" si="189">IF(BV106="","",BT$4-BV106)</f>
        <v/>
      </c>
      <c r="BW187" s="180" t="str">
        <f t="shared" ref="BW187:BW200" si="190">BW106</f>
        <v/>
      </c>
      <c r="BX187" s="288"/>
    </row>
    <row r="188" spans="1:76">
      <c r="A188" s="168"/>
      <c r="B188" s="185">
        <f t="shared" ref="B188:B200" si="191">IF(B107="","",B107)</f>
        <v>45</v>
      </c>
      <c r="C188" s="173">
        <f>IF(C107="","",C$4-C107)</f>
        <v>10.5</v>
      </c>
      <c r="D188" s="173">
        <f>IF(D107="","",B$4-D107)</f>
        <v>370</v>
      </c>
      <c r="E188" s="180">
        <f>E107</f>
        <v>18</v>
      </c>
      <c r="F188" s="168"/>
      <c r="G188" s="185">
        <f t="shared" si="136"/>
        <v>45</v>
      </c>
      <c r="H188" s="173">
        <f t="shared" si="137"/>
        <v>10.5</v>
      </c>
      <c r="I188" s="173">
        <f>IF(I107="","",G$4-I107)</f>
        <v>130</v>
      </c>
      <c r="J188" s="180">
        <f t="shared" si="138"/>
        <v>18</v>
      </c>
      <c r="K188" s="168"/>
      <c r="L188" s="185" t="str">
        <f t="shared" si="139"/>
        <v/>
      </c>
      <c r="M188" s="173" t="str">
        <f t="shared" si="140"/>
        <v/>
      </c>
      <c r="N188" s="173" t="str">
        <f t="shared" si="141"/>
        <v/>
      </c>
      <c r="O188" s="180" t="str">
        <f t="shared" si="142"/>
        <v/>
      </c>
      <c r="P188" s="168"/>
      <c r="Q188" s="185" t="str">
        <f t="shared" si="143"/>
        <v/>
      </c>
      <c r="R188" s="173" t="str">
        <f t="shared" si="144"/>
        <v/>
      </c>
      <c r="S188" s="173" t="str">
        <f t="shared" si="145"/>
        <v/>
      </c>
      <c r="T188" s="180" t="str">
        <f t="shared" si="146"/>
        <v/>
      </c>
      <c r="U188" s="168"/>
      <c r="V188" s="185" t="str">
        <f t="shared" si="147"/>
        <v/>
      </c>
      <c r="W188" s="173" t="str">
        <f t="shared" si="148"/>
        <v/>
      </c>
      <c r="X188" s="173" t="str">
        <f t="shared" si="149"/>
        <v/>
      </c>
      <c r="Y188" s="180" t="str">
        <f t="shared" si="150"/>
        <v/>
      </c>
      <c r="Z188" s="168"/>
      <c r="AA188" s="185" t="str">
        <f t="shared" si="151"/>
        <v/>
      </c>
      <c r="AB188" s="173" t="str">
        <f t="shared" si="152"/>
        <v/>
      </c>
      <c r="AC188" s="173" t="str">
        <f t="shared" si="153"/>
        <v/>
      </c>
      <c r="AD188" s="180" t="str">
        <f t="shared" si="154"/>
        <v/>
      </c>
      <c r="AE188" s="168"/>
      <c r="AF188" s="185" t="str">
        <f t="shared" si="155"/>
        <v/>
      </c>
      <c r="AG188" s="173" t="str">
        <f t="shared" si="156"/>
        <v/>
      </c>
      <c r="AH188" s="173" t="str">
        <f t="shared" si="157"/>
        <v/>
      </c>
      <c r="AI188" s="180" t="str">
        <f t="shared" si="158"/>
        <v/>
      </c>
      <c r="AJ188" s="168"/>
      <c r="AK188" s="185" t="str">
        <f t="shared" si="159"/>
        <v/>
      </c>
      <c r="AL188" s="173" t="str">
        <f t="shared" si="160"/>
        <v/>
      </c>
      <c r="AM188" s="173" t="str">
        <f t="shared" si="161"/>
        <v/>
      </c>
      <c r="AN188" s="180" t="str">
        <f t="shared" si="162"/>
        <v/>
      </c>
      <c r="AO188" s="168"/>
      <c r="AP188" s="255">
        <f t="shared" si="163"/>
        <v>45</v>
      </c>
      <c r="AQ188" s="245">
        <f t="shared" si="164"/>
        <v>10</v>
      </c>
      <c r="AR188" s="245">
        <f t="shared" si="165"/>
        <v>980</v>
      </c>
      <c r="AS188" s="246">
        <f t="shared" si="166"/>
        <v>18</v>
      </c>
      <c r="AT188" s="277"/>
      <c r="AU188" s="185" t="str">
        <f t="shared" si="167"/>
        <v/>
      </c>
      <c r="AV188" s="173" t="str">
        <f t="shared" si="168"/>
        <v/>
      </c>
      <c r="AW188" s="173" t="str">
        <f t="shared" si="169"/>
        <v/>
      </c>
      <c r="AX188" s="180" t="str">
        <f t="shared" si="170"/>
        <v/>
      </c>
      <c r="AY188" s="168"/>
      <c r="AZ188" s="185" t="str">
        <f t="shared" si="171"/>
        <v/>
      </c>
      <c r="BA188" s="173" t="str">
        <f t="shared" si="172"/>
        <v/>
      </c>
      <c r="BB188" s="173" t="str">
        <f t="shared" si="173"/>
        <v/>
      </c>
      <c r="BC188" s="180" t="str">
        <f t="shared" si="174"/>
        <v/>
      </c>
      <c r="BD188" s="168"/>
      <c r="BE188" s="185" t="str">
        <f t="shared" si="175"/>
        <v/>
      </c>
      <c r="BF188" s="173" t="str">
        <f t="shared" si="176"/>
        <v/>
      </c>
      <c r="BG188" s="173" t="str">
        <f t="shared" si="177"/>
        <v/>
      </c>
      <c r="BH188" s="180" t="str">
        <f t="shared" si="178"/>
        <v/>
      </c>
      <c r="BI188" s="277"/>
      <c r="BJ188" s="185" t="str">
        <f t="shared" si="179"/>
        <v/>
      </c>
      <c r="BK188" s="173" t="str">
        <f t="shared" si="180"/>
        <v/>
      </c>
      <c r="BL188" s="173" t="str">
        <f t="shared" si="181"/>
        <v/>
      </c>
      <c r="BM188" s="180" t="str">
        <f t="shared" si="182"/>
        <v/>
      </c>
      <c r="BN188" s="168"/>
      <c r="BO188" s="185" t="str">
        <f t="shared" si="183"/>
        <v/>
      </c>
      <c r="BP188" s="173" t="str">
        <f t="shared" si="184"/>
        <v/>
      </c>
      <c r="BQ188" s="173" t="str">
        <f t="shared" si="185"/>
        <v/>
      </c>
      <c r="BR188" s="180" t="str">
        <f t="shared" si="186"/>
        <v/>
      </c>
      <c r="BS188" s="168"/>
      <c r="BT188" s="185" t="str">
        <f t="shared" si="187"/>
        <v/>
      </c>
      <c r="BU188" s="173" t="str">
        <f t="shared" si="188"/>
        <v/>
      </c>
      <c r="BV188" s="173" t="str">
        <f t="shared" si="189"/>
        <v/>
      </c>
      <c r="BW188" s="180" t="str">
        <f t="shared" si="190"/>
        <v/>
      </c>
      <c r="BX188" s="288"/>
    </row>
    <row r="189" spans="1:76">
      <c r="A189" s="168"/>
      <c r="B189" s="185">
        <f t="shared" si="191"/>
        <v>45</v>
      </c>
      <c r="C189" s="173">
        <f t="shared" ref="C189:C200" si="192">IF(C108="","",C$4-C108)</f>
        <v>10.5</v>
      </c>
      <c r="D189" s="173">
        <f t="shared" ref="D189:D200" si="193">IF(D108="","",B$4-D108)</f>
        <v>313</v>
      </c>
      <c r="E189" s="180">
        <f t="shared" ref="E189:E200" si="194">E108</f>
        <v>18</v>
      </c>
      <c r="F189" s="168"/>
      <c r="G189" s="185">
        <f t="shared" si="136"/>
        <v>45</v>
      </c>
      <c r="H189" s="173">
        <f t="shared" si="137"/>
        <v>10.5</v>
      </c>
      <c r="I189" s="173">
        <f t="shared" ref="I189:I200" si="195">IF(I108="","",G$4-I108)</f>
        <v>73</v>
      </c>
      <c r="J189" s="180">
        <f t="shared" si="138"/>
        <v>18</v>
      </c>
      <c r="K189" s="168"/>
      <c r="L189" s="185" t="str">
        <f t="shared" si="139"/>
        <v/>
      </c>
      <c r="M189" s="173" t="str">
        <f t="shared" si="140"/>
        <v/>
      </c>
      <c r="N189" s="173" t="str">
        <f t="shared" si="141"/>
        <v/>
      </c>
      <c r="O189" s="180" t="str">
        <f t="shared" si="142"/>
        <v/>
      </c>
      <c r="P189" s="168"/>
      <c r="Q189" s="185" t="str">
        <f t="shared" si="143"/>
        <v/>
      </c>
      <c r="R189" s="173" t="str">
        <f t="shared" si="144"/>
        <v/>
      </c>
      <c r="S189" s="173" t="str">
        <f t="shared" si="145"/>
        <v/>
      </c>
      <c r="T189" s="180" t="str">
        <f t="shared" si="146"/>
        <v/>
      </c>
      <c r="U189" s="168"/>
      <c r="V189" s="185" t="str">
        <f t="shared" si="147"/>
        <v/>
      </c>
      <c r="W189" s="173" t="str">
        <f t="shared" si="148"/>
        <v/>
      </c>
      <c r="X189" s="173" t="str">
        <f t="shared" si="149"/>
        <v/>
      </c>
      <c r="Y189" s="180" t="str">
        <f t="shared" si="150"/>
        <v/>
      </c>
      <c r="Z189" s="168"/>
      <c r="AA189" s="185" t="str">
        <f t="shared" si="151"/>
        <v/>
      </c>
      <c r="AB189" s="173" t="str">
        <f t="shared" si="152"/>
        <v/>
      </c>
      <c r="AC189" s="173" t="str">
        <f t="shared" si="153"/>
        <v/>
      </c>
      <c r="AD189" s="180" t="str">
        <f t="shared" si="154"/>
        <v/>
      </c>
      <c r="AE189" s="168"/>
      <c r="AF189" s="185" t="str">
        <f t="shared" si="155"/>
        <v/>
      </c>
      <c r="AG189" s="173" t="str">
        <f t="shared" si="156"/>
        <v/>
      </c>
      <c r="AH189" s="173" t="str">
        <f t="shared" si="157"/>
        <v/>
      </c>
      <c r="AI189" s="180" t="str">
        <f t="shared" si="158"/>
        <v/>
      </c>
      <c r="AJ189" s="168"/>
      <c r="AK189" s="185" t="str">
        <f t="shared" si="159"/>
        <v/>
      </c>
      <c r="AL189" s="173" t="str">
        <f t="shared" si="160"/>
        <v/>
      </c>
      <c r="AM189" s="173" t="str">
        <f t="shared" si="161"/>
        <v/>
      </c>
      <c r="AN189" s="180" t="str">
        <f t="shared" si="162"/>
        <v/>
      </c>
      <c r="AO189" s="168"/>
      <c r="AP189" s="256">
        <f t="shared" si="163"/>
        <v>45</v>
      </c>
      <c r="AQ189" s="248">
        <f t="shared" si="164"/>
        <v>10</v>
      </c>
      <c r="AR189" s="248">
        <f t="shared" si="165"/>
        <v>923</v>
      </c>
      <c r="AS189" s="249">
        <f t="shared" si="166"/>
        <v>18</v>
      </c>
      <c r="AT189" s="277"/>
      <c r="AU189" s="185" t="str">
        <f t="shared" si="167"/>
        <v/>
      </c>
      <c r="AV189" s="173" t="str">
        <f t="shared" si="168"/>
        <v/>
      </c>
      <c r="AW189" s="173" t="str">
        <f t="shared" si="169"/>
        <v/>
      </c>
      <c r="AX189" s="180" t="str">
        <f t="shared" si="170"/>
        <v/>
      </c>
      <c r="AY189" s="168"/>
      <c r="AZ189" s="185" t="str">
        <f t="shared" si="171"/>
        <v/>
      </c>
      <c r="BA189" s="173" t="str">
        <f t="shared" si="172"/>
        <v/>
      </c>
      <c r="BB189" s="173" t="str">
        <f t="shared" si="173"/>
        <v/>
      </c>
      <c r="BC189" s="180" t="str">
        <f t="shared" si="174"/>
        <v/>
      </c>
      <c r="BD189" s="168"/>
      <c r="BE189" s="185" t="str">
        <f t="shared" si="175"/>
        <v/>
      </c>
      <c r="BF189" s="173" t="str">
        <f t="shared" si="176"/>
        <v/>
      </c>
      <c r="BG189" s="173" t="str">
        <f t="shared" si="177"/>
        <v/>
      </c>
      <c r="BH189" s="180" t="str">
        <f t="shared" si="178"/>
        <v/>
      </c>
      <c r="BI189" s="277"/>
      <c r="BJ189" s="185" t="str">
        <f t="shared" si="179"/>
        <v/>
      </c>
      <c r="BK189" s="173" t="str">
        <f t="shared" si="180"/>
        <v/>
      </c>
      <c r="BL189" s="173" t="str">
        <f t="shared" si="181"/>
        <v/>
      </c>
      <c r="BM189" s="180" t="str">
        <f t="shared" si="182"/>
        <v/>
      </c>
      <c r="BN189" s="168"/>
      <c r="BO189" s="185" t="str">
        <f t="shared" si="183"/>
        <v/>
      </c>
      <c r="BP189" s="173" t="str">
        <f t="shared" si="184"/>
        <v/>
      </c>
      <c r="BQ189" s="173" t="str">
        <f t="shared" si="185"/>
        <v/>
      </c>
      <c r="BR189" s="180" t="str">
        <f t="shared" si="186"/>
        <v/>
      </c>
      <c r="BS189" s="168"/>
      <c r="BT189" s="185" t="str">
        <f t="shared" si="187"/>
        <v/>
      </c>
      <c r="BU189" s="173" t="str">
        <f t="shared" si="188"/>
        <v/>
      </c>
      <c r="BV189" s="173" t="str">
        <f t="shared" si="189"/>
        <v/>
      </c>
      <c r="BW189" s="180" t="str">
        <f t="shared" si="190"/>
        <v/>
      </c>
      <c r="BX189" s="288"/>
    </row>
    <row r="190" spans="1:76">
      <c r="A190" s="168"/>
      <c r="B190" s="185" t="str">
        <f t="shared" si="191"/>
        <v/>
      </c>
      <c r="C190" s="173" t="str">
        <f t="shared" si="192"/>
        <v/>
      </c>
      <c r="D190" s="173" t="str">
        <f t="shared" si="193"/>
        <v/>
      </c>
      <c r="E190" s="180" t="str">
        <f t="shared" si="194"/>
        <v/>
      </c>
      <c r="F190" s="168"/>
      <c r="G190" s="185" t="str">
        <f t="shared" si="136"/>
        <v/>
      </c>
      <c r="H190" s="173" t="str">
        <f t="shared" si="137"/>
        <v/>
      </c>
      <c r="I190" s="173" t="str">
        <f t="shared" si="195"/>
        <v/>
      </c>
      <c r="J190" s="180" t="str">
        <f t="shared" si="138"/>
        <v/>
      </c>
      <c r="K190" s="168"/>
      <c r="L190" s="185" t="str">
        <f t="shared" si="139"/>
        <v/>
      </c>
      <c r="M190" s="173" t="str">
        <f t="shared" si="140"/>
        <v/>
      </c>
      <c r="N190" s="173" t="str">
        <f t="shared" si="141"/>
        <v/>
      </c>
      <c r="O190" s="180" t="str">
        <f t="shared" si="142"/>
        <v/>
      </c>
      <c r="P190" s="168"/>
      <c r="Q190" s="185" t="str">
        <f t="shared" si="143"/>
        <v/>
      </c>
      <c r="R190" s="173" t="str">
        <f t="shared" si="144"/>
        <v/>
      </c>
      <c r="S190" s="173" t="str">
        <f t="shared" si="145"/>
        <v/>
      </c>
      <c r="T190" s="180" t="str">
        <f t="shared" si="146"/>
        <v/>
      </c>
      <c r="U190" s="168"/>
      <c r="V190" s="185" t="str">
        <f t="shared" si="147"/>
        <v/>
      </c>
      <c r="W190" s="173" t="str">
        <f t="shared" si="148"/>
        <v/>
      </c>
      <c r="X190" s="173" t="str">
        <f t="shared" si="149"/>
        <v/>
      </c>
      <c r="Y190" s="180" t="str">
        <f t="shared" si="150"/>
        <v/>
      </c>
      <c r="Z190" s="168"/>
      <c r="AA190" s="185" t="str">
        <f t="shared" si="151"/>
        <v/>
      </c>
      <c r="AB190" s="173" t="str">
        <f t="shared" si="152"/>
        <v/>
      </c>
      <c r="AC190" s="173" t="str">
        <f t="shared" si="153"/>
        <v/>
      </c>
      <c r="AD190" s="180" t="str">
        <f t="shared" si="154"/>
        <v/>
      </c>
      <c r="AE190" s="168"/>
      <c r="AF190" s="185" t="str">
        <f t="shared" si="155"/>
        <v/>
      </c>
      <c r="AG190" s="173" t="str">
        <f t="shared" si="156"/>
        <v/>
      </c>
      <c r="AH190" s="173" t="str">
        <f t="shared" si="157"/>
        <v/>
      </c>
      <c r="AI190" s="180" t="str">
        <f t="shared" si="158"/>
        <v/>
      </c>
      <c r="AJ190" s="168"/>
      <c r="AK190" s="185" t="str">
        <f t="shared" si="159"/>
        <v/>
      </c>
      <c r="AL190" s="173" t="str">
        <f t="shared" si="160"/>
        <v/>
      </c>
      <c r="AM190" s="173" t="str">
        <f t="shared" si="161"/>
        <v/>
      </c>
      <c r="AN190" s="180" t="str">
        <f t="shared" si="162"/>
        <v/>
      </c>
      <c r="AP190" s="255">
        <f t="shared" si="163"/>
        <v>90</v>
      </c>
      <c r="AQ190" s="245">
        <f t="shared" si="164"/>
        <v>118</v>
      </c>
      <c r="AR190" s="245">
        <f>IF(AR109="","",AR109)</f>
        <v>900</v>
      </c>
      <c r="AS190" s="246">
        <f t="shared" si="166"/>
        <v>14</v>
      </c>
      <c r="AT190" s="277"/>
      <c r="AU190" s="185" t="str">
        <f t="shared" si="167"/>
        <v/>
      </c>
      <c r="AV190" s="173" t="str">
        <f t="shared" si="168"/>
        <v/>
      </c>
      <c r="AW190" s="173" t="str">
        <f t="shared" si="169"/>
        <v/>
      </c>
      <c r="AX190" s="180" t="str">
        <f t="shared" si="170"/>
        <v/>
      </c>
      <c r="AY190" s="168"/>
      <c r="AZ190" s="185" t="str">
        <f t="shared" si="171"/>
        <v/>
      </c>
      <c r="BA190" s="173" t="str">
        <f t="shared" si="172"/>
        <v/>
      </c>
      <c r="BB190" s="173" t="str">
        <f t="shared" si="173"/>
        <v/>
      </c>
      <c r="BC190" s="180" t="str">
        <f t="shared" si="174"/>
        <v/>
      </c>
      <c r="BD190" s="168"/>
      <c r="BE190" s="185" t="str">
        <f t="shared" si="175"/>
        <v/>
      </c>
      <c r="BF190" s="173" t="str">
        <f t="shared" si="176"/>
        <v/>
      </c>
      <c r="BG190" s="173" t="str">
        <f t="shared" si="177"/>
        <v/>
      </c>
      <c r="BH190" s="180" t="str">
        <f t="shared" si="178"/>
        <v/>
      </c>
      <c r="BI190" s="277"/>
      <c r="BJ190" s="185" t="str">
        <f t="shared" si="179"/>
        <v/>
      </c>
      <c r="BK190" s="173" t="str">
        <f t="shared" si="180"/>
        <v/>
      </c>
      <c r="BL190" s="173" t="str">
        <f t="shared" si="181"/>
        <v/>
      </c>
      <c r="BM190" s="180" t="str">
        <f t="shared" si="182"/>
        <v/>
      </c>
      <c r="BN190" s="168"/>
      <c r="BO190" s="185" t="str">
        <f t="shared" si="183"/>
        <v/>
      </c>
      <c r="BP190" s="173" t="str">
        <f t="shared" si="184"/>
        <v/>
      </c>
      <c r="BQ190" s="173" t="str">
        <f t="shared" si="185"/>
        <v/>
      </c>
      <c r="BR190" s="180" t="str">
        <f t="shared" si="186"/>
        <v/>
      </c>
      <c r="BS190" s="168"/>
      <c r="BT190" s="185" t="str">
        <f t="shared" si="187"/>
        <v/>
      </c>
      <c r="BU190" s="173" t="str">
        <f t="shared" si="188"/>
        <v/>
      </c>
      <c r="BV190" s="173" t="str">
        <f t="shared" si="189"/>
        <v/>
      </c>
      <c r="BW190" s="180" t="str">
        <f t="shared" si="190"/>
        <v/>
      </c>
      <c r="BX190" s="288"/>
    </row>
    <row r="191" spans="1:76">
      <c r="A191" s="168"/>
      <c r="B191" s="185" t="str">
        <f t="shared" si="191"/>
        <v/>
      </c>
      <c r="C191" s="173" t="str">
        <f t="shared" si="192"/>
        <v/>
      </c>
      <c r="D191" s="173" t="str">
        <f t="shared" si="193"/>
        <v/>
      </c>
      <c r="E191" s="180" t="str">
        <f t="shared" si="194"/>
        <v/>
      </c>
      <c r="F191" s="168"/>
      <c r="G191" s="185" t="str">
        <f t="shared" si="136"/>
        <v/>
      </c>
      <c r="H191" s="173" t="str">
        <f t="shared" si="137"/>
        <v/>
      </c>
      <c r="I191" s="173" t="str">
        <f t="shared" si="195"/>
        <v/>
      </c>
      <c r="J191" s="180" t="str">
        <f t="shared" si="138"/>
        <v/>
      </c>
      <c r="K191" s="168"/>
      <c r="L191" s="185" t="str">
        <f t="shared" si="139"/>
        <v/>
      </c>
      <c r="M191" s="173" t="str">
        <f t="shared" si="140"/>
        <v/>
      </c>
      <c r="N191" s="173" t="str">
        <f t="shared" si="141"/>
        <v/>
      </c>
      <c r="O191" s="180" t="str">
        <f t="shared" si="142"/>
        <v/>
      </c>
      <c r="P191" s="168"/>
      <c r="Q191" s="185" t="str">
        <f t="shared" si="143"/>
        <v/>
      </c>
      <c r="R191" s="173" t="str">
        <f t="shared" si="144"/>
        <v/>
      </c>
      <c r="S191" s="173" t="str">
        <f t="shared" si="145"/>
        <v/>
      </c>
      <c r="T191" s="180" t="str">
        <f t="shared" si="146"/>
        <v/>
      </c>
      <c r="U191" s="168"/>
      <c r="V191" s="185" t="str">
        <f t="shared" si="147"/>
        <v/>
      </c>
      <c r="W191" s="173" t="str">
        <f t="shared" si="148"/>
        <v/>
      </c>
      <c r="X191" s="173" t="str">
        <f t="shared" si="149"/>
        <v/>
      </c>
      <c r="Y191" s="180" t="str">
        <f t="shared" si="150"/>
        <v/>
      </c>
      <c r="Z191" s="168"/>
      <c r="AA191" s="185" t="str">
        <f t="shared" si="151"/>
        <v/>
      </c>
      <c r="AB191" s="173" t="str">
        <f t="shared" si="152"/>
        <v/>
      </c>
      <c r="AC191" s="173" t="str">
        <f t="shared" si="153"/>
        <v/>
      </c>
      <c r="AD191" s="180" t="str">
        <f t="shared" si="154"/>
        <v/>
      </c>
      <c r="AE191" s="168"/>
      <c r="AF191" s="185" t="str">
        <f t="shared" si="155"/>
        <v/>
      </c>
      <c r="AG191" s="173" t="str">
        <f t="shared" si="156"/>
        <v/>
      </c>
      <c r="AH191" s="173" t="str">
        <f t="shared" si="157"/>
        <v/>
      </c>
      <c r="AI191" s="180" t="str">
        <f t="shared" si="158"/>
        <v/>
      </c>
      <c r="AJ191" s="168"/>
      <c r="AK191" s="185" t="str">
        <f t="shared" si="159"/>
        <v/>
      </c>
      <c r="AL191" s="173" t="str">
        <f t="shared" si="160"/>
        <v/>
      </c>
      <c r="AM191" s="173" t="str">
        <f t="shared" si="161"/>
        <v/>
      </c>
      <c r="AN191" s="180" t="str">
        <f t="shared" si="162"/>
        <v/>
      </c>
      <c r="AO191" s="168"/>
      <c r="AP191" s="255">
        <f t="shared" si="163"/>
        <v>90</v>
      </c>
      <c r="AQ191" s="245">
        <f t="shared" si="164"/>
        <v>75</v>
      </c>
      <c r="AR191" s="245">
        <f>IF(AR110="","",AR110)</f>
        <v>900</v>
      </c>
      <c r="AS191" s="246">
        <f t="shared" si="166"/>
        <v>14</v>
      </c>
      <c r="AT191" s="277"/>
      <c r="AU191" s="185" t="str">
        <f t="shared" si="167"/>
        <v/>
      </c>
      <c r="AV191" s="173" t="str">
        <f t="shared" si="168"/>
        <v/>
      </c>
      <c r="AW191" s="173" t="str">
        <f t="shared" si="169"/>
        <v/>
      </c>
      <c r="AX191" s="180" t="str">
        <f t="shared" si="170"/>
        <v/>
      </c>
      <c r="AY191" s="168"/>
      <c r="AZ191" s="185" t="str">
        <f t="shared" si="171"/>
        <v/>
      </c>
      <c r="BA191" s="173" t="str">
        <f t="shared" si="172"/>
        <v/>
      </c>
      <c r="BB191" s="173" t="str">
        <f t="shared" si="173"/>
        <v/>
      </c>
      <c r="BC191" s="180" t="str">
        <f t="shared" si="174"/>
        <v/>
      </c>
      <c r="BD191" s="168"/>
      <c r="BE191" s="185" t="str">
        <f t="shared" si="175"/>
        <v/>
      </c>
      <c r="BF191" s="173" t="str">
        <f t="shared" si="176"/>
        <v/>
      </c>
      <c r="BG191" s="173" t="str">
        <f t="shared" si="177"/>
        <v/>
      </c>
      <c r="BH191" s="180" t="str">
        <f t="shared" si="178"/>
        <v/>
      </c>
      <c r="BI191" s="277"/>
      <c r="BJ191" s="185" t="str">
        <f t="shared" si="179"/>
        <v/>
      </c>
      <c r="BK191" s="173" t="str">
        <f t="shared" si="180"/>
        <v/>
      </c>
      <c r="BL191" s="173" t="str">
        <f t="shared" si="181"/>
        <v/>
      </c>
      <c r="BM191" s="180" t="str">
        <f t="shared" si="182"/>
        <v/>
      </c>
      <c r="BN191" s="168"/>
      <c r="BO191" s="185" t="str">
        <f t="shared" si="183"/>
        <v/>
      </c>
      <c r="BP191" s="173" t="str">
        <f t="shared" si="184"/>
        <v/>
      </c>
      <c r="BQ191" s="173" t="str">
        <f t="shared" si="185"/>
        <v/>
      </c>
      <c r="BR191" s="180" t="str">
        <f t="shared" si="186"/>
        <v/>
      </c>
      <c r="BS191" s="168"/>
      <c r="BT191" s="185" t="str">
        <f t="shared" si="187"/>
        <v/>
      </c>
      <c r="BU191" s="173" t="str">
        <f t="shared" si="188"/>
        <v/>
      </c>
      <c r="BV191" s="173" t="str">
        <f t="shared" si="189"/>
        <v/>
      </c>
      <c r="BW191" s="180" t="str">
        <f t="shared" si="190"/>
        <v/>
      </c>
      <c r="BX191" s="288"/>
    </row>
    <row r="192" spans="1:76">
      <c r="A192" s="168"/>
      <c r="B192" s="185" t="str">
        <f t="shared" si="191"/>
        <v/>
      </c>
      <c r="C192" s="173" t="str">
        <f t="shared" si="192"/>
        <v/>
      </c>
      <c r="D192" s="173" t="str">
        <f t="shared" si="193"/>
        <v/>
      </c>
      <c r="E192" s="180" t="str">
        <f t="shared" si="194"/>
        <v/>
      </c>
      <c r="F192" s="168"/>
      <c r="G192" s="185" t="str">
        <f t="shared" si="136"/>
        <v/>
      </c>
      <c r="H192" s="173" t="str">
        <f t="shared" si="137"/>
        <v/>
      </c>
      <c r="I192" s="173" t="str">
        <f t="shared" si="195"/>
        <v/>
      </c>
      <c r="J192" s="180" t="str">
        <f t="shared" si="138"/>
        <v/>
      </c>
      <c r="K192" s="168"/>
      <c r="L192" s="185" t="str">
        <f t="shared" si="139"/>
        <v/>
      </c>
      <c r="M192" s="173" t="str">
        <f t="shared" si="140"/>
        <v/>
      </c>
      <c r="N192" s="173" t="str">
        <f t="shared" si="141"/>
        <v/>
      </c>
      <c r="O192" s="180" t="str">
        <f t="shared" si="142"/>
        <v/>
      </c>
      <c r="P192" s="168"/>
      <c r="Q192" s="185" t="str">
        <f t="shared" si="143"/>
        <v/>
      </c>
      <c r="R192" s="173" t="str">
        <f t="shared" si="144"/>
        <v/>
      </c>
      <c r="S192" s="173" t="str">
        <f t="shared" si="145"/>
        <v/>
      </c>
      <c r="T192" s="180" t="str">
        <f t="shared" si="146"/>
        <v/>
      </c>
      <c r="U192" s="168"/>
      <c r="V192" s="185" t="str">
        <f t="shared" si="147"/>
        <v/>
      </c>
      <c r="W192" s="173" t="str">
        <f t="shared" si="148"/>
        <v/>
      </c>
      <c r="X192" s="173" t="str">
        <f t="shared" si="149"/>
        <v/>
      </c>
      <c r="Y192" s="180" t="str">
        <f t="shared" si="150"/>
        <v/>
      </c>
      <c r="Z192" s="168"/>
      <c r="AA192" s="185" t="str">
        <f t="shared" si="151"/>
        <v/>
      </c>
      <c r="AB192" s="173" t="str">
        <f t="shared" si="152"/>
        <v/>
      </c>
      <c r="AC192" s="173" t="str">
        <f t="shared" si="153"/>
        <v/>
      </c>
      <c r="AD192" s="180" t="str">
        <f t="shared" si="154"/>
        <v/>
      </c>
      <c r="AE192" s="168"/>
      <c r="AF192" s="185" t="str">
        <f t="shared" si="155"/>
        <v/>
      </c>
      <c r="AG192" s="173" t="str">
        <f t="shared" si="156"/>
        <v/>
      </c>
      <c r="AH192" s="173" t="str">
        <f t="shared" si="157"/>
        <v/>
      </c>
      <c r="AI192" s="180" t="str">
        <f t="shared" si="158"/>
        <v/>
      </c>
      <c r="AJ192" s="168"/>
      <c r="AK192" s="185" t="str">
        <f t="shared" si="159"/>
        <v/>
      </c>
      <c r="AL192" s="173" t="str">
        <f t="shared" si="160"/>
        <v/>
      </c>
      <c r="AM192" s="173" t="str">
        <f t="shared" si="161"/>
        <v/>
      </c>
      <c r="AN192" s="180" t="str">
        <f t="shared" si="162"/>
        <v/>
      </c>
      <c r="AO192" s="168"/>
      <c r="AP192" s="255">
        <f t="shared" si="163"/>
        <v>90</v>
      </c>
      <c r="AQ192" s="245">
        <f t="shared" si="164"/>
        <v>32</v>
      </c>
      <c r="AR192" s="245">
        <f>IF(AR111="","",AR111)</f>
        <v>900</v>
      </c>
      <c r="AS192" s="246">
        <f t="shared" si="166"/>
        <v>14</v>
      </c>
      <c r="AT192" s="277"/>
      <c r="AU192" s="185" t="str">
        <f t="shared" si="167"/>
        <v/>
      </c>
      <c r="AV192" s="173" t="str">
        <f t="shared" si="168"/>
        <v/>
      </c>
      <c r="AW192" s="173" t="str">
        <f t="shared" si="169"/>
        <v/>
      </c>
      <c r="AX192" s="180" t="str">
        <f t="shared" si="170"/>
        <v/>
      </c>
      <c r="AY192" s="168"/>
      <c r="AZ192" s="185" t="str">
        <f t="shared" si="171"/>
        <v/>
      </c>
      <c r="BA192" s="173" t="str">
        <f t="shared" si="172"/>
        <v/>
      </c>
      <c r="BB192" s="173" t="str">
        <f t="shared" si="173"/>
        <v/>
      </c>
      <c r="BC192" s="180" t="str">
        <f t="shared" si="174"/>
        <v/>
      </c>
      <c r="BD192" s="168"/>
      <c r="BE192" s="185" t="str">
        <f t="shared" si="175"/>
        <v/>
      </c>
      <c r="BF192" s="173" t="str">
        <f t="shared" si="176"/>
        <v/>
      </c>
      <c r="BG192" s="173" t="str">
        <f t="shared" si="177"/>
        <v/>
      </c>
      <c r="BH192" s="180" t="str">
        <f t="shared" si="178"/>
        <v/>
      </c>
      <c r="BI192" s="277"/>
      <c r="BJ192" s="185" t="str">
        <f t="shared" si="179"/>
        <v/>
      </c>
      <c r="BK192" s="173" t="str">
        <f t="shared" si="180"/>
        <v/>
      </c>
      <c r="BL192" s="173" t="str">
        <f t="shared" si="181"/>
        <v/>
      </c>
      <c r="BM192" s="180" t="str">
        <f t="shared" si="182"/>
        <v/>
      </c>
      <c r="BN192" s="168"/>
      <c r="BO192" s="185" t="str">
        <f t="shared" si="183"/>
        <v/>
      </c>
      <c r="BP192" s="173" t="str">
        <f t="shared" si="184"/>
        <v/>
      </c>
      <c r="BQ192" s="173" t="str">
        <f t="shared" si="185"/>
        <v/>
      </c>
      <c r="BR192" s="180" t="str">
        <f t="shared" si="186"/>
        <v/>
      </c>
      <c r="BS192" s="168"/>
      <c r="BT192" s="185" t="str">
        <f t="shared" si="187"/>
        <v/>
      </c>
      <c r="BU192" s="173" t="str">
        <f t="shared" si="188"/>
        <v/>
      </c>
      <c r="BV192" s="173" t="str">
        <f t="shared" si="189"/>
        <v/>
      </c>
      <c r="BW192" s="180" t="str">
        <f t="shared" si="190"/>
        <v/>
      </c>
      <c r="BX192" s="288"/>
    </row>
    <row r="193" spans="1:91">
      <c r="A193" s="168"/>
      <c r="B193" s="185" t="str">
        <f t="shared" si="191"/>
        <v/>
      </c>
      <c r="C193" s="173" t="str">
        <f t="shared" si="192"/>
        <v/>
      </c>
      <c r="D193" s="173" t="str">
        <f t="shared" si="193"/>
        <v/>
      </c>
      <c r="E193" s="180" t="str">
        <f t="shared" si="194"/>
        <v/>
      </c>
      <c r="F193" s="168"/>
      <c r="G193" s="185" t="str">
        <f t="shared" si="136"/>
        <v/>
      </c>
      <c r="H193" s="173" t="str">
        <f t="shared" si="137"/>
        <v/>
      </c>
      <c r="I193" s="173" t="str">
        <f t="shared" si="195"/>
        <v/>
      </c>
      <c r="J193" s="180" t="str">
        <f t="shared" si="138"/>
        <v/>
      </c>
      <c r="K193" s="168"/>
      <c r="L193" s="185" t="str">
        <f t="shared" si="139"/>
        <v/>
      </c>
      <c r="M193" s="173" t="str">
        <f t="shared" si="140"/>
        <v/>
      </c>
      <c r="N193" s="173" t="str">
        <f t="shared" si="141"/>
        <v/>
      </c>
      <c r="O193" s="180" t="str">
        <f t="shared" si="142"/>
        <v/>
      </c>
      <c r="P193" s="168"/>
      <c r="Q193" s="185" t="str">
        <f t="shared" si="143"/>
        <v/>
      </c>
      <c r="R193" s="173" t="str">
        <f t="shared" si="144"/>
        <v/>
      </c>
      <c r="S193" s="173" t="str">
        <f t="shared" si="145"/>
        <v/>
      </c>
      <c r="T193" s="180" t="str">
        <f t="shared" si="146"/>
        <v/>
      </c>
      <c r="U193" s="168"/>
      <c r="V193" s="185" t="str">
        <f t="shared" si="147"/>
        <v/>
      </c>
      <c r="W193" s="173" t="str">
        <f t="shared" si="148"/>
        <v/>
      </c>
      <c r="X193" s="173" t="str">
        <f t="shared" si="149"/>
        <v/>
      </c>
      <c r="Y193" s="180" t="str">
        <f t="shared" si="150"/>
        <v/>
      </c>
      <c r="Z193" s="168"/>
      <c r="AA193" s="185" t="str">
        <f t="shared" si="151"/>
        <v/>
      </c>
      <c r="AB193" s="173" t="str">
        <f t="shared" si="152"/>
        <v/>
      </c>
      <c r="AC193" s="173" t="str">
        <f t="shared" si="153"/>
        <v/>
      </c>
      <c r="AD193" s="180" t="str">
        <f t="shared" si="154"/>
        <v/>
      </c>
      <c r="AE193" s="168"/>
      <c r="AF193" s="185" t="str">
        <f t="shared" si="155"/>
        <v/>
      </c>
      <c r="AG193" s="173" t="str">
        <f t="shared" si="156"/>
        <v/>
      </c>
      <c r="AH193" s="173" t="str">
        <f t="shared" si="157"/>
        <v/>
      </c>
      <c r="AI193" s="180" t="str">
        <f t="shared" si="158"/>
        <v/>
      </c>
      <c r="AJ193" s="168"/>
      <c r="AK193" s="185" t="str">
        <f t="shared" si="159"/>
        <v/>
      </c>
      <c r="AL193" s="173" t="str">
        <f t="shared" si="160"/>
        <v/>
      </c>
      <c r="AM193" s="173" t="str">
        <f t="shared" si="161"/>
        <v/>
      </c>
      <c r="AN193" s="180" t="str">
        <f t="shared" si="162"/>
        <v/>
      </c>
      <c r="AO193" s="168" t="s">
        <v>220</v>
      </c>
      <c r="AP193" s="254">
        <f t="shared" si="163"/>
        <v>45</v>
      </c>
      <c r="AQ193" s="242">
        <f t="shared" si="164"/>
        <v>140</v>
      </c>
      <c r="AR193" s="242">
        <f t="shared" si="165"/>
        <v>50</v>
      </c>
      <c r="AS193" s="243">
        <f t="shared" si="166"/>
        <v>18</v>
      </c>
      <c r="AT193" s="277"/>
      <c r="AU193" s="185" t="str">
        <f t="shared" si="167"/>
        <v/>
      </c>
      <c r="AV193" s="173" t="str">
        <f t="shared" si="168"/>
        <v/>
      </c>
      <c r="AW193" s="173" t="str">
        <f t="shared" si="169"/>
        <v/>
      </c>
      <c r="AX193" s="180" t="str">
        <f t="shared" si="170"/>
        <v/>
      </c>
      <c r="AY193" s="168"/>
      <c r="AZ193" s="185" t="str">
        <f t="shared" si="171"/>
        <v/>
      </c>
      <c r="BA193" s="173" t="str">
        <f t="shared" si="172"/>
        <v/>
      </c>
      <c r="BB193" s="173" t="str">
        <f t="shared" si="173"/>
        <v/>
      </c>
      <c r="BC193" s="180" t="str">
        <f t="shared" si="174"/>
        <v/>
      </c>
      <c r="BD193" s="168"/>
      <c r="BE193" s="185" t="str">
        <f t="shared" si="175"/>
        <v/>
      </c>
      <c r="BF193" s="173" t="str">
        <f t="shared" si="176"/>
        <v/>
      </c>
      <c r="BG193" s="173" t="str">
        <f t="shared" si="177"/>
        <v/>
      </c>
      <c r="BH193" s="180" t="str">
        <f t="shared" si="178"/>
        <v/>
      </c>
      <c r="BI193" s="277"/>
      <c r="BJ193" s="185" t="str">
        <f t="shared" si="179"/>
        <v/>
      </c>
      <c r="BK193" s="173" t="str">
        <f t="shared" si="180"/>
        <v/>
      </c>
      <c r="BL193" s="173" t="str">
        <f t="shared" si="181"/>
        <v/>
      </c>
      <c r="BM193" s="180" t="str">
        <f t="shared" si="182"/>
        <v/>
      </c>
      <c r="BN193" s="168"/>
      <c r="BO193" s="185" t="str">
        <f t="shared" si="183"/>
        <v/>
      </c>
      <c r="BP193" s="173" t="str">
        <f t="shared" si="184"/>
        <v/>
      </c>
      <c r="BQ193" s="173" t="str">
        <f t="shared" si="185"/>
        <v/>
      </c>
      <c r="BR193" s="180" t="str">
        <f t="shared" si="186"/>
        <v/>
      </c>
      <c r="BS193" s="168"/>
      <c r="BT193" s="185" t="str">
        <f t="shared" si="187"/>
        <v/>
      </c>
      <c r="BU193" s="173" t="str">
        <f t="shared" si="188"/>
        <v/>
      </c>
      <c r="BV193" s="173" t="str">
        <f t="shared" si="189"/>
        <v/>
      </c>
      <c r="BW193" s="180" t="str">
        <f t="shared" si="190"/>
        <v/>
      </c>
      <c r="BX193" s="288"/>
    </row>
    <row r="194" spans="1:91">
      <c r="A194" s="168"/>
      <c r="B194" s="185" t="str">
        <f t="shared" si="191"/>
        <v/>
      </c>
      <c r="C194" s="173" t="str">
        <f t="shared" si="192"/>
        <v/>
      </c>
      <c r="D194" s="173" t="str">
        <f t="shared" si="193"/>
        <v/>
      </c>
      <c r="E194" s="180" t="str">
        <f t="shared" si="194"/>
        <v/>
      </c>
      <c r="F194" s="168"/>
      <c r="G194" s="185" t="str">
        <f t="shared" si="136"/>
        <v/>
      </c>
      <c r="H194" s="173" t="str">
        <f t="shared" si="137"/>
        <v/>
      </c>
      <c r="I194" s="173" t="str">
        <f t="shared" si="195"/>
        <v/>
      </c>
      <c r="J194" s="180" t="str">
        <f t="shared" si="138"/>
        <v/>
      </c>
      <c r="K194" s="168"/>
      <c r="L194" s="185" t="str">
        <f t="shared" si="139"/>
        <v/>
      </c>
      <c r="M194" s="173" t="str">
        <f t="shared" si="140"/>
        <v/>
      </c>
      <c r="N194" s="173" t="str">
        <f t="shared" si="141"/>
        <v/>
      </c>
      <c r="O194" s="180" t="str">
        <f t="shared" si="142"/>
        <v/>
      </c>
      <c r="P194" s="168"/>
      <c r="Q194" s="185" t="str">
        <f t="shared" si="143"/>
        <v/>
      </c>
      <c r="R194" s="173" t="str">
        <f t="shared" si="144"/>
        <v/>
      </c>
      <c r="S194" s="173" t="str">
        <f t="shared" si="145"/>
        <v/>
      </c>
      <c r="T194" s="180" t="str">
        <f t="shared" si="146"/>
        <v/>
      </c>
      <c r="U194" s="168"/>
      <c r="V194" s="185" t="str">
        <f t="shared" si="147"/>
        <v/>
      </c>
      <c r="W194" s="173" t="str">
        <f t="shared" si="148"/>
        <v/>
      </c>
      <c r="X194" s="173" t="str">
        <f t="shared" si="149"/>
        <v/>
      </c>
      <c r="Y194" s="180" t="str">
        <f t="shared" si="150"/>
        <v/>
      </c>
      <c r="Z194" s="168"/>
      <c r="AA194" s="185" t="str">
        <f t="shared" si="151"/>
        <v/>
      </c>
      <c r="AB194" s="173" t="str">
        <f t="shared" si="152"/>
        <v/>
      </c>
      <c r="AC194" s="173" t="str">
        <f t="shared" si="153"/>
        <v/>
      </c>
      <c r="AD194" s="180" t="str">
        <f t="shared" si="154"/>
        <v/>
      </c>
      <c r="AE194" s="168"/>
      <c r="AF194" s="185" t="str">
        <f t="shared" si="155"/>
        <v/>
      </c>
      <c r="AG194" s="173" t="str">
        <f t="shared" si="156"/>
        <v/>
      </c>
      <c r="AH194" s="173" t="str">
        <f t="shared" si="157"/>
        <v/>
      </c>
      <c r="AI194" s="180" t="str">
        <f t="shared" si="158"/>
        <v/>
      </c>
      <c r="AJ194" s="168"/>
      <c r="AK194" s="185" t="str">
        <f t="shared" si="159"/>
        <v/>
      </c>
      <c r="AL194" s="173" t="str">
        <f t="shared" si="160"/>
        <v/>
      </c>
      <c r="AM194" s="173" t="str">
        <f t="shared" si="161"/>
        <v/>
      </c>
      <c r="AN194" s="180" t="str">
        <f t="shared" si="162"/>
        <v/>
      </c>
      <c r="AO194" s="168"/>
      <c r="AP194" s="255">
        <f t="shared" si="163"/>
        <v>45</v>
      </c>
      <c r="AQ194" s="245">
        <f t="shared" si="164"/>
        <v>140</v>
      </c>
      <c r="AR194" s="245">
        <f t="shared" si="165"/>
        <v>107</v>
      </c>
      <c r="AS194" s="246">
        <f t="shared" si="166"/>
        <v>18</v>
      </c>
      <c r="AT194" s="277"/>
      <c r="AU194" s="185" t="str">
        <f t="shared" si="167"/>
        <v/>
      </c>
      <c r="AV194" s="173" t="str">
        <f t="shared" si="168"/>
        <v/>
      </c>
      <c r="AW194" s="173" t="str">
        <f t="shared" si="169"/>
        <v/>
      </c>
      <c r="AX194" s="180" t="str">
        <f t="shared" si="170"/>
        <v/>
      </c>
      <c r="AY194" s="168"/>
      <c r="AZ194" s="185" t="str">
        <f t="shared" si="171"/>
        <v/>
      </c>
      <c r="BA194" s="173" t="str">
        <f t="shared" si="172"/>
        <v/>
      </c>
      <c r="BB194" s="173" t="str">
        <f t="shared" si="173"/>
        <v/>
      </c>
      <c r="BC194" s="180" t="str">
        <f t="shared" si="174"/>
        <v/>
      </c>
      <c r="BD194" s="168"/>
      <c r="BE194" s="185" t="str">
        <f t="shared" si="175"/>
        <v/>
      </c>
      <c r="BF194" s="173" t="str">
        <f t="shared" si="176"/>
        <v/>
      </c>
      <c r="BG194" s="173" t="str">
        <f t="shared" si="177"/>
        <v/>
      </c>
      <c r="BH194" s="180" t="str">
        <f t="shared" si="178"/>
        <v/>
      </c>
      <c r="BI194" s="277"/>
      <c r="BJ194" s="185" t="str">
        <f t="shared" si="179"/>
        <v/>
      </c>
      <c r="BK194" s="173" t="str">
        <f t="shared" si="180"/>
        <v/>
      </c>
      <c r="BL194" s="173" t="str">
        <f t="shared" si="181"/>
        <v/>
      </c>
      <c r="BM194" s="180" t="str">
        <f t="shared" si="182"/>
        <v/>
      </c>
      <c r="BN194" s="168"/>
      <c r="BO194" s="185" t="str">
        <f t="shared" si="183"/>
        <v/>
      </c>
      <c r="BP194" s="173" t="str">
        <f t="shared" si="184"/>
        <v/>
      </c>
      <c r="BQ194" s="173" t="str">
        <f t="shared" si="185"/>
        <v/>
      </c>
      <c r="BR194" s="180" t="str">
        <f t="shared" si="186"/>
        <v/>
      </c>
      <c r="BS194" s="168"/>
      <c r="BT194" s="185" t="str">
        <f t="shared" si="187"/>
        <v/>
      </c>
      <c r="BU194" s="173" t="str">
        <f t="shared" si="188"/>
        <v/>
      </c>
      <c r="BV194" s="173" t="str">
        <f t="shared" si="189"/>
        <v/>
      </c>
      <c r="BW194" s="180" t="str">
        <f t="shared" si="190"/>
        <v/>
      </c>
      <c r="BX194" s="288"/>
    </row>
    <row r="195" spans="1:91">
      <c r="A195" s="168"/>
      <c r="B195" s="185" t="str">
        <f t="shared" si="191"/>
        <v/>
      </c>
      <c r="C195" s="173" t="str">
        <f t="shared" si="192"/>
        <v/>
      </c>
      <c r="D195" s="173" t="str">
        <f t="shared" si="193"/>
        <v/>
      </c>
      <c r="E195" s="180" t="str">
        <f t="shared" si="194"/>
        <v/>
      </c>
      <c r="F195" s="168"/>
      <c r="G195" s="185" t="str">
        <f t="shared" si="136"/>
        <v/>
      </c>
      <c r="H195" s="173" t="str">
        <f t="shared" si="137"/>
        <v/>
      </c>
      <c r="I195" s="173" t="str">
        <f t="shared" si="195"/>
        <v/>
      </c>
      <c r="J195" s="180" t="str">
        <f t="shared" si="138"/>
        <v/>
      </c>
      <c r="K195" s="168"/>
      <c r="L195" s="185" t="str">
        <f t="shared" si="139"/>
        <v/>
      </c>
      <c r="M195" s="173" t="str">
        <f t="shared" si="140"/>
        <v/>
      </c>
      <c r="N195" s="173" t="str">
        <f t="shared" si="141"/>
        <v/>
      </c>
      <c r="O195" s="180" t="str">
        <f t="shared" si="142"/>
        <v/>
      </c>
      <c r="P195" s="168"/>
      <c r="Q195" s="185" t="str">
        <f t="shared" si="143"/>
        <v/>
      </c>
      <c r="R195" s="173" t="str">
        <f t="shared" si="144"/>
        <v/>
      </c>
      <c r="S195" s="173" t="str">
        <f t="shared" si="145"/>
        <v/>
      </c>
      <c r="T195" s="180" t="str">
        <f t="shared" si="146"/>
        <v/>
      </c>
      <c r="U195" s="168"/>
      <c r="V195" s="185" t="str">
        <f t="shared" si="147"/>
        <v/>
      </c>
      <c r="W195" s="173" t="str">
        <f t="shared" si="148"/>
        <v/>
      </c>
      <c r="X195" s="173" t="str">
        <f t="shared" si="149"/>
        <v/>
      </c>
      <c r="Y195" s="180" t="str">
        <f t="shared" si="150"/>
        <v/>
      </c>
      <c r="Z195" s="168"/>
      <c r="AA195" s="185" t="str">
        <f t="shared" si="151"/>
        <v/>
      </c>
      <c r="AB195" s="173" t="str">
        <f t="shared" si="152"/>
        <v/>
      </c>
      <c r="AC195" s="173" t="str">
        <f t="shared" si="153"/>
        <v/>
      </c>
      <c r="AD195" s="180" t="str">
        <f t="shared" si="154"/>
        <v/>
      </c>
      <c r="AE195" s="168"/>
      <c r="AF195" s="185" t="str">
        <f t="shared" si="155"/>
        <v/>
      </c>
      <c r="AG195" s="173" t="str">
        <f t="shared" si="156"/>
        <v/>
      </c>
      <c r="AH195" s="173" t="str">
        <f t="shared" si="157"/>
        <v/>
      </c>
      <c r="AI195" s="180" t="str">
        <f t="shared" si="158"/>
        <v/>
      </c>
      <c r="AJ195" s="168"/>
      <c r="AK195" s="185" t="str">
        <f t="shared" si="159"/>
        <v/>
      </c>
      <c r="AL195" s="173" t="str">
        <f t="shared" si="160"/>
        <v/>
      </c>
      <c r="AM195" s="173" t="str">
        <f t="shared" si="161"/>
        <v/>
      </c>
      <c r="AN195" s="180" t="str">
        <f t="shared" si="162"/>
        <v/>
      </c>
      <c r="AO195" s="168"/>
      <c r="AP195" s="255">
        <f t="shared" si="163"/>
        <v>45</v>
      </c>
      <c r="AQ195" s="245">
        <f t="shared" si="164"/>
        <v>96</v>
      </c>
      <c r="AR195" s="245">
        <f t="shared" si="165"/>
        <v>50</v>
      </c>
      <c r="AS195" s="246">
        <f t="shared" si="166"/>
        <v>18</v>
      </c>
      <c r="AT195" s="277"/>
      <c r="AU195" s="185" t="str">
        <f t="shared" si="167"/>
        <v/>
      </c>
      <c r="AV195" s="173" t="str">
        <f t="shared" si="168"/>
        <v/>
      </c>
      <c r="AW195" s="173" t="str">
        <f t="shared" si="169"/>
        <v/>
      </c>
      <c r="AX195" s="180" t="str">
        <f t="shared" si="170"/>
        <v/>
      </c>
      <c r="AY195" s="168"/>
      <c r="AZ195" s="185" t="str">
        <f t="shared" si="171"/>
        <v/>
      </c>
      <c r="BA195" s="173" t="str">
        <f t="shared" si="172"/>
        <v/>
      </c>
      <c r="BB195" s="173" t="str">
        <f t="shared" si="173"/>
        <v/>
      </c>
      <c r="BC195" s="180" t="str">
        <f t="shared" si="174"/>
        <v/>
      </c>
      <c r="BD195" s="168"/>
      <c r="BE195" s="185" t="str">
        <f t="shared" si="175"/>
        <v/>
      </c>
      <c r="BF195" s="173" t="str">
        <f t="shared" si="176"/>
        <v/>
      </c>
      <c r="BG195" s="173" t="str">
        <f t="shared" si="177"/>
        <v/>
      </c>
      <c r="BH195" s="180" t="str">
        <f t="shared" si="178"/>
        <v/>
      </c>
      <c r="BI195" s="277"/>
      <c r="BJ195" s="185" t="str">
        <f t="shared" si="179"/>
        <v/>
      </c>
      <c r="BK195" s="173" t="str">
        <f t="shared" si="180"/>
        <v/>
      </c>
      <c r="BL195" s="173" t="str">
        <f t="shared" si="181"/>
        <v/>
      </c>
      <c r="BM195" s="180" t="str">
        <f t="shared" si="182"/>
        <v/>
      </c>
      <c r="BN195" s="168"/>
      <c r="BO195" s="185" t="str">
        <f t="shared" si="183"/>
        <v/>
      </c>
      <c r="BP195" s="173" t="str">
        <f t="shared" si="184"/>
        <v/>
      </c>
      <c r="BQ195" s="173" t="str">
        <f t="shared" si="185"/>
        <v/>
      </c>
      <c r="BR195" s="180" t="str">
        <f t="shared" si="186"/>
        <v/>
      </c>
      <c r="BS195" s="168"/>
      <c r="BT195" s="185" t="str">
        <f t="shared" si="187"/>
        <v/>
      </c>
      <c r="BU195" s="173" t="str">
        <f t="shared" si="188"/>
        <v/>
      </c>
      <c r="BV195" s="173" t="str">
        <f t="shared" si="189"/>
        <v/>
      </c>
      <c r="BW195" s="180" t="str">
        <f t="shared" si="190"/>
        <v/>
      </c>
      <c r="BX195" s="288"/>
    </row>
    <row r="196" spans="1:91">
      <c r="A196" s="168"/>
      <c r="B196" s="185" t="str">
        <f t="shared" si="191"/>
        <v/>
      </c>
      <c r="C196" s="173" t="str">
        <f t="shared" si="192"/>
        <v/>
      </c>
      <c r="D196" s="173" t="str">
        <f t="shared" si="193"/>
        <v/>
      </c>
      <c r="E196" s="180" t="str">
        <f t="shared" si="194"/>
        <v/>
      </c>
      <c r="F196" s="168"/>
      <c r="G196" s="185" t="str">
        <f t="shared" si="136"/>
        <v/>
      </c>
      <c r="H196" s="173" t="str">
        <f t="shared" si="137"/>
        <v/>
      </c>
      <c r="I196" s="173" t="str">
        <f t="shared" si="195"/>
        <v/>
      </c>
      <c r="J196" s="180" t="str">
        <f t="shared" si="138"/>
        <v/>
      </c>
      <c r="K196" s="168"/>
      <c r="L196" s="185" t="str">
        <f t="shared" si="139"/>
        <v/>
      </c>
      <c r="M196" s="173" t="str">
        <f t="shared" si="140"/>
        <v/>
      </c>
      <c r="N196" s="173" t="str">
        <f t="shared" si="141"/>
        <v/>
      </c>
      <c r="O196" s="180" t="str">
        <f t="shared" si="142"/>
        <v/>
      </c>
      <c r="P196" s="168"/>
      <c r="Q196" s="185" t="str">
        <f t="shared" si="143"/>
        <v/>
      </c>
      <c r="R196" s="173" t="str">
        <f t="shared" si="144"/>
        <v/>
      </c>
      <c r="S196" s="173" t="str">
        <f t="shared" si="145"/>
        <v/>
      </c>
      <c r="T196" s="180" t="str">
        <f t="shared" si="146"/>
        <v/>
      </c>
      <c r="U196" s="168"/>
      <c r="V196" s="185" t="str">
        <f t="shared" si="147"/>
        <v/>
      </c>
      <c r="W196" s="173" t="str">
        <f t="shared" si="148"/>
        <v/>
      </c>
      <c r="X196" s="173" t="str">
        <f t="shared" si="149"/>
        <v/>
      </c>
      <c r="Y196" s="180" t="str">
        <f t="shared" si="150"/>
        <v/>
      </c>
      <c r="Z196" s="168"/>
      <c r="AA196" s="185" t="str">
        <f t="shared" si="151"/>
        <v/>
      </c>
      <c r="AB196" s="173" t="str">
        <f t="shared" si="152"/>
        <v/>
      </c>
      <c r="AC196" s="173" t="str">
        <f t="shared" si="153"/>
        <v/>
      </c>
      <c r="AD196" s="180" t="str">
        <f t="shared" si="154"/>
        <v/>
      </c>
      <c r="AE196" s="168"/>
      <c r="AF196" s="185" t="str">
        <f t="shared" si="155"/>
        <v/>
      </c>
      <c r="AG196" s="173" t="str">
        <f t="shared" si="156"/>
        <v/>
      </c>
      <c r="AH196" s="173" t="str">
        <f t="shared" si="157"/>
        <v/>
      </c>
      <c r="AI196" s="180" t="str">
        <f t="shared" si="158"/>
        <v/>
      </c>
      <c r="AJ196" s="168"/>
      <c r="AK196" s="185" t="str">
        <f t="shared" si="159"/>
        <v/>
      </c>
      <c r="AL196" s="173" t="str">
        <f t="shared" si="160"/>
        <v/>
      </c>
      <c r="AM196" s="173" t="str">
        <f t="shared" si="161"/>
        <v/>
      </c>
      <c r="AN196" s="180" t="str">
        <f t="shared" si="162"/>
        <v/>
      </c>
      <c r="AO196" s="168"/>
      <c r="AP196" s="255">
        <f t="shared" si="163"/>
        <v>45</v>
      </c>
      <c r="AQ196" s="245">
        <f t="shared" si="164"/>
        <v>96</v>
      </c>
      <c r="AR196" s="245">
        <f>IF(AR115="","",AP$4-AR115)</f>
        <v>107</v>
      </c>
      <c r="AS196" s="246">
        <f t="shared" si="166"/>
        <v>18</v>
      </c>
      <c r="AT196" s="277"/>
      <c r="AU196" s="185" t="str">
        <f t="shared" si="167"/>
        <v/>
      </c>
      <c r="AV196" s="173" t="str">
        <f t="shared" si="168"/>
        <v/>
      </c>
      <c r="AW196" s="173" t="str">
        <f t="shared" si="169"/>
        <v/>
      </c>
      <c r="AX196" s="180" t="str">
        <f t="shared" si="170"/>
        <v/>
      </c>
      <c r="AY196" s="168"/>
      <c r="AZ196" s="185" t="str">
        <f t="shared" si="171"/>
        <v/>
      </c>
      <c r="BA196" s="173" t="str">
        <f t="shared" si="172"/>
        <v/>
      </c>
      <c r="BB196" s="173" t="str">
        <f t="shared" si="173"/>
        <v/>
      </c>
      <c r="BC196" s="180" t="str">
        <f t="shared" si="174"/>
        <v/>
      </c>
      <c r="BD196" s="168"/>
      <c r="BE196" s="185" t="str">
        <f t="shared" si="175"/>
        <v/>
      </c>
      <c r="BF196" s="173" t="str">
        <f t="shared" si="176"/>
        <v/>
      </c>
      <c r="BG196" s="173" t="str">
        <f t="shared" si="177"/>
        <v/>
      </c>
      <c r="BH196" s="180" t="str">
        <f t="shared" si="178"/>
        <v/>
      </c>
      <c r="BI196" s="277"/>
      <c r="BJ196" s="185" t="str">
        <f t="shared" si="179"/>
        <v/>
      </c>
      <c r="BK196" s="173" t="str">
        <f t="shared" si="180"/>
        <v/>
      </c>
      <c r="BL196" s="173" t="str">
        <f t="shared" si="181"/>
        <v/>
      </c>
      <c r="BM196" s="180" t="str">
        <f t="shared" si="182"/>
        <v/>
      </c>
      <c r="BN196" s="168"/>
      <c r="BO196" s="185" t="str">
        <f t="shared" si="183"/>
        <v/>
      </c>
      <c r="BP196" s="173" t="str">
        <f t="shared" si="184"/>
        <v/>
      </c>
      <c r="BQ196" s="173" t="str">
        <f t="shared" si="185"/>
        <v/>
      </c>
      <c r="BR196" s="180" t="str">
        <f t="shared" si="186"/>
        <v/>
      </c>
      <c r="BS196" s="168"/>
      <c r="BT196" s="185" t="str">
        <f t="shared" si="187"/>
        <v/>
      </c>
      <c r="BU196" s="173" t="str">
        <f t="shared" si="188"/>
        <v/>
      </c>
      <c r="BV196" s="173" t="str">
        <f t="shared" si="189"/>
        <v/>
      </c>
      <c r="BW196" s="180" t="str">
        <f t="shared" si="190"/>
        <v/>
      </c>
      <c r="BX196" s="288"/>
    </row>
    <row r="197" spans="1:91">
      <c r="A197" s="168"/>
      <c r="B197" s="185" t="str">
        <f t="shared" si="191"/>
        <v/>
      </c>
      <c r="C197" s="173" t="str">
        <f t="shared" si="192"/>
        <v/>
      </c>
      <c r="D197" s="173" t="str">
        <f t="shared" si="193"/>
        <v/>
      </c>
      <c r="E197" s="180" t="str">
        <f t="shared" si="194"/>
        <v/>
      </c>
      <c r="F197" s="168"/>
      <c r="G197" s="185" t="str">
        <f t="shared" si="136"/>
        <v/>
      </c>
      <c r="H197" s="173" t="str">
        <f t="shared" si="137"/>
        <v/>
      </c>
      <c r="I197" s="173" t="str">
        <f t="shared" si="195"/>
        <v/>
      </c>
      <c r="J197" s="180" t="str">
        <f t="shared" si="138"/>
        <v/>
      </c>
      <c r="K197" s="168"/>
      <c r="L197" s="185" t="str">
        <f t="shared" si="139"/>
        <v/>
      </c>
      <c r="M197" s="173" t="str">
        <f t="shared" si="140"/>
        <v/>
      </c>
      <c r="N197" s="173" t="str">
        <f t="shared" si="141"/>
        <v/>
      </c>
      <c r="O197" s="180" t="str">
        <f t="shared" si="142"/>
        <v/>
      </c>
      <c r="P197" s="168"/>
      <c r="Q197" s="185" t="str">
        <f t="shared" si="143"/>
        <v/>
      </c>
      <c r="R197" s="173" t="str">
        <f t="shared" si="144"/>
        <v/>
      </c>
      <c r="S197" s="173" t="str">
        <f t="shared" si="145"/>
        <v/>
      </c>
      <c r="T197" s="180" t="str">
        <f t="shared" si="146"/>
        <v/>
      </c>
      <c r="U197" s="168"/>
      <c r="V197" s="185" t="str">
        <f t="shared" si="147"/>
        <v/>
      </c>
      <c r="W197" s="173" t="str">
        <f t="shared" si="148"/>
        <v/>
      </c>
      <c r="X197" s="173" t="str">
        <f t="shared" si="149"/>
        <v/>
      </c>
      <c r="Y197" s="180" t="str">
        <f t="shared" si="150"/>
        <v/>
      </c>
      <c r="Z197" s="168"/>
      <c r="AA197" s="185" t="str">
        <f t="shared" si="151"/>
        <v/>
      </c>
      <c r="AB197" s="173" t="str">
        <f t="shared" si="152"/>
        <v/>
      </c>
      <c r="AC197" s="173" t="str">
        <f t="shared" si="153"/>
        <v/>
      </c>
      <c r="AD197" s="180" t="str">
        <f t="shared" si="154"/>
        <v/>
      </c>
      <c r="AE197" s="168"/>
      <c r="AF197" s="185" t="str">
        <f t="shared" si="155"/>
        <v/>
      </c>
      <c r="AG197" s="173" t="str">
        <f t="shared" si="156"/>
        <v/>
      </c>
      <c r="AH197" s="173" t="str">
        <f t="shared" si="157"/>
        <v/>
      </c>
      <c r="AI197" s="180" t="str">
        <f t="shared" si="158"/>
        <v/>
      </c>
      <c r="AJ197" s="168"/>
      <c r="AK197" s="185" t="str">
        <f t="shared" si="159"/>
        <v/>
      </c>
      <c r="AL197" s="173" t="str">
        <f t="shared" si="160"/>
        <v/>
      </c>
      <c r="AM197" s="173" t="str">
        <f t="shared" si="161"/>
        <v/>
      </c>
      <c r="AN197" s="180" t="str">
        <f t="shared" si="162"/>
        <v/>
      </c>
      <c r="AO197" s="168"/>
      <c r="AP197" s="255">
        <f t="shared" si="163"/>
        <v>45</v>
      </c>
      <c r="AQ197" s="245">
        <f t="shared" si="164"/>
        <v>54</v>
      </c>
      <c r="AR197" s="245">
        <f>IF(AR116="","",AP$4-AR116)</f>
        <v>50</v>
      </c>
      <c r="AS197" s="246">
        <f t="shared" si="166"/>
        <v>18</v>
      </c>
      <c r="AT197" s="277"/>
      <c r="AU197" s="185" t="str">
        <f t="shared" si="167"/>
        <v/>
      </c>
      <c r="AV197" s="173" t="str">
        <f t="shared" si="168"/>
        <v/>
      </c>
      <c r="AW197" s="173" t="str">
        <f t="shared" si="169"/>
        <v/>
      </c>
      <c r="AX197" s="180" t="str">
        <f t="shared" si="170"/>
        <v/>
      </c>
      <c r="AY197" s="168"/>
      <c r="AZ197" s="185" t="str">
        <f t="shared" si="171"/>
        <v/>
      </c>
      <c r="BA197" s="173" t="str">
        <f t="shared" si="172"/>
        <v/>
      </c>
      <c r="BB197" s="173" t="str">
        <f t="shared" si="173"/>
        <v/>
      </c>
      <c r="BC197" s="180" t="str">
        <f t="shared" si="174"/>
        <v/>
      </c>
      <c r="BD197" s="168"/>
      <c r="BE197" s="185" t="str">
        <f t="shared" si="175"/>
        <v/>
      </c>
      <c r="BF197" s="173" t="str">
        <f t="shared" si="176"/>
        <v/>
      </c>
      <c r="BG197" s="173" t="str">
        <f t="shared" si="177"/>
        <v/>
      </c>
      <c r="BH197" s="180" t="str">
        <f t="shared" si="178"/>
        <v/>
      </c>
      <c r="BI197" s="277"/>
      <c r="BJ197" s="185" t="str">
        <f t="shared" si="179"/>
        <v/>
      </c>
      <c r="BK197" s="173" t="str">
        <f t="shared" si="180"/>
        <v/>
      </c>
      <c r="BL197" s="173" t="str">
        <f t="shared" si="181"/>
        <v/>
      </c>
      <c r="BM197" s="180" t="str">
        <f t="shared" si="182"/>
        <v/>
      </c>
      <c r="BN197" s="168"/>
      <c r="BO197" s="185" t="str">
        <f t="shared" si="183"/>
        <v/>
      </c>
      <c r="BP197" s="173" t="str">
        <f t="shared" si="184"/>
        <v/>
      </c>
      <c r="BQ197" s="173" t="str">
        <f t="shared" si="185"/>
        <v/>
      </c>
      <c r="BR197" s="180" t="str">
        <f t="shared" si="186"/>
        <v/>
      </c>
      <c r="BS197" s="168"/>
      <c r="BT197" s="185" t="str">
        <f t="shared" si="187"/>
        <v/>
      </c>
      <c r="BU197" s="173" t="str">
        <f t="shared" si="188"/>
        <v/>
      </c>
      <c r="BV197" s="173" t="str">
        <f t="shared" si="189"/>
        <v/>
      </c>
      <c r="BW197" s="180" t="str">
        <f t="shared" si="190"/>
        <v/>
      </c>
      <c r="BX197" s="288"/>
    </row>
    <row r="198" spans="1:91">
      <c r="A198" s="168"/>
      <c r="B198" s="185" t="str">
        <f t="shared" si="191"/>
        <v/>
      </c>
      <c r="C198" s="173" t="str">
        <f t="shared" si="192"/>
        <v/>
      </c>
      <c r="D198" s="173" t="str">
        <f t="shared" si="193"/>
        <v/>
      </c>
      <c r="E198" s="180" t="str">
        <f t="shared" si="194"/>
        <v/>
      </c>
      <c r="F198" s="168"/>
      <c r="G198" s="185" t="str">
        <f t="shared" si="136"/>
        <v/>
      </c>
      <c r="H198" s="173" t="str">
        <f t="shared" si="137"/>
        <v/>
      </c>
      <c r="I198" s="173" t="str">
        <f t="shared" si="195"/>
        <v/>
      </c>
      <c r="J198" s="180" t="str">
        <f t="shared" si="138"/>
        <v/>
      </c>
      <c r="K198" s="168"/>
      <c r="L198" s="185" t="str">
        <f t="shared" si="139"/>
        <v/>
      </c>
      <c r="M198" s="173" t="str">
        <f t="shared" si="140"/>
        <v/>
      </c>
      <c r="N198" s="173" t="str">
        <f t="shared" si="141"/>
        <v/>
      </c>
      <c r="O198" s="180" t="str">
        <f t="shared" si="142"/>
        <v/>
      </c>
      <c r="P198" s="168"/>
      <c r="Q198" s="185" t="str">
        <f t="shared" si="143"/>
        <v/>
      </c>
      <c r="R198" s="173" t="str">
        <f t="shared" si="144"/>
        <v/>
      </c>
      <c r="S198" s="173" t="str">
        <f t="shared" si="145"/>
        <v/>
      </c>
      <c r="T198" s="180" t="str">
        <f t="shared" si="146"/>
        <v/>
      </c>
      <c r="U198" s="168"/>
      <c r="V198" s="185" t="str">
        <f t="shared" si="147"/>
        <v/>
      </c>
      <c r="W198" s="173" t="str">
        <f t="shared" si="148"/>
        <v/>
      </c>
      <c r="X198" s="173" t="str">
        <f t="shared" si="149"/>
        <v/>
      </c>
      <c r="Y198" s="180" t="str">
        <f t="shared" si="150"/>
        <v/>
      </c>
      <c r="Z198" s="168"/>
      <c r="AA198" s="185" t="str">
        <f t="shared" si="151"/>
        <v/>
      </c>
      <c r="AB198" s="173" t="str">
        <f t="shared" si="152"/>
        <v/>
      </c>
      <c r="AC198" s="173" t="str">
        <f t="shared" si="153"/>
        <v/>
      </c>
      <c r="AD198" s="180" t="str">
        <f t="shared" si="154"/>
        <v/>
      </c>
      <c r="AE198" s="168"/>
      <c r="AF198" s="185" t="str">
        <f t="shared" si="155"/>
        <v/>
      </c>
      <c r="AG198" s="173" t="str">
        <f t="shared" si="156"/>
        <v/>
      </c>
      <c r="AH198" s="173" t="str">
        <f t="shared" si="157"/>
        <v/>
      </c>
      <c r="AI198" s="180" t="str">
        <f t="shared" si="158"/>
        <v/>
      </c>
      <c r="AJ198" s="168"/>
      <c r="AK198" s="185" t="str">
        <f t="shared" si="159"/>
        <v/>
      </c>
      <c r="AL198" s="173" t="str">
        <f t="shared" si="160"/>
        <v/>
      </c>
      <c r="AM198" s="173" t="str">
        <f t="shared" si="161"/>
        <v/>
      </c>
      <c r="AN198" s="180" t="str">
        <f t="shared" si="162"/>
        <v/>
      </c>
      <c r="AO198" s="168"/>
      <c r="AP198" s="255">
        <f t="shared" si="163"/>
        <v>45</v>
      </c>
      <c r="AQ198" s="245">
        <f t="shared" si="164"/>
        <v>54</v>
      </c>
      <c r="AR198" s="245">
        <f>IF(AR117="","",AP$4-AR117)</f>
        <v>107</v>
      </c>
      <c r="AS198" s="246">
        <f t="shared" si="166"/>
        <v>18</v>
      </c>
      <c r="AT198" s="277"/>
      <c r="AU198" s="185" t="str">
        <f t="shared" si="167"/>
        <v/>
      </c>
      <c r="AV198" s="173" t="str">
        <f t="shared" si="168"/>
        <v/>
      </c>
      <c r="AW198" s="173" t="str">
        <f t="shared" si="169"/>
        <v/>
      </c>
      <c r="AX198" s="180" t="str">
        <f t="shared" si="170"/>
        <v/>
      </c>
      <c r="AY198" s="168"/>
      <c r="AZ198" s="185" t="str">
        <f t="shared" si="171"/>
        <v/>
      </c>
      <c r="BA198" s="173" t="str">
        <f t="shared" si="172"/>
        <v/>
      </c>
      <c r="BB198" s="173" t="str">
        <f t="shared" si="173"/>
        <v/>
      </c>
      <c r="BC198" s="180" t="str">
        <f t="shared" si="174"/>
        <v/>
      </c>
      <c r="BD198" s="168"/>
      <c r="BE198" s="185" t="str">
        <f t="shared" si="175"/>
        <v/>
      </c>
      <c r="BF198" s="173" t="str">
        <f t="shared" si="176"/>
        <v/>
      </c>
      <c r="BG198" s="173" t="str">
        <f t="shared" si="177"/>
        <v/>
      </c>
      <c r="BH198" s="180" t="str">
        <f t="shared" si="178"/>
        <v/>
      </c>
      <c r="BI198" s="277"/>
      <c r="BJ198" s="185" t="str">
        <f t="shared" si="179"/>
        <v/>
      </c>
      <c r="BK198" s="173" t="str">
        <f t="shared" si="180"/>
        <v/>
      </c>
      <c r="BL198" s="173" t="str">
        <f t="shared" si="181"/>
        <v/>
      </c>
      <c r="BM198" s="180" t="str">
        <f t="shared" si="182"/>
        <v/>
      </c>
      <c r="BN198" s="168"/>
      <c r="BO198" s="185" t="str">
        <f t="shared" si="183"/>
        <v/>
      </c>
      <c r="BP198" s="173" t="str">
        <f t="shared" si="184"/>
        <v/>
      </c>
      <c r="BQ198" s="173" t="str">
        <f t="shared" si="185"/>
        <v/>
      </c>
      <c r="BR198" s="180" t="str">
        <f t="shared" si="186"/>
        <v/>
      </c>
      <c r="BS198" s="168"/>
      <c r="BT198" s="185" t="str">
        <f t="shared" si="187"/>
        <v/>
      </c>
      <c r="BU198" s="173" t="str">
        <f t="shared" si="188"/>
        <v/>
      </c>
      <c r="BV198" s="173" t="str">
        <f t="shared" si="189"/>
        <v/>
      </c>
      <c r="BW198" s="180" t="str">
        <f t="shared" si="190"/>
        <v/>
      </c>
      <c r="BX198" s="288"/>
    </row>
    <row r="199" spans="1:91">
      <c r="A199" s="168"/>
      <c r="B199" s="185" t="str">
        <f t="shared" si="191"/>
        <v/>
      </c>
      <c r="C199" s="173" t="str">
        <f t="shared" si="192"/>
        <v/>
      </c>
      <c r="D199" s="173" t="str">
        <f t="shared" si="193"/>
        <v/>
      </c>
      <c r="E199" s="180" t="str">
        <f t="shared" si="194"/>
        <v/>
      </c>
      <c r="F199" s="168"/>
      <c r="G199" s="185" t="str">
        <f t="shared" si="136"/>
        <v/>
      </c>
      <c r="H199" s="173" t="str">
        <f t="shared" si="137"/>
        <v/>
      </c>
      <c r="I199" s="173" t="str">
        <f t="shared" si="195"/>
        <v/>
      </c>
      <c r="J199" s="180" t="str">
        <f t="shared" si="138"/>
        <v/>
      </c>
      <c r="K199" s="168"/>
      <c r="L199" s="185" t="str">
        <f t="shared" si="139"/>
        <v/>
      </c>
      <c r="M199" s="173" t="str">
        <f t="shared" si="140"/>
        <v/>
      </c>
      <c r="N199" s="173" t="str">
        <f t="shared" si="141"/>
        <v/>
      </c>
      <c r="O199" s="180" t="str">
        <f t="shared" si="142"/>
        <v/>
      </c>
      <c r="P199" s="168"/>
      <c r="Q199" s="185" t="str">
        <f t="shared" si="143"/>
        <v/>
      </c>
      <c r="R199" s="173" t="str">
        <f t="shared" si="144"/>
        <v/>
      </c>
      <c r="S199" s="173" t="str">
        <f t="shared" si="145"/>
        <v/>
      </c>
      <c r="T199" s="180" t="str">
        <f t="shared" si="146"/>
        <v/>
      </c>
      <c r="U199" s="168"/>
      <c r="V199" s="185" t="str">
        <f t="shared" si="147"/>
        <v/>
      </c>
      <c r="W199" s="173" t="str">
        <f t="shared" si="148"/>
        <v/>
      </c>
      <c r="X199" s="173" t="str">
        <f t="shared" si="149"/>
        <v/>
      </c>
      <c r="Y199" s="180" t="str">
        <f t="shared" si="150"/>
        <v/>
      </c>
      <c r="Z199" s="168"/>
      <c r="AA199" s="185" t="str">
        <f t="shared" si="151"/>
        <v/>
      </c>
      <c r="AB199" s="173" t="str">
        <f t="shared" si="152"/>
        <v/>
      </c>
      <c r="AC199" s="173" t="str">
        <f t="shared" si="153"/>
        <v/>
      </c>
      <c r="AD199" s="180" t="str">
        <f t="shared" si="154"/>
        <v/>
      </c>
      <c r="AE199" s="168"/>
      <c r="AF199" s="185" t="str">
        <f t="shared" si="155"/>
        <v/>
      </c>
      <c r="AG199" s="173" t="str">
        <f t="shared" si="156"/>
        <v/>
      </c>
      <c r="AH199" s="173" t="str">
        <f t="shared" si="157"/>
        <v/>
      </c>
      <c r="AI199" s="180" t="str">
        <f t="shared" si="158"/>
        <v/>
      </c>
      <c r="AJ199" s="168"/>
      <c r="AK199" s="185" t="str">
        <f t="shared" si="159"/>
        <v/>
      </c>
      <c r="AL199" s="173" t="str">
        <f t="shared" si="160"/>
        <v/>
      </c>
      <c r="AM199" s="173" t="str">
        <f t="shared" si="161"/>
        <v/>
      </c>
      <c r="AN199" s="180" t="str">
        <f t="shared" si="162"/>
        <v/>
      </c>
      <c r="AO199" s="168"/>
      <c r="AP199" s="255">
        <f t="shared" si="163"/>
        <v>45</v>
      </c>
      <c r="AQ199" s="245">
        <f t="shared" si="164"/>
        <v>10</v>
      </c>
      <c r="AR199" s="245">
        <f>IF(AR118="","",AP$4-AR118)</f>
        <v>50</v>
      </c>
      <c r="AS199" s="246">
        <f t="shared" si="166"/>
        <v>18</v>
      </c>
      <c r="AT199" s="277"/>
      <c r="AU199" s="185" t="str">
        <f t="shared" si="167"/>
        <v/>
      </c>
      <c r="AV199" s="173" t="str">
        <f t="shared" si="168"/>
        <v/>
      </c>
      <c r="AW199" s="173" t="str">
        <f t="shared" si="169"/>
        <v/>
      </c>
      <c r="AX199" s="180" t="str">
        <f t="shared" si="170"/>
        <v/>
      </c>
      <c r="AY199" s="168"/>
      <c r="AZ199" s="185" t="str">
        <f t="shared" si="171"/>
        <v/>
      </c>
      <c r="BA199" s="173" t="str">
        <f t="shared" si="172"/>
        <v/>
      </c>
      <c r="BB199" s="173" t="str">
        <f t="shared" si="173"/>
        <v/>
      </c>
      <c r="BC199" s="180" t="str">
        <f t="shared" si="174"/>
        <v/>
      </c>
      <c r="BD199" s="168"/>
      <c r="BE199" s="185" t="str">
        <f t="shared" si="175"/>
        <v/>
      </c>
      <c r="BF199" s="173" t="str">
        <f t="shared" si="176"/>
        <v/>
      </c>
      <c r="BG199" s="173" t="str">
        <f t="shared" si="177"/>
        <v/>
      </c>
      <c r="BH199" s="180" t="str">
        <f t="shared" si="178"/>
        <v/>
      </c>
      <c r="BI199" s="277"/>
      <c r="BJ199" s="185" t="str">
        <f t="shared" si="179"/>
        <v/>
      </c>
      <c r="BK199" s="173" t="str">
        <f t="shared" si="180"/>
        <v/>
      </c>
      <c r="BL199" s="173" t="str">
        <f t="shared" si="181"/>
        <v/>
      </c>
      <c r="BM199" s="180" t="str">
        <f t="shared" si="182"/>
        <v/>
      </c>
      <c r="BN199" s="168"/>
      <c r="BO199" s="185" t="str">
        <f t="shared" si="183"/>
        <v/>
      </c>
      <c r="BP199" s="173" t="str">
        <f t="shared" si="184"/>
        <v/>
      </c>
      <c r="BQ199" s="173" t="str">
        <f t="shared" si="185"/>
        <v/>
      </c>
      <c r="BR199" s="180" t="str">
        <f t="shared" si="186"/>
        <v/>
      </c>
      <c r="BS199" s="168"/>
      <c r="BT199" s="185" t="str">
        <f t="shared" si="187"/>
        <v/>
      </c>
      <c r="BU199" s="173" t="str">
        <f t="shared" si="188"/>
        <v/>
      </c>
      <c r="BV199" s="173" t="str">
        <f t="shared" si="189"/>
        <v/>
      </c>
      <c r="BW199" s="180" t="str">
        <f t="shared" si="190"/>
        <v/>
      </c>
      <c r="BX199" s="288"/>
    </row>
    <row r="200" spans="1:91">
      <c r="A200" s="168"/>
      <c r="B200" s="186" t="str">
        <f t="shared" si="191"/>
        <v/>
      </c>
      <c r="C200" s="174" t="str">
        <f t="shared" si="192"/>
        <v/>
      </c>
      <c r="D200" s="174" t="str">
        <f t="shared" si="193"/>
        <v/>
      </c>
      <c r="E200" s="181" t="str">
        <f t="shared" si="194"/>
        <v/>
      </c>
      <c r="F200" s="168"/>
      <c r="G200" s="186" t="str">
        <f t="shared" si="136"/>
        <v/>
      </c>
      <c r="H200" s="174" t="str">
        <f t="shared" si="137"/>
        <v/>
      </c>
      <c r="I200" s="174" t="str">
        <f t="shared" si="195"/>
        <v/>
      </c>
      <c r="J200" s="181" t="str">
        <f t="shared" si="138"/>
        <v/>
      </c>
      <c r="K200" s="168"/>
      <c r="L200" s="186" t="str">
        <f t="shared" si="139"/>
        <v/>
      </c>
      <c r="M200" s="174" t="str">
        <f t="shared" si="140"/>
        <v/>
      </c>
      <c r="N200" s="174" t="str">
        <f t="shared" si="141"/>
        <v/>
      </c>
      <c r="O200" s="181" t="str">
        <f t="shared" si="142"/>
        <v/>
      </c>
      <c r="P200" s="168"/>
      <c r="Q200" s="186" t="str">
        <f t="shared" si="143"/>
        <v/>
      </c>
      <c r="R200" s="174" t="str">
        <f t="shared" si="144"/>
        <v/>
      </c>
      <c r="S200" s="174" t="str">
        <f t="shared" si="145"/>
        <v/>
      </c>
      <c r="T200" s="181" t="str">
        <f t="shared" si="146"/>
        <v/>
      </c>
      <c r="U200" s="168"/>
      <c r="V200" s="186" t="str">
        <f t="shared" si="147"/>
        <v/>
      </c>
      <c r="W200" s="174" t="str">
        <f t="shared" si="148"/>
        <v/>
      </c>
      <c r="X200" s="174" t="str">
        <f t="shared" si="149"/>
        <v/>
      </c>
      <c r="Y200" s="181" t="str">
        <f t="shared" si="150"/>
        <v/>
      </c>
      <c r="Z200" s="168"/>
      <c r="AA200" s="186" t="str">
        <f t="shared" si="151"/>
        <v/>
      </c>
      <c r="AB200" s="174" t="str">
        <f t="shared" si="152"/>
        <v/>
      </c>
      <c r="AC200" s="174" t="str">
        <f t="shared" si="153"/>
        <v/>
      </c>
      <c r="AD200" s="181" t="str">
        <f t="shared" si="154"/>
        <v/>
      </c>
      <c r="AE200" s="168"/>
      <c r="AF200" s="186" t="str">
        <f t="shared" si="155"/>
        <v/>
      </c>
      <c r="AG200" s="174" t="str">
        <f t="shared" si="156"/>
        <v/>
      </c>
      <c r="AH200" s="174" t="str">
        <f t="shared" si="157"/>
        <v/>
      </c>
      <c r="AI200" s="181" t="str">
        <f t="shared" si="158"/>
        <v/>
      </c>
      <c r="AJ200" s="168"/>
      <c r="AK200" s="186" t="str">
        <f t="shared" si="159"/>
        <v/>
      </c>
      <c r="AL200" s="174" t="str">
        <f t="shared" si="160"/>
        <v/>
      </c>
      <c r="AM200" s="174" t="str">
        <f t="shared" si="161"/>
        <v/>
      </c>
      <c r="AN200" s="181" t="str">
        <f t="shared" si="162"/>
        <v/>
      </c>
      <c r="AO200" s="168"/>
      <c r="AP200" s="256">
        <f t="shared" si="163"/>
        <v>45</v>
      </c>
      <c r="AQ200" s="248">
        <f t="shared" si="164"/>
        <v>10</v>
      </c>
      <c r="AR200" s="248">
        <f>IF(AR119="","",AP$4-AR119)</f>
        <v>107</v>
      </c>
      <c r="AS200" s="249">
        <f t="shared" si="166"/>
        <v>18</v>
      </c>
      <c r="AT200" s="277"/>
      <c r="AU200" s="186" t="str">
        <f t="shared" si="167"/>
        <v/>
      </c>
      <c r="AV200" s="174" t="str">
        <f t="shared" si="168"/>
        <v/>
      </c>
      <c r="AW200" s="174" t="str">
        <f t="shared" si="169"/>
        <v/>
      </c>
      <c r="AX200" s="181" t="str">
        <f t="shared" si="170"/>
        <v/>
      </c>
      <c r="AY200" s="168"/>
      <c r="AZ200" s="186" t="str">
        <f t="shared" si="171"/>
        <v/>
      </c>
      <c r="BA200" s="174" t="str">
        <f t="shared" si="172"/>
        <v/>
      </c>
      <c r="BB200" s="174" t="str">
        <f t="shared" si="173"/>
        <v/>
      </c>
      <c r="BC200" s="181" t="str">
        <f t="shared" si="174"/>
        <v/>
      </c>
      <c r="BD200" s="168"/>
      <c r="BE200" s="186" t="str">
        <f t="shared" si="175"/>
        <v/>
      </c>
      <c r="BF200" s="174" t="str">
        <f t="shared" si="176"/>
        <v/>
      </c>
      <c r="BG200" s="174" t="str">
        <f t="shared" si="177"/>
        <v/>
      </c>
      <c r="BH200" s="181" t="str">
        <f t="shared" si="178"/>
        <v/>
      </c>
      <c r="BI200" s="277"/>
      <c r="BJ200" s="186" t="str">
        <f t="shared" si="179"/>
        <v/>
      </c>
      <c r="BK200" s="174" t="str">
        <f t="shared" si="180"/>
        <v/>
      </c>
      <c r="BL200" s="174" t="str">
        <f t="shared" si="181"/>
        <v/>
      </c>
      <c r="BM200" s="181" t="str">
        <f t="shared" si="182"/>
        <v/>
      </c>
      <c r="BN200" s="168"/>
      <c r="BO200" s="186" t="str">
        <f t="shared" si="183"/>
        <v/>
      </c>
      <c r="BP200" s="174" t="str">
        <f t="shared" si="184"/>
        <v/>
      </c>
      <c r="BQ200" s="174" t="str">
        <f t="shared" si="185"/>
        <v/>
      </c>
      <c r="BR200" s="181" t="str">
        <f t="shared" si="186"/>
        <v/>
      </c>
      <c r="BS200" s="168"/>
      <c r="BT200" s="186" t="str">
        <f t="shared" si="187"/>
        <v/>
      </c>
      <c r="BU200" s="174" t="str">
        <f t="shared" si="188"/>
        <v/>
      </c>
      <c r="BV200" s="174" t="str">
        <f t="shared" si="189"/>
        <v/>
      </c>
      <c r="BW200" s="181" t="str">
        <f t="shared" si="190"/>
        <v/>
      </c>
      <c r="BX200" s="288"/>
    </row>
    <row r="201" spans="1:91">
      <c r="A201" s="47"/>
      <c r="B201" s="47">
        <f>COUNT(B123:B200)</f>
        <v>67</v>
      </c>
      <c r="C201" s="47"/>
      <c r="D201" s="47"/>
      <c r="E201" s="47"/>
      <c r="F201" s="47"/>
      <c r="G201" s="47">
        <f>COUNT(G123:G200)</f>
        <v>67</v>
      </c>
      <c r="H201" s="47"/>
      <c r="I201" s="47"/>
      <c r="J201" s="47"/>
      <c r="K201" s="47"/>
      <c r="L201" s="47">
        <f>COUNT(L123:L200)</f>
        <v>60</v>
      </c>
      <c r="M201" s="47"/>
      <c r="N201" s="47"/>
      <c r="O201" s="47"/>
      <c r="P201" s="47"/>
      <c r="Q201" s="47">
        <f>COUNT(Q123:Q200)</f>
        <v>56</v>
      </c>
      <c r="R201" s="47"/>
      <c r="S201" s="47"/>
      <c r="T201" s="47"/>
      <c r="U201" s="47"/>
      <c r="V201" s="47">
        <f>COUNT(V123:V200)</f>
        <v>48</v>
      </c>
      <c r="W201" s="47"/>
      <c r="X201" s="47"/>
      <c r="Y201" s="47"/>
      <c r="Z201" s="47"/>
      <c r="AA201" s="47">
        <f>COUNT(AA123:AA200)</f>
        <v>44</v>
      </c>
      <c r="AB201" s="47"/>
      <c r="AC201" s="47"/>
      <c r="AD201" s="47"/>
      <c r="AE201" s="47"/>
      <c r="AF201" s="47">
        <f>COUNT(AF123:AF200)</f>
        <v>36</v>
      </c>
      <c r="AG201" s="47"/>
      <c r="AH201" s="47"/>
      <c r="AI201" s="47"/>
      <c r="AJ201" s="47"/>
      <c r="AK201" s="47">
        <f>COUNT(AK123:AK200)</f>
        <v>28</v>
      </c>
      <c r="AL201" s="47"/>
      <c r="AM201" s="47"/>
      <c r="AN201" s="47"/>
      <c r="AO201" s="47"/>
      <c r="AP201" s="47">
        <f>COUNT(AP123:AP200)</f>
        <v>75</v>
      </c>
      <c r="AQ201" s="47"/>
      <c r="AR201" s="47"/>
      <c r="AS201" s="47"/>
      <c r="AT201" s="292"/>
      <c r="AU201" s="47">
        <f>COUNT(AU123:AU200)</f>
        <v>31</v>
      </c>
      <c r="AV201" s="47"/>
      <c r="AW201" s="47"/>
      <c r="AX201" s="47"/>
      <c r="AY201" s="47"/>
      <c r="AZ201" s="47">
        <f>COUNT(AZ123:AZ200)</f>
        <v>25</v>
      </c>
      <c r="BA201" s="47"/>
      <c r="BB201" s="47"/>
      <c r="BC201" s="47"/>
      <c r="BD201" s="47"/>
      <c r="BE201" s="47">
        <f>COUNT(BE123:BE200)</f>
        <v>19</v>
      </c>
      <c r="BF201" s="47"/>
      <c r="BG201" s="47"/>
      <c r="BH201" s="47"/>
      <c r="BI201" s="292"/>
      <c r="BJ201" s="47">
        <f>COUNT(BJ123:BJ200)</f>
        <v>22</v>
      </c>
      <c r="BK201" s="47"/>
      <c r="BL201" s="47"/>
      <c r="BM201" s="47"/>
      <c r="BN201" s="47"/>
      <c r="BO201" s="47">
        <f>COUNT(BO123:BO200)</f>
        <v>18</v>
      </c>
      <c r="BP201" s="47"/>
      <c r="BQ201" s="47"/>
      <c r="BR201" s="47"/>
      <c r="BS201" s="47"/>
      <c r="BT201" s="47">
        <f>COUNT(BT123:BT200)</f>
        <v>14</v>
      </c>
      <c r="BU201" s="47"/>
      <c r="BV201" s="47"/>
      <c r="BW201" s="47"/>
      <c r="BX201" s="288"/>
      <c r="CM201" s="47"/>
    </row>
    <row r="202" spans="1:91">
      <c r="A202" s="282" t="s">
        <v>222</v>
      </c>
      <c r="D202" s="39"/>
      <c r="AN202" s="133"/>
      <c r="AO202" s="133"/>
      <c r="AT202" s="288"/>
      <c r="BI202" s="288"/>
      <c r="BX202" s="288"/>
    </row>
    <row r="203" spans="1:91">
      <c r="A203" s="283" t="s">
        <v>6</v>
      </c>
      <c r="D203" s="39"/>
      <c r="G203" s="47"/>
      <c r="H203" s="39"/>
      <c r="I203" s="39"/>
      <c r="L203" s="47"/>
      <c r="Q203" s="47"/>
      <c r="V203" s="47"/>
      <c r="AA203" s="47"/>
      <c r="AF203" s="47"/>
      <c r="AK203" s="47"/>
      <c r="AP203" s="47"/>
      <c r="AQ203" s="39"/>
      <c r="AR203" s="39"/>
      <c r="AS203" s="39"/>
      <c r="AT203" s="288"/>
      <c r="AU203" s="47"/>
      <c r="AZ203" s="47"/>
      <c r="BE203" s="47"/>
      <c r="BI203" s="288"/>
      <c r="BJ203" s="47"/>
      <c r="BO203" s="47"/>
      <c r="BT203" s="47"/>
      <c r="BX203" s="288"/>
      <c r="CM203" s="96"/>
    </row>
    <row r="204" spans="1:91">
      <c r="A204" s="280" t="str">
        <f t="shared" ref="A204:E219" si="196">IF(A46="","",A46)</f>
        <v>SB-U</v>
      </c>
      <c r="B204" s="189">
        <f t="shared" si="196"/>
        <v>90</v>
      </c>
      <c r="C204" s="190">
        <f t="shared" si="196"/>
        <v>10</v>
      </c>
      <c r="D204" s="190">
        <f t="shared" si="196"/>
        <v>1080</v>
      </c>
      <c r="E204" s="191">
        <f t="shared" si="196"/>
        <v>50</v>
      </c>
      <c r="G204" s="189">
        <f t="shared" ref="G204:J219" si="197">IF(G46="","",G46)</f>
        <v>90</v>
      </c>
      <c r="H204" s="190">
        <f t="shared" si="197"/>
        <v>10</v>
      </c>
      <c r="I204" s="190">
        <f t="shared" si="197"/>
        <v>840</v>
      </c>
      <c r="J204" s="191">
        <f t="shared" si="197"/>
        <v>50</v>
      </c>
      <c r="L204" s="189">
        <f t="shared" ref="L204:O219" si="198">IF(L46="","",L46)</f>
        <v>90</v>
      </c>
      <c r="M204" s="190">
        <f t="shared" si="198"/>
        <v>10</v>
      </c>
      <c r="N204" s="190">
        <f t="shared" si="198"/>
        <v>780</v>
      </c>
      <c r="O204" s="191">
        <f t="shared" si="198"/>
        <v>50</v>
      </c>
      <c r="Q204" s="189">
        <f t="shared" ref="Q204:T219" si="199">IF(Q46="","",Q46)</f>
        <v>90</v>
      </c>
      <c r="R204" s="190">
        <f t="shared" si="199"/>
        <v>10</v>
      </c>
      <c r="S204" s="190">
        <f t="shared" si="199"/>
        <v>720</v>
      </c>
      <c r="T204" s="191">
        <f t="shared" si="199"/>
        <v>50</v>
      </c>
      <c r="V204" s="189">
        <f t="shared" ref="V204:Y219" si="200">IF(V46="","",V46)</f>
        <v>90</v>
      </c>
      <c r="W204" s="190">
        <f t="shared" si="200"/>
        <v>10</v>
      </c>
      <c r="X204" s="190">
        <f t="shared" si="200"/>
        <v>600</v>
      </c>
      <c r="Y204" s="191">
        <f t="shared" si="200"/>
        <v>50</v>
      </c>
      <c r="AA204" s="189">
        <f t="shared" ref="AA204:AD219" si="201">IF(AA46="","",AA46)</f>
        <v>90</v>
      </c>
      <c r="AB204" s="190">
        <f t="shared" si="201"/>
        <v>10</v>
      </c>
      <c r="AC204" s="190">
        <f t="shared" si="201"/>
        <v>540</v>
      </c>
      <c r="AD204" s="191">
        <f t="shared" si="201"/>
        <v>50</v>
      </c>
      <c r="AF204" s="189">
        <f t="shared" ref="AF204:AI219" si="202">IF(AF46="","",AF46)</f>
        <v>90</v>
      </c>
      <c r="AG204" s="190">
        <f t="shared" si="202"/>
        <v>10</v>
      </c>
      <c r="AH204" s="190">
        <f t="shared" si="202"/>
        <v>420</v>
      </c>
      <c r="AI204" s="191">
        <f t="shared" si="202"/>
        <v>50</v>
      </c>
      <c r="AK204" s="189">
        <f t="shared" ref="AK204:AN219" si="203">IF(AK46="","",AK46)</f>
        <v>90</v>
      </c>
      <c r="AL204" s="190">
        <f t="shared" si="203"/>
        <v>10</v>
      </c>
      <c r="AM204" s="190">
        <f t="shared" si="203"/>
        <v>300</v>
      </c>
      <c r="AN204" s="191">
        <f t="shared" si="203"/>
        <v>50</v>
      </c>
      <c r="AP204" s="189">
        <f t="shared" ref="AP204:AS219" si="204">IF(AP46="","",AP46)</f>
        <v>90</v>
      </c>
      <c r="AQ204" s="190">
        <f t="shared" si="204"/>
        <v>10</v>
      </c>
      <c r="AR204" s="190">
        <f t="shared" si="204"/>
        <v>1015</v>
      </c>
      <c r="AS204" s="191">
        <f t="shared" si="204"/>
        <v>50</v>
      </c>
      <c r="AT204" s="288"/>
      <c r="AU204" s="189">
        <f t="shared" ref="AU204:AX219" si="205">IF(AU46="","",AU46)</f>
        <v>90</v>
      </c>
      <c r="AV204" s="190">
        <f t="shared" si="205"/>
        <v>10</v>
      </c>
      <c r="AW204" s="190">
        <f t="shared" si="205"/>
        <v>540</v>
      </c>
      <c r="AX204" s="191">
        <f t="shared" si="205"/>
        <v>40</v>
      </c>
      <c r="AZ204" s="189">
        <f t="shared" ref="AZ204:BC219" si="206">IF(AZ46="","",AZ46)</f>
        <v>90</v>
      </c>
      <c r="BA204" s="190">
        <f t="shared" si="206"/>
        <v>10</v>
      </c>
      <c r="BB204" s="190">
        <f t="shared" si="206"/>
        <v>420</v>
      </c>
      <c r="BC204" s="191">
        <f t="shared" si="206"/>
        <v>40</v>
      </c>
      <c r="BE204" s="189">
        <f t="shared" ref="BE204:BH219" si="207">IF(BE46="","",BE46)</f>
        <v>90</v>
      </c>
      <c r="BF204" s="190">
        <f t="shared" si="207"/>
        <v>10</v>
      </c>
      <c r="BG204" s="190">
        <f t="shared" si="207"/>
        <v>300</v>
      </c>
      <c r="BH204" s="191">
        <f t="shared" si="207"/>
        <v>40</v>
      </c>
      <c r="BI204" s="288"/>
      <c r="BJ204" s="189">
        <f t="shared" ref="BJ204:BM219" si="208">IF(BJ46="","",BJ46)</f>
        <v>90</v>
      </c>
      <c r="BK204" s="190">
        <f t="shared" si="208"/>
        <v>10</v>
      </c>
      <c r="BL204" s="190">
        <f t="shared" si="208"/>
        <v>540</v>
      </c>
      <c r="BM204" s="191">
        <f t="shared" si="208"/>
        <v>40</v>
      </c>
      <c r="BO204" s="189">
        <f t="shared" ref="BO204:BR219" si="209">IF(BO46="","",BO46)</f>
        <v>90</v>
      </c>
      <c r="BP204" s="190">
        <f t="shared" si="209"/>
        <v>10</v>
      </c>
      <c r="BQ204" s="190">
        <f t="shared" si="209"/>
        <v>420</v>
      </c>
      <c r="BR204" s="191">
        <f t="shared" si="209"/>
        <v>40</v>
      </c>
      <c r="BT204" s="189">
        <f t="shared" ref="BT204:BW219" si="210">IF(BT46="","",BT46)</f>
        <v>90</v>
      </c>
      <c r="BU204" s="190">
        <f t="shared" si="210"/>
        <v>10</v>
      </c>
      <c r="BV204" s="190">
        <f t="shared" si="210"/>
        <v>300</v>
      </c>
      <c r="BW204" s="191">
        <f t="shared" si="210"/>
        <v>40</v>
      </c>
      <c r="BX204" s="288"/>
      <c r="CM204" s="96"/>
    </row>
    <row r="205" spans="1:91">
      <c r="A205" s="280" t="str">
        <f t="shared" si="196"/>
        <v/>
      </c>
      <c r="B205" s="192">
        <f t="shared" si="196"/>
        <v>90</v>
      </c>
      <c r="C205" s="193">
        <f t="shared" si="196"/>
        <v>54</v>
      </c>
      <c r="D205" s="193">
        <f t="shared" si="196"/>
        <v>1070</v>
      </c>
      <c r="E205" s="194">
        <f t="shared" si="196"/>
        <v>50</v>
      </c>
      <c r="F205" s="168"/>
      <c r="G205" s="192">
        <f t="shared" si="197"/>
        <v>90</v>
      </c>
      <c r="H205" s="193">
        <f t="shared" si="197"/>
        <v>54</v>
      </c>
      <c r="I205" s="193">
        <f t="shared" si="197"/>
        <v>830</v>
      </c>
      <c r="J205" s="194">
        <f t="shared" si="197"/>
        <v>50</v>
      </c>
      <c r="K205" s="168"/>
      <c r="L205" s="192">
        <f t="shared" si="198"/>
        <v>90</v>
      </c>
      <c r="M205" s="193">
        <f t="shared" si="198"/>
        <v>54</v>
      </c>
      <c r="N205" s="193">
        <f t="shared" si="198"/>
        <v>770</v>
      </c>
      <c r="O205" s="194">
        <f t="shared" si="198"/>
        <v>50</v>
      </c>
      <c r="P205" s="168"/>
      <c r="Q205" s="192">
        <f t="shared" si="199"/>
        <v>90</v>
      </c>
      <c r="R205" s="193">
        <f t="shared" si="199"/>
        <v>54</v>
      </c>
      <c r="S205" s="193">
        <f t="shared" si="199"/>
        <v>710</v>
      </c>
      <c r="T205" s="194">
        <f t="shared" si="199"/>
        <v>50</v>
      </c>
      <c r="U205" s="168"/>
      <c r="V205" s="192">
        <f t="shared" si="200"/>
        <v>90</v>
      </c>
      <c r="W205" s="193">
        <f t="shared" si="200"/>
        <v>54</v>
      </c>
      <c r="X205" s="193">
        <f t="shared" si="200"/>
        <v>590</v>
      </c>
      <c r="Y205" s="194">
        <f t="shared" si="200"/>
        <v>50</v>
      </c>
      <c r="Z205" s="168"/>
      <c r="AA205" s="192">
        <f t="shared" si="201"/>
        <v>90</v>
      </c>
      <c r="AB205" s="193">
        <f t="shared" si="201"/>
        <v>54</v>
      </c>
      <c r="AC205" s="193">
        <f t="shared" si="201"/>
        <v>530</v>
      </c>
      <c r="AD205" s="194">
        <f t="shared" si="201"/>
        <v>50</v>
      </c>
      <c r="AE205" s="168"/>
      <c r="AF205" s="192">
        <f t="shared" si="202"/>
        <v>90</v>
      </c>
      <c r="AG205" s="193">
        <f t="shared" si="202"/>
        <v>54</v>
      </c>
      <c r="AH205" s="193">
        <f t="shared" si="202"/>
        <v>410</v>
      </c>
      <c r="AI205" s="194">
        <f t="shared" si="202"/>
        <v>50</v>
      </c>
      <c r="AJ205" s="168"/>
      <c r="AK205" s="192">
        <f t="shared" si="203"/>
        <v>90</v>
      </c>
      <c r="AL205" s="193">
        <f t="shared" si="203"/>
        <v>54</v>
      </c>
      <c r="AM205" s="193">
        <f t="shared" si="203"/>
        <v>290</v>
      </c>
      <c r="AN205" s="194">
        <f t="shared" si="203"/>
        <v>50</v>
      </c>
      <c r="AO205" s="168"/>
      <c r="AP205" s="192">
        <f t="shared" si="204"/>
        <v>90</v>
      </c>
      <c r="AQ205" s="193">
        <f t="shared" si="204"/>
        <v>54</v>
      </c>
      <c r="AR205" s="193">
        <f t="shared" si="204"/>
        <v>1005</v>
      </c>
      <c r="AS205" s="194">
        <f t="shared" si="204"/>
        <v>50</v>
      </c>
      <c r="AT205" s="277"/>
      <c r="AU205" s="192">
        <f t="shared" si="205"/>
        <v>90</v>
      </c>
      <c r="AV205" s="193">
        <f t="shared" si="205"/>
        <v>90</v>
      </c>
      <c r="AW205" s="193">
        <f t="shared" si="205"/>
        <v>540</v>
      </c>
      <c r="AX205" s="194">
        <f t="shared" si="205"/>
        <v>40</v>
      </c>
      <c r="AY205" s="168"/>
      <c r="AZ205" s="192">
        <f t="shared" si="206"/>
        <v>90</v>
      </c>
      <c r="BA205" s="193">
        <f t="shared" si="206"/>
        <v>90</v>
      </c>
      <c r="BB205" s="193">
        <f t="shared" si="206"/>
        <v>420</v>
      </c>
      <c r="BC205" s="194">
        <f t="shared" si="206"/>
        <v>40</v>
      </c>
      <c r="BD205" s="168"/>
      <c r="BE205" s="192">
        <f t="shared" si="207"/>
        <v>90</v>
      </c>
      <c r="BF205" s="193">
        <f t="shared" si="207"/>
        <v>90</v>
      </c>
      <c r="BG205" s="193">
        <f t="shared" si="207"/>
        <v>300</v>
      </c>
      <c r="BH205" s="194">
        <f t="shared" si="207"/>
        <v>40</v>
      </c>
      <c r="BI205" s="277"/>
      <c r="BJ205" s="192">
        <f t="shared" si="208"/>
        <v>90</v>
      </c>
      <c r="BK205" s="193">
        <f t="shared" si="208"/>
        <v>50</v>
      </c>
      <c r="BL205" s="193">
        <f t="shared" si="208"/>
        <v>540</v>
      </c>
      <c r="BM205" s="194">
        <f t="shared" si="208"/>
        <v>40</v>
      </c>
      <c r="BN205" s="168"/>
      <c r="BO205" s="192">
        <f t="shared" si="209"/>
        <v>90</v>
      </c>
      <c r="BP205" s="193">
        <f t="shared" si="209"/>
        <v>50</v>
      </c>
      <c r="BQ205" s="193">
        <f t="shared" si="209"/>
        <v>420</v>
      </c>
      <c r="BR205" s="194">
        <f t="shared" si="209"/>
        <v>40</v>
      </c>
      <c r="BS205" s="168"/>
      <c r="BT205" s="192">
        <f t="shared" si="210"/>
        <v>90</v>
      </c>
      <c r="BU205" s="193">
        <f t="shared" si="210"/>
        <v>50</v>
      </c>
      <c r="BV205" s="193">
        <f t="shared" si="210"/>
        <v>300</v>
      </c>
      <c r="BW205" s="194">
        <f t="shared" si="210"/>
        <v>40</v>
      </c>
      <c r="BX205" s="288"/>
      <c r="CM205" s="168"/>
    </row>
    <row r="206" spans="1:91">
      <c r="A206" s="280" t="str">
        <f t="shared" si="196"/>
        <v/>
      </c>
      <c r="B206" s="192">
        <f t="shared" si="196"/>
        <v>90</v>
      </c>
      <c r="C206" s="193">
        <f t="shared" si="196"/>
        <v>96</v>
      </c>
      <c r="D206" s="193">
        <f t="shared" si="196"/>
        <v>1070</v>
      </c>
      <c r="E206" s="194">
        <f t="shared" si="196"/>
        <v>50</v>
      </c>
      <c r="F206" s="168"/>
      <c r="G206" s="192">
        <f t="shared" si="197"/>
        <v>90</v>
      </c>
      <c r="H206" s="193">
        <f t="shared" si="197"/>
        <v>96</v>
      </c>
      <c r="I206" s="193">
        <f t="shared" si="197"/>
        <v>830</v>
      </c>
      <c r="J206" s="194">
        <f t="shared" si="197"/>
        <v>50</v>
      </c>
      <c r="K206" s="168"/>
      <c r="L206" s="192">
        <f t="shared" si="198"/>
        <v>90</v>
      </c>
      <c r="M206" s="193">
        <f t="shared" si="198"/>
        <v>96</v>
      </c>
      <c r="N206" s="193">
        <f t="shared" si="198"/>
        <v>770</v>
      </c>
      <c r="O206" s="194">
        <f t="shared" si="198"/>
        <v>50</v>
      </c>
      <c r="P206" s="168"/>
      <c r="Q206" s="192">
        <f t="shared" si="199"/>
        <v>90</v>
      </c>
      <c r="R206" s="193">
        <f t="shared" si="199"/>
        <v>96</v>
      </c>
      <c r="S206" s="193">
        <f t="shared" si="199"/>
        <v>710</v>
      </c>
      <c r="T206" s="194">
        <f t="shared" si="199"/>
        <v>50</v>
      </c>
      <c r="U206" s="168"/>
      <c r="V206" s="192">
        <f t="shared" si="200"/>
        <v>90</v>
      </c>
      <c r="W206" s="193">
        <f t="shared" si="200"/>
        <v>96</v>
      </c>
      <c r="X206" s="193">
        <f t="shared" si="200"/>
        <v>590</v>
      </c>
      <c r="Y206" s="194">
        <f t="shared" si="200"/>
        <v>50</v>
      </c>
      <c r="Z206" s="168"/>
      <c r="AA206" s="192">
        <f t="shared" si="201"/>
        <v>90</v>
      </c>
      <c r="AB206" s="193">
        <f t="shared" si="201"/>
        <v>96</v>
      </c>
      <c r="AC206" s="193">
        <f t="shared" si="201"/>
        <v>530</v>
      </c>
      <c r="AD206" s="194">
        <f t="shared" si="201"/>
        <v>50</v>
      </c>
      <c r="AE206" s="168"/>
      <c r="AF206" s="192">
        <f t="shared" si="202"/>
        <v>90</v>
      </c>
      <c r="AG206" s="193">
        <f t="shared" si="202"/>
        <v>96</v>
      </c>
      <c r="AH206" s="193">
        <f t="shared" si="202"/>
        <v>410</v>
      </c>
      <c r="AI206" s="194">
        <f t="shared" si="202"/>
        <v>50</v>
      </c>
      <c r="AJ206" s="168"/>
      <c r="AK206" s="192">
        <f t="shared" si="203"/>
        <v>90</v>
      </c>
      <c r="AL206" s="193">
        <f t="shared" si="203"/>
        <v>96</v>
      </c>
      <c r="AM206" s="193">
        <f t="shared" si="203"/>
        <v>290</v>
      </c>
      <c r="AN206" s="194">
        <f t="shared" si="203"/>
        <v>50</v>
      </c>
      <c r="AO206" s="168"/>
      <c r="AP206" s="192">
        <f t="shared" si="204"/>
        <v>90</v>
      </c>
      <c r="AQ206" s="193">
        <f t="shared" si="204"/>
        <v>96</v>
      </c>
      <c r="AR206" s="193">
        <f t="shared" si="204"/>
        <v>1005</v>
      </c>
      <c r="AS206" s="194">
        <f t="shared" si="204"/>
        <v>50</v>
      </c>
      <c r="AT206" s="277"/>
      <c r="AU206" s="192" t="str">
        <f t="shared" si="205"/>
        <v/>
      </c>
      <c r="AV206" s="193" t="str">
        <f t="shared" si="205"/>
        <v/>
      </c>
      <c r="AW206" s="193" t="str">
        <f t="shared" si="205"/>
        <v/>
      </c>
      <c r="AX206" s="194" t="str">
        <f t="shared" si="205"/>
        <v/>
      </c>
      <c r="AY206" s="168"/>
      <c r="AZ206" s="192" t="str">
        <f t="shared" si="206"/>
        <v/>
      </c>
      <c r="BA206" s="193" t="str">
        <f t="shared" si="206"/>
        <v/>
      </c>
      <c r="BB206" s="193" t="str">
        <f t="shared" si="206"/>
        <v/>
      </c>
      <c r="BC206" s="194" t="str">
        <f t="shared" si="206"/>
        <v/>
      </c>
      <c r="BD206" s="168"/>
      <c r="BE206" s="192" t="str">
        <f t="shared" si="207"/>
        <v/>
      </c>
      <c r="BF206" s="193" t="str">
        <f t="shared" si="207"/>
        <v/>
      </c>
      <c r="BG206" s="193" t="str">
        <f t="shared" si="207"/>
        <v/>
      </c>
      <c r="BH206" s="194" t="str">
        <f t="shared" si="207"/>
        <v/>
      </c>
      <c r="BI206" s="277"/>
      <c r="BJ206" s="192" t="str">
        <f t="shared" si="208"/>
        <v/>
      </c>
      <c r="BK206" s="193" t="str">
        <f t="shared" si="208"/>
        <v/>
      </c>
      <c r="BL206" s="193" t="str">
        <f t="shared" si="208"/>
        <v/>
      </c>
      <c r="BM206" s="194" t="str">
        <f t="shared" si="208"/>
        <v/>
      </c>
      <c r="BN206" s="168"/>
      <c r="BO206" s="192" t="str">
        <f t="shared" si="209"/>
        <v/>
      </c>
      <c r="BP206" s="193" t="str">
        <f t="shared" si="209"/>
        <v/>
      </c>
      <c r="BQ206" s="193" t="str">
        <f t="shared" si="209"/>
        <v/>
      </c>
      <c r="BR206" s="194" t="str">
        <f t="shared" si="209"/>
        <v/>
      </c>
      <c r="BS206" s="168"/>
      <c r="BT206" s="192" t="str">
        <f t="shared" si="210"/>
        <v/>
      </c>
      <c r="BU206" s="193" t="str">
        <f t="shared" si="210"/>
        <v/>
      </c>
      <c r="BV206" s="193" t="str">
        <f t="shared" si="210"/>
        <v/>
      </c>
      <c r="BW206" s="194" t="str">
        <f t="shared" si="210"/>
        <v/>
      </c>
      <c r="BX206" s="288"/>
      <c r="CM206" s="168"/>
    </row>
    <row r="207" spans="1:91">
      <c r="A207" s="280" t="str">
        <f t="shared" si="196"/>
        <v/>
      </c>
      <c r="B207" s="195">
        <f t="shared" si="196"/>
        <v>90</v>
      </c>
      <c r="C207" s="196">
        <f t="shared" si="196"/>
        <v>140</v>
      </c>
      <c r="D207" s="196">
        <f t="shared" si="196"/>
        <v>1080</v>
      </c>
      <c r="E207" s="197">
        <f t="shared" si="196"/>
        <v>50</v>
      </c>
      <c r="F207" s="168"/>
      <c r="G207" s="195">
        <f t="shared" si="197"/>
        <v>90</v>
      </c>
      <c r="H207" s="196">
        <f t="shared" si="197"/>
        <v>140</v>
      </c>
      <c r="I207" s="196">
        <f t="shared" si="197"/>
        <v>840</v>
      </c>
      <c r="J207" s="197">
        <f t="shared" si="197"/>
        <v>50</v>
      </c>
      <c r="K207" s="168"/>
      <c r="L207" s="195">
        <f t="shared" si="198"/>
        <v>90</v>
      </c>
      <c r="M207" s="196">
        <f t="shared" si="198"/>
        <v>140</v>
      </c>
      <c r="N207" s="196">
        <f t="shared" si="198"/>
        <v>780</v>
      </c>
      <c r="O207" s="197">
        <f t="shared" si="198"/>
        <v>50</v>
      </c>
      <c r="P207" s="168"/>
      <c r="Q207" s="195">
        <f t="shared" si="199"/>
        <v>90</v>
      </c>
      <c r="R207" s="196">
        <f t="shared" si="199"/>
        <v>140</v>
      </c>
      <c r="S207" s="196">
        <f t="shared" si="199"/>
        <v>720</v>
      </c>
      <c r="T207" s="197">
        <f t="shared" si="199"/>
        <v>50</v>
      </c>
      <c r="U207" s="168"/>
      <c r="V207" s="195">
        <f t="shared" si="200"/>
        <v>90</v>
      </c>
      <c r="W207" s="196">
        <f t="shared" si="200"/>
        <v>140</v>
      </c>
      <c r="X207" s="196">
        <f t="shared" si="200"/>
        <v>600</v>
      </c>
      <c r="Y207" s="197">
        <f t="shared" si="200"/>
        <v>50</v>
      </c>
      <c r="Z207" s="168"/>
      <c r="AA207" s="195">
        <f t="shared" si="201"/>
        <v>90</v>
      </c>
      <c r="AB207" s="196">
        <f t="shared" si="201"/>
        <v>140</v>
      </c>
      <c r="AC207" s="196">
        <f t="shared" si="201"/>
        <v>540</v>
      </c>
      <c r="AD207" s="197">
        <f t="shared" si="201"/>
        <v>50</v>
      </c>
      <c r="AE207" s="168"/>
      <c r="AF207" s="195">
        <f t="shared" si="202"/>
        <v>90</v>
      </c>
      <c r="AG207" s="196">
        <f t="shared" si="202"/>
        <v>140</v>
      </c>
      <c r="AH207" s="196">
        <f t="shared" si="202"/>
        <v>420</v>
      </c>
      <c r="AI207" s="197">
        <f t="shared" si="202"/>
        <v>50</v>
      </c>
      <c r="AJ207" s="168"/>
      <c r="AK207" s="195">
        <f t="shared" si="203"/>
        <v>90</v>
      </c>
      <c r="AL207" s="196">
        <f t="shared" si="203"/>
        <v>140</v>
      </c>
      <c r="AM207" s="196">
        <f t="shared" si="203"/>
        <v>300</v>
      </c>
      <c r="AN207" s="197">
        <f t="shared" si="203"/>
        <v>50</v>
      </c>
      <c r="AO207" s="168"/>
      <c r="AP207" s="195">
        <f t="shared" si="204"/>
        <v>90</v>
      </c>
      <c r="AQ207" s="196">
        <f t="shared" si="204"/>
        <v>140</v>
      </c>
      <c r="AR207" s="196">
        <f t="shared" si="204"/>
        <v>1015</v>
      </c>
      <c r="AS207" s="197">
        <f t="shared" si="204"/>
        <v>50</v>
      </c>
      <c r="AT207" s="277"/>
      <c r="AU207" s="195" t="str">
        <f t="shared" si="205"/>
        <v/>
      </c>
      <c r="AV207" s="196" t="str">
        <f t="shared" si="205"/>
        <v/>
      </c>
      <c r="AW207" s="196" t="str">
        <f t="shared" si="205"/>
        <v/>
      </c>
      <c r="AX207" s="197" t="str">
        <f t="shared" si="205"/>
        <v/>
      </c>
      <c r="AY207" s="168"/>
      <c r="AZ207" s="195" t="str">
        <f t="shared" si="206"/>
        <v/>
      </c>
      <c r="BA207" s="196" t="str">
        <f t="shared" si="206"/>
        <v/>
      </c>
      <c r="BB207" s="196" t="str">
        <f t="shared" si="206"/>
        <v/>
      </c>
      <c r="BC207" s="197" t="str">
        <f t="shared" si="206"/>
        <v/>
      </c>
      <c r="BD207" s="168"/>
      <c r="BE207" s="195" t="str">
        <f t="shared" si="207"/>
        <v/>
      </c>
      <c r="BF207" s="196" t="str">
        <f t="shared" si="207"/>
        <v/>
      </c>
      <c r="BG207" s="196" t="str">
        <f t="shared" si="207"/>
        <v/>
      </c>
      <c r="BH207" s="197" t="str">
        <f t="shared" si="207"/>
        <v/>
      </c>
      <c r="BI207" s="277"/>
      <c r="BJ207" s="195" t="str">
        <f t="shared" si="208"/>
        <v/>
      </c>
      <c r="BK207" s="196" t="str">
        <f t="shared" si="208"/>
        <v/>
      </c>
      <c r="BL207" s="196" t="str">
        <f t="shared" si="208"/>
        <v/>
      </c>
      <c r="BM207" s="197" t="str">
        <f t="shared" si="208"/>
        <v/>
      </c>
      <c r="BN207" s="168"/>
      <c r="BO207" s="195" t="str">
        <f t="shared" si="209"/>
        <v/>
      </c>
      <c r="BP207" s="196" t="str">
        <f t="shared" si="209"/>
        <v/>
      </c>
      <c r="BQ207" s="196" t="str">
        <f t="shared" si="209"/>
        <v/>
      </c>
      <c r="BR207" s="197" t="str">
        <f t="shared" si="209"/>
        <v/>
      </c>
      <c r="BS207" s="168"/>
      <c r="BT207" s="195" t="str">
        <f t="shared" si="210"/>
        <v/>
      </c>
      <c r="BU207" s="196" t="str">
        <f t="shared" si="210"/>
        <v/>
      </c>
      <c r="BV207" s="196" t="str">
        <f t="shared" si="210"/>
        <v/>
      </c>
      <c r="BW207" s="197" t="str">
        <f t="shared" si="210"/>
        <v/>
      </c>
      <c r="BX207" s="288"/>
      <c r="CM207" s="168"/>
    </row>
    <row r="208" spans="1:91">
      <c r="A208" s="280" t="str">
        <f t="shared" si="196"/>
        <v>GP</v>
      </c>
      <c r="B208" s="182">
        <f t="shared" si="196"/>
        <v>90</v>
      </c>
      <c r="C208" s="170">
        <f t="shared" si="196"/>
        <v>10.5</v>
      </c>
      <c r="D208" s="170">
        <f t="shared" si="196"/>
        <v>80</v>
      </c>
      <c r="E208" s="177">
        <f t="shared" si="196"/>
        <v>20</v>
      </c>
      <c r="F208" s="168"/>
      <c r="G208" s="182">
        <f t="shared" si="197"/>
        <v>90</v>
      </c>
      <c r="H208" s="170">
        <f t="shared" si="197"/>
        <v>10.5</v>
      </c>
      <c r="I208" s="170">
        <f t="shared" si="197"/>
        <v>80</v>
      </c>
      <c r="J208" s="177">
        <f t="shared" si="197"/>
        <v>20</v>
      </c>
      <c r="K208" s="168"/>
      <c r="L208" s="182">
        <f t="shared" si="198"/>
        <v>90</v>
      </c>
      <c r="M208" s="170">
        <f t="shared" si="198"/>
        <v>10.5</v>
      </c>
      <c r="N208" s="170">
        <f t="shared" si="198"/>
        <v>80</v>
      </c>
      <c r="O208" s="177">
        <f t="shared" si="198"/>
        <v>20</v>
      </c>
      <c r="P208" s="168"/>
      <c r="Q208" s="182">
        <f t="shared" si="199"/>
        <v>90</v>
      </c>
      <c r="R208" s="170">
        <f t="shared" si="199"/>
        <v>10.5</v>
      </c>
      <c r="S208" s="170">
        <f t="shared" si="199"/>
        <v>80</v>
      </c>
      <c r="T208" s="177">
        <f t="shared" si="199"/>
        <v>20</v>
      </c>
      <c r="U208" s="168"/>
      <c r="V208" s="182">
        <f t="shared" si="200"/>
        <v>90</v>
      </c>
      <c r="W208" s="170">
        <f t="shared" si="200"/>
        <v>10.5</v>
      </c>
      <c r="X208" s="170">
        <f t="shared" si="200"/>
        <v>80</v>
      </c>
      <c r="Y208" s="177">
        <f t="shared" si="200"/>
        <v>20</v>
      </c>
      <c r="Z208" s="168"/>
      <c r="AA208" s="182">
        <f t="shared" si="201"/>
        <v>90</v>
      </c>
      <c r="AB208" s="170">
        <f t="shared" si="201"/>
        <v>10.5</v>
      </c>
      <c r="AC208" s="170">
        <f t="shared" si="201"/>
        <v>80</v>
      </c>
      <c r="AD208" s="177">
        <f t="shared" si="201"/>
        <v>20</v>
      </c>
      <c r="AE208" s="168"/>
      <c r="AF208" s="182">
        <f t="shared" si="202"/>
        <v>90</v>
      </c>
      <c r="AG208" s="170">
        <f t="shared" si="202"/>
        <v>10.5</v>
      </c>
      <c r="AH208" s="170">
        <f t="shared" si="202"/>
        <v>80</v>
      </c>
      <c r="AI208" s="177">
        <f t="shared" si="202"/>
        <v>20</v>
      </c>
      <c r="AJ208" s="168"/>
      <c r="AK208" s="182">
        <f t="shared" si="203"/>
        <v>90</v>
      </c>
      <c r="AL208" s="170">
        <f t="shared" si="203"/>
        <v>10.5</v>
      </c>
      <c r="AM208" s="170">
        <f t="shared" si="203"/>
        <v>80</v>
      </c>
      <c r="AN208" s="177">
        <f t="shared" si="203"/>
        <v>20</v>
      </c>
      <c r="AO208" s="168"/>
      <c r="AP208" s="182">
        <f t="shared" si="204"/>
        <v>90</v>
      </c>
      <c r="AQ208" s="170">
        <f t="shared" si="204"/>
        <v>10.5</v>
      </c>
      <c r="AR208" s="170">
        <f t="shared" si="204"/>
        <v>230</v>
      </c>
      <c r="AS208" s="177">
        <f t="shared" si="204"/>
        <v>20</v>
      </c>
      <c r="AT208" s="277"/>
      <c r="AU208" s="182">
        <f t="shared" si="205"/>
        <v>90</v>
      </c>
      <c r="AV208" s="170">
        <f t="shared" si="205"/>
        <v>10.8</v>
      </c>
      <c r="AW208" s="170">
        <f t="shared" si="205"/>
        <v>80</v>
      </c>
      <c r="AX208" s="177">
        <f t="shared" si="205"/>
        <v>16.5</v>
      </c>
      <c r="AY208" s="168"/>
      <c r="AZ208" s="182">
        <f t="shared" si="206"/>
        <v>90</v>
      </c>
      <c r="BA208" s="170">
        <f t="shared" si="206"/>
        <v>10.8</v>
      </c>
      <c r="BB208" s="170">
        <f t="shared" si="206"/>
        <v>80</v>
      </c>
      <c r="BC208" s="177">
        <f t="shared" si="206"/>
        <v>16.5</v>
      </c>
      <c r="BD208" s="168"/>
      <c r="BE208" s="182">
        <f t="shared" si="207"/>
        <v>90</v>
      </c>
      <c r="BF208" s="170">
        <f t="shared" si="207"/>
        <v>10.8</v>
      </c>
      <c r="BG208" s="170">
        <f t="shared" si="207"/>
        <v>80</v>
      </c>
      <c r="BH208" s="177">
        <f t="shared" si="207"/>
        <v>16.5</v>
      </c>
      <c r="BI208" s="277"/>
      <c r="BJ208" s="182">
        <f t="shared" si="208"/>
        <v>90</v>
      </c>
      <c r="BK208" s="170">
        <f t="shared" si="208"/>
        <v>9.75</v>
      </c>
      <c r="BL208" s="170">
        <f t="shared" si="208"/>
        <v>60</v>
      </c>
      <c r="BM208" s="177">
        <f t="shared" si="208"/>
        <v>16.5</v>
      </c>
      <c r="BN208" s="168"/>
      <c r="BO208" s="182">
        <f t="shared" si="209"/>
        <v>90</v>
      </c>
      <c r="BP208" s="170">
        <f t="shared" si="209"/>
        <v>9.75</v>
      </c>
      <c r="BQ208" s="170">
        <f t="shared" si="209"/>
        <v>60</v>
      </c>
      <c r="BR208" s="177">
        <f t="shared" si="209"/>
        <v>16.5</v>
      </c>
      <c r="BS208" s="168"/>
      <c r="BT208" s="182">
        <f t="shared" si="210"/>
        <v>90</v>
      </c>
      <c r="BU208" s="170">
        <f t="shared" si="210"/>
        <v>9.75</v>
      </c>
      <c r="BV208" s="170">
        <f t="shared" si="210"/>
        <v>60</v>
      </c>
      <c r="BW208" s="177">
        <f t="shared" si="210"/>
        <v>16.5</v>
      </c>
      <c r="BX208" s="288"/>
      <c r="CM208" s="168"/>
    </row>
    <row r="209" spans="1:91">
      <c r="A209" s="280" t="str">
        <f t="shared" si="196"/>
        <v/>
      </c>
      <c r="B209" s="183">
        <f t="shared" si="196"/>
        <v>90</v>
      </c>
      <c r="C209" s="171">
        <f t="shared" si="196"/>
        <v>32</v>
      </c>
      <c r="D209" s="171">
        <f t="shared" si="196"/>
        <v>65</v>
      </c>
      <c r="E209" s="178">
        <f t="shared" si="196"/>
        <v>14</v>
      </c>
      <c r="F209" s="168"/>
      <c r="G209" s="183">
        <f t="shared" si="197"/>
        <v>90</v>
      </c>
      <c r="H209" s="171">
        <f t="shared" si="197"/>
        <v>32</v>
      </c>
      <c r="I209" s="171">
        <f t="shared" si="197"/>
        <v>65</v>
      </c>
      <c r="J209" s="178">
        <f t="shared" si="197"/>
        <v>14</v>
      </c>
      <c r="K209" s="168"/>
      <c r="L209" s="183">
        <f t="shared" si="198"/>
        <v>90</v>
      </c>
      <c r="M209" s="171">
        <f t="shared" si="198"/>
        <v>32</v>
      </c>
      <c r="N209" s="171">
        <f t="shared" si="198"/>
        <v>65</v>
      </c>
      <c r="O209" s="178">
        <f t="shared" si="198"/>
        <v>14</v>
      </c>
      <c r="P209" s="168"/>
      <c r="Q209" s="183">
        <f t="shared" si="199"/>
        <v>90</v>
      </c>
      <c r="R209" s="171">
        <f t="shared" si="199"/>
        <v>32</v>
      </c>
      <c r="S209" s="171">
        <f t="shared" si="199"/>
        <v>65</v>
      </c>
      <c r="T209" s="178">
        <f t="shared" si="199"/>
        <v>14</v>
      </c>
      <c r="U209" s="168"/>
      <c r="V209" s="183">
        <f t="shared" si="200"/>
        <v>90</v>
      </c>
      <c r="W209" s="171">
        <f t="shared" si="200"/>
        <v>32</v>
      </c>
      <c r="X209" s="171">
        <f t="shared" si="200"/>
        <v>65</v>
      </c>
      <c r="Y209" s="178">
        <f t="shared" si="200"/>
        <v>14</v>
      </c>
      <c r="Z209" s="168"/>
      <c r="AA209" s="183">
        <f t="shared" si="201"/>
        <v>90</v>
      </c>
      <c r="AB209" s="171">
        <f t="shared" si="201"/>
        <v>32</v>
      </c>
      <c r="AC209" s="171">
        <f t="shared" si="201"/>
        <v>65</v>
      </c>
      <c r="AD209" s="178">
        <f t="shared" si="201"/>
        <v>14</v>
      </c>
      <c r="AE209" s="168"/>
      <c r="AF209" s="183">
        <f t="shared" si="202"/>
        <v>90</v>
      </c>
      <c r="AG209" s="171">
        <f t="shared" si="202"/>
        <v>32</v>
      </c>
      <c r="AH209" s="171">
        <f t="shared" si="202"/>
        <v>65</v>
      </c>
      <c r="AI209" s="178">
        <f t="shared" si="202"/>
        <v>14</v>
      </c>
      <c r="AJ209" s="168"/>
      <c r="AK209" s="183">
        <f t="shared" si="203"/>
        <v>90</v>
      </c>
      <c r="AL209" s="171">
        <f t="shared" si="203"/>
        <v>32</v>
      </c>
      <c r="AM209" s="171">
        <f t="shared" si="203"/>
        <v>65</v>
      </c>
      <c r="AN209" s="178">
        <f t="shared" si="203"/>
        <v>14</v>
      </c>
      <c r="AO209" s="168"/>
      <c r="AP209" s="183">
        <f t="shared" si="204"/>
        <v>90</v>
      </c>
      <c r="AQ209" s="171">
        <f t="shared" si="204"/>
        <v>32</v>
      </c>
      <c r="AR209" s="171">
        <f t="shared" si="204"/>
        <v>215</v>
      </c>
      <c r="AS209" s="178">
        <f t="shared" si="204"/>
        <v>14</v>
      </c>
      <c r="AT209" s="277"/>
      <c r="AU209" s="183">
        <f t="shared" si="205"/>
        <v>90</v>
      </c>
      <c r="AV209" s="171">
        <f t="shared" si="205"/>
        <v>30</v>
      </c>
      <c r="AW209" s="171">
        <f t="shared" si="205"/>
        <v>65</v>
      </c>
      <c r="AX209" s="178">
        <f t="shared" si="205"/>
        <v>14</v>
      </c>
      <c r="AY209" s="168"/>
      <c r="AZ209" s="183">
        <f t="shared" si="206"/>
        <v>90</v>
      </c>
      <c r="BA209" s="171">
        <f t="shared" si="206"/>
        <v>30</v>
      </c>
      <c r="BB209" s="171">
        <f t="shared" si="206"/>
        <v>65</v>
      </c>
      <c r="BC209" s="178">
        <f t="shared" si="206"/>
        <v>14</v>
      </c>
      <c r="BD209" s="168"/>
      <c r="BE209" s="183">
        <f t="shared" si="207"/>
        <v>90</v>
      </c>
      <c r="BF209" s="171">
        <f t="shared" si="207"/>
        <v>30</v>
      </c>
      <c r="BG209" s="171">
        <f t="shared" si="207"/>
        <v>65</v>
      </c>
      <c r="BH209" s="178">
        <f t="shared" si="207"/>
        <v>14</v>
      </c>
      <c r="BI209" s="277"/>
      <c r="BJ209" s="183">
        <f t="shared" si="208"/>
        <v>90</v>
      </c>
      <c r="BK209" s="171">
        <f t="shared" si="208"/>
        <v>30</v>
      </c>
      <c r="BL209" s="171">
        <f t="shared" si="208"/>
        <v>70</v>
      </c>
      <c r="BM209" s="178">
        <f t="shared" si="208"/>
        <v>14</v>
      </c>
      <c r="BN209" s="168"/>
      <c r="BO209" s="183">
        <f t="shared" si="209"/>
        <v>90</v>
      </c>
      <c r="BP209" s="171">
        <f t="shared" si="209"/>
        <v>30</v>
      </c>
      <c r="BQ209" s="171">
        <f t="shared" si="209"/>
        <v>70</v>
      </c>
      <c r="BR209" s="178">
        <f t="shared" si="209"/>
        <v>14</v>
      </c>
      <c r="BS209" s="168"/>
      <c r="BT209" s="183">
        <f t="shared" si="210"/>
        <v>90</v>
      </c>
      <c r="BU209" s="171">
        <f t="shared" si="210"/>
        <v>30</v>
      </c>
      <c r="BV209" s="171">
        <f t="shared" si="210"/>
        <v>70</v>
      </c>
      <c r="BW209" s="178">
        <f t="shared" si="210"/>
        <v>14</v>
      </c>
      <c r="BX209" s="288"/>
      <c r="CM209" s="168"/>
    </row>
    <row r="210" spans="1:91">
      <c r="A210" s="284" t="str">
        <f t="shared" si="196"/>
        <v/>
      </c>
      <c r="B210" s="183">
        <f t="shared" si="196"/>
        <v>90</v>
      </c>
      <c r="C210" s="171">
        <f t="shared" si="196"/>
        <v>75</v>
      </c>
      <c r="D210" s="171">
        <f t="shared" si="196"/>
        <v>75</v>
      </c>
      <c r="E210" s="178">
        <f t="shared" si="196"/>
        <v>14</v>
      </c>
      <c r="F210" s="168"/>
      <c r="G210" s="183">
        <f t="shared" si="197"/>
        <v>90</v>
      </c>
      <c r="H210" s="171">
        <f t="shared" si="197"/>
        <v>75</v>
      </c>
      <c r="I210" s="171">
        <f t="shared" si="197"/>
        <v>75</v>
      </c>
      <c r="J210" s="178">
        <f t="shared" si="197"/>
        <v>14</v>
      </c>
      <c r="K210" s="168"/>
      <c r="L210" s="183">
        <f t="shared" si="198"/>
        <v>90</v>
      </c>
      <c r="M210" s="171">
        <f t="shared" si="198"/>
        <v>75</v>
      </c>
      <c r="N210" s="171">
        <f t="shared" si="198"/>
        <v>75</v>
      </c>
      <c r="O210" s="178">
        <f t="shared" si="198"/>
        <v>14</v>
      </c>
      <c r="P210" s="168"/>
      <c r="Q210" s="183">
        <f t="shared" si="199"/>
        <v>90</v>
      </c>
      <c r="R210" s="171">
        <f t="shared" si="199"/>
        <v>75</v>
      </c>
      <c r="S210" s="171">
        <f t="shared" si="199"/>
        <v>75</v>
      </c>
      <c r="T210" s="178">
        <f t="shared" si="199"/>
        <v>14</v>
      </c>
      <c r="U210" s="168"/>
      <c r="V210" s="183">
        <f t="shared" si="200"/>
        <v>90</v>
      </c>
      <c r="W210" s="171">
        <f t="shared" si="200"/>
        <v>75</v>
      </c>
      <c r="X210" s="171">
        <f t="shared" si="200"/>
        <v>75</v>
      </c>
      <c r="Y210" s="178">
        <f t="shared" si="200"/>
        <v>14</v>
      </c>
      <c r="Z210" s="168"/>
      <c r="AA210" s="183">
        <f t="shared" si="201"/>
        <v>90</v>
      </c>
      <c r="AB210" s="171">
        <f t="shared" si="201"/>
        <v>75</v>
      </c>
      <c r="AC210" s="171">
        <f t="shared" si="201"/>
        <v>75</v>
      </c>
      <c r="AD210" s="178">
        <f t="shared" si="201"/>
        <v>14</v>
      </c>
      <c r="AE210" s="168"/>
      <c r="AF210" s="183">
        <f t="shared" si="202"/>
        <v>90</v>
      </c>
      <c r="AG210" s="171">
        <f t="shared" si="202"/>
        <v>75</v>
      </c>
      <c r="AH210" s="171">
        <f t="shared" si="202"/>
        <v>75</v>
      </c>
      <c r="AI210" s="178">
        <f t="shared" si="202"/>
        <v>14</v>
      </c>
      <c r="AJ210" s="168"/>
      <c r="AK210" s="183">
        <f t="shared" si="203"/>
        <v>90</v>
      </c>
      <c r="AL210" s="171">
        <f t="shared" si="203"/>
        <v>75</v>
      </c>
      <c r="AM210" s="171">
        <f t="shared" si="203"/>
        <v>75</v>
      </c>
      <c r="AN210" s="178">
        <f t="shared" si="203"/>
        <v>14</v>
      </c>
      <c r="AO210" s="168"/>
      <c r="AP210" s="183">
        <f t="shared" si="204"/>
        <v>90</v>
      </c>
      <c r="AQ210" s="171">
        <f t="shared" si="204"/>
        <v>75</v>
      </c>
      <c r="AR210" s="171">
        <f t="shared" si="204"/>
        <v>225</v>
      </c>
      <c r="AS210" s="178">
        <f t="shared" si="204"/>
        <v>14</v>
      </c>
      <c r="AT210" s="277"/>
      <c r="AU210" s="183">
        <f t="shared" si="205"/>
        <v>90</v>
      </c>
      <c r="AV210" s="171">
        <f t="shared" si="205"/>
        <v>70</v>
      </c>
      <c r="AW210" s="171">
        <f t="shared" si="205"/>
        <v>65</v>
      </c>
      <c r="AX210" s="178">
        <f t="shared" si="205"/>
        <v>14</v>
      </c>
      <c r="AY210" s="168"/>
      <c r="AZ210" s="183">
        <f t="shared" si="206"/>
        <v>90</v>
      </c>
      <c r="BA210" s="171">
        <f t="shared" si="206"/>
        <v>70</v>
      </c>
      <c r="BB210" s="171">
        <f t="shared" si="206"/>
        <v>65</v>
      </c>
      <c r="BC210" s="178">
        <f t="shared" si="206"/>
        <v>14</v>
      </c>
      <c r="BD210" s="168"/>
      <c r="BE210" s="183">
        <f t="shared" si="207"/>
        <v>90</v>
      </c>
      <c r="BF210" s="171">
        <f t="shared" si="207"/>
        <v>70</v>
      </c>
      <c r="BG210" s="171">
        <f t="shared" si="207"/>
        <v>65</v>
      </c>
      <c r="BH210" s="178">
        <f t="shared" si="207"/>
        <v>14</v>
      </c>
      <c r="BI210" s="277"/>
      <c r="BJ210" s="183">
        <f t="shared" si="208"/>
        <v>90</v>
      </c>
      <c r="BK210" s="171">
        <f t="shared" si="208"/>
        <v>30</v>
      </c>
      <c r="BL210" s="171">
        <f t="shared" si="208"/>
        <v>480</v>
      </c>
      <c r="BM210" s="178">
        <f t="shared" si="208"/>
        <v>14</v>
      </c>
      <c r="BN210" s="168"/>
      <c r="BO210" s="183">
        <f t="shared" si="209"/>
        <v>90</v>
      </c>
      <c r="BP210" s="171">
        <f t="shared" si="209"/>
        <v>30</v>
      </c>
      <c r="BQ210" s="171">
        <f t="shared" si="209"/>
        <v>360</v>
      </c>
      <c r="BR210" s="178">
        <f t="shared" si="209"/>
        <v>14</v>
      </c>
      <c r="BS210" s="168"/>
      <c r="BT210" s="183">
        <f t="shared" si="210"/>
        <v>90</v>
      </c>
      <c r="BU210" s="171">
        <f t="shared" si="210"/>
        <v>30</v>
      </c>
      <c r="BV210" s="171">
        <f t="shared" si="210"/>
        <v>240</v>
      </c>
      <c r="BW210" s="178">
        <f t="shared" si="210"/>
        <v>14</v>
      </c>
      <c r="BX210" s="288"/>
      <c r="CM210" s="168"/>
    </row>
    <row r="211" spans="1:91">
      <c r="A211" s="284" t="str">
        <f t="shared" si="196"/>
        <v/>
      </c>
      <c r="B211" s="183">
        <f t="shared" si="196"/>
        <v>90</v>
      </c>
      <c r="C211" s="171">
        <f t="shared" si="196"/>
        <v>118</v>
      </c>
      <c r="D211" s="171">
        <f t="shared" si="196"/>
        <v>65</v>
      </c>
      <c r="E211" s="178">
        <f t="shared" si="196"/>
        <v>14</v>
      </c>
      <c r="F211" s="168"/>
      <c r="G211" s="183">
        <f t="shared" si="197"/>
        <v>90</v>
      </c>
      <c r="H211" s="171">
        <f t="shared" si="197"/>
        <v>118</v>
      </c>
      <c r="I211" s="171">
        <f t="shared" si="197"/>
        <v>65</v>
      </c>
      <c r="J211" s="178">
        <f t="shared" si="197"/>
        <v>14</v>
      </c>
      <c r="K211" s="168"/>
      <c r="L211" s="183">
        <f t="shared" si="198"/>
        <v>90</v>
      </c>
      <c r="M211" s="171">
        <f t="shared" si="198"/>
        <v>118</v>
      </c>
      <c r="N211" s="171">
        <f t="shared" si="198"/>
        <v>65</v>
      </c>
      <c r="O211" s="178">
        <f t="shared" si="198"/>
        <v>14</v>
      </c>
      <c r="P211" s="168"/>
      <c r="Q211" s="183">
        <f t="shared" si="199"/>
        <v>90</v>
      </c>
      <c r="R211" s="171">
        <f t="shared" si="199"/>
        <v>118</v>
      </c>
      <c r="S211" s="171">
        <f t="shared" si="199"/>
        <v>65</v>
      </c>
      <c r="T211" s="178">
        <f t="shared" si="199"/>
        <v>14</v>
      </c>
      <c r="U211" s="168"/>
      <c r="V211" s="183">
        <f t="shared" si="200"/>
        <v>90</v>
      </c>
      <c r="W211" s="171">
        <f t="shared" si="200"/>
        <v>118</v>
      </c>
      <c r="X211" s="171">
        <f t="shared" si="200"/>
        <v>65</v>
      </c>
      <c r="Y211" s="178">
        <f t="shared" si="200"/>
        <v>14</v>
      </c>
      <c r="Z211" s="168"/>
      <c r="AA211" s="183">
        <f t="shared" si="201"/>
        <v>90</v>
      </c>
      <c r="AB211" s="171">
        <f t="shared" si="201"/>
        <v>118</v>
      </c>
      <c r="AC211" s="171">
        <f t="shared" si="201"/>
        <v>65</v>
      </c>
      <c r="AD211" s="178">
        <f t="shared" si="201"/>
        <v>14</v>
      </c>
      <c r="AE211" s="168"/>
      <c r="AF211" s="183">
        <f t="shared" si="202"/>
        <v>90</v>
      </c>
      <c r="AG211" s="171">
        <f t="shared" si="202"/>
        <v>118</v>
      </c>
      <c r="AH211" s="171">
        <f t="shared" si="202"/>
        <v>65</v>
      </c>
      <c r="AI211" s="178">
        <f t="shared" si="202"/>
        <v>14</v>
      </c>
      <c r="AJ211" s="168"/>
      <c r="AK211" s="183">
        <f t="shared" si="203"/>
        <v>90</v>
      </c>
      <c r="AL211" s="171">
        <f t="shared" si="203"/>
        <v>118</v>
      </c>
      <c r="AM211" s="171">
        <f t="shared" si="203"/>
        <v>65</v>
      </c>
      <c r="AN211" s="178">
        <f t="shared" si="203"/>
        <v>14</v>
      </c>
      <c r="AO211" s="168"/>
      <c r="AP211" s="183">
        <f t="shared" si="204"/>
        <v>90</v>
      </c>
      <c r="AQ211" s="171">
        <f t="shared" si="204"/>
        <v>118</v>
      </c>
      <c r="AR211" s="171">
        <f t="shared" si="204"/>
        <v>215</v>
      </c>
      <c r="AS211" s="178">
        <f t="shared" si="204"/>
        <v>14</v>
      </c>
      <c r="AT211" s="277"/>
      <c r="AU211" s="183">
        <f t="shared" si="205"/>
        <v>90</v>
      </c>
      <c r="AV211" s="171">
        <f t="shared" si="205"/>
        <v>89.2</v>
      </c>
      <c r="AW211" s="171">
        <f t="shared" si="205"/>
        <v>80</v>
      </c>
      <c r="AX211" s="178">
        <f t="shared" si="205"/>
        <v>14</v>
      </c>
      <c r="AY211" s="168"/>
      <c r="AZ211" s="183">
        <f t="shared" si="206"/>
        <v>90</v>
      </c>
      <c r="BA211" s="171">
        <f t="shared" si="206"/>
        <v>89.2</v>
      </c>
      <c r="BB211" s="171">
        <f t="shared" si="206"/>
        <v>80</v>
      </c>
      <c r="BC211" s="178">
        <f t="shared" si="206"/>
        <v>14</v>
      </c>
      <c r="BD211" s="168"/>
      <c r="BE211" s="183">
        <f t="shared" si="207"/>
        <v>90</v>
      </c>
      <c r="BF211" s="171">
        <f t="shared" si="207"/>
        <v>89.2</v>
      </c>
      <c r="BG211" s="171">
        <f t="shared" si="207"/>
        <v>80</v>
      </c>
      <c r="BH211" s="178">
        <f t="shared" si="207"/>
        <v>14</v>
      </c>
      <c r="BI211" s="277"/>
      <c r="BJ211" s="183" t="str">
        <f t="shared" si="208"/>
        <v/>
      </c>
      <c r="BK211" s="171" t="str">
        <f t="shared" si="208"/>
        <v/>
      </c>
      <c r="BL211" s="171" t="str">
        <f t="shared" si="208"/>
        <v/>
      </c>
      <c r="BM211" s="178" t="str">
        <f t="shared" si="208"/>
        <v/>
      </c>
      <c r="BN211" s="168"/>
      <c r="BO211" s="183" t="str">
        <f t="shared" si="209"/>
        <v/>
      </c>
      <c r="BP211" s="171" t="str">
        <f t="shared" si="209"/>
        <v/>
      </c>
      <c r="BQ211" s="171" t="str">
        <f t="shared" si="209"/>
        <v/>
      </c>
      <c r="BR211" s="178" t="str">
        <f t="shared" si="209"/>
        <v/>
      </c>
      <c r="BS211" s="168"/>
      <c r="BT211" s="183" t="str">
        <f t="shared" si="210"/>
        <v/>
      </c>
      <c r="BU211" s="171" t="str">
        <f t="shared" si="210"/>
        <v/>
      </c>
      <c r="BV211" s="171" t="str">
        <f t="shared" si="210"/>
        <v/>
      </c>
      <c r="BW211" s="178" t="str">
        <f t="shared" si="210"/>
        <v/>
      </c>
      <c r="BX211" s="288"/>
      <c r="CM211" s="168"/>
    </row>
    <row r="212" spans="1:91">
      <c r="A212" s="284" t="str">
        <f t="shared" si="196"/>
        <v/>
      </c>
      <c r="B212" s="184">
        <f t="shared" si="196"/>
        <v>90</v>
      </c>
      <c r="C212" s="172">
        <f t="shared" si="196"/>
        <v>139.5</v>
      </c>
      <c r="D212" s="172">
        <f t="shared" si="196"/>
        <v>80</v>
      </c>
      <c r="E212" s="179">
        <f t="shared" si="196"/>
        <v>20</v>
      </c>
      <c r="F212" s="168"/>
      <c r="G212" s="184">
        <f t="shared" si="197"/>
        <v>90</v>
      </c>
      <c r="H212" s="172">
        <f t="shared" si="197"/>
        <v>139.5</v>
      </c>
      <c r="I212" s="172">
        <f t="shared" si="197"/>
        <v>80</v>
      </c>
      <c r="J212" s="179">
        <f t="shared" si="197"/>
        <v>20</v>
      </c>
      <c r="K212" s="168"/>
      <c r="L212" s="184">
        <f t="shared" si="198"/>
        <v>90</v>
      </c>
      <c r="M212" s="172">
        <f t="shared" si="198"/>
        <v>139.5</v>
      </c>
      <c r="N212" s="172">
        <f t="shared" si="198"/>
        <v>80</v>
      </c>
      <c r="O212" s="179">
        <f t="shared" si="198"/>
        <v>20</v>
      </c>
      <c r="P212" s="168"/>
      <c r="Q212" s="184">
        <f t="shared" si="199"/>
        <v>90</v>
      </c>
      <c r="R212" s="172">
        <f t="shared" si="199"/>
        <v>139.5</v>
      </c>
      <c r="S212" s="172">
        <f t="shared" si="199"/>
        <v>80</v>
      </c>
      <c r="T212" s="179">
        <f t="shared" si="199"/>
        <v>20</v>
      </c>
      <c r="U212" s="168"/>
      <c r="V212" s="184">
        <f t="shared" si="200"/>
        <v>90</v>
      </c>
      <c r="W212" s="172">
        <f t="shared" si="200"/>
        <v>139.5</v>
      </c>
      <c r="X212" s="172">
        <f t="shared" si="200"/>
        <v>80</v>
      </c>
      <c r="Y212" s="179">
        <f t="shared" si="200"/>
        <v>20</v>
      </c>
      <c r="Z212" s="168"/>
      <c r="AA212" s="184">
        <f t="shared" si="201"/>
        <v>90</v>
      </c>
      <c r="AB212" s="172">
        <f t="shared" si="201"/>
        <v>139.5</v>
      </c>
      <c r="AC212" s="172">
        <f t="shared" si="201"/>
        <v>80</v>
      </c>
      <c r="AD212" s="179">
        <f t="shared" si="201"/>
        <v>20</v>
      </c>
      <c r="AE212" s="168"/>
      <c r="AF212" s="184">
        <f t="shared" si="202"/>
        <v>90</v>
      </c>
      <c r="AG212" s="172">
        <f t="shared" si="202"/>
        <v>139.5</v>
      </c>
      <c r="AH212" s="172">
        <f t="shared" si="202"/>
        <v>80</v>
      </c>
      <c r="AI212" s="179">
        <f t="shared" si="202"/>
        <v>20</v>
      </c>
      <c r="AJ212" s="168"/>
      <c r="AK212" s="184">
        <f t="shared" si="203"/>
        <v>90</v>
      </c>
      <c r="AL212" s="172">
        <f t="shared" si="203"/>
        <v>139.5</v>
      </c>
      <c r="AM212" s="172">
        <f t="shared" si="203"/>
        <v>80</v>
      </c>
      <c r="AN212" s="179">
        <f t="shared" si="203"/>
        <v>20</v>
      </c>
      <c r="AO212" s="168"/>
      <c r="AP212" s="184">
        <f t="shared" si="204"/>
        <v>90</v>
      </c>
      <c r="AQ212" s="172">
        <f t="shared" si="204"/>
        <v>139.5</v>
      </c>
      <c r="AR212" s="172">
        <f t="shared" si="204"/>
        <v>230</v>
      </c>
      <c r="AS212" s="179">
        <f t="shared" si="204"/>
        <v>20</v>
      </c>
      <c r="AT212" s="277"/>
      <c r="AU212" s="184" t="str">
        <f t="shared" si="205"/>
        <v/>
      </c>
      <c r="AV212" s="172" t="str">
        <f t="shared" si="205"/>
        <v/>
      </c>
      <c r="AW212" s="172" t="str">
        <f t="shared" si="205"/>
        <v/>
      </c>
      <c r="AX212" s="179" t="str">
        <f t="shared" si="205"/>
        <v/>
      </c>
      <c r="AY212" s="168"/>
      <c r="AZ212" s="184" t="str">
        <f t="shared" si="206"/>
        <v/>
      </c>
      <c r="BA212" s="172" t="str">
        <f t="shared" si="206"/>
        <v/>
      </c>
      <c r="BB212" s="172" t="str">
        <f t="shared" si="206"/>
        <v/>
      </c>
      <c r="BC212" s="179" t="str">
        <f t="shared" si="206"/>
        <v/>
      </c>
      <c r="BD212" s="168"/>
      <c r="BE212" s="184" t="str">
        <f t="shared" si="207"/>
        <v/>
      </c>
      <c r="BF212" s="172" t="str">
        <f t="shared" si="207"/>
        <v/>
      </c>
      <c r="BG212" s="172" t="str">
        <f t="shared" si="207"/>
        <v/>
      </c>
      <c r="BH212" s="179" t="str">
        <f t="shared" si="207"/>
        <v/>
      </c>
      <c r="BI212" s="277"/>
      <c r="BJ212" s="184" t="str">
        <f t="shared" si="208"/>
        <v/>
      </c>
      <c r="BK212" s="172" t="str">
        <f t="shared" si="208"/>
        <v/>
      </c>
      <c r="BL212" s="172" t="str">
        <f t="shared" si="208"/>
        <v/>
      </c>
      <c r="BM212" s="179" t="str">
        <f t="shared" si="208"/>
        <v/>
      </c>
      <c r="BN212" s="168"/>
      <c r="BO212" s="184" t="str">
        <f t="shared" si="209"/>
        <v/>
      </c>
      <c r="BP212" s="172" t="str">
        <f t="shared" si="209"/>
        <v/>
      </c>
      <c r="BQ212" s="172" t="str">
        <f t="shared" si="209"/>
        <v/>
      </c>
      <c r="BR212" s="179" t="str">
        <f t="shared" si="209"/>
        <v/>
      </c>
      <c r="BS212" s="168"/>
      <c r="BT212" s="184" t="str">
        <f t="shared" si="210"/>
        <v/>
      </c>
      <c r="BU212" s="172" t="str">
        <f t="shared" si="210"/>
        <v/>
      </c>
      <c r="BV212" s="172" t="str">
        <f t="shared" si="210"/>
        <v/>
      </c>
      <c r="BW212" s="179" t="str">
        <f t="shared" si="210"/>
        <v/>
      </c>
      <c r="BX212" s="288"/>
      <c r="CM212" s="168"/>
    </row>
    <row r="213" spans="1:91">
      <c r="A213" s="284" t="str">
        <f t="shared" si="196"/>
        <v/>
      </c>
      <c r="B213" s="204">
        <f t="shared" si="196"/>
        <v>90</v>
      </c>
      <c r="C213" s="205">
        <f t="shared" si="196"/>
        <v>32</v>
      </c>
      <c r="D213" s="205">
        <f t="shared" si="196"/>
        <v>530</v>
      </c>
      <c r="E213" s="206">
        <f t="shared" si="196"/>
        <v>14</v>
      </c>
      <c r="F213" s="168"/>
      <c r="G213" s="204">
        <f t="shared" si="197"/>
        <v>90</v>
      </c>
      <c r="H213" s="205">
        <f t="shared" si="197"/>
        <v>32</v>
      </c>
      <c r="I213" s="205">
        <f t="shared" si="197"/>
        <v>420</v>
      </c>
      <c r="J213" s="206">
        <f t="shared" si="197"/>
        <v>14</v>
      </c>
      <c r="K213" s="168"/>
      <c r="L213" s="204">
        <f t="shared" si="198"/>
        <v>90</v>
      </c>
      <c r="M213" s="205">
        <f t="shared" si="198"/>
        <v>32</v>
      </c>
      <c r="N213" s="205">
        <f t="shared" si="198"/>
        <v>715</v>
      </c>
      <c r="O213" s="206">
        <f t="shared" si="198"/>
        <v>14</v>
      </c>
      <c r="P213" s="168"/>
      <c r="Q213" s="204">
        <f t="shared" si="199"/>
        <v>90</v>
      </c>
      <c r="R213" s="205">
        <f t="shared" si="199"/>
        <v>32</v>
      </c>
      <c r="S213" s="205">
        <f t="shared" si="199"/>
        <v>655</v>
      </c>
      <c r="T213" s="206">
        <f t="shared" si="199"/>
        <v>14</v>
      </c>
      <c r="U213" s="168"/>
      <c r="V213" s="204">
        <f t="shared" si="200"/>
        <v>90</v>
      </c>
      <c r="W213" s="205">
        <f t="shared" si="200"/>
        <v>32</v>
      </c>
      <c r="X213" s="205">
        <f t="shared" si="200"/>
        <v>535</v>
      </c>
      <c r="Y213" s="206">
        <f t="shared" si="200"/>
        <v>14</v>
      </c>
      <c r="Z213" s="168"/>
      <c r="AA213" s="204">
        <f t="shared" si="201"/>
        <v>90</v>
      </c>
      <c r="AB213" s="205">
        <f t="shared" si="201"/>
        <v>32</v>
      </c>
      <c r="AC213" s="205">
        <f t="shared" si="201"/>
        <v>475</v>
      </c>
      <c r="AD213" s="206">
        <f t="shared" si="201"/>
        <v>14</v>
      </c>
      <c r="AE213" s="168"/>
      <c r="AF213" s="204">
        <f t="shared" si="202"/>
        <v>90</v>
      </c>
      <c r="AG213" s="205">
        <f t="shared" si="202"/>
        <v>32</v>
      </c>
      <c r="AH213" s="205">
        <f t="shared" si="202"/>
        <v>355</v>
      </c>
      <c r="AI213" s="206">
        <f t="shared" si="202"/>
        <v>14</v>
      </c>
      <c r="AJ213" s="168"/>
      <c r="AK213" s="204">
        <f t="shared" si="203"/>
        <v>90</v>
      </c>
      <c r="AL213" s="205">
        <f t="shared" si="203"/>
        <v>32</v>
      </c>
      <c r="AM213" s="205">
        <f t="shared" si="203"/>
        <v>235</v>
      </c>
      <c r="AN213" s="206">
        <f t="shared" si="203"/>
        <v>14</v>
      </c>
      <c r="AO213" s="168"/>
      <c r="AP213" s="204">
        <f t="shared" si="204"/>
        <v>90</v>
      </c>
      <c r="AQ213" s="205">
        <f t="shared" si="204"/>
        <v>32</v>
      </c>
      <c r="AR213" s="205">
        <f t="shared" si="204"/>
        <v>805</v>
      </c>
      <c r="AS213" s="206">
        <f t="shared" si="204"/>
        <v>14</v>
      </c>
      <c r="AT213" s="277"/>
      <c r="AU213" s="204">
        <f t="shared" si="205"/>
        <v>90</v>
      </c>
      <c r="AV213" s="205">
        <f t="shared" si="205"/>
        <v>30</v>
      </c>
      <c r="AW213" s="205">
        <f t="shared" si="205"/>
        <v>475</v>
      </c>
      <c r="AX213" s="206">
        <f t="shared" si="205"/>
        <v>14</v>
      </c>
      <c r="AY213" s="168"/>
      <c r="AZ213" s="204">
        <f t="shared" si="206"/>
        <v>90</v>
      </c>
      <c r="BA213" s="205">
        <f t="shared" si="206"/>
        <v>30</v>
      </c>
      <c r="BB213" s="205">
        <f t="shared" si="206"/>
        <v>355</v>
      </c>
      <c r="BC213" s="206">
        <f t="shared" si="206"/>
        <v>14</v>
      </c>
      <c r="BD213" s="168"/>
      <c r="BE213" s="204">
        <f t="shared" si="207"/>
        <v>90</v>
      </c>
      <c r="BF213" s="205">
        <f t="shared" si="207"/>
        <v>30</v>
      </c>
      <c r="BG213" s="205">
        <f t="shared" si="207"/>
        <v>235</v>
      </c>
      <c r="BH213" s="206">
        <f t="shared" si="207"/>
        <v>14</v>
      </c>
      <c r="BI213" s="277"/>
      <c r="BJ213" s="204" t="str">
        <f t="shared" si="208"/>
        <v/>
      </c>
      <c r="BK213" s="205" t="str">
        <f t="shared" si="208"/>
        <v/>
      </c>
      <c r="BL213" s="205" t="str">
        <f t="shared" si="208"/>
        <v/>
      </c>
      <c r="BM213" s="206" t="str">
        <f t="shared" si="208"/>
        <v/>
      </c>
      <c r="BN213" s="168"/>
      <c r="BO213" s="204" t="str">
        <f t="shared" si="209"/>
        <v/>
      </c>
      <c r="BP213" s="205" t="str">
        <f t="shared" si="209"/>
        <v/>
      </c>
      <c r="BQ213" s="205" t="str">
        <f t="shared" si="209"/>
        <v/>
      </c>
      <c r="BR213" s="206" t="str">
        <f t="shared" si="209"/>
        <v/>
      </c>
      <c r="BS213" s="168"/>
      <c r="BT213" s="204" t="str">
        <f t="shared" si="210"/>
        <v/>
      </c>
      <c r="BU213" s="205" t="str">
        <f t="shared" si="210"/>
        <v/>
      </c>
      <c r="BV213" s="205" t="str">
        <f t="shared" si="210"/>
        <v/>
      </c>
      <c r="BW213" s="206" t="str">
        <f t="shared" si="210"/>
        <v/>
      </c>
      <c r="BX213" s="288"/>
      <c r="CM213" s="168"/>
    </row>
    <row r="214" spans="1:91">
      <c r="A214" s="284" t="str">
        <f t="shared" si="196"/>
        <v/>
      </c>
      <c r="B214" s="201">
        <f t="shared" si="196"/>
        <v>90</v>
      </c>
      <c r="C214" s="202">
        <f t="shared" si="196"/>
        <v>75</v>
      </c>
      <c r="D214" s="202">
        <f t="shared" si="196"/>
        <v>540</v>
      </c>
      <c r="E214" s="203">
        <f t="shared" si="196"/>
        <v>14</v>
      </c>
      <c r="F214" s="168"/>
      <c r="G214" s="201">
        <f t="shared" si="197"/>
        <v>90</v>
      </c>
      <c r="H214" s="202">
        <f t="shared" si="197"/>
        <v>75</v>
      </c>
      <c r="I214" s="202">
        <f t="shared" si="197"/>
        <v>430</v>
      </c>
      <c r="J214" s="203">
        <f t="shared" si="197"/>
        <v>14</v>
      </c>
      <c r="K214" s="168"/>
      <c r="L214" s="201">
        <f t="shared" si="198"/>
        <v>90</v>
      </c>
      <c r="M214" s="202">
        <f t="shared" si="198"/>
        <v>75</v>
      </c>
      <c r="N214" s="202">
        <f t="shared" si="198"/>
        <v>725</v>
      </c>
      <c r="O214" s="203">
        <f t="shared" si="198"/>
        <v>14</v>
      </c>
      <c r="P214" s="168"/>
      <c r="Q214" s="201">
        <f t="shared" si="199"/>
        <v>90</v>
      </c>
      <c r="R214" s="202">
        <f t="shared" si="199"/>
        <v>75</v>
      </c>
      <c r="S214" s="202">
        <f t="shared" si="199"/>
        <v>665</v>
      </c>
      <c r="T214" s="203">
        <f t="shared" si="199"/>
        <v>14</v>
      </c>
      <c r="U214" s="168"/>
      <c r="V214" s="201">
        <f t="shared" si="200"/>
        <v>90</v>
      </c>
      <c r="W214" s="202">
        <f t="shared" si="200"/>
        <v>75</v>
      </c>
      <c r="X214" s="202">
        <f t="shared" si="200"/>
        <v>545</v>
      </c>
      <c r="Y214" s="203">
        <f t="shared" si="200"/>
        <v>14</v>
      </c>
      <c r="Z214" s="168"/>
      <c r="AA214" s="201">
        <f t="shared" si="201"/>
        <v>90</v>
      </c>
      <c r="AB214" s="202">
        <f t="shared" si="201"/>
        <v>75</v>
      </c>
      <c r="AC214" s="202">
        <f t="shared" si="201"/>
        <v>485</v>
      </c>
      <c r="AD214" s="203">
        <f t="shared" si="201"/>
        <v>14</v>
      </c>
      <c r="AE214" s="168"/>
      <c r="AF214" s="201">
        <f t="shared" si="202"/>
        <v>90</v>
      </c>
      <c r="AG214" s="202">
        <f t="shared" si="202"/>
        <v>75</v>
      </c>
      <c r="AH214" s="202">
        <f t="shared" si="202"/>
        <v>365</v>
      </c>
      <c r="AI214" s="203">
        <f t="shared" si="202"/>
        <v>14</v>
      </c>
      <c r="AJ214" s="168"/>
      <c r="AK214" s="201">
        <f t="shared" si="203"/>
        <v>90</v>
      </c>
      <c r="AL214" s="202">
        <f t="shared" si="203"/>
        <v>75</v>
      </c>
      <c r="AM214" s="202">
        <f t="shared" si="203"/>
        <v>245</v>
      </c>
      <c r="AN214" s="203">
        <f t="shared" si="203"/>
        <v>14</v>
      </c>
      <c r="AO214" s="168"/>
      <c r="AP214" s="201">
        <f t="shared" si="204"/>
        <v>90</v>
      </c>
      <c r="AQ214" s="202">
        <f t="shared" si="204"/>
        <v>75</v>
      </c>
      <c r="AR214" s="202">
        <f t="shared" si="204"/>
        <v>815</v>
      </c>
      <c r="AS214" s="203">
        <f t="shared" si="204"/>
        <v>14</v>
      </c>
      <c r="AT214" s="277"/>
      <c r="AU214" s="201">
        <f t="shared" si="205"/>
        <v>90</v>
      </c>
      <c r="AV214" s="202">
        <f t="shared" si="205"/>
        <v>70</v>
      </c>
      <c r="AW214" s="202">
        <f t="shared" si="205"/>
        <v>475</v>
      </c>
      <c r="AX214" s="203">
        <f t="shared" si="205"/>
        <v>14</v>
      </c>
      <c r="AY214" s="168"/>
      <c r="AZ214" s="201">
        <f t="shared" si="206"/>
        <v>90</v>
      </c>
      <c r="BA214" s="202">
        <f t="shared" si="206"/>
        <v>70</v>
      </c>
      <c r="BB214" s="202">
        <f t="shared" si="206"/>
        <v>355</v>
      </c>
      <c r="BC214" s="203">
        <f t="shared" si="206"/>
        <v>14</v>
      </c>
      <c r="BD214" s="168"/>
      <c r="BE214" s="201">
        <f t="shared" si="207"/>
        <v>90</v>
      </c>
      <c r="BF214" s="202">
        <f t="shared" si="207"/>
        <v>70</v>
      </c>
      <c r="BG214" s="202">
        <f t="shared" si="207"/>
        <v>235</v>
      </c>
      <c r="BH214" s="203">
        <f t="shared" si="207"/>
        <v>14</v>
      </c>
      <c r="BI214" s="277"/>
      <c r="BJ214" s="201" t="str">
        <f t="shared" si="208"/>
        <v/>
      </c>
      <c r="BK214" s="202" t="str">
        <f t="shared" si="208"/>
        <v/>
      </c>
      <c r="BL214" s="202" t="str">
        <f t="shared" si="208"/>
        <v/>
      </c>
      <c r="BM214" s="203" t="str">
        <f t="shared" si="208"/>
        <v/>
      </c>
      <c r="BN214" s="168"/>
      <c r="BO214" s="201" t="str">
        <f t="shared" si="209"/>
        <v/>
      </c>
      <c r="BP214" s="202" t="str">
        <f t="shared" si="209"/>
        <v/>
      </c>
      <c r="BQ214" s="202" t="str">
        <f t="shared" si="209"/>
        <v/>
      </c>
      <c r="BR214" s="203" t="str">
        <f t="shared" si="209"/>
        <v/>
      </c>
      <c r="BS214" s="168"/>
      <c r="BT214" s="201" t="str">
        <f t="shared" si="210"/>
        <v/>
      </c>
      <c r="BU214" s="202" t="str">
        <f t="shared" si="210"/>
        <v/>
      </c>
      <c r="BV214" s="202" t="str">
        <f t="shared" si="210"/>
        <v/>
      </c>
      <c r="BW214" s="203" t="str">
        <f t="shared" si="210"/>
        <v/>
      </c>
      <c r="BX214" s="288"/>
      <c r="CM214" s="168"/>
    </row>
    <row r="215" spans="1:91">
      <c r="A215" s="284" t="str">
        <f t="shared" si="196"/>
        <v/>
      </c>
      <c r="B215" s="207">
        <f t="shared" si="196"/>
        <v>90</v>
      </c>
      <c r="C215" s="208">
        <f t="shared" si="196"/>
        <v>118</v>
      </c>
      <c r="D215" s="208">
        <f t="shared" si="196"/>
        <v>530</v>
      </c>
      <c r="E215" s="209">
        <f t="shared" si="196"/>
        <v>14</v>
      </c>
      <c r="F215" s="168"/>
      <c r="G215" s="207">
        <f t="shared" si="197"/>
        <v>90</v>
      </c>
      <c r="H215" s="208">
        <f t="shared" si="197"/>
        <v>118</v>
      </c>
      <c r="I215" s="208">
        <f t="shared" si="197"/>
        <v>420</v>
      </c>
      <c r="J215" s="209">
        <f t="shared" si="197"/>
        <v>14</v>
      </c>
      <c r="K215" s="168"/>
      <c r="L215" s="207">
        <f t="shared" si="198"/>
        <v>90</v>
      </c>
      <c r="M215" s="208">
        <f t="shared" si="198"/>
        <v>118</v>
      </c>
      <c r="N215" s="208">
        <f t="shared" si="198"/>
        <v>715</v>
      </c>
      <c r="O215" s="209">
        <f t="shared" si="198"/>
        <v>14</v>
      </c>
      <c r="P215" s="168"/>
      <c r="Q215" s="207">
        <f t="shared" si="199"/>
        <v>90</v>
      </c>
      <c r="R215" s="208">
        <f t="shared" si="199"/>
        <v>118</v>
      </c>
      <c r="S215" s="208">
        <f t="shared" si="199"/>
        <v>655</v>
      </c>
      <c r="T215" s="209">
        <f t="shared" si="199"/>
        <v>14</v>
      </c>
      <c r="U215" s="168"/>
      <c r="V215" s="207">
        <f t="shared" si="200"/>
        <v>90</v>
      </c>
      <c r="W215" s="208">
        <f t="shared" si="200"/>
        <v>118</v>
      </c>
      <c r="X215" s="208">
        <f t="shared" si="200"/>
        <v>535</v>
      </c>
      <c r="Y215" s="209">
        <f t="shared" si="200"/>
        <v>14</v>
      </c>
      <c r="Z215" s="168"/>
      <c r="AA215" s="207">
        <f t="shared" si="201"/>
        <v>90</v>
      </c>
      <c r="AB215" s="208">
        <f t="shared" si="201"/>
        <v>118</v>
      </c>
      <c r="AC215" s="208">
        <f t="shared" si="201"/>
        <v>475</v>
      </c>
      <c r="AD215" s="209">
        <f t="shared" si="201"/>
        <v>14</v>
      </c>
      <c r="AE215" s="168"/>
      <c r="AF215" s="207">
        <f t="shared" si="202"/>
        <v>90</v>
      </c>
      <c r="AG215" s="208">
        <f t="shared" si="202"/>
        <v>118</v>
      </c>
      <c r="AH215" s="208">
        <f t="shared" si="202"/>
        <v>355</v>
      </c>
      <c r="AI215" s="209">
        <f t="shared" si="202"/>
        <v>14</v>
      </c>
      <c r="AJ215" s="168"/>
      <c r="AK215" s="207">
        <f t="shared" si="203"/>
        <v>90</v>
      </c>
      <c r="AL215" s="208">
        <f t="shared" si="203"/>
        <v>118</v>
      </c>
      <c r="AM215" s="208">
        <f t="shared" si="203"/>
        <v>235</v>
      </c>
      <c r="AN215" s="209">
        <f t="shared" si="203"/>
        <v>14</v>
      </c>
      <c r="AO215" s="168"/>
      <c r="AP215" s="207">
        <f t="shared" si="204"/>
        <v>90</v>
      </c>
      <c r="AQ215" s="208">
        <f t="shared" si="204"/>
        <v>118</v>
      </c>
      <c r="AR215" s="208">
        <f t="shared" si="204"/>
        <v>805</v>
      </c>
      <c r="AS215" s="209">
        <f t="shared" si="204"/>
        <v>14</v>
      </c>
      <c r="AT215" s="277"/>
      <c r="AU215" s="207" t="str">
        <f t="shared" si="205"/>
        <v/>
      </c>
      <c r="AV215" s="208" t="str">
        <f t="shared" si="205"/>
        <v/>
      </c>
      <c r="AW215" s="208" t="str">
        <f t="shared" si="205"/>
        <v/>
      </c>
      <c r="AX215" s="209" t="str">
        <f t="shared" si="205"/>
        <v/>
      </c>
      <c r="AY215" s="168"/>
      <c r="AZ215" s="207" t="str">
        <f t="shared" si="206"/>
        <v/>
      </c>
      <c r="BA215" s="208" t="str">
        <f t="shared" si="206"/>
        <v/>
      </c>
      <c r="BB215" s="208" t="str">
        <f t="shared" si="206"/>
        <v/>
      </c>
      <c r="BC215" s="209" t="str">
        <f t="shared" si="206"/>
        <v/>
      </c>
      <c r="BD215" s="168"/>
      <c r="BE215" s="207" t="str">
        <f t="shared" si="207"/>
        <v/>
      </c>
      <c r="BF215" s="208" t="str">
        <f t="shared" si="207"/>
        <v/>
      </c>
      <c r="BG215" s="208" t="str">
        <f t="shared" si="207"/>
        <v/>
      </c>
      <c r="BH215" s="209" t="str">
        <f t="shared" si="207"/>
        <v/>
      </c>
      <c r="BI215" s="277"/>
      <c r="BJ215" s="207" t="str">
        <f t="shared" si="208"/>
        <v/>
      </c>
      <c r="BK215" s="208" t="str">
        <f t="shared" si="208"/>
        <v/>
      </c>
      <c r="BL215" s="208" t="str">
        <f t="shared" si="208"/>
        <v/>
      </c>
      <c r="BM215" s="209" t="str">
        <f t="shared" si="208"/>
        <v/>
      </c>
      <c r="BN215" s="168"/>
      <c r="BO215" s="207" t="str">
        <f t="shared" si="209"/>
        <v/>
      </c>
      <c r="BP215" s="208" t="str">
        <f t="shared" si="209"/>
        <v/>
      </c>
      <c r="BQ215" s="208" t="str">
        <f t="shared" si="209"/>
        <v/>
      </c>
      <c r="BR215" s="209" t="str">
        <f t="shared" si="209"/>
        <v/>
      </c>
      <c r="BS215" s="168"/>
      <c r="BT215" s="207" t="str">
        <f t="shared" si="210"/>
        <v/>
      </c>
      <c r="BU215" s="208" t="str">
        <f t="shared" si="210"/>
        <v/>
      </c>
      <c r="BV215" s="208" t="str">
        <f t="shared" si="210"/>
        <v/>
      </c>
      <c r="BW215" s="209" t="str">
        <f t="shared" si="210"/>
        <v/>
      </c>
      <c r="BX215" s="288"/>
      <c r="CM215" s="168"/>
    </row>
    <row r="216" spans="1:91">
      <c r="A216" s="284" t="str">
        <f t="shared" si="196"/>
        <v/>
      </c>
      <c r="B216" s="204">
        <f t="shared" si="196"/>
        <v>90</v>
      </c>
      <c r="C216" s="205">
        <f t="shared" si="196"/>
        <v>32</v>
      </c>
      <c r="D216" s="205">
        <f t="shared" si="196"/>
        <v>1015</v>
      </c>
      <c r="E216" s="206">
        <f t="shared" si="196"/>
        <v>14</v>
      </c>
      <c r="F216" s="168"/>
      <c r="G216" s="204">
        <f t="shared" si="197"/>
        <v>90</v>
      </c>
      <c r="H216" s="205">
        <f t="shared" si="197"/>
        <v>32</v>
      </c>
      <c r="I216" s="205">
        <f t="shared" si="197"/>
        <v>775</v>
      </c>
      <c r="J216" s="206">
        <f t="shared" si="197"/>
        <v>14</v>
      </c>
      <c r="K216" s="168"/>
      <c r="L216" s="204" t="str">
        <f t="shared" si="198"/>
        <v/>
      </c>
      <c r="M216" s="205" t="str">
        <f t="shared" si="198"/>
        <v/>
      </c>
      <c r="N216" s="205" t="str">
        <f t="shared" si="198"/>
        <v/>
      </c>
      <c r="O216" s="206" t="str">
        <f t="shared" si="198"/>
        <v/>
      </c>
      <c r="P216" s="168"/>
      <c r="Q216" s="204" t="str">
        <f t="shared" si="199"/>
        <v/>
      </c>
      <c r="R216" s="205" t="str">
        <f t="shared" si="199"/>
        <v/>
      </c>
      <c r="S216" s="205" t="str">
        <f t="shared" si="199"/>
        <v/>
      </c>
      <c r="T216" s="206" t="str">
        <f t="shared" si="199"/>
        <v/>
      </c>
      <c r="U216" s="168"/>
      <c r="V216" s="204" t="str">
        <f t="shared" si="200"/>
        <v/>
      </c>
      <c r="W216" s="205" t="str">
        <f t="shared" si="200"/>
        <v/>
      </c>
      <c r="X216" s="205" t="str">
        <f t="shared" si="200"/>
        <v/>
      </c>
      <c r="Y216" s="206" t="str">
        <f t="shared" si="200"/>
        <v/>
      </c>
      <c r="Z216" s="168"/>
      <c r="AA216" s="204" t="str">
        <f t="shared" si="201"/>
        <v/>
      </c>
      <c r="AB216" s="205" t="str">
        <f t="shared" si="201"/>
        <v/>
      </c>
      <c r="AC216" s="205" t="str">
        <f t="shared" si="201"/>
        <v/>
      </c>
      <c r="AD216" s="206" t="str">
        <f t="shared" si="201"/>
        <v/>
      </c>
      <c r="AE216" s="168"/>
      <c r="AF216" s="204" t="str">
        <f t="shared" si="202"/>
        <v/>
      </c>
      <c r="AG216" s="205" t="str">
        <f t="shared" si="202"/>
        <v/>
      </c>
      <c r="AH216" s="205" t="str">
        <f t="shared" si="202"/>
        <v/>
      </c>
      <c r="AI216" s="206" t="str">
        <f t="shared" si="202"/>
        <v/>
      </c>
      <c r="AJ216" s="168"/>
      <c r="AK216" s="204" t="str">
        <f t="shared" si="203"/>
        <v/>
      </c>
      <c r="AL216" s="205" t="str">
        <f t="shared" si="203"/>
        <v/>
      </c>
      <c r="AM216" s="205" t="str">
        <f t="shared" si="203"/>
        <v/>
      </c>
      <c r="AN216" s="206" t="str">
        <f t="shared" si="203"/>
        <v/>
      </c>
      <c r="AO216" s="168"/>
      <c r="AP216" s="204" t="str">
        <f t="shared" si="204"/>
        <v/>
      </c>
      <c r="AQ216" s="205" t="str">
        <f t="shared" si="204"/>
        <v/>
      </c>
      <c r="AR216" s="205" t="str">
        <f t="shared" si="204"/>
        <v/>
      </c>
      <c r="AS216" s="206" t="str">
        <f t="shared" si="204"/>
        <v/>
      </c>
      <c r="AT216" s="277"/>
      <c r="AU216" s="204" t="str">
        <f t="shared" si="205"/>
        <v/>
      </c>
      <c r="AV216" s="205" t="str">
        <f t="shared" si="205"/>
        <v/>
      </c>
      <c r="AW216" s="205" t="str">
        <f t="shared" si="205"/>
        <v/>
      </c>
      <c r="AX216" s="206" t="str">
        <f t="shared" si="205"/>
        <v/>
      </c>
      <c r="AY216" s="168"/>
      <c r="AZ216" s="204" t="str">
        <f t="shared" si="206"/>
        <v/>
      </c>
      <c r="BA216" s="205" t="str">
        <f t="shared" si="206"/>
        <v/>
      </c>
      <c r="BB216" s="205" t="str">
        <f t="shared" si="206"/>
        <v/>
      </c>
      <c r="BC216" s="206" t="str">
        <f t="shared" si="206"/>
        <v/>
      </c>
      <c r="BD216" s="168"/>
      <c r="BE216" s="204" t="str">
        <f t="shared" si="207"/>
        <v/>
      </c>
      <c r="BF216" s="205" t="str">
        <f t="shared" si="207"/>
        <v/>
      </c>
      <c r="BG216" s="205" t="str">
        <f t="shared" si="207"/>
        <v/>
      </c>
      <c r="BH216" s="206" t="str">
        <f t="shared" si="207"/>
        <v/>
      </c>
      <c r="BI216" s="277"/>
      <c r="BJ216" s="204" t="str">
        <f t="shared" si="208"/>
        <v/>
      </c>
      <c r="BK216" s="205" t="str">
        <f t="shared" si="208"/>
        <v/>
      </c>
      <c r="BL216" s="205" t="str">
        <f t="shared" si="208"/>
        <v/>
      </c>
      <c r="BM216" s="206" t="str">
        <f t="shared" si="208"/>
        <v/>
      </c>
      <c r="BN216" s="168"/>
      <c r="BO216" s="204" t="str">
        <f t="shared" si="209"/>
        <v/>
      </c>
      <c r="BP216" s="205" t="str">
        <f t="shared" si="209"/>
        <v/>
      </c>
      <c r="BQ216" s="205" t="str">
        <f t="shared" si="209"/>
        <v/>
      </c>
      <c r="BR216" s="206" t="str">
        <f t="shared" si="209"/>
        <v/>
      </c>
      <c r="BS216" s="168"/>
      <c r="BT216" s="204" t="str">
        <f t="shared" si="210"/>
        <v/>
      </c>
      <c r="BU216" s="205" t="str">
        <f t="shared" si="210"/>
        <v/>
      </c>
      <c r="BV216" s="205" t="str">
        <f t="shared" si="210"/>
        <v/>
      </c>
      <c r="BW216" s="206" t="str">
        <f t="shared" si="210"/>
        <v/>
      </c>
      <c r="BX216" s="288"/>
      <c r="CM216" s="168"/>
    </row>
    <row r="217" spans="1:91">
      <c r="A217" s="284" t="str">
        <f t="shared" si="196"/>
        <v/>
      </c>
      <c r="B217" s="201">
        <f t="shared" si="196"/>
        <v>90</v>
      </c>
      <c r="C217" s="202">
        <f t="shared" si="196"/>
        <v>75</v>
      </c>
      <c r="D217" s="202">
        <f t="shared" si="196"/>
        <v>1025</v>
      </c>
      <c r="E217" s="203">
        <f t="shared" si="196"/>
        <v>14</v>
      </c>
      <c r="F217" s="168"/>
      <c r="G217" s="201">
        <f t="shared" si="197"/>
        <v>90</v>
      </c>
      <c r="H217" s="202">
        <f t="shared" si="197"/>
        <v>75</v>
      </c>
      <c r="I217" s="202">
        <f t="shared" si="197"/>
        <v>785</v>
      </c>
      <c r="J217" s="203">
        <f t="shared" si="197"/>
        <v>14</v>
      </c>
      <c r="K217" s="168"/>
      <c r="L217" s="201" t="str">
        <f t="shared" si="198"/>
        <v/>
      </c>
      <c r="M217" s="202" t="str">
        <f t="shared" si="198"/>
        <v/>
      </c>
      <c r="N217" s="202" t="str">
        <f t="shared" si="198"/>
        <v/>
      </c>
      <c r="O217" s="203" t="str">
        <f t="shared" si="198"/>
        <v/>
      </c>
      <c r="P217" s="168"/>
      <c r="Q217" s="201" t="str">
        <f t="shared" si="199"/>
        <v/>
      </c>
      <c r="R217" s="202" t="str">
        <f t="shared" si="199"/>
        <v/>
      </c>
      <c r="S217" s="202" t="str">
        <f t="shared" si="199"/>
        <v/>
      </c>
      <c r="T217" s="203" t="str">
        <f t="shared" si="199"/>
        <v/>
      </c>
      <c r="U217" s="168"/>
      <c r="V217" s="201" t="str">
        <f t="shared" si="200"/>
        <v/>
      </c>
      <c r="W217" s="202" t="str">
        <f t="shared" si="200"/>
        <v/>
      </c>
      <c r="X217" s="202" t="str">
        <f t="shared" si="200"/>
        <v/>
      </c>
      <c r="Y217" s="203" t="str">
        <f t="shared" si="200"/>
        <v/>
      </c>
      <c r="Z217" s="168"/>
      <c r="AA217" s="201" t="str">
        <f t="shared" si="201"/>
        <v/>
      </c>
      <c r="AB217" s="202" t="str">
        <f t="shared" si="201"/>
        <v/>
      </c>
      <c r="AC217" s="202" t="str">
        <f t="shared" si="201"/>
        <v/>
      </c>
      <c r="AD217" s="203" t="str">
        <f t="shared" si="201"/>
        <v/>
      </c>
      <c r="AE217" s="168"/>
      <c r="AF217" s="201" t="str">
        <f t="shared" si="202"/>
        <v/>
      </c>
      <c r="AG217" s="202" t="str">
        <f t="shared" si="202"/>
        <v/>
      </c>
      <c r="AH217" s="202" t="str">
        <f t="shared" si="202"/>
        <v/>
      </c>
      <c r="AI217" s="203" t="str">
        <f t="shared" si="202"/>
        <v/>
      </c>
      <c r="AJ217" s="168"/>
      <c r="AK217" s="201" t="str">
        <f t="shared" si="203"/>
        <v/>
      </c>
      <c r="AL217" s="202" t="str">
        <f t="shared" si="203"/>
        <v/>
      </c>
      <c r="AM217" s="202" t="str">
        <f t="shared" si="203"/>
        <v/>
      </c>
      <c r="AN217" s="203" t="str">
        <f t="shared" si="203"/>
        <v/>
      </c>
      <c r="AO217" s="168"/>
      <c r="AP217" s="201" t="str">
        <f t="shared" si="204"/>
        <v/>
      </c>
      <c r="AQ217" s="202" t="str">
        <f t="shared" si="204"/>
        <v/>
      </c>
      <c r="AR217" s="202" t="str">
        <f t="shared" si="204"/>
        <v/>
      </c>
      <c r="AS217" s="203" t="str">
        <f t="shared" si="204"/>
        <v/>
      </c>
      <c r="AT217" s="277"/>
      <c r="AU217" s="201" t="str">
        <f t="shared" si="205"/>
        <v/>
      </c>
      <c r="AV217" s="202" t="str">
        <f t="shared" si="205"/>
        <v/>
      </c>
      <c r="AW217" s="202" t="str">
        <f t="shared" si="205"/>
        <v/>
      </c>
      <c r="AX217" s="203" t="str">
        <f t="shared" si="205"/>
        <v/>
      </c>
      <c r="AY217" s="168"/>
      <c r="AZ217" s="201" t="str">
        <f t="shared" si="206"/>
        <v/>
      </c>
      <c r="BA217" s="202" t="str">
        <f t="shared" si="206"/>
        <v/>
      </c>
      <c r="BB217" s="202" t="str">
        <f t="shared" si="206"/>
        <v/>
      </c>
      <c r="BC217" s="203" t="str">
        <f t="shared" si="206"/>
        <v/>
      </c>
      <c r="BD217" s="168"/>
      <c r="BE217" s="201" t="str">
        <f t="shared" si="207"/>
        <v/>
      </c>
      <c r="BF217" s="202" t="str">
        <f t="shared" si="207"/>
        <v/>
      </c>
      <c r="BG217" s="202" t="str">
        <f t="shared" si="207"/>
        <v/>
      </c>
      <c r="BH217" s="203" t="str">
        <f t="shared" si="207"/>
        <v/>
      </c>
      <c r="BI217" s="277"/>
      <c r="BJ217" s="201" t="str">
        <f t="shared" si="208"/>
        <v/>
      </c>
      <c r="BK217" s="202" t="str">
        <f t="shared" si="208"/>
        <v/>
      </c>
      <c r="BL217" s="202" t="str">
        <f t="shared" si="208"/>
        <v/>
      </c>
      <c r="BM217" s="203" t="str">
        <f t="shared" si="208"/>
        <v/>
      </c>
      <c r="BN217" s="168"/>
      <c r="BO217" s="201" t="str">
        <f t="shared" si="209"/>
        <v/>
      </c>
      <c r="BP217" s="202" t="str">
        <f t="shared" si="209"/>
        <v/>
      </c>
      <c r="BQ217" s="202" t="str">
        <f t="shared" si="209"/>
        <v/>
      </c>
      <c r="BR217" s="203" t="str">
        <f t="shared" si="209"/>
        <v/>
      </c>
      <c r="BS217" s="168"/>
      <c r="BT217" s="201" t="str">
        <f t="shared" si="210"/>
        <v/>
      </c>
      <c r="BU217" s="202" t="str">
        <f t="shared" si="210"/>
        <v/>
      </c>
      <c r="BV217" s="202" t="str">
        <f t="shared" si="210"/>
        <v/>
      </c>
      <c r="BW217" s="203" t="str">
        <f t="shared" si="210"/>
        <v/>
      </c>
      <c r="BX217" s="288"/>
      <c r="CM217" s="168"/>
    </row>
    <row r="218" spans="1:91">
      <c r="A218" s="284" t="str">
        <f t="shared" si="196"/>
        <v/>
      </c>
      <c r="B218" s="207">
        <f t="shared" si="196"/>
        <v>90</v>
      </c>
      <c r="C218" s="208">
        <f t="shared" si="196"/>
        <v>118</v>
      </c>
      <c r="D218" s="208">
        <f t="shared" si="196"/>
        <v>1015</v>
      </c>
      <c r="E218" s="209">
        <f t="shared" si="196"/>
        <v>14</v>
      </c>
      <c r="F218" s="168"/>
      <c r="G218" s="207">
        <f t="shared" si="197"/>
        <v>90</v>
      </c>
      <c r="H218" s="208">
        <f t="shared" si="197"/>
        <v>118</v>
      </c>
      <c r="I218" s="208">
        <f t="shared" si="197"/>
        <v>775</v>
      </c>
      <c r="J218" s="209">
        <f t="shared" si="197"/>
        <v>14</v>
      </c>
      <c r="K218" s="168"/>
      <c r="L218" s="207" t="str">
        <f t="shared" si="198"/>
        <v/>
      </c>
      <c r="M218" s="208" t="str">
        <f t="shared" si="198"/>
        <v/>
      </c>
      <c r="N218" s="208" t="str">
        <f t="shared" si="198"/>
        <v/>
      </c>
      <c r="O218" s="209" t="str">
        <f t="shared" si="198"/>
        <v/>
      </c>
      <c r="P218" s="168"/>
      <c r="Q218" s="207" t="str">
        <f t="shared" si="199"/>
        <v/>
      </c>
      <c r="R218" s="208" t="str">
        <f t="shared" si="199"/>
        <v/>
      </c>
      <c r="S218" s="208" t="str">
        <f t="shared" si="199"/>
        <v/>
      </c>
      <c r="T218" s="209" t="str">
        <f t="shared" si="199"/>
        <v/>
      </c>
      <c r="U218" s="168"/>
      <c r="V218" s="207" t="str">
        <f t="shared" si="200"/>
        <v/>
      </c>
      <c r="W218" s="208" t="str">
        <f t="shared" si="200"/>
        <v/>
      </c>
      <c r="X218" s="208" t="str">
        <f t="shared" si="200"/>
        <v/>
      </c>
      <c r="Y218" s="209" t="str">
        <f t="shared" si="200"/>
        <v/>
      </c>
      <c r="Z218" s="168"/>
      <c r="AA218" s="207" t="str">
        <f t="shared" si="201"/>
        <v/>
      </c>
      <c r="AB218" s="208" t="str">
        <f t="shared" si="201"/>
        <v/>
      </c>
      <c r="AC218" s="208" t="str">
        <f t="shared" si="201"/>
        <v/>
      </c>
      <c r="AD218" s="209" t="str">
        <f t="shared" si="201"/>
        <v/>
      </c>
      <c r="AE218" s="168"/>
      <c r="AF218" s="207" t="str">
        <f t="shared" si="202"/>
        <v/>
      </c>
      <c r="AG218" s="208" t="str">
        <f t="shared" si="202"/>
        <v/>
      </c>
      <c r="AH218" s="208" t="str">
        <f t="shared" si="202"/>
        <v/>
      </c>
      <c r="AI218" s="209" t="str">
        <f t="shared" si="202"/>
        <v/>
      </c>
      <c r="AJ218" s="168"/>
      <c r="AK218" s="207" t="str">
        <f t="shared" si="203"/>
        <v/>
      </c>
      <c r="AL218" s="208" t="str">
        <f t="shared" si="203"/>
        <v/>
      </c>
      <c r="AM218" s="208" t="str">
        <f t="shared" si="203"/>
        <v/>
      </c>
      <c r="AN218" s="209" t="str">
        <f t="shared" si="203"/>
        <v/>
      </c>
      <c r="AO218" s="168"/>
      <c r="AP218" s="207" t="str">
        <f t="shared" si="204"/>
        <v/>
      </c>
      <c r="AQ218" s="208" t="str">
        <f t="shared" si="204"/>
        <v/>
      </c>
      <c r="AR218" s="208" t="str">
        <f t="shared" si="204"/>
        <v/>
      </c>
      <c r="AS218" s="209" t="str">
        <f t="shared" si="204"/>
        <v/>
      </c>
      <c r="AT218" s="277"/>
      <c r="AU218" s="207" t="str">
        <f t="shared" si="205"/>
        <v/>
      </c>
      <c r="AV218" s="208" t="str">
        <f t="shared" si="205"/>
        <v/>
      </c>
      <c r="AW218" s="208" t="str">
        <f t="shared" si="205"/>
        <v/>
      </c>
      <c r="AX218" s="209" t="str">
        <f t="shared" si="205"/>
        <v/>
      </c>
      <c r="AY218" s="168"/>
      <c r="AZ218" s="207" t="str">
        <f t="shared" si="206"/>
        <v/>
      </c>
      <c r="BA218" s="208" t="str">
        <f t="shared" si="206"/>
        <v/>
      </c>
      <c r="BB218" s="208" t="str">
        <f t="shared" si="206"/>
        <v/>
      </c>
      <c r="BC218" s="209" t="str">
        <f t="shared" si="206"/>
        <v/>
      </c>
      <c r="BD218" s="168"/>
      <c r="BE218" s="207" t="str">
        <f t="shared" si="207"/>
        <v/>
      </c>
      <c r="BF218" s="208" t="str">
        <f t="shared" si="207"/>
        <v/>
      </c>
      <c r="BG218" s="208" t="str">
        <f t="shared" si="207"/>
        <v/>
      </c>
      <c r="BH218" s="209" t="str">
        <f t="shared" si="207"/>
        <v/>
      </c>
      <c r="BI218" s="277"/>
      <c r="BJ218" s="207" t="str">
        <f t="shared" si="208"/>
        <v/>
      </c>
      <c r="BK218" s="208" t="str">
        <f t="shared" si="208"/>
        <v/>
      </c>
      <c r="BL218" s="208" t="str">
        <f t="shared" si="208"/>
        <v/>
      </c>
      <c r="BM218" s="209" t="str">
        <f t="shared" si="208"/>
        <v/>
      </c>
      <c r="BN218" s="168"/>
      <c r="BO218" s="207" t="str">
        <f t="shared" si="209"/>
        <v/>
      </c>
      <c r="BP218" s="208" t="str">
        <f t="shared" si="209"/>
        <v/>
      </c>
      <c r="BQ218" s="208" t="str">
        <f t="shared" si="209"/>
        <v/>
      </c>
      <c r="BR218" s="209" t="str">
        <f t="shared" si="209"/>
        <v/>
      </c>
      <c r="BS218" s="168"/>
      <c r="BT218" s="207" t="str">
        <f t="shared" si="210"/>
        <v/>
      </c>
      <c r="BU218" s="208" t="str">
        <f t="shared" si="210"/>
        <v/>
      </c>
      <c r="BV218" s="208" t="str">
        <f t="shared" si="210"/>
        <v/>
      </c>
      <c r="BW218" s="209" t="str">
        <f t="shared" si="210"/>
        <v/>
      </c>
      <c r="BX218" s="288"/>
      <c r="CM218" s="168"/>
    </row>
    <row r="219" spans="1:91">
      <c r="A219" s="284" t="str">
        <f t="shared" si="196"/>
        <v/>
      </c>
      <c r="B219" s="185">
        <f t="shared" si="196"/>
        <v>45</v>
      </c>
      <c r="C219" s="173">
        <f t="shared" si="196"/>
        <v>10.5</v>
      </c>
      <c r="D219" s="173">
        <f t="shared" si="196"/>
        <v>150</v>
      </c>
      <c r="E219" s="180">
        <f t="shared" si="196"/>
        <v>18</v>
      </c>
      <c r="F219" s="168"/>
      <c r="G219" s="185">
        <f t="shared" si="197"/>
        <v>45</v>
      </c>
      <c r="H219" s="173">
        <f t="shared" si="197"/>
        <v>10.5</v>
      </c>
      <c r="I219" s="173">
        <f t="shared" si="197"/>
        <v>150</v>
      </c>
      <c r="J219" s="180">
        <f t="shared" si="197"/>
        <v>18</v>
      </c>
      <c r="K219" s="168"/>
      <c r="L219" s="185">
        <f t="shared" si="198"/>
        <v>45</v>
      </c>
      <c r="M219" s="173">
        <f t="shared" si="198"/>
        <v>10.5</v>
      </c>
      <c r="N219" s="173">
        <f t="shared" si="198"/>
        <v>159</v>
      </c>
      <c r="O219" s="180">
        <f t="shared" si="198"/>
        <v>18</v>
      </c>
      <c r="P219" s="168"/>
      <c r="Q219" s="185">
        <f t="shared" si="199"/>
        <v>45</v>
      </c>
      <c r="R219" s="173">
        <f t="shared" si="199"/>
        <v>10.5</v>
      </c>
      <c r="S219" s="173">
        <f t="shared" si="199"/>
        <v>156</v>
      </c>
      <c r="T219" s="180">
        <f t="shared" si="199"/>
        <v>18</v>
      </c>
      <c r="U219" s="168"/>
      <c r="V219" s="185">
        <f t="shared" si="200"/>
        <v>45</v>
      </c>
      <c r="W219" s="173">
        <f t="shared" si="200"/>
        <v>10.5</v>
      </c>
      <c r="X219" s="173">
        <f t="shared" si="200"/>
        <v>150</v>
      </c>
      <c r="Y219" s="180">
        <f t="shared" si="200"/>
        <v>18</v>
      </c>
      <c r="Z219" s="168"/>
      <c r="AA219" s="185">
        <f t="shared" si="201"/>
        <v>45</v>
      </c>
      <c r="AB219" s="173">
        <f t="shared" si="201"/>
        <v>10.5</v>
      </c>
      <c r="AC219" s="173">
        <f t="shared" si="201"/>
        <v>138</v>
      </c>
      <c r="AD219" s="180">
        <f t="shared" si="201"/>
        <v>18</v>
      </c>
      <c r="AE219" s="168"/>
      <c r="AF219" s="185">
        <f t="shared" si="202"/>
        <v>45</v>
      </c>
      <c r="AG219" s="173">
        <f t="shared" si="202"/>
        <v>10.5</v>
      </c>
      <c r="AH219" s="173">
        <f t="shared" si="202"/>
        <v>138</v>
      </c>
      <c r="AI219" s="180">
        <f t="shared" si="202"/>
        <v>18</v>
      </c>
      <c r="AJ219" s="168"/>
      <c r="AK219" s="185">
        <f t="shared" si="203"/>
        <v>45</v>
      </c>
      <c r="AL219" s="173">
        <f t="shared" si="203"/>
        <v>10.5</v>
      </c>
      <c r="AM219" s="173">
        <f t="shared" si="203"/>
        <v>134</v>
      </c>
      <c r="AN219" s="180">
        <f t="shared" si="203"/>
        <v>18</v>
      </c>
      <c r="AO219" s="168"/>
      <c r="AP219" s="185">
        <f t="shared" si="204"/>
        <v>45</v>
      </c>
      <c r="AQ219" s="173">
        <f t="shared" si="204"/>
        <v>10.5</v>
      </c>
      <c r="AR219" s="173">
        <f t="shared" si="204"/>
        <v>306</v>
      </c>
      <c r="AS219" s="180">
        <f t="shared" si="204"/>
        <v>18</v>
      </c>
      <c r="AT219" s="277"/>
      <c r="AU219" s="185">
        <f t="shared" si="205"/>
        <v>45</v>
      </c>
      <c r="AV219" s="173">
        <f t="shared" si="205"/>
        <v>10.8</v>
      </c>
      <c r="AW219" s="173">
        <f t="shared" si="205"/>
        <v>138</v>
      </c>
      <c r="AX219" s="180">
        <f t="shared" si="205"/>
        <v>17.5</v>
      </c>
      <c r="AY219" s="168"/>
      <c r="AZ219" s="185">
        <f t="shared" si="206"/>
        <v>45</v>
      </c>
      <c r="BA219" s="173">
        <f t="shared" si="206"/>
        <v>10.8</v>
      </c>
      <c r="BB219" s="173">
        <f t="shared" si="206"/>
        <v>138</v>
      </c>
      <c r="BC219" s="180">
        <f t="shared" si="206"/>
        <v>17.5</v>
      </c>
      <c r="BD219" s="168"/>
      <c r="BE219" s="185">
        <f t="shared" si="207"/>
        <v>45</v>
      </c>
      <c r="BF219" s="173">
        <f t="shared" si="207"/>
        <v>10.8</v>
      </c>
      <c r="BG219" s="173">
        <f t="shared" si="207"/>
        <v>138</v>
      </c>
      <c r="BH219" s="180">
        <f t="shared" si="207"/>
        <v>17.5</v>
      </c>
      <c r="BI219" s="277"/>
      <c r="BJ219" s="185">
        <f t="shared" si="208"/>
        <v>45</v>
      </c>
      <c r="BK219" s="173">
        <f t="shared" si="208"/>
        <v>9.75</v>
      </c>
      <c r="BL219" s="173">
        <f t="shared" si="208"/>
        <v>118</v>
      </c>
      <c r="BM219" s="180">
        <f t="shared" si="208"/>
        <v>17.5</v>
      </c>
      <c r="BN219" s="168"/>
      <c r="BO219" s="185">
        <f t="shared" si="209"/>
        <v>45</v>
      </c>
      <c r="BP219" s="173">
        <f t="shared" si="209"/>
        <v>9.75</v>
      </c>
      <c r="BQ219" s="173">
        <f t="shared" si="209"/>
        <v>118</v>
      </c>
      <c r="BR219" s="180">
        <f t="shared" si="209"/>
        <v>17.5</v>
      </c>
      <c r="BS219" s="168"/>
      <c r="BT219" s="185">
        <f t="shared" si="210"/>
        <v>45</v>
      </c>
      <c r="BU219" s="173">
        <f t="shared" si="210"/>
        <v>9.75</v>
      </c>
      <c r="BV219" s="173">
        <f t="shared" si="210"/>
        <v>118</v>
      </c>
      <c r="BW219" s="180">
        <f t="shared" si="210"/>
        <v>17.5</v>
      </c>
      <c r="BX219" s="288"/>
      <c r="CM219" s="168"/>
    </row>
    <row r="220" spans="1:91">
      <c r="A220" s="284" t="str">
        <f t="shared" ref="A220:E235" si="211">IF(A62="","",A62)</f>
        <v/>
      </c>
      <c r="B220" s="185">
        <f t="shared" si="211"/>
        <v>45</v>
      </c>
      <c r="C220" s="173">
        <f t="shared" si="211"/>
        <v>10.5</v>
      </c>
      <c r="D220" s="173">
        <f t="shared" si="211"/>
        <v>207</v>
      </c>
      <c r="E220" s="180">
        <f t="shared" si="211"/>
        <v>18</v>
      </c>
      <c r="F220" s="168"/>
      <c r="G220" s="185">
        <f t="shared" ref="G220:J235" si="212">IF(G62="","",G62)</f>
        <v>45</v>
      </c>
      <c r="H220" s="173">
        <f t="shared" si="212"/>
        <v>10.5</v>
      </c>
      <c r="I220" s="173">
        <f t="shared" si="212"/>
        <v>207</v>
      </c>
      <c r="J220" s="180">
        <f t="shared" si="212"/>
        <v>18</v>
      </c>
      <c r="K220" s="168"/>
      <c r="L220" s="185">
        <f t="shared" ref="L220:O235" si="213">IF(L62="","",L62)</f>
        <v>45</v>
      </c>
      <c r="M220" s="173">
        <f t="shared" si="213"/>
        <v>10.5</v>
      </c>
      <c r="N220" s="173">
        <f t="shared" si="213"/>
        <v>216</v>
      </c>
      <c r="O220" s="180">
        <f t="shared" si="213"/>
        <v>18</v>
      </c>
      <c r="P220" s="168"/>
      <c r="Q220" s="185">
        <f t="shared" ref="Q220:T235" si="214">IF(Q62="","",Q62)</f>
        <v>45</v>
      </c>
      <c r="R220" s="173">
        <f t="shared" si="214"/>
        <v>10.5</v>
      </c>
      <c r="S220" s="173">
        <f t="shared" si="214"/>
        <v>213</v>
      </c>
      <c r="T220" s="180">
        <f t="shared" si="214"/>
        <v>18</v>
      </c>
      <c r="U220" s="168"/>
      <c r="V220" s="185">
        <f t="shared" ref="V220:Y235" si="215">IF(V62="","",V62)</f>
        <v>45</v>
      </c>
      <c r="W220" s="173">
        <f t="shared" si="215"/>
        <v>10.5</v>
      </c>
      <c r="X220" s="173">
        <f t="shared" si="215"/>
        <v>207</v>
      </c>
      <c r="Y220" s="180">
        <f t="shared" si="215"/>
        <v>18</v>
      </c>
      <c r="Z220" s="168"/>
      <c r="AA220" s="185">
        <f t="shared" ref="AA220:AD235" si="216">IF(AA62="","",AA62)</f>
        <v>45</v>
      </c>
      <c r="AB220" s="173">
        <f t="shared" si="216"/>
        <v>10.5</v>
      </c>
      <c r="AC220" s="173">
        <f t="shared" si="216"/>
        <v>196</v>
      </c>
      <c r="AD220" s="180">
        <f t="shared" si="216"/>
        <v>18</v>
      </c>
      <c r="AE220" s="168"/>
      <c r="AF220" s="185">
        <f t="shared" ref="AF220:AI235" si="217">IF(AF62="","",AF62)</f>
        <v>45</v>
      </c>
      <c r="AG220" s="173">
        <f t="shared" si="217"/>
        <v>10.5</v>
      </c>
      <c r="AH220" s="173">
        <f t="shared" si="217"/>
        <v>196</v>
      </c>
      <c r="AI220" s="180">
        <f t="shared" si="217"/>
        <v>18</v>
      </c>
      <c r="AJ220" s="168"/>
      <c r="AK220" s="185">
        <f t="shared" ref="AK220:AN235" si="218">IF(AK62="","",AK62)</f>
        <v>45</v>
      </c>
      <c r="AL220" s="173">
        <f t="shared" si="218"/>
        <v>10.5</v>
      </c>
      <c r="AM220" s="173">
        <f t="shared" si="218"/>
        <v>192</v>
      </c>
      <c r="AN220" s="180">
        <f t="shared" si="218"/>
        <v>18</v>
      </c>
      <c r="AO220" s="168"/>
      <c r="AP220" s="185">
        <f t="shared" ref="AP220:AS235" si="219">IF(AP62="","",AP62)</f>
        <v>45</v>
      </c>
      <c r="AQ220" s="173">
        <f t="shared" si="219"/>
        <v>10.5</v>
      </c>
      <c r="AR220" s="173">
        <f t="shared" si="219"/>
        <v>363</v>
      </c>
      <c r="AS220" s="180">
        <f t="shared" si="219"/>
        <v>18</v>
      </c>
      <c r="AT220" s="277"/>
      <c r="AU220" s="185">
        <f t="shared" ref="AU220:AX235" si="220">IF(AU62="","",AU62)</f>
        <v>45</v>
      </c>
      <c r="AV220" s="173">
        <f t="shared" si="220"/>
        <v>10.8</v>
      </c>
      <c r="AW220" s="173">
        <f t="shared" si="220"/>
        <v>196</v>
      </c>
      <c r="AX220" s="180">
        <f t="shared" si="220"/>
        <v>17.5</v>
      </c>
      <c r="AY220" s="168"/>
      <c r="AZ220" s="185">
        <f t="shared" ref="AZ220:BC235" si="221">IF(AZ62="","",AZ62)</f>
        <v>45</v>
      </c>
      <c r="BA220" s="173">
        <f t="shared" si="221"/>
        <v>10.8</v>
      </c>
      <c r="BB220" s="173">
        <f t="shared" si="221"/>
        <v>196</v>
      </c>
      <c r="BC220" s="180">
        <f t="shared" si="221"/>
        <v>17.5</v>
      </c>
      <c r="BD220" s="168"/>
      <c r="BE220" s="185">
        <f t="shared" ref="BE220:BH235" si="222">IF(BE62="","",BE62)</f>
        <v>45</v>
      </c>
      <c r="BF220" s="173">
        <f t="shared" si="222"/>
        <v>10.8</v>
      </c>
      <c r="BG220" s="173">
        <f t="shared" si="222"/>
        <v>196</v>
      </c>
      <c r="BH220" s="180">
        <f t="shared" si="222"/>
        <v>17.5</v>
      </c>
      <c r="BI220" s="277"/>
      <c r="BJ220" s="185">
        <f t="shared" ref="BJ220:BM235" si="223">IF(BJ62="","",BJ62)</f>
        <v>45</v>
      </c>
      <c r="BK220" s="173">
        <f t="shared" si="223"/>
        <v>9.75</v>
      </c>
      <c r="BL220" s="173">
        <f t="shared" si="223"/>
        <v>176</v>
      </c>
      <c r="BM220" s="180">
        <f t="shared" si="223"/>
        <v>17.5</v>
      </c>
      <c r="BN220" s="168"/>
      <c r="BO220" s="185">
        <f t="shared" ref="BO220:BR235" si="224">IF(BO62="","",BO62)</f>
        <v>45</v>
      </c>
      <c r="BP220" s="173">
        <f t="shared" si="224"/>
        <v>9.75</v>
      </c>
      <c r="BQ220" s="173">
        <f t="shared" si="224"/>
        <v>176</v>
      </c>
      <c r="BR220" s="180">
        <f t="shared" si="224"/>
        <v>17.5</v>
      </c>
      <c r="BS220" s="168"/>
      <c r="BT220" s="185">
        <f t="shared" ref="BT220:BW235" si="225">IF(BT62="","",BT62)</f>
        <v>45</v>
      </c>
      <c r="BU220" s="173">
        <f t="shared" si="225"/>
        <v>9.75</v>
      </c>
      <c r="BV220" s="173">
        <f t="shared" si="225"/>
        <v>176</v>
      </c>
      <c r="BW220" s="180">
        <f t="shared" si="225"/>
        <v>17.5</v>
      </c>
      <c r="BX220" s="288"/>
      <c r="CM220" s="168"/>
    </row>
    <row r="221" spans="1:91">
      <c r="A221" s="284" t="str">
        <f t="shared" si="211"/>
        <v/>
      </c>
      <c r="B221" s="185">
        <f t="shared" si="211"/>
        <v>45</v>
      </c>
      <c r="C221" s="173">
        <f t="shared" si="211"/>
        <v>10.5</v>
      </c>
      <c r="D221" s="173">
        <f t="shared" si="211"/>
        <v>264</v>
      </c>
      <c r="E221" s="180">
        <f t="shared" si="211"/>
        <v>18</v>
      </c>
      <c r="F221" s="168"/>
      <c r="G221" s="185">
        <f t="shared" si="212"/>
        <v>45</v>
      </c>
      <c r="H221" s="173">
        <f t="shared" si="212"/>
        <v>10.5</v>
      </c>
      <c r="I221" s="173">
        <f t="shared" si="212"/>
        <v>264</v>
      </c>
      <c r="J221" s="180">
        <f t="shared" si="212"/>
        <v>18</v>
      </c>
      <c r="K221" s="168"/>
      <c r="L221" s="185">
        <f t="shared" si="213"/>
        <v>45</v>
      </c>
      <c r="M221" s="173">
        <f t="shared" si="213"/>
        <v>10.5</v>
      </c>
      <c r="N221" s="173">
        <f t="shared" si="213"/>
        <v>273</v>
      </c>
      <c r="O221" s="180">
        <f t="shared" si="213"/>
        <v>18</v>
      </c>
      <c r="P221" s="168"/>
      <c r="Q221" s="185">
        <f t="shared" si="214"/>
        <v>45</v>
      </c>
      <c r="R221" s="173">
        <f t="shared" si="214"/>
        <v>10.5</v>
      </c>
      <c r="S221" s="173">
        <f t="shared" si="214"/>
        <v>270</v>
      </c>
      <c r="T221" s="180">
        <f t="shared" si="214"/>
        <v>18</v>
      </c>
      <c r="U221" s="168"/>
      <c r="V221" s="185">
        <f t="shared" si="215"/>
        <v>45</v>
      </c>
      <c r="W221" s="173">
        <f t="shared" si="215"/>
        <v>10.5</v>
      </c>
      <c r="X221" s="173">
        <f t="shared" si="215"/>
        <v>264</v>
      </c>
      <c r="Y221" s="180">
        <f t="shared" si="215"/>
        <v>18</v>
      </c>
      <c r="Z221" s="168"/>
      <c r="AA221" s="185">
        <f t="shared" si="216"/>
        <v>45</v>
      </c>
      <c r="AB221" s="173">
        <f t="shared" si="216"/>
        <v>10.5</v>
      </c>
      <c r="AC221" s="173">
        <f t="shared" si="216"/>
        <v>254</v>
      </c>
      <c r="AD221" s="180">
        <f t="shared" si="216"/>
        <v>18</v>
      </c>
      <c r="AE221" s="168"/>
      <c r="AF221" s="185">
        <f t="shared" si="217"/>
        <v>45</v>
      </c>
      <c r="AG221" s="173">
        <f t="shared" si="217"/>
        <v>10.5</v>
      </c>
      <c r="AH221" s="173">
        <f t="shared" si="217"/>
        <v>254</v>
      </c>
      <c r="AI221" s="180">
        <f t="shared" si="217"/>
        <v>18</v>
      </c>
      <c r="AJ221" s="168"/>
      <c r="AK221" s="185">
        <f t="shared" si="218"/>
        <v>45</v>
      </c>
      <c r="AL221" s="173">
        <f t="shared" si="218"/>
        <v>10.5</v>
      </c>
      <c r="AM221" s="173">
        <f t="shared" si="218"/>
        <v>250</v>
      </c>
      <c r="AN221" s="180">
        <f t="shared" si="218"/>
        <v>18</v>
      </c>
      <c r="AO221" s="168"/>
      <c r="AP221" s="185">
        <f t="shared" si="219"/>
        <v>45</v>
      </c>
      <c r="AQ221" s="173">
        <f t="shared" si="219"/>
        <v>10.5</v>
      </c>
      <c r="AR221" s="173">
        <f t="shared" si="219"/>
        <v>420</v>
      </c>
      <c r="AS221" s="180">
        <f t="shared" si="219"/>
        <v>18</v>
      </c>
      <c r="AT221" s="277"/>
      <c r="AU221" s="185">
        <f t="shared" si="220"/>
        <v>45</v>
      </c>
      <c r="AV221" s="173">
        <f t="shared" si="220"/>
        <v>10.8</v>
      </c>
      <c r="AW221" s="173">
        <f t="shared" si="220"/>
        <v>254</v>
      </c>
      <c r="AX221" s="180">
        <f t="shared" si="220"/>
        <v>17.5</v>
      </c>
      <c r="AY221" s="168"/>
      <c r="AZ221" s="185">
        <f t="shared" si="221"/>
        <v>45</v>
      </c>
      <c r="BA221" s="173">
        <f t="shared" si="221"/>
        <v>10.8</v>
      </c>
      <c r="BB221" s="173">
        <f t="shared" si="221"/>
        <v>254</v>
      </c>
      <c r="BC221" s="180">
        <f t="shared" si="221"/>
        <v>17.5</v>
      </c>
      <c r="BD221" s="168"/>
      <c r="BE221" s="185">
        <f t="shared" si="222"/>
        <v>45</v>
      </c>
      <c r="BF221" s="173">
        <f t="shared" si="222"/>
        <v>10.8</v>
      </c>
      <c r="BG221" s="173">
        <f t="shared" si="222"/>
        <v>254</v>
      </c>
      <c r="BH221" s="180">
        <f t="shared" si="222"/>
        <v>17.5</v>
      </c>
      <c r="BI221" s="277"/>
      <c r="BJ221" s="185">
        <f t="shared" si="223"/>
        <v>45</v>
      </c>
      <c r="BK221" s="173">
        <f t="shared" si="223"/>
        <v>9.75</v>
      </c>
      <c r="BL221" s="173">
        <f t="shared" si="223"/>
        <v>234</v>
      </c>
      <c r="BM221" s="180">
        <f t="shared" si="223"/>
        <v>17.5</v>
      </c>
      <c r="BN221" s="168"/>
      <c r="BO221" s="185">
        <f t="shared" si="224"/>
        <v>45</v>
      </c>
      <c r="BP221" s="173">
        <f t="shared" si="224"/>
        <v>9.75</v>
      </c>
      <c r="BQ221" s="173">
        <f t="shared" si="224"/>
        <v>234</v>
      </c>
      <c r="BR221" s="180">
        <f t="shared" si="224"/>
        <v>17.5</v>
      </c>
      <c r="BS221" s="168"/>
      <c r="BT221" s="185">
        <f t="shared" si="225"/>
        <v>45</v>
      </c>
      <c r="BU221" s="173">
        <f t="shared" si="225"/>
        <v>9.75</v>
      </c>
      <c r="BV221" s="173">
        <f t="shared" si="225"/>
        <v>234</v>
      </c>
      <c r="BW221" s="180">
        <f t="shared" si="225"/>
        <v>17.5</v>
      </c>
      <c r="BX221" s="288"/>
      <c r="CM221" s="168"/>
    </row>
    <row r="222" spans="1:91">
      <c r="A222" s="284" t="str">
        <f t="shared" si="211"/>
        <v/>
      </c>
      <c r="B222" s="185">
        <f t="shared" si="211"/>
        <v>45</v>
      </c>
      <c r="C222" s="173">
        <f t="shared" si="211"/>
        <v>10.5</v>
      </c>
      <c r="D222" s="173">
        <f t="shared" si="211"/>
        <v>321</v>
      </c>
      <c r="E222" s="180">
        <f t="shared" si="211"/>
        <v>18</v>
      </c>
      <c r="F222" s="168"/>
      <c r="G222" s="185">
        <f t="shared" si="212"/>
        <v>45</v>
      </c>
      <c r="H222" s="173">
        <f t="shared" si="212"/>
        <v>10.5</v>
      </c>
      <c r="I222" s="173">
        <f t="shared" si="212"/>
        <v>321</v>
      </c>
      <c r="J222" s="180">
        <f t="shared" si="212"/>
        <v>18</v>
      </c>
      <c r="K222" s="168"/>
      <c r="L222" s="185">
        <f t="shared" si="213"/>
        <v>45</v>
      </c>
      <c r="M222" s="173">
        <f t="shared" si="213"/>
        <v>10.5</v>
      </c>
      <c r="N222" s="173">
        <f t="shared" si="213"/>
        <v>330</v>
      </c>
      <c r="O222" s="180">
        <f t="shared" si="213"/>
        <v>18</v>
      </c>
      <c r="P222" s="168"/>
      <c r="Q222" s="185">
        <f t="shared" si="214"/>
        <v>45</v>
      </c>
      <c r="R222" s="173">
        <f t="shared" si="214"/>
        <v>10.5</v>
      </c>
      <c r="S222" s="173">
        <f t="shared" si="214"/>
        <v>327</v>
      </c>
      <c r="T222" s="180">
        <f t="shared" si="214"/>
        <v>18</v>
      </c>
      <c r="U222" s="168"/>
      <c r="V222" s="185">
        <f t="shared" si="215"/>
        <v>45</v>
      </c>
      <c r="W222" s="173">
        <f t="shared" si="215"/>
        <v>10.5</v>
      </c>
      <c r="X222" s="173">
        <f t="shared" si="215"/>
        <v>321</v>
      </c>
      <c r="Y222" s="180">
        <f t="shared" si="215"/>
        <v>18</v>
      </c>
      <c r="Z222" s="168"/>
      <c r="AA222" s="185">
        <f t="shared" si="216"/>
        <v>45</v>
      </c>
      <c r="AB222" s="173">
        <f t="shared" si="216"/>
        <v>10.5</v>
      </c>
      <c r="AC222" s="173">
        <f t="shared" si="216"/>
        <v>312</v>
      </c>
      <c r="AD222" s="180">
        <f t="shared" si="216"/>
        <v>18</v>
      </c>
      <c r="AE222" s="168"/>
      <c r="AF222" s="185">
        <f t="shared" si="217"/>
        <v>45</v>
      </c>
      <c r="AG222" s="173">
        <f t="shared" si="217"/>
        <v>10.5</v>
      </c>
      <c r="AH222" s="173">
        <f t="shared" si="217"/>
        <v>312</v>
      </c>
      <c r="AI222" s="180">
        <f t="shared" si="217"/>
        <v>18</v>
      </c>
      <c r="AJ222" s="168"/>
      <c r="AK222" s="185">
        <f t="shared" si="218"/>
        <v>45</v>
      </c>
      <c r="AL222" s="173">
        <f t="shared" si="218"/>
        <v>53.5</v>
      </c>
      <c r="AM222" s="173">
        <f t="shared" si="218"/>
        <v>110</v>
      </c>
      <c r="AN222" s="180">
        <f t="shared" si="218"/>
        <v>18</v>
      </c>
      <c r="AO222" s="168"/>
      <c r="AP222" s="185">
        <f t="shared" si="219"/>
        <v>45</v>
      </c>
      <c r="AQ222" s="173">
        <f t="shared" si="219"/>
        <v>10.5</v>
      </c>
      <c r="AR222" s="173">
        <f t="shared" si="219"/>
        <v>477</v>
      </c>
      <c r="AS222" s="180">
        <f t="shared" si="219"/>
        <v>18</v>
      </c>
      <c r="AT222" s="277"/>
      <c r="AU222" s="185">
        <f t="shared" si="220"/>
        <v>45</v>
      </c>
      <c r="AV222" s="173">
        <f t="shared" si="220"/>
        <v>10.8</v>
      </c>
      <c r="AW222" s="173">
        <f t="shared" si="220"/>
        <v>312</v>
      </c>
      <c r="AX222" s="180">
        <f t="shared" si="220"/>
        <v>17.5</v>
      </c>
      <c r="AY222" s="168"/>
      <c r="AZ222" s="185">
        <f t="shared" si="221"/>
        <v>45</v>
      </c>
      <c r="BA222" s="173">
        <f t="shared" si="221"/>
        <v>10.8</v>
      </c>
      <c r="BB222" s="173">
        <f t="shared" si="221"/>
        <v>312</v>
      </c>
      <c r="BC222" s="180">
        <f t="shared" si="221"/>
        <v>17.5</v>
      </c>
      <c r="BD222" s="168"/>
      <c r="BE222" s="185">
        <f t="shared" si="222"/>
        <v>45</v>
      </c>
      <c r="BF222" s="173">
        <f t="shared" si="222"/>
        <v>50</v>
      </c>
      <c r="BG222" s="173">
        <f t="shared" si="222"/>
        <v>110</v>
      </c>
      <c r="BH222" s="180">
        <f t="shared" si="222"/>
        <v>17.5</v>
      </c>
      <c r="BI222" s="277"/>
      <c r="BJ222" s="185">
        <f t="shared" si="223"/>
        <v>45</v>
      </c>
      <c r="BK222" s="173">
        <f t="shared" si="223"/>
        <v>9.75</v>
      </c>
      <c r="BL222" s="173">
        <f t="shared" si="223"/>
        <v>292</v>
      </c>
      <c r="BM222" s="180">
        <f t="shared" si="223"/>
        <v>17.5</v>
      </c>
      <c r="BN222" s="168"/>
      <c r="BO222" s="185">
        <f t="shared" si="224"/>
        <v>45</v>
      </c>
      <c r="BP222" s="173">
        <f t="shared" si="224"/>
        <v>9.75</v>
      </c>
      <c r="BQ222" s="173">
        <f t="shared" si="224"/>
        <v>292</v>
      </c>
      <c r="BR222" s="180">
        <f t="shared" si="224"/>
        <v>17.5</v>
      </c>
      <c r="BS222" s="168"/>
      <c r="BT222" s="185">
        <f t="shared" si="225"/>
        <v>45</v>
      </c>
      <c r="BU222" s="173">
        <f t="shared" si="225"/>
        <v>50.25</v>
      </c>
      <c r="BV222" s="173">
        <f t="shared" si="225"/>
        <v>80</v>
      </c>
      <c r="BW222" s="180">
        <f t="shared" si="225"/>
        <v>17.5</v>
      </c>
      <c r="BX222" s="288"/>
      <c r="CM222" s="168"/>
    </row>
    <row r="223" spans="1:91">
      <c r="A223" s="284" t="str">
        <f t="shared" si="211"/>
        <v/>
      </c>
      <c r="B223" s="185">
        <f t="shared" si="211"/>
        <v>45</v>
      </c>
      <c r="C223" s="173">
        <f t="shared" si="211"/>
        <v>10.5</v>
      </c>
      <c r="D223" s="173">
        <f t="shared" si="211"/>
        <v>378</v>
      </c>
      <c r="E223" s="180">
        <f t="shared" si="211"/>
        <v>18</v>
      </c>
      <c r="G223" s="185">
        <f t="shared" si="212"/>
        <v>45</v>
      </c>
      <c r="H223" s="173">
        <f t="shared" si="212"/>
        <v>10.5</v>
      </c>
      <c r="I223" s="173">
        <f t="shared" si="212"/>
        <v>378</v>
      </c>
      <c r="J223" s="180">
        <f t="shared" si="212"/>
        <v>18</v>
      </c>
      <c r="L223" s="185">
        <f t="shared" si="213"/>
        <v>45</v>
      </c>
      <c r="M223" s="173">
        <f t="shared" si="213"/>
        <v>10.5</v>
      </c>
      <c r="N223" s="173">
        <f t="shared" si="213"/>
        <v>387</v>
      </c>
      <c r="O223" s="180">
        <f t="shared" si="213"/>
        <v>18</v>
      </c>
      <c r="Q223" s="185">
        <f t="shared" si="214"/>
        <v>45</v>
      </c>
      <c r="R223" s="173">
        <f t="shared" si="214"/>
        <v>10.5</v>
      </c>
      <c r="S223" s="173">
        <f t="shared" si="214"/>
        <v>384</v>
      </c>
      <c r="T223" s="180">
        <f t="shared" si="214"/>
        <v>18</v>
      </c>
      <c r="V223" s="185">
        <f t="shared" si="215"/>
        <v>45</v>
      </c>
      <c r="W223" s="173">
        <f t="shared" si="215"/>
        <v>10.5</v>
      </c>
      <c r="X223" s="173">
        <f t="shared" si="215"/>
        <v>378</v>
      </c>
      <c r="Y223" s="180">
        <f t="shared" si="215"/>
        <v>18</v>
      </c>
      <c r="AA223" s="185">
        <f t="shared" si="216"/>
        <v>45</v>
      </c>
      <c r="AB223" s="173">
        <f t="shared" si="216"/>
        <v>10.5</v>
      </c>
      <c r="AC223" s="173">
        <f t="shared" si="216"/>
        <v>370</v>
      </c>
      <c r="AD223" s="180">
        <f t="shared" si="216"/>
        <v>18</v>
      </c>
      <c r="AF223" s="185">
        <f t="shared" si="217"/>
        <v>45</v>
      </c>
      <c r="AG223" s="173">
        <f t="shared" si="217"/>
        <v>10.5</v>
      </c>
      <c r="AH223" s="173">
        <f t="shared" si="217"/>
        <v>370</v>
      </c>
      <c r="AI223" s="180">
        <f t="shared" si="217"/>
        <v>18</v>
      </c>
      <c r="AK223" s="185">
        <f t="shared" si="218"/>
        <v>45</v>
      </c>
      <c r="AL223" s="173">
        <f t="shared" si="218"/>
        <v>53.5</v>
      </c>
      <c r="AM223" s="173">
        <f t="shared" si="218"/>
        <v>168</v>
      </c>
      <c r="AN223" s="180">
        <f t="shared" si="218"/>
        <v>18</v>
      </c>
      <c r="AP223" s="185">
        <f t="shared" si="219"/>
        <v>45</v>
      </c>
      <c r="AQ223" s="173">
        <f t="shared" si="219"/>
        <v>10.5</v>
      </c>
      <c r="AR223" s="173">
        <f t="shared" si="219"/>
        <v>534</v>
      </c>
      <c r="AS223" s="180">
        <f t="shared" si="219"/>
        <v>18</v>
      </c>
      <c r="AT223" s="288"/>
      <c r="AU223" s="185">
        <f t="shared" si="220"/>
        <v>45</v>
      </c>
      <c r="AV223" s="173">
        <f t="shared" si="220"/>
        <v>10.8</v>
      </c>
      <c r="AW223" s="173">
        <f t="shared" si="220"/>
        <v>370</v>
      </c>
      <c r="AX223" s="180">
        <f t="shared" si="220"/>
        <v>17.5</v>
      </c>
      <c r="AZ223" s="185">
        <f t="shared" si="221"/>
        <v>45</v>
      </c>
      <c r="BA223" s="173">
        <f t="shared" si="221"/>
        <v>10.8</v>
      </c>
      <c r="BB223" s="173">
        <f t="shared" si="221"/>
        <v>370</v>
      </c>
      <c r="BC223" s="180">
        <f t="shared" si="221"/>
        <v>17.5</v>
      </c>
      <c r="BE223" s="185">
        <f t="shared" si="222"/>
        <v>45</v>
      </c>
      <c r="BF223" s="173">
        <f t="shared" si="222"/>
        <v>50</v>
      </c>
      <c r="BG223" s="173">
        <f t="shared" si="222"/>
        <v>168</v>
      </c>
      <c r="BH223" s="180">
        <f t="shared" si="222"/>
        <v>17.5</v>
      </c>
      <c r="BI223" s="288"/>
      <c r="BJ223" s="185">
        <f t="shared" si="223"/>
        <v>45</v>
      </c>
      <c r="BK223" s="173">
        <f t="shared" si="223"/>
        <v>9.75</v>
      </c>
      <c r="BL223" s="173">
        <f t="shared" si="223"/>
        <v>350</v>
      </c>
      <c r="BM223" s="180">
        <f t="shared" si="223"/>
        <v>17.5</v>
      </c>
      <c r="BO223" s="185">
        <f t="shared" si="224"/>
        <v>45</v>
      </c>
      <c r="BP223" s="173">
        <f t="shared" si="224"/>
        <v>9.75</v>
      </c>
      <c r="BQ223" s="173">
        <f t="shared" si="224"/>
        <v>350</v>
      </c>
      <c r="BR223" s="180">
        <f t="shared" si="224"/>
        <v>17.5</v>
      </c>
      <c r="BT223" s="185">
        <f t="shared" si="225"/>
        <v>45</v>
      </c>
      <c r="BU223" s="173">
        <f t="shared" si="225"/>
        <v>50.25</v>
      </c>
      <c r="BV223" s="173">
        <f t="shared" si="225"/>
        <v>138</v>
      </c>
      <c r="BW223" s="180">
        <f t="shared" si="225"/>
        <v>17.5</v>
      </c>
      <c r="BX223" s="288"/>
      <c r="CM223" s="96"/>
    </row>
    <row r="224" spans="1:91">
      <c r="A224" s="284" t="str">
        <f t="shared" si="211"/>
        <v/>
      </c>
      <c r="B224" s="185">
        <f t="shared" si="211"/>
        <v>45</v>
      </c>
      <c r="C224" s="173">
        <f t="shared" si="211"/>
        <v>10.5</v>
      </c>
      <c r="D224" s="173">
        <f t="shared" si="211"/>
        <v>435</v>
      </c>
      <c r="E224" s="180">
        <f t="shared" si="211"/>
        <v>18</v>
      </c>
      <c r="G224" s="185">
        <f t="shared" si="212"/>
        <v>45</v>
      </c>
      <c r="H224" s="173">
        <f t="shared" si="212"/>
        <v>10.5</v>
      </c>
      <c r="I224" s="173">
        <f t="shared" si="212"/>
        <v>435</v>
      </c>
      <c r="J224" s="180">
        <f t="shared" si="212"/>
        <v>18</v>
      </c>
      <c r="L224" s="185">
        <f t="shared" si="213"/>
        <v>45</v>
      </c>
      <c r="M224" s="173">
        <f t="shared" si="213"/>
        <v>10.5</v>
      </c>
      <c r="N224" s="173">
        <f t="shared" si="213"/>
        <v>444</v>
      </c>
      <c r="O224" s="180">
        <f t="shared" si="213"/>
        <v>18</v>
      </c>
      <c r="Q224" s="185">
        <f t="shared" si="214"/>
        <v>45</v>
      </c>
      <c r="R224" s="173">
        <f t="shared" si="214"/>
        <v>10.5</v>
      </c>
      <c r="S224" s="173">
        <f t="shared" si="214"/>
        <v>441</v>
      </c>
      <c r="T224" s="180">
        <f t="shared" si="214"/>
        <v>18</v>
      </c>
      <c r="V224" s="185">
        <f t="shared" si="215"/>
        <v>45</v>
      </c>
      <c r="W224" s="173">
        <f t="shared" si="215"/>
        <v>10.5</v>
      </c>
      <c r="X224" s="173">
        <f t="shared" si="215"/>
        <v>435</v>
      </c>
      <c r="Y224" s="180">
        <f t="shared" si="215"/>
        <v>18</v>
      </c>
      <c r="AA224" s="185">
        <f t="shared" si="216"/>
        <v>45</v>
      </c>
      <c r="AB224" s="173">
        <f t="shared" si="216"/>
        <v>10.5</v>
      </c>
      <c r="AC224" s="173">
        <f t="shared" si="216"/>
        <v>428</v>
      </c>
      <c r="AD224" s="180">
        <f t="shared" si="216"/>
        <v>18</v>
      </c>
      <c r="AF224" s="185">
        <f t="shared" si="217"/>
        <v>45</v>
      </c>
      <c r="AG224" s="173">
        <f t="shared" si="217"/>
        <v>53.5</v>
      </c>
      <c r="AH224" s="173">
        <f t="shared" si="217"/>
        <v>110</v>
      </c>
      <c r="AI224" s="180">
        <f t="shared" si="217"/>
        <v>18</v>
      </c>
      <c r="AK224" s="185">
        <f t="shared" si="218"/>
        <v>45</v>
      </c>
      <c r="AL224" s="173">
        <f t="shared" si="218"/>
        <v>53.5</v>
      </c>
      <c r="AM224" s="173">
        <f t="shared" si="218"/>
        <v>226</v>
      </c>
      <c r="AN224" s="180">
        <f t="shared" si="218"/>
        <v>18</v>
      </c>
      <c r="AP224" s="185">
        <f t="shared" si="219"/>
        <v>45</v>
      </c>
      <c r="AQ224" s="173">
        <f t="shared" si="219"/>
        <v>10.5</v>
      </c>
      <c r="AR224" s="173">
        <f t="shared" si="219"/>
        <v>591</v>
      </c>
      <c r="AS224" s="180">
        <f t="shared" si="219"/>
        <v>18</v>
      </c>
      <c r="AT224" s="288"/>
      <c r="AU224" s="185">
        <f t="shared" si="220"/>
        <v>45</v>
      </c>
      <c r="AV224" s="173">
        <f t="shared" si="220"/>
        <v>10.8</v>
      </c>
      <c r="AW224" s="173">
        <f t="shared" si="220"/>
        <v>428</v>
      </c>
      <c r="AX224" s="180">
        <f t="shared" si="220"/>
        <v>17.5</v>
      </c>
      <c r="AZ224" s="185">
        <f t="shared" si="221"/>
        <v>45</v>
      </c>
      <c r="BA224" s="173">
        <f t="shared" si="221"/>
        <v>50</v>
      </c>
      <c r="BB224" s="173">
        <f t="shared" si="221"/>
        <v>110</v>
      </c>
      <c r="BC224" s="180">
        <f t="shared" si="221"/>
        <v>17.5</v>
      </c>
      <c r="BE224" s="185">
        <f t="shared" si="222"/>
        <v>45</v>
      </c>
      <c r="BF224" s="173">
        <f t="shared" si="222"/>
        <v>50</v>
      </c>
      <c r="BG224" s="173">
        <f t="shared" si="222"/>
        <v>226</v>
      </c>
      <c r="BH224" s="180">
        <f t="shared" si="222"/>
        <v>17.5</v>
      </c>
      <c r="BI224" s="288"/>
      <c r="BJ224" s="185">
        <f t="shared" si="223"/>
        <v>45</v>
      </c>
      <c r="BK224" s="173">
        <f t="shared" si="223"/>
        <v>9.75</v>
      </c>
      <c r="BL224" s="173">
        <f t="shared" si="223"/>
        <v>408</v>
      </c>
      <c r="BM224" s="180">
        <f t="shared" si="223"/>
        <v>17.5</v>
      </c>
      <c r="BO224" s="185">
        <f t="shared" si="224"/>
        <v>45</v>
      </c>
      <c r="BP224" s="173">
        <f t="shared" si="224"/>
        <v>50.25</v>
      </c>
      <c r="BQ224" s="173">
        <f t="shared" si="224"/>
        <v>80</v>
      </c>
      <c r="BR224" s="180">
        <f t="shared" si="224"/>
        <v>17.5</v>
      </c>
      <c r="BT224" s="185">
        <f t="shared" si="225"/>
        <v>45</v>
      </c>
      <c r="BU224" s="173">
        <f t="shared" si="225"/>
        <v>50.25</v>
      </c>
      <c r="BV224" s="173">
        <f t="shared" si="225"/>
        <v>196</v>
      </c>
      <c r="BW224" s="180">
        <f t="shared" si="225"/>
        <v>17.5</v>
      </c>
      <c r="BX224" s="288"/>
      <c r="CM224" s="96"/>
    </row>
    <row r="225" spans="1:91">
      <c r="A225" s="284" t="str">
        <f t="shared" si="211"/>
        <v/>
      </c>
      <c r="B225" s="185">
        <f t="shared" si="211"/>
        <v>45</v>
      </c>
      <c r="C225" s="173">
        <f t="shared" si="211"/>
        <v>10.5</v>
      </c>
      <c r="D225" s="173">
        <f t="shared" si="211"/>
        <v>492</v>
      </c>
      <c r="E225" s="180">
        <f t="shared" si="211"/>
        <v>18</v>
      </c>
      <c r="G225" s="185">
        <f t="shared" si="212"/>
        <v>45</v>
      </c>
      <c r="H225" s="173">
        <f t="shared" si="212"/>
        <v>10.5</v>
      </c>
      <c r="I225" s="173">
        <f t="shared" si="212"/>
        <v>492</v>
      </c>
      <c r="J225" s="180">
        <f t="shared" si="212"/>
        <v>18</v>
      </c>
      <c r="L225" s="185">
        <f t="shared" si="213"/>
        <v>45</v>
      </c>
      <c r="M225" s="173">
        <f t="shared" si="213"/>
        <v>10.5</v>
      </c>
      <c r="N225" s="173">
        <f t="shared" si="213"/>
        <v>501</v>
      </c>
      <c r="O225" s="180">
        <f t="shared" si="213"/>
        <v>18</v>
      </c>
      <c r="Q225" s="185">
        <f t="shared" si="214"/>
        <v>45</v>
      </c>
      <c r="R225" s="173">
        <f t="shared" si="214"/>
        <v>10.5</v>
      </c>
      <c r="S225" s="173">
        <f t="shared" si="214"/>
        <v>498</v>
      </c>
      <c r="T225" s="180">
        <f t="shared" si="214"/>
        <v>18</v>
      </c>
      <c r="V225" s="185">
        <f t="shared" si="215"/>
        <v>45</v>
      </c>
      <c r="W225" s="173">
        <f t="shared" si="215"/>
        <v>10.5</v>
      </c>
      <c r="X225" s="173">
        <f t="shared" si="215"/>
        <v>492</v>
      </c>
      <c r="Y225" s="180">
        <f t="shared" si="215"/>
        <v>18</v>
      </c>
      <c r="AA225" s="185">
        <f t="shared" si="216"/>
        <v>45</v>
      </c>
      <c r="AB225" s="173">
        <f t="shared" si="216"/>
        <v>10.5</v>
      </c>
      <c r="AC225" s="173">
        <f t="shared" si="216"/>
        <v>486</v>
      </c>
      <c r="AD225" s="180">
        <f t="shared" si="216"/>
        <v>18</v>
      </c>
      <c r="AF225" s="185">
        <f t="shared" si="217"/>
        <v>45</v>
      </c>
      <c r="AG225" s="173">
        <f t="shared" si="217"/>
        <v>53.5</v>
      </c>
      <c r="AH225" s="173">
        <f t="shared" si="217"/>
        <v>168</v>
      </c>
      <c r="AI225" s="180">
        <f t="shared" si="217"/>
        <v>18</v>
      </c>
      <c r="AK225" s="185">
        <f t="shared" si="218"/>
        <v>45</v>
      </c>
      <c r="AL225" s="173">
        <f t="shared" si="218"/>
        <v>96.5</v>
      </c>
      <c r="AM225" s="173">
        <f t="shared" si="218"/>
        <v>110</v>
      </c>
      <c r="AN225" s="180">
        <f t="shared" si="218"/>
        <v>18</v>
      </c>
      <c r="AP225" s="185">
        <f t="shared" si="219"/>
        <v>45</v>
      </c>
      <c r="AQ225" s="173">
        <f t="shared" si="219"/>
        <v>10.5</v>
      </c>
      <c r="AR225" s="173">
        <f t="shared" si="219"/>
        <v>648</v>
      </c>
      <c r="AS225" s="180">
        <f t="shared" si="219"/>
        <v>18</v>
      </c>
      <c r="AT225" s="288"/>
      <c r="AU225" s="185">
        <f t="shared" si="220"/>
        <v>45</v>
      </c>
      <c r="AV225" s="173">
        <f t="shared" si="220"/>
        <v>10.8</v>
      </c>
      <c r="AW225" s="173">
        <f t="shared" si="220"/>
        <v>486</v>
      </c>
      <c r="AX225" s="180">
        <f t="shared" si="220"/>
        <v>17.5</v>
      </c>
      <c r="AZ225" s="185">
        <f t="shared" si="221"/>
        <v>45</v>
      </c>
      <c r="BA225" s="173">
        <f t="shared" si="221"/>
        <v>50</v>
      </c>
      <c r="BB225" s="173">
        <f t="shared" si="221"/>
        <v>168</v>
      </c>
      <c r="BC225" s="180">
        <f t="shared" si="221"/>
        <v>17.5</v>
      </c>
      <c r="BE225" s="185">
        <f t="shared" si="222"/>
        <v>45</v>
      </c>
      <c r="BF225" s="173">
        <f t="shared" si="222"/>
        <v>89.2</v>
      </c>
      <c r="BG225" s="173">
        <f t="shared" si="222"/>
        <v>138</v>
      </c>
      <c r="BH225" s="180">
        <f t="shared" si="222"/>
        <v>17.5</v>
      </c>
      <c r="BI225" s="288"/>
      <c r="BJ225" s="185">
        <f t="shared" si="223"/>
        <v>45</v>
      </c>
      <c r="BK225" s="173">
        <f t="shared" si="223"/>
        <v>9.75</v>
      </c>
      <c r="BL225" s="173">
        <f t="shared" si="223"/>
        <v>466</v>
      </c>
      <c r="BM225" s="180">
        <f t="shared" si="223"/>
        <v>17.5</v>
      </c>
      <c r="BO225" s="185">
        <f t="shared" si="224"/>
        <v>45</v>
      </c>
      <c r="BP225" s="173">
        <f t="shared" si="224"/>
        <v>50.25</v>
      </c>
      <c r="BQ225" s="173">
        <f t="shared" si="224"/>
        <v>138</v>
      </c>
      <c r="BR225" s="180">
        <f t="shared" si="224"/>
        <v>17.5</v>
      </c>
      <c r="BT225" s="185">
        <f t="shared" si="225"/>
        <v>45</v>
      </c>
      <c r="BU225" s="173">
        <f t="shared" si="225"/>
        <v>50.25</v>
      </c>
      <c r="BV225" s="173">
        <f t="shared" si="225"/>
        <v>254</v>
      </c>
      <c r="BW225" s="180">
        <f t="shared" si="225"/>
        <v>17.5</v>
      </c>
      <c r="BX225" s="288"/>
      <c r="CM225" s="96"/>
    </row>
    <row r="226" spans="1:91">
      <c r="A226" s="284" t="str">
        <f t="shared" si="211"/>
        <v/>
      </c>
      <c r="B226" s="185">
        <f t="shared" si="211"/>
        <v>45</v>
      </c>
      <c r="C226" s="173">
        <f t="shared" si="211"/>
        <v>10.5</v>
      </c>
      <c r="D226" s="173">
        <f t="shared" si="211"/>
        <v>549</v>
      </c>
      <c r="E226" s="180">
        <f t="shared" si="211"/>
        <v>18</v>
      </c>
      <c r="G226" s="185">
        <f t="shared" si="212"/>
        <v>45</v>
      </c>
      <c r="H226" s="173">
        <f t="shared" si="212"/>
        <v>10.5</v>
      </c>
      <c r="I226" s="173">
        <f t="shared" si="212"/>
        <v>549</v>
      </c>
      <c r="J226" s="180">
        <f t="shared" si="212"/>
        <v>18</v>
      </c>
      <c r="L226" s="185">
        <f t="shared" si="213"/>
        <v>45</v>
      </c>
      <c r="M226" s="173">
        <f t="shared" si="213"/>
        <v>10.5</v>
      </c>
      <c r="N226" s="173">
        <f t="shared" si="213"/>
        <v>558</v>
      </c>
      <c r="O226" s="180">
        <f t="shared" si="213"/>
        <v>18</v>
      </c>
      <c r="Q226" s="185">
        <f t="shared" si="214"/>
        <v>45</v>
      </c>
      <c r="R226" s="173">
        <f t="shared" si="214"/>
        <v>10.5</v>
      </c>
      <c r="S226" s="173">
        <f t="shared" si="214"/>
        <v>555</v>
      </c>
      <c r="T226" s="180">
        <f t="shared" si="214"/>
        <v>18</v>
      </c>
      <c r="V226" s="185">
        <f t="shared" si="215"/>
        <v>45</v>
      </c>
      <c r="W226" s="173">
        <f t="shared" si="215"/>
        <v>10.5</v>
      </c>
      <c r="X226" s="173">
        <f t="shared" si="215"/>
        <v>549</v>
      </c>
      <c r="Y226" s="180">
        <f t="shared" si="215"/>
        <v>18</v>
      </c>
      <c r="AA226" s="185">
        <f t="shared" si="216"/>
        <v>45</v>
      </c>
      <c r="AB226" s="173">
        <f t="shared" si="216"/>
        <v>53.5</v>
      </c>
      <c r="AC226" s="173">
        <f t="shared" si="216"/>
        <v>110</v>
      </c>
      <c r="AD226" s="180">
        <f t="shared" si="216"/>
        <v>18</v>
      </c>
      <c r="AF226" s="185">
        <f t="shared" si="217"/>
        <v>45</v>
      </c>
      <c r="AG226" s="173">
        <f t="shared" si="217"/>
        <v>53.5</v>
      </c>
      <c r="AH226" s="173">
        <f t="shared" si="217"/>
        <v>226</v>
      </c>
      <c r="AI226" s="180">
        <f t="shared" si="217"/>
        <v>18</v>
      </c>
      <c r="AK226" s="185">
        <f t="shared" si="218"/>
        <v>45</v>
      </c>
      <c r="AL226" s="173">
        <f t="shared" si="218"/>
        <v>96.5</v>
      </c>
      <c r="AM226" s="173">
        <f t="shared" si="218"/>
        <v>168</v>
      </c>
      <c r="AN226" s="180">
        <f t="shared" si="218"/>
        <v>18</v>
      </c>
      <c r="AP226" s="185">
        <f t="shared" si="219"/>
        <v>45</v>
      </c>
      <c r="AQ226" s="173">
        <f t="shared" si="219"/>
        <v>10.5</v>
      </c>
      <c r="AR226" s="173">
        <f t="shared" si="219"/>
        <v>705</v>
      </c>
      <c r="AS226" s="180">
        <f t="shared" si="219"/>
        <v>18</v>
      </c>
      <c r="AT226" s="288"/>
      <c r="AU226" s="185">
        <f t="shared" si="220"/>
        <v>45</v>
      </c>
      <c r="AV226" s="173">
        <f t="shared" si="220"/>
        <v>50</v>
      </c>
      <c r="AW226" s="173">
        <f t="shared" si="220"/>
        <v>110</v>
      </c>
      <c r="AX226" s="180">
        <f t="shared" si="220"/>
        <v>17.5</v>
      </c>
      <c r="AZ226" s="185">
        <f t="shared" si="221"/>
        <v>45</v>
      </c>
      <c r="BA226" s="173">
        <f t="shared" si="221"/>
        <v>50</v>
      </c>
      <c r="BB226" s="173">
        <f t="shared" si="221"/>
        <v>226</v>
      </c>
      <c r="BC226" s="180">
        <f t="shared" si="221"/>
        <v>17.5</v>
      </c>
      <c r="BE226" s="185">
        <f t="shared" si="222"/>
        <v>45</v>
      </c>
      <c r="BF226" s="173">
        <f t="shared" si="222"/>
        <v>89.2</v>
      </c>
      <c r="BG226" s="173">
        <f t="shared" si="222"/>
        <v>196</v>
      </c>
      <c r="BH226" s="180">
        <f t="shared" si="222"/>
        <v>17.5</v>
      </c>
      <c r="BI226" s="288"/>
      <c r="BJ226" s="185">
        <f t="shared" si="223"/>
        <v>45</v>
      </c>
      <c r="BK226" s="173">
        <f t="shared" si="223"/>
        <v>50.25</v>
      </c>
      <c r="BL226" s="173">
        <f t="shared" si="223"/>
        <v>80</v>
      </c>
      <c r="BM226" s="180">
        <f t="shared" si="223"/>
        <v>17.5</v>
      </c>
      <c r="BO226" s="185">
        <f t="shared" si="224"/>
        <v>45</v>
      </c>
      <c r="BP226" s="173">
        <f t="shared" si="224"/>
        <v>50.25</v>
      </c>
      <c r="BQ226" s="173">
        <f t="shared" si="224"/>
        <v>196</v>
      </c>
      <c r="BR226" s="180">
        <f t="shared" si="224"/>
        <v>17.5</v>
      </c>
      <c r="BT226" s="185" t="str">
        <f t="shared" si="225"/>
        <v/>
      </c>
      <c r="BU226" s="173" t="str">
        <f t="shared" si="225"/>
        <v/>
      </c>
      <c r="BV226" s="173" t="str">
        <f t="shared" si="225"/>
        <v/>
      </c>
      <c r="BW226" s="180" t="str">
        <f t="shared" si="225"/>
        <v/>
      </c>
      <c r="BX226" s="288"/>
      <c r="CM226" s="96"/>
    </row>
    <row r="227" spans="1:91">
      <c r="A227" s="284" t="str">
        <f t="shared" si="211"/>
        <v/>
      </c>
      <c r="B227" s="185">
        <f t="shared" si="211"/>
        <v>45</v>
      </c>
      <c r="C227" s="173">
        <f t="shared" si="211"/>
        <v>10.5</v>
      </c>
      <c r="D227" s="173">
        <f t="shared" si="211"/>
        <v>606</v>
      </c>
      <c r="E227" s="180">
        <f t="shared" si="211"/>
        <v>18</v>
      </c>
      <c r="G227" s="185">
        <f t="shared" si="212"/>
        <v>45</v>
      </c>
      <c r="H227" s="173">
        <f t="shared" si="212"/>
        <v>10.5</v>
      </c>
      <c r="I227" s="173">
        <f t="shared" si="212"/>
        <v>606</v>
      </c>
      <c r="J227" s="180">
        <f t="shared" si="212"/>
        <v>18</v>
      </c>
      <c r="L227" s="185">
        <f t="shared" si="213"/>
        <v>45</v>
      </c>
      <c r="M227" s="173">
        <f t="shared" si="213"/>
        <v>10.5</v>
      </c>
      <c r="N227" s="173">
        <f t="shared" si="213"/>
        <v>615</v>
      </c>
      <c r="O227" s="180">
        <f t="shared" si="213"/>
        <v>18</v>
      </c>
      <c r="Q227" s="185">
        <f t="shared" si="214"/>
        <v>45</v>
      </c>
      <c r="R227" s="173">
        <f t="shared" si="214"/>
        <v>10.5</v>
      </c>
      <c r="S227" s="173">
        <f t="shared" si="214"/>
        <v>612</v>
      </c>
      <c r="T227" s="180">
        <f t="shared" si="214"/>
        <v>18</v>
      </c>
      <c r="V227" s="185">
        <f t="shared" si="215"/>
        <v>45</v>
      </c>
      <c r="W227" s="173">
        <f t="shared" si="215"/>
        <v>53.5</v>
      </c>
      <c r="X227" s="173">
        <f t="shared" si="215"/>
        <v>121.5</v>
      </c>
      <c r="Y227" s="180">
        <f t="shared" si="215"/>
        <v>18</v>
      </c>
      <c r="AA227" s="185">
        <f t="shared" si="216"/>
        <v>45</v>
      </c>
      <c r="AB227" s="173">
        <f t="shared" si="216"/>
        <v>53.5</v>
      </c>
      <c r="AC227" s="173">
        <f t="shared" si="216"/>
        <v>168</v>
      </c>
      <c r="AD227" s="180">
        <f t="shared" si="216"/>
        <v>18</v>
      </c>
      <c r="AF227" s="185">
        <f t="shared" si="217"/>
        <v>45</v>
      </c>
      <c r="AG227" s="173">
        <f t="shared" si="217"/>
        <v>53.5</v>
      </c>
      <c r="AH227" s="173">
        <f t="shared" si="217"/>
        <v>284</v>
      </c>
      <c r="AI227" s="180">
        <f t="shared" si="217"/>
        <v>18</v>
      </c>
      <c r="AK227" s="185">
        <f t="shared" si="218"/>
        <v>45</v>
      </c>
      <c r="AL227" s="173">
        <f t="shared" si="218"/>
        <v>96.5</v>
      </c>
      <c r="AM227" s="173">
        <f t="shared" si="218"/>
        <v>226</v>
      </c>
      <c r="AN227" s="180">
        <f t="shared" si="218"/>
        <v>18</v>
      </c>
      <c r="AP227" s="185">
        <f t="shared" si="219"/>
        <v>45</v>
      </c>
      <c r="AQ227" s="173">
        <f t="shared" si="219"/>
        <v>10.5</v>
      </c>
      <c r="AR227" s="173">
        <f t="shared" si="219"/>
        <v>762</v>
      </c>
      <c r="AS227" s="180">
        <f t="shared" si="219"/>
        <v>18</v>
      </c>
      <c r="AT227" s="288"/>
      <c r="AU227" s="185">
        <f t="shared" si="220"/>
        <v>45</v>
      </c>
      <c r="AV227" s="173">
        <f t="shared" si="220"/>
        <v>50</v>
      </c>
      <c r="AW227" s="173">
        <f t="shared" si="220"/>
        <v>168</v>
      </c>
      <c r="AX227" s="180">
        <f t="shared" si="220"/>
        <v>17.5</v>
      </c>
      <c r="AZ227" s="185">
        <f t="shared" si="221"/>
        <v>45</v>
      </c>
      <c r="BA227" s="173">
        <f t="shared" si="221"/>
        <v>50</v>
      </c>
      <c r="BB227" s="173">
        <f t="shared" si="221"/>
        <v>284</v>
      </c>
      <c r="BC227" s="180">
        <f t="shared" si="221"/>
        <v>17.5</v>
      </c>
      <c r="BE227" s="185">
        <f t="shared" si="222"/>
        <v>45</v>
      </c>
      <c r="BF227" s="173">
        <f t="shared" si="222"/>
        <v>89.2</v>
      </c>
      <c r="BG227" s="173">
        <f t="shared" si="222"/>
        <v>254</v>
      </c>
      <c r="BH227" s="180">
        <f t="shared" si="222"/>
        <v>17.5</v>
      </c>
      <c r="BI227" s="288"/>
      <c r="BJ227" s="185">
        <f t="shared" si="223"/>
        <v>45</v>
      </c>
      <c r="BK227" s="173">
        <f t="shared" si="223"/>
        <v>50.25</v>
      </c>
      <c r="BL227" s="173">
        <f t="shared" si="223"/>
        <v>138</v>
      </c>
      <c r="BM227" s="180">
        <f t="shared" si="223"/>
        <v>17.5</v>
      </c>
      <c r="BO227" s="185">
        <f t="shared" si="224"/>
        <v>45</v>
      </c>
      <c r="BP227" s="173">
        <f t="shared" si="224"/>
        <v>50.25</v>
      </c>
      <c r="BQ227" s="173">
        <f t="shared" si="224"/>
        <v>254</v>
      </c>
      <c r="BR227" s="180">
        <f t="shared" si="224"/>
        <v>17.5</v>
      </c>
      <c r="BT227" s="185" t="str">
        <f t="shared" si="225"/>
        <v/>
      </c>
      <c r="BU227" s="173" t="str">
        <f t="shared" si="225"/>
        <v/>
      </c>
      <c r="BV227" s="173" t="str">
        <f t="shared" si="225"/>
        <v/>
      </c>
      <c r="BW227" s="180" t="str">
        <f t="shared" si="225"/>
        <v/>
      </c>
      <c r="BX227" s="288"/>
      <c r="CM227" s="96"/>
    </row>
    <row r="228" spans="1:91">
      <c r="A228" s="284" t="str">
        <f t="shared" si="211"/>
        <v/>
      </c>
      <c r="B228" s="185">
        <f t="shared" si="211"/>
        <v>45</v>
      </c>
      <c r="C228" s="173">
        <f t="shared" si="211"/>
        <v>10.5</v>
      </c>
      <c r="D228" s="173">
        <f t="shared" si="211"/>
        <v>663</v>
      </c>
      <c r="E228" s="180">
        <f t="shared" si="211"/>
        <v>18</v>
      </c>
      <c r="G228" s="185">
        <f t="shared" si="212"/>
        <v>45</v>
      </c>
      <c r="H228" s="173">
        <f t="shared" si="212"/>
        <v>10.5</v>
      </c>
      <c r="I228" s="173">
        <f t="shared" si="212"/>
        <v>663</v>
      </c>
      <c r="J228" s="180">
        <f t="shared" si="212"/>
        <v>18</v>
      </c>
      <c r="L228" s="185">
        <f t="shared" si="213"/>
        <v>45</v>
      </c>
      <c r="M228" s="173">
        <f t="shared" si="213"/>
        <v>10.5</v>
      </c>
      <c r="N228" s="173">
        <f t="shared" si="213"/>
        <v>672</v>
      </c>
      <c r="O228" s="180">
        <f t="shared" si="213"/>
        <v>18</v>
      </c>
      <c r="Q228" s="185">
        <f t="shared" si="214"/>
        <v>45</v>
      </c>
      <c r="R228" s="173">
        <f t="shared" si="214"/>
        <v>10.5</v>
      </c>
      <c r="S228" s="173">
        <f t="shared" si="214"/>
        <v>669</v>
      </c>
      <c r="T228" s="180">
        <f t="shared" si="214"/>
        <v>18</v>
      </c>
      <c r="V228" s="185">
        <f t="shared" si="215"/>
        <v>45</v>
      </c>
      <c r="W228" s="173">
        <f t="shared" si="215"/>
        <v>53.5</v>
      </c>
      <c r="X228" s="173">
        <f t="shared" si="215"/>
        <v>178.5</v>
      </c>
      <c r="Y228" s="180">
        <f t="shared" si="215"/>
        <v>18</v>
      </c>
      <c r="AA228" s="185">
        <f t="shared" si="216"/>
        <v>45</v>
      </c>
      <c r="AB228" s="173">
        <f t="shared" si="216"/>
        <v>53.5</v>
      </c>
      <c r="AC228" s="173">
        <f t="shared" si="216"/>
        <v>226</v>
      </c>
      <c r="AD228" s="180">
        <f t="shared" si="216"/>
        <v>18</v>
      </c>
      <c r="AF228" s="185">
        <f t="shared" si="217"/>
        <v>45</v>
      </c>
      <c r="AG228" s="173">
        <f t="shared" si="217"/>
        <v>53.5</v>
      </c>
      <c r="AH228" s="173">
        <f t="shared" si="217"/>
        <v>342</v>
      </c>
      <c r="AI228" s="180">
        <f t="shared" si="217"/>
        <v>18</v>
      </c>
      <c r="AK228" s="185">
        <f t="shared" si="218"/>
        <v>45</v>
      </c>
      <c r="AL228" s="173">
        <f t="shared" si="218"/>
        <v>139.5</v>
      </c>
      <c r="AM228" s="173">
        <f t="shared" si="218"/>
        <v>134</v>
      </c>
      <c r="AN228" s="180">
        <f t="shared" si="218"/>
        <v>18</v>
      </c>
      <c r="AP228" s="185">
        <f t="shared" si="219"/>
        <v>45</v>
      </c>
      <c r="AQ228" s="173">
        <f t="shared" si="219"/>
        <v>10.5</v>
      </c>
      <c r="AR228" s="173">
        <f t="shared" si="219"/>
        <v>819</v>
      </c>
      <c r="AS228" s="180">
        <f t="shared" si="219"/>
        <v>18</v>
      </c>
      <c r="AT228" s="288"/>
      <c r="AU228" s="185">
        <f t="shared" si="220"/>
        <v>45</v>
      </c>
      <c r="AV228" s="173">
        <f t="shared" si="220"/>
        <v>50</v>
      </c>
      <c r="AW228" s="173">
        <f t="shared" si="220"/>
        <v>226</v>
      </c>
      <c r="AX228" s="180">
        <f t="shared" si="220"/>
        <v>17.5</v>
      </c>
      <c r="AZ228" s="185">
        <f t="shared" si="221"/>
        <v>45</v>
      </c>
      <c r="BA228" s="173">
        <f t="shared" si="221"/>
        <v>50</v>
      </c>
      <c r="BB228" s="173">
        <f t="shared" si="221"/>
        <v>342</v>
      </c>
      <c r="BC228" s="180">
        <f t="shared" si="221"/>
        <v>17.5</v>
      </c>
      <c r="BE228" s="185" t="str">
        <f t="shared" si="222"/>
        <v/>
      </c>
      <c r="BF228" s="173" t="str">
        <f t="shared" si="222"/>
        <v/>
      </c>
      <c r="BG228" s="173" t="str">
        <f t="shared" si="222"/>
        <v/>
      </c>
      <c r="BH228" s="180" t="str">
        <f t="shared" si="222"/>
        <v/>
      </c>
      <c r="BI228" s="288"/>
      <c r="BJ228" s="185">
        <f t="shared" si="223"/>
        <v>45</v>
      </c>
      <c r="BK228" s="173">
        <f t="shared" si="223"/>
        <v>50.25</v>
      </c>
      <c r="BL228" s="173">
        <f t="shared" si="223"/>
        <v>196</v>
      </c>
      <c r="BM228" s="180">
        <f t="shared" si="223"/>
        <v>17.5</v>
      </c>
      <c r="BO228" s="185">
        <f t="shared" si="224"/>
        <v>45</v>
      </c>
      <c r="BP228" s="173">
        <f t="shared" si="224"/>
        <v>50.25</v>
      </c>
      <c r="BQ228" s="173">
        <f t="shared" si="224"/>
        <v>312</v>
      </c>
      <c r="BR228" s="180">
        <f t="shared" si="224"/>
        <v>17.5</v>
      </c>
      <c r="BT228" s="185" t="str">
        <f t="shared" si="225"/>
        <v/>
      </c>
      <c r="BU228" s="173" t="str">
        <f t="shared" si="225"/>
        <v/>
      </c>
      <c r="BV228" s="173" t="str">
        <f t="shared" si="225"/>
        <v/>
      </c>
      <c r="BW228" s="180" t="str">
        <f t="shared" si="225"/>
        <v/>
      </c>
      <c r="BX228" s="288"/>
      <c r="CM228" s="96"/>
    </row>
    <row r="229" spans="1:91">
      <c r="A229" s="284" t="str">
        <f t="shared" si="211"/>
        <v/>
      </c>
      <c r="B229" s="185">
        <f t="shared" si="211"/>
        <v>45</v>
      </c>
      <c r="C229" s="173">
        <f t="shared" si="211"/>
        <v>10.5</v>
      </c>
      <c r="D229" s="173">
        <f t="shared" si="211"/>
        <v>720</v>
      </c>
      <c r="E229" s="180">
        <f t="shared" si="211"/>
        <v>18</v>
      </c>
      <c r="G229" s="185">
        <f t="shared" si="212"/>
        <v>45</v>
      </c>
      <c r="H229" s="173">
        <f t="shared" si="212"/>
        <v>10.5</v>
      </c>
      <c r="I229" s="173">
        <f t="shared" si="212"/>
        <v>720</v>
      </c>
      <c r="J229" s="180">
        <f t="shared" si="212"/>
        <v>18</v>
      </c>
      <c r="L229" s="185">
        <f t="shared" si="213"/>
        <v>45</v>
      </c>
      <c r="M229" s="173">
        <f t="shared" si="213"/>
        <v>10.5</v>
      </c>
      <c r="N229" s="173">
        <f t="shared" si="213"/>
        <v>729</v>
      </c>
      <c r="O229" s="180">
        <f t="shared" si="213"/>
        <v>18</v>
      </c>
      <c r="Q229" s="185">
        <f t="shared" si="214"/>
        <v>45</v>
      </c>
      <c r="R229" s="173">
        <f t="shared" si="214"/>
        <v>53.5</v>
      </c>
      <c r="S229" s="173">
        <f t="shared" si="214"/>
        <v>127</v>
      </c>
      <c r="T229" s="180">
        <f t="shared" si="214"/>
        <v>18</v>
      </c>
      <c r="V229" s="185">
        <f t="shared" si="215"/>
        <v>45</v>
      </c>
      <c r="W229" s="173">
        <f t="shared" si="215"/>
        <v>53.5</v>
      </c>
      <c r="X229" s="173">
        <f t="shared" si="215"/>
        <v>235.5</v>
      </c>
      <c r="Y229" s="180">
        <f t="shared" si="215"/>
        <v>18</v>
      </c>
      <c r="AA229" s="185">
        <f t="shared" si="216"/>
        <v>45</v>
      </c>
      <c r="AB229" s="173">
        <f t="shared" si="216"/>
        <v>53.5</v>
      </c>
      <c r="AC229" s="173">
        <f t="shared" si="216"/>
        <v>284</v>
      </c>
      <c r="AD229" s="180">
        <f t="shared" si="216"/>
        <v>18</v>
      </c>
      <c r="AF229" s="185">
        <f t="shared" si="217"/>
        <v>45</v>
      </c>
      <c r="AG229" s="173">
        <f t="shared" si="217"/>
        <v>96.5</v>
      </c>
      <c r="AH229" s="173">
        <f t="shared" si="217"/>
        <v>110</v>
      </c>
      <c r="AI229" s="180">
        <f t="shared" si="217"/>
        <v>18</v>
      </c>
      <c r="AK229" s="185">
        <f t="shared" si="218"/>
        <v>45</v>
      </c>
      <c r="AL229" s="173">
        <f t="shared" si="218"/>
        <v>139.5</v>
      </c>
      <c r="AM229" s="173">
        <f t="shared" si="218"/>
        <v>192</v>
      </c>
      <c r="AN229" s="180">
        <f t="shared" si="218"/>
        <v>18</v>
      </c>
      <c r="AP229" s="185">
        <f t="shared" si="219"/>
        <v>45</v>
      </c>
      <c r="AQ229" s="173">
        <f t="shared" si="219"/>
        <v>53.5</v>
      </c>
      <c r="AR229" s="173">
        <f t="shared" si="219"/>
        <v>277</v>
      </c>
      <c r="AS229" s="180">
        <f t="shared" si="219"/>
        <v>18</v>
      </c>
      <c r="AT229" s="288"/>
      <c r="AU229" s="185">
        <f t="shared" si="220"/>
        <v>45</v>
      </c>
      <c r="AV229" s="173">
        <f t="shared" si="220"/>
        <v>50</v>
      </c>
      <c r="AW229" s="173">
        <f t="shared" si="220"/>
        <v>284</v>
      </c>
      <c r="AX229" s="180">
        <f t="shared" si="220"/>
        <v>17.5</v>
      </c>
      <c r="AZ229" s="185">
        <f t="shared" si="221"/>
        <v>45</v>
      </c>
      <c r="BA229" s="173">
        <f t="shared" si="221"/>
        <v>89.2</v>
      </c>
      <c r="BB229" s="173">
        <f t="shared" si="221"/>
        <v>138</v>
      </c>
      <c r="BC229" s="180">
        <f t="shared" si="221"/>
        <v>17.5</v>
      </c>
      <c r="BE229" s="185" t="str">
        <f t="shared" si="222"/>
        <v/>
      </c>
      <c r="BF229" s="173" t="str">
        <f t="shared" si="222"/>
        <v/>
      </c>
      <c r="BG229" s="173" t="str">
        <f t="shared" si="222"/>
        <v/>
      </c>
      <c r="BH229" s="180" t="str">
        <f t="shared" si="222"/>
        <v/>
      </c>
      <c r="BI229" s="288"/>
      <c r="BJ229" s="185">
        <f t="shared" si="223"/>
        <v>45</v>
      </c>
      <c r="BK229" s="173">
        <f t="shared" si="223"/>
        <v>50.25</v>
      </c>
      <c r="BL229" s="173">
        <f t="shared" si="223"/>
        <v>254</v>
      </c>
      <c r="BM229" s="180">
        <f t="shared" si="223"/>
        <v>17.5</v>
      </c>
      <c r="BO229" s="185">
        <f t="shared" si="224"/>
        <v>45</v>
      </c>
      <c r="BP229" s="173">
        <f t="shared" si="224"/>
        <v>50.25</v>
      </c>
      <c r="BQ229" s="173">
        <f t="shared" si="224"/>
        <v>370</v>
      </c>
      <c r="BR229" s="180">
        <f t="shared" si="224"/>
        <v>17.5</v>
      </c>
      <c r="BT229" s="185" t="str">
        <f t="shared" si="225"/>
        <v/>
      </c>
      <c r="BU229" s="173" t="str">
        <f t="shared" si="225"/>
        <v/>
      </c>
      <c r="BV229" s="173" t="str">
        <f t="shared" si="225"/>
        <v/>
      </c>
      <c r="BW229" s="180" t="str">
        <f t="shared" si="225"/>
        <v/>
      </c>
      <c r="BX229" s="288"/>
      <c r="CM229" s="96"/>
    </row>
    <row r="230" spans="1:91">
      <c r="A230" s="284" t="str">
        <f t="shared" si="211"/>
        <v/>
      </c>
      <c r="B230" s="185">
        <f t="shared" si="211"/>
        <v>45</v>
      </c>
      <c r="C230" s="173">
        <f t="shared" si="211"/>
        <v>10.5</v>
      </c>
      <c r="D230" s="173">
        <f t="shared" si="211"/>
        <v>777</v>
      </c>
      <c r="E230" s="180">
        <f t="shared" si="211"/>
        <v>18</v>
      </c>
      <c r="G230" s="185">
        <f t="shared" si="212"/>
        <v>45</v>
      </c>
      <c r="H230" s="173">
        <f t="shared" si="212"/>
        <v>10.5</v>
      </c>
      <c r="I230" s="173">
        <f t="shared" si="212"/>
        <v>777</v>
      </c>
      <c r="J230" s="180">
        <f t="shared" si="212"/>
        <v>18</v>
      </c>
      <c r="L230" s="185">
        <f t="shared" si="213"/>
        <v>45</v>
      </c>
      <c r="M230" s="173">
        <f t="shared" si="213"/>
        <v>53.5</v>
      </c>
      <c r="N230" s="173">
        <f t="shared" si="213"/>
        <v>130</v>
      </c>
      <c r="O230" s="180">
        <f t="shared" si="213"/>
        <v>18</v>
      </c>
      <c r="Q230" s="185">
        <f t="shared" si="214"/>
        <v>45</v>
      </c>
      <c r="R230" s="173">
        <f t="shared" si="214"/>
        <v>53.5</v>
      </c>
      <c r="S230" s="173">
        <f t="shared" si="214"/>
        <v>184</v>
      </c>
      <c r="T230" s="180">
        <f t="shared" si="214"/>
        <v>18</v>
      </c>
      <c r="V230" s="185">
        <f t="shared" si="215"/>
        <v>45</v>
      </c>
      <c r="W230" s="173">
        <f t="shared" si="215"/>
        <v>53.5</v>
      </c>
      <c r="X230" s="173">
        <f t="shared" si="215"/>
        <v>292.5</v>
      </c>
      <c r="Y230" s="180">
        <f t="shared" si="215"/>
        <v>18</v>
      </c>
      <c r="AA230" s="185">
        <f t="shared" si="216"/>
        <v>45</v>
      </c>
      <c r="AB230" s="173">
        <f t="shared" si="216"/>
        <v>53.5</v>
      </c>
      <c r="AC230" s="173">
        <f t="shared" si="216"/>
        <v>342</v>
      </c>
      <c r="AD230" s="180">
        <f t="shared" si="216"/>
        <v>18</v>
      </c>
      <c r="AF230" s="185">
        <f t="shared" si="217"/>
        <v>45</v>
      </c>
      <c r="AG230" s="173">
        <f t="shared" si="217"/>
        <v>96.5</v>
      </c>
      <c r="AH230" s="173">
        <f t="shared" si="217"/>
        <v>168</v>
      </c>
      <c r="AI230" s="180">
        <f t="shared" si="217"/>
        <v>18</v>
      </c>
      <c r="AK230" s="185">
        <f t="shared" si="218"/>
        <v>45</v>
      </c>
      <c r="AL230" s="173">
        <f t="shared" si="218"/>
        <v>139.5</v>
      </c>
      <c r="AM230" s="173">
        <f t="shared" si="218"/>
        <v>250</v>
      </c>
      <c r="AN230" s="180">
        <f t="shared" si="218"/>
        <v>18</v>
      </c>
      <c r="AP230" s="185">
        <f t="shared" si="219"/>
        <v>45</v>
      </c>
      <c r="AQ230" s="173">
        <f t="shared" si="219"/>
        <v>53.5</v>
      </c>
      <c r="AR230" s="173">
        <f t="shared" si="219"/>
        <v>334</v>
      </c>
      <c r="AS230" s="180">
        <f t="shared" si="219"/>
        <v>18</v>
      </c>
      <c r="AT230" s="288"/>
      <c r="AU230" s="185">
        <f t="shared" si="220"/>
        <v>45</v>
      </c>
      <c r="AV230" s="173">
        <f t="shared" si="220"/>
        <v>50</v>
      </c>
      <c r="AW230" s="173">
        <f t="shared" si="220"/>
        <v>342</v>
      </c>
      <c r="AX230" s="180">
        <f t="shared" si="220"/>
        <v>17.5</v>
      </c>
      <c r="AZ230" s="185">
        <f t="shared" si="221"/>
        <v>45</v>
      </c>
      <c r="BA230" s="173">
        <f t="shared" si="221"/>
        <v>89.2</v>
      </c>
      <c r="BB230" s="173">
        <f t="shared" si="221"/>
        <v>196</v>
      </c>
      <c r="BC230" s="180">
        <f t="shared" si="221"/>
        <v>17.5</v>
      </c>
      <c r="BE230" s="185" t="str">
        <f t="shared" si="222"/>
        <v/>
      </c>
      <c r="BF230" s="173" t="str">
        <f t="shared" si="222"/>
        <v/>
      </c>
      <c r="BG230" s="173" t="str">
        <f t="shared" si="222"/>
        <v/>
      </c>
      <c r="BH230" s="180" t="str">
        <f t="shared" si="222"/>
        <v/>
      </c>
      <c r="BI230" s="288"/>
      <c r="BJ230" s="185">
        <f t="shared" si="223"/>
        <v>45</v>
      </c>
      <c r="BK230" s="173">
        <f t="shared" si="223"/>
        <v>50.25</v>
      </c>
      <c r="BL230" s="173">
        <f t="shared" si="223"/>
        <v>312</v>
      </c>
      <c r="BM230" s="180">
        <f t="shared" si="223"/>
        <v>17.5</v>
      </c>
      <c r="BO230" s="185" t="str">
        <f t="shared" si="224"/>
        <v/>
      </c>
      <c r="BP230" s="173" t="str">
        <f t="shared" si="224"/>
        <v/>
      </c>
      <c r="BQ230" s="173" t="str">
        <f t="shared" si="224"/>
        <v/>
      </c>
      <c r="BR230" s="180" t="str">
        <f t="shared" si="224"/>
        <v/>
      </c>
      <c r="BT230" s="185" t="str">
        <f t="shared" si="225"/>
        <v/>
      </c>
      <c r="BU230" s="173" t="str">
        <f t="shared" si="225"/>
        <v/>
      </c>
      <c r="BV230" s="173" t="str">
        <f t="shared" si="225"/>
        <v/>
      </c>
      <c r="BW230" s="180" t="str">
        <f t="shared" si="225"/>
        <v/>
      </c>
      <c r="BX230" s="288"/>
      <c r="CM230" s="96"/>
    </row>
    <row r="231" spans="1:91">
      <c r="A231" s="284" t="str">
        <f t="shared" si="211"/>
        <v/>
      </c>
      <c r="B231" s="185">
        <f t="shared" si="211"/>
        <v>45</v>
      </c>
      <c r="C231" s="173">
        <f t="shared" si="211"/>
        <v>53.5</v>
      </c>
      <c r="D231" s="173">
        <f t="shared" si="211"/>
        <v>121</v>
      </c>
      <c r="E231" s="180">
        <f t="shared" si="211"/>
        <v>18</v>
      </c>
      <c r="G231" s="185">
        <f t="shared" si="212"/>
        <v>45</v>
      </c>
      <c r="H231" s="173">
        <f t="shared" si="212"/>
        <v>53.5</v>
      </c>
      <c r="I231" s="173">
        <f t="shared" si="212"/>
        <v>121</v>
      </c>
      <c r="J231" s="180">
        <f t="shared" si="212"/>
        <v>18</v>
      </c>
      <c r="L231" s="185">
        <f t="shared" si="213"/>
        <v>45</v>
      </c>
      <c r="M231" s="173">
        <f t="shared" si="213"/>
        <v>53.5</v>
      </c>
      <c r="N231" s="173">
        <f t="shared" si="213"/>
        <v>187</v>
      </c>
      <c r="O231" s="180">
        <f t="shared" si="213"/>
        <v>18</v>
      </c>
      <c r="Q231" s="185">
        <f t="shared" si="214"/>
        <v>45</v>
      </c>
      <c r="R231" s="173">
        <f t="shared" si="214"/>
        <v>53.5</v>
      </c>
      <c r="S231" s="173">
        <f t="shared" si="214"/>
        <v>241</v>
      </c>
      <c r="T231" s="180">
        <f t="shared" si="214"/>
        <v>18</v>
      </c>
      <c r="V231" s="185">
        <f t="shared" si="215"/>
        <v>45</v>
      </c>
      <c r="W231" s="173">
        <f t="shared" si="215"/>
        <v>53.5</v>
      </c>
      <c r="X231" s="173">
        <f t="shared" si="215"/>
        <v>349.5</v>
      </c>
      <c r="Y231" s="180">
        <f t="shared" si="215"/>
        <v>18</v>
      </c>
      <c r="AA231" s="185">
        <f t="shared" si="216"/>
        <v>45</v>
      </c>
      <c r="AB231" s="173">
        <f t="shared" si="216"/>
        <v>53.5</v>
      </c>
      <c r="AC231" s="173">
        <f t="shared" si="216"/>
        <v>400</v>
      </c>
      <c r="AD231" s="180">
        <f t="shared" si="216"/>
        <v>18</v>
      </c>
      <c r="AF231" s="185">
        <f t="shared" si="217"/>
        <v>45</v>
      </c>
      <c r="AG231" s="173">
        <f t="shared" si="217"/>
        <v>96.5</v>
      </c>
      <c r="AH231" s="173">
        <f t="shared" si="217"/>
        <v>226</v>
      </c>
      <c r="AI231" s="180">
        <f t="shared" si="217"/>
        <v>18</v>
      </c>
      <c r="AK231" s="185" t="str">
        <f t="shared" si="218"/>
        <v/>
      </c>
      <c r="AL231" s="173" t="str">
        <f t="shared" si="218"/>
        <v/>
      </c>
      <c r="AM231" s="173" t="str">
        <f t="shared" si="218"/>
        <v/>
      </c>
      <c r="AN231" s="180" t="str">
        <f t="shared" si="218"/>
        <v/>
      </c>
      <c r="AP231" s="185">
        <f t="shared" si="219"/>
        <v>45</v>
      </c>
      <c r="AQ231" s="173">
        <f t="shared" si="219"/>
        <v>53.5</v>
      </c>
      <c r="AR231" s="173">
        <f t="shared" si="219"/>
        <v>391</v>
      </c>
      <c r="AS231" s="180">
        <f t="shared" si="219"/>
        <v>18</v>
      </c>
      <c r="AT231" s="288"/>
      <c r="AU231" s="185">
        <f t="shared" si="220"/>
        <v>45</v>
      </c>
      <c r="AV231" s="173">
        <f t="shared" si="220"/>
        <v>50</v>
      </c>
      <c r="AW231" s="173">
        <f t="shared" si="220"/>
        <v>400</v>
      </c>
      <c r="AX231" s="180">
        <f t="shared" si="220"/>
        <v>17.5</v>
      </c>
      <c r="AZ231" s="185">
        <f t="shared" si="221"/>
        <v>45</v>
      </c>
      <c r="BA231" s="173">
        <f t="shared" si="221"/>
        <v>89.2</v>
      </c>
      <c r="BB231" s="173">
        <f t="shared" si="221"/>
        <v>254</v>
      </c>
      <c r="BC231" s="180">
        <f t="shared" si="221"/>
        <v>17.5</v>
      </c>
      <c r="BE231" s="185" t="str">
        <f t="shared" si="222"/>
        <v/>
      </c>
      <c r="BF231" s="173" t="str">
        <f t="shared" si="222"/>
        <v/>
      </c>
      <c r="BG231" s="173" t="str">
        <f t="shared" si="222"/>
        <v/>
      </c>
      <c r="BH231" s="180" t="str">
        <f t="shared" si="222"/>
        <v/>
      </c>
      <c r="BI231" s="288"/>
      <c r="BJ231" s="185">
        <f t="shared" si="223"/>
        <v>45</v>
      </c>
      <c r="BK231" s="173">
        <f t="shared" si="223"/>
        <v>50.25</v>
      </c>
      <c r="BL231" s="173">
        <f t="shared" si="223"/>
        <v>370</v>
      </c>
      <c r="BM231" s="180">
        <f t="shared" si="223"/>
        <v>17.5</v>
      </c>
      <c r="BO231" s="185" t="str">
        <f t="shared" si="224"/>
        <v/>
      </c>
      <c r="BP231" s="173" t="str">
        <f t="shared" si="224"/>
        <v/>
      </c>
      <c r="BQ231" s="173" t="str">
        <f t="shared" si="224"/>
        <v/>
      </c>
      <c r="BR231" s="180" t="str">
        <f t="shared" si="224"/>
        <v/>
      </c>
      <c r="BT231" s="185" t="str">
        <f t="shared" si="225"/>
        <v/>
      </c>
      <c r="BU231" s="173" t="str">
        <f t="shared" si="225"/>
        <v/>
      </c>
      <c r="BV231" s="173" t="str">
        <f t="shared" si="225"/>
        <v/>
      </c>
      <c r="BW231" s="180" t="str">
        <f t="shared" si="225"/>
        <v/>
      </c>
      <c r="BX231" s="288"/>
      <c r="CM231" s="96"/>
    </row>
    <row r="232" spans="1:91">
      <c r="A232" s="284" t="str">
        <f t="shared" si="211"/>
        <v/>
      </c>
      <c r="B232" s="185">
        <f t="shared" si="211"/>
        <v>45</v>
      </c>
      <c r="C232" s="173">
        <f t="shared" si="211"/>
        <v>53.5</v>
      </c>
      <c r="D232" s="173">
        <f t="shared" si="211"/>
        <v>178</v>
      </c>
      <c r="E232" s="180">
        <f t="shared" si="211"/>
        <v>18</v>
      </c>
      <c r="G232" s="185">
        <f t="shared" si="212"/>
        <v>45</v>
      </c>
      <c r="H232" s="173">
        <f t="shared" si="212"/>
        <v>53.5</v>
      </c>
      <c r="I232" s="173">
        <f t="shared" si="212"/>
        <v>178</v>
      </c>
      <c r="J232" s="180">
        <f t="shared" si="212"/>
        <v>18</v>
      </c>
      <c r="L232" s="185">
        <f t="shared" si="213"/>
        <v>45</v>
      </c>
      <c r="M232" s="173">
        <f t="shared" si="213"/>
        <v>53.5</v>
      </c>
      <c r="N232" s="173">
        <f t="shared" si="213"/>
        <v>244</v>
      </c>
      <c r="O232" s="180">
        <f t="shared" si="213"/>
        <v>18</v>
      </c>
      <c r="Q232" s="185">
        <f t="shared" si="214"/>
        <v>45</v>
      </c>
      <c r="R232" s="173">
        <f t="shared" si="214"/>
        <v>53.5</v>
      </c>
      <c r="S232" s="173">
        <f t="shared" si="214"/>
        <v>298</v>
      </c>
      <c r="T232" s="180">
        <f t="shared" si="214"/>
        <v>18</v>
      </c>
      <c r="V232" s="185">
        <f t="shared" si="215"/>
        <v>45</v>
      </c>
      <c r="W232" s="173">
        <f t="shared" si="215"/>
        <v>53.5</v>
      </c>
      <c r="X232" s="173">
        <f t="shared" si="215"/>
        <v>406.5</v>
      </c>
      <c r="Y232" s="180">
        <f t="shared" si="215"/>
        <v>18</v>
      </c>
      <c r="AA232" s="185">
        <f t="shared" si="216"/>
        <v>45</v>
      </c>
      <c r="AB232" s="173">
        <f t="shared" si="216"/>
        <v>53.5</v>
      </c>
      <c r="AC232" s="173">
        <f t="shared" si="216"/>
        <v>458</v>
      </c>
      <c r="AD232" s="180">
        <f t="shared" si="216"/>
        <v>18</v>
      </c>
      <c r="AF232" s="185">
        <f t="shared" si="217"/>
        <v>45</v>
      </c>
      <c r="AG232" s="173">
        <f t="shared" si="217"/>
        <v>96.5</v>
      </c>
      <c r="AH232" s="173">
        <f t="shared" si="217"/>
        <v>284</v>
      </c>
      <c r="AI232" s="180">
        <f t="shared" si="217"/>
        <v>18</v>
      </c>
      <c r="AK232" s="185" t="str">
        <f t="shared" si="218"/>
        <v/>
      </c>
      <c r="AL232" s="173" t="str">
        <f t="shared" si="218"/>
        <v/>
      </c>
      <c r="AM232" s="173" t="str">
        <f t="shared" si="218"/>
        <v/>
      </c>
      <c r="AN232" s="180" t="str">
        <f t="shared" si="218"/>
        <v/>
      </c>
      <c r="AP232" s="185">
        <f t="shared" si="219"/>
        <v>45</v>
      </c>
      <c r="AQ232" s="173">
        <f t="shared" si="219"/>
        <v>53.5</v>
      </c>
      <c r="AR232" s="173">
        <f t="shared" si="219"/>
        <v>448</v>
      </c>
      <c r="AS232" s="180">
        <f t="shared" si="219"/>
        <v>18</v>
      </c>
      <c r="AT232" s="288"/>
      <c r="AU232" s="185">
        <f t="shared" si="220"/>
        <v>45</v>
      </c>
      <c r="AV232" s="173">
        <f t="shared" si="220"/>
        <v>50</v>
      </c>
      <c r="AW232" s="173">
        <f t="shared" si="220"/>
        <v>458</v>
      </c>
      <c r="AX232" s="180">
        <f t="shared" si="220"/>
        <v>17.5</v>
      </c>
      <c r="AZ232" s="185">
        <f t="shared" si="221"/>
        <v>45</v>
      </c>
      <c r="BA232" s="173">
        <f t="shared" si="221"/>
        <v>89.2</v>
      </c>
      <c r="BB232" s="173">
        <f t="shared" si="221"/>
        <v>312</v>
      </c>
      <c r="BC232" s="180">
        <f t="shared" si="221"/>
        <v>17.5</v>
      </c>
      <c r="BE232" s="185" t="str">
        <f t="shared" si="222"/>
        <v/>
      </c>
      <c r="BF232" s="173" t="str">
        <f t="shared" si="222"/>
        <v/>
      </c>
      <c r="BG232" s="173" t="str">
        <f t="shared" si="222"/>
        <v/>
      </c>
      <c r="BH232" s="180" t="str">
        <f t="shared" si="222"/>
        <v/>
      </c>
      <c r="BI232" s="288"/>
      <c r="BJ232" s="185">
        <f t="shared" si="223"/>
        <v>45</v>
      </c>
      <c r="BK232" s="173">
        <f t="shared" si="223"/>
        <v>50.25</v>
      </c>
      <c r="BL232" s="173">
        <f t="shared" si="223"/>
        <v>428</v>
      </c>
      <c r="BM232" s="180">
        <f t="shared" si="223"/>
        <v>17.5</v>
      </c>
      <c r="BO232" s="185" t="str">
        <f t="shared" si="224"/>
        <v/>
      </c>
      <c r="BP232" s="173" t="str">
        <f t="shared" si="224"/>
        <v/>
      </c>
      <c r="BQ232" s="173" t="str">
        <f t="shared" si="224"/>
        <v/>
      </c>
      <c r="BR232" s="180" t="str">
        <f t="shared" si="224"/>
        <v/>
      </c>
      <c r="BT232" s="185" t="str">
        <f t="shared" si="225"/>
        <v/>
      </c>
      <c r="BU232" s="173" t="str">
        <f t="shared" si="225"/>
        <v/>
      </c>
      <c r="BV232" s="173" t="str">
        <f t="shared" si="225"/>
        <v/>
      </c>
      <c r="BW232" s="180" t="str">
        <f t="shared" si="225"/>
        <v/>
      </c>
      <c r="BX232" s="288"/>
      <c r="CM232" s="96"/>
    </row>
    <row r="233" spans="1:91">
      <c r="A233" s="284" t="str">
        <f t="shared" si="211"/>
        <v/>
      </c>
      <c r="B233" s="185">
        <f t="shared" si="211"/>
        <v>45</v>
      </c>
      <c r="C233" s="173">
        <f t="shared" si="211"/>
        <v>53.5</v>
      </c>
      <c r="D233" s="173">
        <f t="shared" si="211"/>
        <v>235</v>
      </c>
      <c r="E233" s="180">
        <f t="shared" si="211"/>
        <v>18</v>
      </c>
      <c r="G233" s="185">
        <f t="shared" si="212"/>
        <v>45</v>
      </c>
      <c r="H233" s="173">
        <f t="shared" si="212"/>
        <v>53.5</v>
      </c>
      <c r="I233" s="173">
        <f t="shared" si="212"/>
        <v>235</v>
      </c>
      <c r="J233" s="180">
        <f t="shared" si="212"/>
        <v>18</v>
      </c>
      <c r="L233" s="185">
        <f t="shared" si="213"/>
        <v>45</v>
      </c>
      <c r="M233" s="173">
        <f t="shared" si="213"/>
        <v>53.5</v>
      </c>
      <c r="N233" s="173">
        <f t="shared" si="213"/>
        <v>301</v>
      </c>
      <c r="O233" s="180">
        <f t="shared" si="213"/>
        <v>18</v>
      </c>
      <c r="Q233" s="185">
        <f t="shared" si="214"/>
        <v>45</v>
      </c>
      <c r="R233" s="173">
        <f t="shared" si="214"/>
        <v>53.5</v>
      </c>
      <c r="S233" s="173">
        <f t="shared" si="214"/>
        <v>355</v>
      </c>
      <c r="T233" s="180">
        <f t="shared" si="214"/>
        <v>18</v>
      </c>
      <c r="V233" s="185">
        <f t="shared" si="215"/>
        <v>45</v>
      </c>
      <c r="W233" s="173">
        <f t="shared" si="215"/>
        <v>53.5</v>
      </c>
      <c r="X233" s="173">
        <f t="shared" si="215"/>
        <v>463.5</v>
      </c>
      <c r="Y233" s="180">
        <f t="shared" si="215"/>
        <v>18</v>
      </c>
      <c r="AA233" s="185">
        <f t="shared" si="216"/>
        <v>45</v>
      </c>
      <c r="AB233" s="173">
        <f t="shared" si="216"/>
        <v>96.5</v>
      </c>
      <c r="AC233" s="173">
        <f t="shared" si="216"/>
        <v>110</v>
      </c>
      <c r="AD233" s="180">
        <f t="shared" si="216"/>
        <v>18</v>
      </c>
      <c r="AF233" s="185">
        <f t="shared" si="217"/>
        <v>45</v>
      </c>
      <c r="AG233" s="173">
        <f t="shared" si="217"/>
        <v>96.5</v>
      </c>
      <c r="AH233" s="173">
        <f t="shared" si="217"/>
        <v>342</v>
      </c>
      <c r="AI233" s="180">
        <f t="shared" si="217"/>
        <v>18</v>
      </c>
      <c r="AK233" s="185" t="str">
        <f t="shared" si="218"/>
        <v/>
      </c>
      <c r="AL233" s="173" t="str">
        <f t="shared" si="218"/>
        <v/>
      </c>
      <c r="AM233" s="173" t="str">
        <f t="shared" si="218"/>
        <v/>
      </c>
      <c r="AN233" s="180" t="str">
        <f t="shared" si="218"/>
        <v/>
      </c>
      <c r="AP233" s="185">
        <f t="shared" si="219"/>
        <v>45</v>
      </c>
      <c r="AQ233" s="173">
        <f t="shared" si="219"/>
        <v>53.5</v>
      </c>
      <c r="AR233" s="173">
        <f t="shared" si="219"/>
        <v>505</v>
      </c>
      <c r="AS233" s="180">
        <f t="shared" si="219"/>
        <v>18</v>
      </c>
      <c r="AT233" s="288"/>
      <c r="AU233" s="185">
        <f t="shared" si="220"/>
        <v>45</v>
      </c>
      <c r="AV233" s="173">
        <f t="shared" si="220"/>
        <v>89.2</v>
      </c>
      <c r="AW233" s="173">
        <f t="shared" si="220"/>
        <v>138</v>
      </c>
      <c r="AX233" s="180">
        <f t="shared" si="220"/>
        <v>17.5</v>
      </c>
      <c r="AZ233" s="185">
        <f t="shared" si="221"/>
        <v>45</v>
      </c>
      <c r="BA233" s="173">
        <f t="shared" si="221"/>
        <v>89.2</v>
      </c>
      <c r="BB233" s="173">
        <f t="shared" si="221"/>
        <v>370</v>
      </c>
      <c r="BC233" s="180">
        <f t="shared" si="221"/>
        <v>17.5</v>
      </c>
      <c r="BE233" s="185" t="str">
        <f t="shared" si="222"/>
        <v/>
      </c>
      <c r="BF233" s="173" t="str">
        <f t="shared" si="222"/>
        <v/>
      </c>
      <c r="BG233" s="173" t="str">
        <f t="shared" si="222"/>
        <v/>
      </c>
      <c r="BH233" s="180" t="str">
        <f t="shared" si="222"/>
        <v/>
      </c>
      <c r="BI233" s="288"/>
      <c r="BJ233" s="185">
        <f t="shared" si="223"/>
        <v>45</v>
      </c>
      <c r="BK233" s="173">
        <f t="shared" si="223"/>
        <v>50.25</v>
      </c>
      <c r="BL233" s="173">
        <f t="shared" si="223"/>
        <v>486</v>
      </c>
      <c r="BM233" s="180">
        <f t="shared" si="223"/>
        <v>17.5</v>
      </c>
      <c r="BO233" s="185" t="str">
        <f t="shared" si="224"/>
        <v/>
      </c>
      <c r="BP233" s="173" t="str">
        <f t="shared" si="224"/>
        <v/>
      </c>
      <c r="BQ233" s="173" t="str">
        <f t="shared" si="224"/>
        <v/>
      </c>
      <c r="BR233" s="180" t="str">
        <f t="shared" si="224"/>
        <v/>
      </c>
      <c r="BT233" s="185" t="str">
        <f t="shared" si="225"/>
        <v/>
      </c>
      <c r="BU233" s="173" t="str">
        <f t="shared" si="225"/>
        <v/>
      </c>
      <c r="BV233" s="173" t="str">
        <f t="shared" si="225"/>
        <v/>
      </c>
      <c r="BW233" s="180" t="str">
        <f t="shared" si="225"/>
        <v/>
      </c>
      <c r="BX233" s="288"/>
      <c r="CM233" s="96"/>
    </row>
    <row r="234" spans="1:91">
      <c r="A234" s="284" t="str">
        <f t="shared" si="211"/>
        <v/>
      </c>
      <c r="B234" s="185">
        <f t="shared" si="211"/>
        <v>45</v>
      </c>
      <c r="C234" s="173">
        <f t="shared" si="211"/>
        <v>53.5</v>
      </c>
      <c r="D234" s="173">
        <f t="shared" si="211"/>
        <v>292</v>
      </c>
      <c r="E234" s="180">
        <f t="shared" si="211"/>
        <v>18</v>
      </c>
      <c r="G234" s="185">
        <f t="shared" si="212"/>
        <v>45</v>
      </c>
      <c r="H234" s="173">
        <f t="shared" si="212"/>
        <v>53.5</v>
      </c>
      <c r="I234" s="173">
        <f t="shared" si="212"/>
        <v>292</v>
      </c>
      <c r="J234" s="180">
        <f t="shared" si="212"/>
        <v>18</v>
      </c>
      <c r="L234" s="185">
        <f t="shared" si="213"/>
        <v>45</v>
      </c>
      <c r="M234" s="173">
        <f t="shared" si="213"/>
        <v>53.5</v>
      </c>
      <c r="N234" s="173">
        <f t="shared" si="213"/>
        <v>358</v>
      </c>
      <c r="O234" s="180">
        <f t="shared" si="213"/>
        <v>18</v>
      </c>
      <c r="Q234" s="185">
        <f t="shared" si="214"/>
        <v>45</v>
      </c>
      <c r="R234" s="173">
        <f t="shared" si="214"/>
        <v>53.5</v>
      </c>
      <c r="S234" s="173">
        <f t="shared" si="214"/>
        <v>412</v>
      </c>
      <c r="T234" s="180">
        <f t="shared" si="214"/>
        <v>18</v>
      </c>
      <c r="V234" s="185">
        <f t="shared" si="215"/>
        <v>45</v>
      </c>
      <c r="W234" s="173">
        <f t="shared" si="215"/>
        <v>53.5</v>
      </c>
      <c r="X234" s="173">
        <f t="shared" si="215"/>
        <v>520.5</v>
      </c>
      <c r="Y234" s="180">
        <f t="shared" si="215"/>
        <v>18</v>
      </c>
      <c r="AA234" s="185">
        <f t="shared" si="216"/>
        <v>45</v>
      </c>
      <c r="AB234" s="173">
        <f t="shared" si="216"/>
        <v>96.5</v>
      </c>
      <c r="AC234" s="173">
        <f t="shared" si="216"/>
        <v>168</v>
      </c>
      <c r="AD234" s="180">
        <f t="shared" si="216"/>
        <v>18</v>
      </c>
      <c r="AF234" s="185">
        <f t="shared" si="217"/>
        <v>45</v>
      </c>
      <c r="AG234" s="173">
        <f t="shared" si="217"/>
        <v>139.5</v>
      </c>
      <c r="AH234" s="173">
        <f t="shared" si="217"/>
        <v>138</v>
      </c>
      <c r="AI234" s="180">
        <f t="shared" si="217"/>
        <v>18</v>
      </c>
      <c r="AK234" s="185" t="str">
        <f t="shared" si="218"/>
        <v/>
      </c>
      <c r="AL234" s="173" t="str">
        <f t="shared" si="218"/>
        <v/>
      </c>
      <c r="AM234" s="173" t="str">
        <f t="shared" si="218"/>
        <v/>
      </c>
      <c r="AN234" s="180" t="str">
        <f t="shared" si="218"/>
        <v/>
      </c>
      <c r="AP234" s="185">
        <f t="shared" si="219"/>
        <v>45</v>
      </c>
      <c r="AQ234" s="173">
        <f t="shared" si="219"/>
        <v>53.5</v>
      </c>
      <c r="AR234" s="173">
        <f t="shared" si="219"/>
        <v>562</v>
      </c>
      <c r="AS234" s="180">
        <f t="shared" si="219"/>
        <v>18</v>
      </c>
      <c r="AT234" s="288"/>
      <c r="AU234" s="185">
        <f t="shared" si="220"/>
        <v>45</v>
      </c>
      <c r="AV234" s="173">
        <f t="shared" si="220"/>
        <v>89.2</v>
      </c>
      <c r="AW234" s="173">
        <f t="shared" si="220"/>
        <v>196</v>
      </c>
      <c r="AX234" s="180">
        <f t="shared" si="220"/>
        <v>17.5</v>
      </c>
      <c r="AZ234" s="185" t="str">
        <f t="shared" si="221"/>
        <v/>
      </c>
      <c r="BA234" s="173" t="str">
        <f t="shared" si="221"/>
        <v/>
      </c>
      <c r="BB234" s="173" t="str">
        <f t="shared" si="221"/>
        <v/>
      </c>
      <c r="BC234" s="180" t="str">
        <f t="shared" si="221"/>
        <v/>
      </c>
      <c r="BE234" s="185" t="str">
        <f t="shared" si="222"/>
        <v/>
      </c>
      <c r="BF234" s="173" t="str">
        <f t="shared" si="222"/>
        <v/>
      </c>
      <c r="BG234" s="173" t="str">
        <f t="shared" si="222"/>
        <v/>
      </c>
      <c r="BH234" s="180" t="str">
        <f t="shared" si="222"/>
        <v/>
      </c>
      <c r="BI234" s="288"/>
      <c r="BJ234" s="185" t="str">
        <f t="shared" si="223"/>
        <v/>
      </c>
      <c r="BK234" s="173" t="str">
        <f t="shared" si="223"/>
        <v/>
      </c>
      <c r="BL234" s="173" t="str">
        <f t="shared" si="223"/>
        <v/>
      </c>
      <c r="BM234" s="180" t="str">
        <f t="shared" si="223"/>
        <v/>
      </c>
      <c r="BO234" s="185" t="str">
        <f t="shared" si="224"/>
        <v/>
      </c>
      <c r="BP234" s="173" t="str">
        <f t="shared" si="224"/>
        <v/>
      </c>
      <c r="BQ234" s="173" t="str">
        <f t="shared" si="224"/>
        <v/>
      </c>
      <c r="BR234" s="180" t="str">
        <f t="shared" si="224"/>
        <v/>
      </c>
      <c r="BT234" s="185" t="str">
        <f t="shared" si="225"/>
        <v/>
      </c>
      <c r="BU234" s="173" t="str">
        <f t="shared" si="225"/>
        <v/>
      </c>
      <c r="BV234" s="173" t="str">
        <f t="shared" si="225"/>
        <v/>
      </c>
      <c r="BW234" s="180" t="str">
        <f t="shared" si="225"/>
        <v/>
      </c>
      <c r="BX234" s="288"/>
      <c r="CM234" s="96"/>
    </row>
    <row r="235" spans="1:91">
      <c r="A235" s="284" t="str">
        <f t="shared" si="211"/>
        <v/>
      </c>
      <c r="B235" s="185">
        <f t="shared" si="211"/>
        <v>45</v>
      </c>
      <c r="C235" s="173">
        <f t="shared" si="211"/>
        <v>53.5</v>
      </c>
      <c r="D235" s="173">
        <f t="shared" si="211"/>
        <v>349</v>
      </c>
      <c r="E235" s="180">
        <f t="shared" si="211"/>
        <v>18</v>
      </c>
      <c r="G235" s="185">
        <f t="shared" si="212"/>
        <v>45</v>
      </c>
      <c r="H235" s="173">
        <f t="shared" si="212"/>
        <v>53.5</v>
      </c>
      <c r="I235" s="173">
        <f t="shared" si="212"/>
        <v>349</v>
      </c>
      <c r="J235" s="180">
        <f t="shared" si="212"/>
        <v>18</v>
      </c>
      <c r="L235" s="185">
        <f t="shared" si="213"/>
        <v>45</v>
      </c>
      <c r="M235" s="173">
        <f t="shared" si="213"/>
        <v>53.5</v>
      </c>
      <c r="N235" s="173">
        <f t="shared" si="213"/>
        <v>415</v>
      </c>
      <c r="O235" s="180">
        <f t="shared" si="213"/>
        <v>18</v>
      </c>
      <c r="Q235" s="185">
        <f t="shared" si="214"/>
        <v>45</v>
      </c>
      <c r="R235" s="173">
        <f t="shared" si="214"/>
        <v>53.5</v>
      </c>
      <c r="S235" s="173">
        <f t="shared" si="214"/>
        <v>469</v>
      </c>
      <c r="T235" s="180">
        <f t="shared" si="214"/>
        <v>18</v>
      </c>
      <c r="V235" s="185">
        <f t="shared" si="215"/>
        <v>45</v>
      </c>
      <c r="W235" s="173">
        <f t="shared" si="215"/>
        <v>96.5</v>
      </c>
      <c r="X235" s="173">
        <f t="shared" si="215"/>
        <v>121.5</v>
      </c>
      <c r="Y235" s="180">
        <f t="shared" si="215"/>
        <v>18</v>
      </c>
      <c r="AA235" s="185">
        <f t="shared" si="216"/>
        <v>45</v>
      </c>
      <c r="AB235" s="173">
        <f t="shared" si="216"/>
        <v>96.5</v>
      </c>
      <c r="AC235" s="173">
        <f t="shared" si="216"/>
        <v>226</v>
      </c>
      <c r="AD235" s="180">
        <f t="shared" si="216"/>
        <v>18</v>
      </c>
      <c r="AF235" s="185">
        <f t="shared" si="217"/>
        <v>45</v>
      </c>
      <c r="AG235" s="173">
        <f t="shared" si="217"/>
        <v>139.5</v>
      </c>
      <c r="AH235" s="173">
        <f t="shared" si="217"/>
        <v>196</v>
      </c>
      <c r="AI235" s="180">
        <f t="shared" si="217"/>
        <v>18</v>
      </c>
      <c r="AK235" s="185" t="str">
        <f t="shared" si="218"/>
        <v/>
      </c>
      <c r="AL235" s="173" t="str">
        <f t="shared" si="218"/>
        <v/>
      </c>
      <c r="AM235" s="173" t="str">
        <f t="shared" si="218"/>
        <v/>
      </c>
      <c r="AN235" s="180" t="str">
        <f t="shared" si="218"/>
        <v/>
      </c>
      <c r="AP235" s="185">
        <f t="shared" si="219"/>
        <v>45</v>
      </c>
      <c r="AQ235" s="173">
        <f t="shared" si="219"/>
        <v>53.5</v>
      </c>
      <c r="AR235" s="173">
        <f t="shared" si="219"/>
        <v>619</v>
      </c>
      <c r="AS235" s="180">
        <f t="shared" si="219"/>
        <v>18</v>
      </c>
      <c r="AT235" s="288"/>
      <c r="AU235" s="185">
        <f t="shared" si="220"/>
        <v>45</v>
      </c>
      <c r="AV235" s="173">
        <f t="shared" si="220"/>
        <v>89.2</v>
      </c>
      <c r="AW235" s="173">
        <f t="shared" si="220"/>
        <v>254</v>
      </c>
      <c r="AX235" s="180">
        <f t="shared" si="220"/>
        <v>17.5</v>
      </c>
      <c r="AZ235" s="185" t="str">
        <f t="shared" si="221"/>
        <v/>
      </c>
      <c r="BA235" s="173" t="str">
        <f t="shared" si="221"/>
        <v/>
      </c>
      <c r="BB235" s="173" t="str">
        <f t="shared" si="221"/>
        <v/>
      </c>
      <c r="BC235" s="180" t="str">
        <f t="shared" si="221"/>
        <v/>
      </c>
      <c r="BE235" s="185" t="str">
        <f t="shared" si="222"/>
        <v/>
      </c>
      <c r="BF235" s="173" t="str">
        <f t="shared" si="222"/>
        <v/>
      </c>
      <c r="BG235" s="173" t="str">
        <f t="shared" si="222"/>
        <v/>
      </c>
      <c r="BH235" s="180" t="str">
        <f t="shared" si="222"/>
        <v/>
      </c>
      <c r="BI235" s="288"/>
      <c r="BJ235" s="185" t="str">
        <f t="shared" si="223"/>
        <v/>
      </c>
      <c r="BK235" s="173" t="str">
        <f t="shared" si="223"/>
        <v/>
      </c>
      <c r="BL235" s="173" t="str">
        <f t="shared" si="223"/>
        <v/>
      </c>
      <c r="BM235" s="180" t="str">
        <f t="shared" si="223"/>
        <v/>
      </c>
      <c r="BO235" s="185" t="str">
        <f t="shared" si="224"/>
        <v/>
      </c>
      <c r="BP235" s="173" t="str">
        <f t="shared" si="224"/>
        <v/>
      </c>
      <c r="BQ235" s="173" t="str">
        <f t="shared" si="224"/>
        <v/>
      </c>
      <c r="BR235" s="180" t="str">
        <f t="shared" si="224"/>
        <v/>
      </c>
      <c r="BT235" s="185" t="str">
        <f t="shared" si="225"/>
        <v/>
      </c>
      <c r="BU235" s="173" t="str">
        <f t="shared" si="225"/>
        <v/>
      </c>
      <c r="BV235" s="173" t="str">
        <f t="shared" si="225"/>
        <v/>
      </c>
      <c r="BW235" s="180" t="str">
        <f t="shared" si="225"/>
        <v/>
      </c>
      <c r="BX235" s="288"/>
      <c r="CM235" s="96"/>
    </row>
    <row r="236" spans="1:91">
      <c r="A236" s="284" t="str">
        <f t="shared" ref="A236:E251" si="226">IF(A78="","",A78)</f>
        <v/>
      </c>
      <c r="B236" s="185">
        <f t="shared" si="226"/>
        <v>45</v>
      </c>
      <c r="C236" s="173">
        <f t="shared" si="226"/>
        <v>53.5</v>
      </c>
      <c r="D236" s="173">
        <f t="shared" si="226"/>
        <v>406</v>
      </c>
      <c r="E236" s="180">
        <f t="shared" si="226"/>
        <v>18</v>
      </c>
      <c r="G236" s="185">
        <f t="shared" ref="G236:J251" si="227">IF(G78="","",G78)</f>
        <v>45</v>
      </c>
      <c r="H236" s="173">
        <f t="shared" si="227"/>
        <v>53.5</v>
      </c>
      <c r="I236" s="173">
        <f t="shared" si="227"/>
        <v>406</v>
      </c>
      <c r="J236" s="180">
        <f t="shared" si="227"/>
        <v>18</v>
      </c>
      <c r="L236" s="185">
        <f t="shared" ref="L236:O251" si="228">IF(L78="","",L78)</f>
        <v>45</v>
      </c>
      <c r="M236" s="173">
        <f t="shared" si="228"/>
        <v>53.5</v>
      </c>
      <c r="N236" s="173">
        <f t="shared" si="228"/>
        <v>472</v>
      </c>
      <c r="O236" s="180">
        <f t="shared" si="228"/>
        <v>18</v>
      </c>
      <c r="Q236" s="185">
        <f t="shared" ref="Q236:T251" si="229">IF(Q78="","",Q78)</f>
        <v>45</v>
      </c>
      <c r="R236" s="173">
        <f t="shared" si="229"/>
        <v>53.5</v>
      </c>
      <c r="S236" s="173">
        <f t="shared" si="229"/>
        <v>526</v>
      </c>
      <c r="T236" s="180">
        <f t="shared" si="229"/>
        <v>18</v>
      </c>
      <c r="V236" s="185">
        <f t="shared" ref="V236:Y251" si="230">IF(V78="","",V78)</f>
        <v>45</v>
      </c>
      <c r="W236" s="173">
        <f t="shared" si="230"/>
        <v>96.5</v>
      </c>
      <c r="X236" s="173">
        <f t="shared" si="230"/>
        <v>178.5</v>
      </c>
      <c r="Y236" s="180">
        <f t="shared" si="230"/>
        <v>18</v>
      </c>
      <c r="AA236" s="185">
        <f t="shared" ref="AA236:AD251" si="231">IF(AA78="","",AA78)</f>
        <v>45</v>
      </c>
      <c r="AB236" s="173">
        <f t="shared" si="231"/>
        <v>96.5</v>
      </c>
      <c r="AC236" s="173">
        <f t="shared" si="231"/>
        <v>284</v>
      </c>
      <c r="AD236" s="180">
        <f t="shared" si="231"/>
        <v>18</v>
      </c>
      <c r="AF236" s="185">
        <f t="shared" ref="AF236:AI251" si="232">IF(AF78="","",AF78)</f>
        <v>45</v>
      </c>
      <c r="AG236" s="173">
        <f t="shared" si="232"/>
        <v>139.5</v>
      </c>
      <c r="AH236" s="173">
        <f t="shared" si="232"/>
        <v>254</v>
      </c>
      <c r="AI236" s="180">
        <f t="shared" si="232"/>
        <v>18</v>
      </c>
      <c r="AK236" s="185" t="str">
        <f t="shared" ref="AK236:AN251" si="233">IF(AK78="","",AK78)</f>
        <v/>
      </c>
      <c r="AL236" s="173" t="str">
        <f t="shared" si="233"/>
        <v/>
      </c>
      <c r="AM236" s="173" t="str">
        <f t="shared" si="233"/>
        <v/>
      </c>
      <c r="AN236" s="180" t="str">
        <f t="shared" si="233"/>
        <v/>
      </c>
      <c r="AP236" s="185">
        <f t="shared" ref="AP236:AS251" si="234">IF(AP78="","",AP78)</f>
        <v>45</v>
      </c>
      <c r="AQ236" s="173">
        <f t="shared" si="234"/>
        <v>53.5</v>
      </c>
      <c r="AR236" s="173">
        <f t="shared" si="234"/>
        <v>676</v>
      </c>
      <c r="AS236" s="180">
        <f t="shared" si="234"/>
        <v>18</v>
      </c>
      <c r="AT236" s="288"/>
      <c r="AU236" s="185">
        <f t="shared" ref="AU236:AX251" si="235">IF(AU78="","",AU78)</f>
        <v>45</v>
      </c>
      <c r="AV236" s="173">
        <f t="shared" si="235"/>
        <v>89.2</v>
      </c>
      <c r="AW236" s="173">
        <f t="shared" si="235"/>
        <v>312</v>
      </c>
      <c r="AX236" s="180">
        <f t="shared" si="235"/>
        <v>17.5</v>
      </c>
      <c r="AZ236" s="185" t="str">
        <f t="shared" ref="AZ236:BC251" si="236">IF(AZ78="","",AZ78)</f>
        <v/>
      </c>
      <c r="BA236" s="173" t="str">
        <f t="shared" si="236"/>
        <v/>
      </c>
      <c r="BB236" s="173" t="str">
        <f t="shared" si="236"/>
        <v/>
      </c>
      <c r="BC236" s="180" t="str">
        <f t="shared" si="236"/>
        <v/>
      </c>
      <c r="BE236" s="185" t="str">
        <f t="shared" ref="BE236:BH251" si="237">IF(BE78="","",BE78)</f>
        <v/>
      </c>
      <c r="BF236" s="173" t="str">
        <f t="shared" si="237"/>
        <v/>
      </c>
      <c r="BG236" s="173" t="str">
        <f t="shared" si="237"/>
        <v/>
      </c>
      <c r="BH236" s="180" t="str">
        <f t="shared" si="237"/>
        <v/>
      </c>
      <c r="BI236" s="288"/>
      <c r="BJ236" s="185" t="str">
        <f t="shared" ref="BJ236:BM251" si="238">IF(BJ78="","",BJ78)</f>
        <v/>
      </c>
      <c r="BK236" s="173" t="str">
        <f t="shared" si="238"/>
        <v/>
      </c>
      <c r="BL236" s="173" t="str">
        <f t="shared" si="238"/>
        <v/>
      </c>
      <c r="BM236" s="180" t="str">
        <f t="shared" si="238"/>
        <v/>
      </c>
      <c r="BO236" s="185" t="str">
        <f t="shared" ref="BO236:BR251" si="239">IF(BO78="","",BO78)</f>
        <v/>
      </c>
      <c r="BP236" s="173" t="str">
        <f t="shared" si="239"/>
        <v/>
      </c>
      <c r="BQ236" s="173" t="str">
        <f t="shared" si="239"/>
        <v/>
      </c>
      <c r="BR236" s="180" t="str">
        <f t="shared" si="239"/>
        <v/>
      </c>
      <c r="BT236" s="185" t="str">
        <f t="shared" ref="BT236:BW251" si="240">IF(BT78="","",BT78)</f>
        <v/>
      </c>
      <c r="BU236" s="173" t="str">
        <f t="shared" si="240"/>
        <v/>
      </c>
      <c r="BV236" s="173" t="str">
        <f t="shared" si="240"/>
        <v/>
      </c>
      <c r="BW236" s="180" t="str">
        <f t="shared" si="240"/>
        <v/>
      </c>
      <c r="BX236" s="288"/>
      <c r="CM236" s="96"/>
    </row>
    <row r="237" spans="1:91">
      <c r="A237" s="284" t="str">
        <f t="shared" si="226"/>
        <v/>
      </c>
      <c r="B237" s="185">
        <f t="shared" si="226"/>
        <v>45</v>
      </c>
      <c r="C237" s="173">
        <f t="shared" si="226"/>
        <v>53.5</v>
      </c>
      <c r="D237" s="173">
        <f t="shared" si="226"/>
        <v>463</v>
      </c>
      <c r="E237" s="180">
        <f t="shared" si="226"/>
        <v>18</v>
      </c>
      <c r="G237" s="185">
        <f t="shared" si="227"/>
        <v>45</v>
      </c>
      <c r="H237" s="173">
        <f t="shared" si="227"/>
        <v>53.5</v>
      </c>
      <c r="I237" s="173">
        <f t="shared" si="227"/>
        <v>463</v>
      </c>
      <c r="J237" s="180">
        <f t="shared" si="227"/>
        <v>18</v>
      </c>
      <c r="L237" s="185">
        <f t="shared" si="228"/>
        <v>45</v>
      </c>
      <c r="M237" s="173">
        <f t="shared" si="228"/>
        <v>53.5</v>
      </c>
      <c r="N237" s="173">
        <f t="shared" si="228"/>
        <v>529</v>
      </c>
      <c r="O237" s="180">
        <f t="shared" si="228"/>
        <v>18</v>
      </c>
      <c r="Q237" s="185">
        <f t="shared" si="229"/>
        <v>45</v>
      </c>
      <c r="R237" s="173">
        <f t="shared" si="229"/>
        <v>53.5</v>
      </c>
      <c r="S237" s="173">
        <f t="shared" si="229"/>
        <v>583</v>
      </c>
      <c r="T237" s="180">
        <f t="shared" si="229"/>
        <v>18</v>
      </c>
      <c r="V237" s="185">
        <f t="shared" si="230"/>
        <v>45</v>
      </c>
      <c r="W237" s="173">
        <f t="shared" si="230"/>
        <v>96.5</v>
      </c>
      <c r="X237" s="173">
        <f t="shared" si="230"/>
        <v>235.5</v>
      </c>
      <c r="Y237" s="180">
        <f t="shared" si="230"/>
        <v>18</v>
      </c>
      <c r="AA237" s="185">
        <f t="shared" si="231"/>
        <v>45</v>
      </c>
      <c r="AB237" s="173">
        <f t="shared" si="231"/>
        <v>96.5</v>
      </c>
      <c r="AC237" s="173">
        <f t="shared" si="231"/>
        <v>342</v>
      </c>
      <c r="AD237" s="180">
        <f t="shared" si="231"/>
        <v>18</v>
      </c>
      <c r="AF237" s="185">
        <f t="shared" si="232"/>
        <v>45</v>
      </c>
      <c r="AG237" s="173">
        <f t="shared" si="232"/>
        <v>139.5</v>
      </c>
      <c r="AH237" s="173">
        <f t="shared" si="232"/>
        <v>312</v>
      </c>
      <c r="AI237" s="180">
        <f t="shared" si="232"/>
        <v>18</v>
      </c>
      <c r="AK237" s="185" t="str">
        <f t="shared" si="233"/>
        <v/>
      </c>
      <c r="AL237" s="173" t="str">
        <f t="shared" si="233"/>
        <v/>
      </c>
      <c r="AM237" s="173" t="str">
        <f t="shared" si="233"/>
        <v/>
      </c>
      <c r="AN237" s="180" t="str">
        <f t="shared" si="233"/>
        <v/>
      </c>
      <c r="AP237" s="185">
        <f t="shared" si="234"/>
        <v>45</v>
      </c>
      <c r="AQ237" s="173">
        <f t="shared" si="234"/>
        <v>53.5</v>
      </c>
      <c r="AR237" s="173">
        <f t="shared" si="234"/>
        <v>733</v>
      </c>
      <c r="AS237" s="180">
        <f t="shared" si="234"/>
        <v>18</v>
      </c>
      <c r="AT237" s="288"/>
      <c r="AU237" s="185">
        <f t="shared" si="235"/>
        <v>45</v>
      </c>
      <c r="AV237" s="173">
        <f t="shared" si="235"/>
        <v>89.2</v>
      </c>
      <c r="AW237" s="173">
        <f t="shared" si="235"/>
        <v>370</v>
      </c>
      <c r="AX237" s="180">
        <f t="shared" si="235"/>
        <v>17.5</v>
      </c>
      <c r="AZ237" s="185" t="str">
        <f t="shared" si="236"/>
        <v/>
      </c>
      <c r="BA237" s="173" t="str">
        <f t="shared" si="236"/>
        <v/>
      </c>
      <c r="BB237" s="173" t="str">
        <f t="shared" si="236"/>
        <v/>
      </c>
      <c r="BC237" s="180" t="str">
        <f t="shared" si="236"/>
        <v/>
      </c>
      <c r="BE237" s="185" t="str">
        <f t="shared" si="237"/>
        <v/>
      </c>
      <c r="BF237" s="173" t="str">
        <f t="shared" si="237"/>
        <v/>
      </c>
      <c r="BG237" s="173" t="str">
        <f t="shared" si="237"/>
        <v/>
      </c>
      <c r="BH237" s="180" t="str">
        <f t="shared" si="237"/>
        <v/>
      </c>
      <c r="BI237" s="288"/>
      <c r="BJ237" s="185" t="str">
        <f t="shared" si="238"/>
        <v/>
      </c>
      <c r="BK237" s="173" t="str">
        <f t="shared" si="238"/>
        <v/>
      </c>
      <c r="BL237" s="173" t="str">
        <f t="shared" si="238"/>
        <v/>
      </c>
      <c r="BM237" s="180" t="str">
        <f t="shared" si="238"/>
        <v/>
      </c>
      <c r="BO237" s="185" t="str">
        <f t="shared" si="239"/>
        <v/>
      </c>
      <c r="BP237" s="173" t="str">
        <f t="shared" si="239"/>
        <v/>
      </c>
      <c r="BQ237" s="173" t="str">
        <f t="shared" si="239"/>
        <v/>
      </c>
      <c r="BR237" s="180" t="str">
        <f t="shared" si="239"/>
        <v/>
      </c>
      <c r="BT237" s="185" t="str">
        <f t="shared" si="240"/>
        <v/>
      </c>
      <c r="BU237" s="173" t="str">
        <f t="shared" si="240"/>
        <v/>
      </c>
      <c r="BV237" s="173" t="str">
        <f t="shared" si="240"/>
        <v/>
      </c>
      <c r="BW237" s="180" t="str">
        <f t="shared" si="240"/>
        <v/>
      </c>
      <c r="BX237" s="288"/>
      <c r="CM237" s="96"/>
    </row>
    <row r="238" spans="1:91">
      <c r="A238" s="284" t="str">
        <f t="shared" si="226"/>
        <v/>
      </c>
      <c r="B238" s="185">
        <f t="shared" si="226"/>
        <v>45</v>
      </c>
      <c r="C238" s="173">
        <f t="shared" si="226"/>
        <v>53.5</v>
      </c>
      <c r="D238" s="173">
        <f t="shared" si="226"/>
        <v>520</v>
      </c>
      <c r="E238" s="180">
        <f t="shared" si="226"/>
        <v>18</v>
      </c>
      <c r="G238" s="185">
        <f t="shared" si="227"/>
        <v>45</v>
      </c>
      <c r="H238" s="173">
        <f t="shared" si="227"/>
        <v>53.5</v>
      </c>
      <c r="I238" s="173">
        <f t="shared" si="227"/>
        <v>520</v>
      </c>
      <c r="J238" s="180">
        <f t="shared" si="227"/>
        <v>18</v>
      </c>
      <c r="L238" s="185">
        <f t="shared" si="228"/>
        <v>45</v>
      </c>
      <c r="M238" s="173">
        <f t="shared" si="228"/>
        <v>53.5</v>
      </c>
      <c r="N238" s="173">
        <f t="shared" si="228"/>
        <v>586</v>
      </c>
      <c r="O238" s="180">
        <f t="shared" si="228"/>
        <v>18</v>
      </c>
      <c r="Q238" s="185">
        <f t="shared" si="229"/>
        <v>45</v>
      </c>
      <c r="R238" s="173">
        <f t="shared" si="229"/>
        <v>53.5</v>
      </c>
      <c r="S238" s="173">
        <f t="shared" si="229"/>
        <v>640</v>
      </c>
      <c r="T238" s="180">
        <f t="shared" si="229"/>
        <v>18</v>
      </c>
      <c r="V238" s="185">
        <f t="shared" si="230"/>
        <v>45</v>
      </c>
      <c r="W238" s="173">
        <f t="shared" si="230"/>
        <v>96.5</v>
      </c>
      <c r="X238" s="173">
        <f t="shared" si="230"/>
        <v>292.5</v>
      </c>
      <c r="Y238" s="180">
        <f t="shared" si="230"/>
        <v>18</v>
      </c>
      <c r="AA238" s="185">
        <f t="shared" si="231"/>
        <v>45</v>
      </c>
      <c r="AB238" s="173">
        <f t="shared" si="231"/>
        <v>96.5</v>
      </c>
      <c r="AC238" s="173">
        <f t="shared" si="231"/>
        <v>400</v>
      </c>
      <c r="AD238" s="180">
        <f t="shared" si="231"/>
        <v>18</v>
      </c>
      <c r="AF238" s="185">
        <f t="shared" si="232"/>
        <v>45</v>
      </c>
      <c r="AG238" s="173">
        <f t="shared" si="232"/>
        <v>139.5</v>
      </c>
      <c r="AH238" s="173">
        <f t="shared" si="232"/>
        <v>370</v>
      </c>
      <c r="AI238" s="180">
        <f t="shared" si="232"/>
        <v>18</v>
      </c>
      <c r="AK238" s="185" t="str">
        <f t="shared" si="233"/>
        <v/>
      </c>
      <c r="AL238" s="173" t="str">
        <f t="shared" si="233"/>
        <v/>
      </c>
      <c r="AM238" s="173" t="str">
        <f t="shared" si="233"/>
        <v/>
      </c>
      <c r="AN238" s="180" t="str">
        <f t="shared" si="233"/>
        <v/>
      </c>
      <c r="AP238" s="185">
        <f t="shared" si="234"/>
        <v>45</v>
      </c>
      <c r="AQ238" s="173">
        <f t="shared" si="234"/>
        <v>53.5</v>
      </c>
      <c r="AR238" s="173">
        <f t="shared" si="234"/>
        <v>790</v>
      </c>
      <c r="AS238" s="180">
        <f t="shared" si="234"/>
        <v>18</v>
      </c>
      <c r="AT238" s="288"/>
      <c r="AU238" s="185">
        <f t="shared" si="235"/>
        <v>45</v>
      </c>
      <c r="AV238" s="173">
        <f t="shared" si="235"/>
        <v>89.2</v>
      </c>
      <c r="AW238" s="173">
        <f t="shared" si="235"/>
        <v>428</v>
      </c>
      <c r="AX238" s="180">
        <f t="shared" si="235"/>
        <v>17.5</v>
      </c>
      <c r="AZ238" s="185" t="str">
        <f t="shared" si="236"/>
        <v/>
      </c>
      <c r="BA238" s="173" t="str">
        <f t="shared" si="236"/>
        <v/>
      </c>
      <c r="BB238" s="173" t="str">
        <f t="shared" si="236"/>
        <v/>
      </c>
      <c r="BC238" s="180" t="str">
        <f t="shared" si="236"/>
        <v/>
      </c>
      <c r="BE238" s="185" t="str">
        <f t="shared" si="237"/>
        <v/>
      </c>
      <c r="BF238" s="173" t="str">
        <f t="shared" si="237"/>
        <v/>
      </c>
      <c r="BG238" s="173" t="str">
        <f t="shared" si="237"/>
        <v/>
      </c>
      <c r="BH238" s="180" t="str">
        <f t="shared" si="237"/>
        <v/>
      </c>
      <c r="BI238" s="288"/>
      <c r="BJ238" s="185" t="str">
        <f t="shared" si="238"/>
        <v/>
      </c>
      <c r="BK238" s="173" t="str">
        <f t="shared" si="238"/>
        <v/>
      </c>
      <c r="BL238" s="173" t="str">
        <f t="shared" si="238"/>
        <v/>
      </c>
      <c r="BM238" s="180" t="str">
        <f t="shared" si="238"/>
        <v/>
      </c>
      <c r="BO238" s="185" t="str">
        <f t="shared" si="239"/>
        <v/>
      </c>
      <c r="BP238" s="173" t="str">
        <f t="shared" si="239"/>
        <v/>
      </c>
      <c r="BQ238" s="173" t="str">
        <f t="shared" si="239"/>
        <v/>
      </c>
      <c r="BR238" s="180" t="str">
        <f t="shared" si="239"/>
        <v/>
      </c>
      <c r="BT238" s="185" t="str">
        <f t="shared" si="240"/>
        <v/>
      </c>
      <c r="BU238" s="173" t="str">
        <f t="shared" si="240"/>
        <v/>
      </c>
      <c r="BV238" s="173" t="str">
        <f t="shared" si="240"/>
        <v/>
      </c>
      <c r="BW238" s="180" t="str">
        <f t="shared" si="240"/>
        <v/>
      </c>
      <c r="BX238" s="288"/>
      <c r="CM238" s="96"/>
    </row>
    <row r="239" spans="1:91">
      <c r="A239" s="284" t="str">
        <f t="shared" si="226"/>
        <v/>
      </c>
      <c r="B239" s="185">
        <f t="shared" si="226"/>
        <v>45</v>
      </c>
      <c r="C239" s="173">
        <f t="shared" si="226"/>
        <v>53.5</v>
      </c>
      <c r="D239" s="173">
        <f t="shared" si="226"/>
        <v>577</v>
      </c>
      <c r="E239" s="180">
        <f t="shared" si="226"/>
        <v>18</v>
      </c>
      <c r="G239" s="185">
        <f t="shared" si="227"/>
        <v>45</v>
      </c>
      <c r="H239" s="173">
        <f t="shared" si="227"/>
        <v>53.5</v>
      </c>
      <c r="I239" s="173">
        <f t="shared" si="227"/>
        <v>577</v>
      </c>
      <c r="J239" s="180">
        <f t="shared" si="227"/>
        <v>18</v>
      </c>
      <c r="L239" s="185">
        <f t="shared" si="228"/>
        <v>45</v>
      </c>
      <c r="M239" s="173">
        <f t="shared" si="228"/>
        <v>53.5</v>
      </c>
      <c r="N239" s="173">
        <f t="shared" si="228"/>
        <v>643</v>
      </c>
      <c r="O239" s="180">
        <f t="shared" si="228"/>
        <v>18</v>
      </c>
      <c r="Q239" s="185">
        <f t="shared" si="229"/>
        <v>45</v>
      </c>
      <c r="R239" s="173">
        <f t="shared" si="229"/>
        <v>96.5</v>
      </c>
      <c r="S239" s="173">
        <f t="shared" si="229"/>
        <v>127</v>
      </c>
      <c r="T239" s="180">
        <f t="shared" si="229"/>
        <v>18</v>
      </c>
      <c r="V239" s="185">
        <f t="shared" si="230"/>
        <v>45</v>
      </c>
      <c r="W239" s="173">
        <f t="shared" si="230"/>
        <v>96.5</v>
      </c>
      <c r="X239" s="173">
        <f t="shared" si="230"/>
        <v>349.5</v>
      </c>
      <c r="Y239" s="180">
        <f t="shared" si="230"/>
        <v>18</v>
      </c>
      <c r="AA239" s="185">
        <f t="shared" si="231"/>
        <v>45</v>
      </c>
      <c r="AB239" s="173">
        <f t="shared" si="231"/>
        <v>96.5</v>
      </c>
      <c r="AC239" s="173">
        <f t="shared" si="231"/>
        <v>458</v>
      </c>
      <c r="AD239" s="180">
        <f t="shared" si="231"/>
        <v>18</v>
      </c>
      <c r="AF239" s="185" t="str">
        <f t="shared" si="232"/>
        <v/>
      </c>
      <c r="AG239" s="173" t="str">
        <f t="shared" si="232"/>
        <v/>
      </c>
      <c r="AH239" s="173" t="str">
        <f t="shared" si="232"/>
        <v/>
      </c>
      <c r="AI239" s="180" t="str">
        <f t="shared" si="232"/>
        <v/>
      </c>
      <c r="AK239" s="185" t="str">
        <f t="shared" si="233"/>
        <v/>
      </c>
      <c r="AL239" s="173" t="str">
        <f t="shared" si="233"/>
        <v/>
      </c>
      <c r="AM239" s="173" t="str">
        <f t="shared" si="233"/>
        <v/>
      </c>
      <c r="AN239" s="180" t="str">
        <f t="shared" si="233"/>
        <v/>
      </c>
      <c r="AP239" s="185">
        <f t="shared" si="234"/>
        <v>45</v>
      </c>
      <c r="AQ239" s="173">
        <f t="shared" si="234"/>
        <v>96.5</v>
      </c>
      <c r="AR239" s="173">
        <f t="shared" si="234"/>
        <v>277</v>
      </c>
      <c r="AS239" s="180">
        <f t="shared" si="234"/>
        <v>18</v>
      </c>
      <c r="AT239" s="288"/>
      <c r="AU239" s="185">
        <f t="shared" si="235"/>
        <v>45</v>
      </c>
      <c r="AV239" s="173">
        <f t="shared" si="235"/>
        <v>89.2</v>
      </c>
      <c r="AW239" s="173">
        <f t="shared" si="235"/>
        <v>486</v>
      </c>
      <c r="AX239" s="180">
        <f t="shared" si="235"/>
        <v>17.5</v>
      </c>
      <c r="AZ239" s="185" t="str">
        <f t="shared" si="236"/>
        <v/>
      </c>
      <c r="BA239" s="173" t="str">
        <f t="shared" si="236"/>
        <v/>
      </c>
      <c r="BB239" s="173" t="str">
        <f t="shared" si="236"/>
        <v/>
      </c>
      <c r="BC239" s="180" t="str">
        <f t="shared" si="236"/>
        <v/>
      </c>
      <c r="BE239" s="185" t="str">
        <f t="shared" si="237"/>
        <v/>
      </c>
      <c r="BF239" s="173" t="str">
        <f t="shared" si="237"/>
        <v/>
      </c>
      <c r="BG239" s="173" t="str">
        <f t="shared" si="237"/>
        <v/>
      </c>
      <c r="BH239" s="180" t="str">
        <f t="shared" si="237"/>
        <v/>
      </c>
      <c r="BI239" s="288"/>
      <c r="BJ239" s="185" t="str">
        <f t="shared" si="238"/>
        <v/>
      </c>
      <c r="BK239" s="173" t="str">
        <f t="shared" si="238"/>
        <v/>
      </c>
      <c r="BL239" s="173" t="str">
        <f t="shared" si="238"/>
        <v/>
      </c>
      <c r="BM239" s="180" t="str">
        <f t="shared" si="238"/>
        <v/>
      </c>
      <c r="BO239" s="185" t="str">
        <f t="shared" si="239"/>
        <v/>
      </c>
      <c r="BP239" s="173" t="str">
        <f t="shared" si="239"/>
        <v/>
      </c>
      <c r="BQ239" s="173" t="str">
        <f t="shared" si="239"/>
        <v/>
      </c>
      <c r="BR239" s="180" t="str">
        <f t="shared" si="239"/>
        <v/>
      </c>
      <c r="BT239" s="185" t="str">
        <f t="shared" si="240"/>
        <v/>
      </c>
      <c r="BU239" s="173" t="str">
        <f t="shared" si="240"/>
        <v/>
      </c>
      <c r="BV239" s="173" t="str">
        <f t="shared" si="240"/>
        <v/>
      </c>
      <c r="BW239" s="180" t="str">
        <f t="shared" si="240"/>
        <v/>
      </c>
      <c r="BX239" s="288"/>
      <c r="CM239" s="96"/>
    </row>
    <row r="240" spans="1:91">
      <c r="A240" s="284" t="str">
        <f t="shared" si="226"/>
        <v/>
      </c>
      <c r="B240" s="185">
        <f t="shared" si="226"/>
        <v>45</v>
      </c>
      <c r="C240" s="173">
        <f t="shared" si="226"/>
        <v>53.5</v>
      </c>
      <c r="D240" s="173">
        <f t="shared" si="226"/>
        <v>634</v>
      </c>
      <c r="E240" s="180">
        <f t="shared" si="226"/>
        <v>18</v>
      </c>
      <c r="G240" s="185">
        <f t="shared" si="227"/>
        <v>45</v>
      </c>
      <c r="H240" s="173">
        <f t="shared" si="227"/>
        <v>53.5</v>
      </c>
      <c r="I240" s="173">
        <f t="shared" si="227"/>
        <v>634</v>
      </c>
      <c r="J240" s="180">
        <f t="shared" si="227"/>
        <v>18</v>
      </c>
      <c r="L240" s="185">
        <f t="shared" si="228"/>
        <v>45</v>
      </c>
      <c r="M240" s="173">
        <f t="shared" si="228"/>
        <v>53.5</v>
      </c>
      <c r="N240" s="173">
        <f t="shared" si="228"/>
        <v>700</v>
      </c>
      <c r="O240" s="180">
        <f t="shared" si="228"/>
        <v>18</v>
      </c>
      <c r="Q240" s="185">
        <f t="shared" si="229"/>
        <v>45</v>
      </c>
      <c r="R240" s="173">
        <f t="shared" si="229"/>
        <v>96.5</v>
      </c>
      <c r="S240" s="173">
        <f t="shared" si="229"/>
        <v>184</v>
      </c>
      <c r="T240" s="180">
        <f t="shared" si="229"/>
        <v>18</v>
      </c>
      <c r="V240" s="185">
        <f t="shared" si="230"/>
        <v>45</v>
      </c>
      <c r="W240" s="173">
        <f t="shared" si="230"/>
        <v>96.5</v>
      </c>
      <c r="X240" s="173">
        <f t="shared" si="230"/>
        <v>406.5</v>
      </c>
      <c r="Y240" s="180">
        <f t="shared" si="230"/>
        <v>18</v>
      </c>
      <c r="AA240" s="185">
        <f t="shared" si="231"/>
        <v>45</v>
      </c>
      <c r="AB240" s="173">
        <f t="shared" si="231"/>
        <v>139.5</v>
      </c>
      <c r="AC240" s="173">
        <f t="shared" si="231"/>
        <v>138</v>
      </c>
      <c r="AD240" s="180">
        <f t="shared" si="231"/>
        <v>18</v>
      </c>
      <c r="AF240" s="185" t="str">
        <f t="shared" si="232"/>
        <v/>
      </c>
      <c r="AG240" s="173" t="str">
        <f t="shared" si="232"/>
        <v/>
      </c>
      <c r="AH240" s="173" t="str">
        <f t="shared" si="232"/>
        <v/>
      </c>
      <c r="AI240" s="180" t="str">
        <f t="shared" si="232"/>
        <v/>
      </c>
      <c r="AK240" s="185" t="str">
        <f t="shared" si="233"/>
        <v/>
      </c>
      <c r="AL240" s="173" t="str">
        <f t="shared" si="233"/>
        <v/>
      </c>
      <c r="AM240" s="173" t="str">
        <f t="shared" si="233"/>
        <v/>
      </c>
      <c r="AN240" s="180" t="str">
        <f t="shared" si="233"/>
        <v/>
      </c>
      <c r="AP240" s="185">
        <f t="shared" si="234"/>
        <v>45</v>
      </c>
      <c r="AQ240" s="173">
        <f t="shared" si="234"/>
        <v>96.5</v>
      </c>
      <c r="AR240" s="173">
        <f t="shared" si="234"/>
        <v>334</v>
      </c>
      <c r="AS240" s="180">
        <f t="shared" si="234"/>
        <v>18</v>
      </c>
      <c r="AT240" s="288"/>
      <c r="AU240" s="185" t="str">
        <f t="shared" si="235"/>
        <v/>
      </c>
      <c r="AV240" s="173" t="str">
        <f t="shared" si="235"/>
        <v/>
      </c>
      <c r="AW240" s="173" t="str">
        <f t="shared" si="235"/>
        <v/>
      </c>
      <c r="AX240" s="180" t="str">
        <f t="shared" si="235"/>
        <v/>
      </c>
      <c r="AZ240" s="185" t="str">
        <f t="shared" si="236"/>
        <v/>
      </c>
      <c r="BA240" s="173" t="str">
        <f t="shared" si="236"/>
        <v/>
      </c>
      <c r="BB240" s="173" t="str">
        <f t="shared" si="236"/>
        <v/>
      </c>
      <c r="BC240" s="180" t="str">
        <f t="shared" si="236"/>
        <v/>
      </c>
      <c r="BE240" s="185" t="str">
        <f t="shared" si="237"/>
        <v/>
      </c>
      <c r="BF240" s="173" t="str">
        <f t="shared" si="237"/>
        <v/>
      </c>
      <c r="BG240" s="173" t="str">
        <f t="shared" si="237"/>
        <v/>
      </c>
      <c r="BH240" s="180" t="str">
        <f t="shared" si="237"/>
        <v/>
      </c>
      <c r="BI240" s="288"/>
      <c r="BJ240" s="185" t="str">
        <f t="shared" si="238"/>
        <v/>
      </c>
      <c r="BK240" s="173" t="str">
        <f t="shared" si="238"/>
        <v/>
      </c>
      <c r="BL240" s="173" t="str">
        <f t="shared" si="238"/>
        <v/>
      </c>
      <c r="BM240" s="180" t="str">
        <f t="shared" si="238"/>
        <v/>
      </c>
      <c r="BO240" s="185" t="str">
        <f t="shared" si="239"/>
        <v/>
      </c>
      <c r="BP240" s="173" t="str">
        <f t="shared" si="239"/>
        <v/>
      </c>
      <c r="BQ240" s="173" t="str">
        <f t="shared" si="239"/>
        <v/>
      </c>
      <c r="BR240" s="180" t="str">
        <f t="shared" si="239"/>
        <v/>
      </c>
      <c r="BT240" s="185" t="str">
        <f t="shared" si="240"/>
        <v/>
      </c>
      <c r="BU240" s="173" t="str">
        <f t="shared" si="240"/>
        <v/>
      </c>
      <c r="BV240" s="173" t="str">
        <f t="shared" si="240"/>
        <v/>
      </c>
      <c r="BW240" s="180" t="str">
        <f t="shared" si="240"/>
        <v/>
      </c>
      <c r="BX240" s="288"/>
      <c r="CM240" s="96"/>
    </row>
    <row r="241" spans="1:91">
      <c r="A241" s="284" t="str">
        <f t="shared" si="226"/>
        <v/>
      </c>
      <c r="B241" s="185">
        <f t="shared" si="226"/>
        <v>45</v>
      </c>
      <c r="C241" s="173">
        <f t="shared" si="226"/>
        <v>53.5</v>
      </c>
      <c r="D241" s="173">
        <f t="shared" si="226"/>
        <v>691</v>
      </c>
      <c r="E241" s="180">
        <f t="shared" si="226"/>
        <v>18</v>
      </c>
      <c r="G241" s="185">
        <f t="shared" si="227"/>
        <v>45</v>
      </c>
      <c r="H241" s="173">
        <f t="shared" si="227"/>
        <v>53.5</v>
      </c>
      <c r="I241" s="173">
        <f t="shared" si="227"/>
        <v>691</v>
      </c>
      <c r="J241" s="180">
        <f t="shared" si="227"/>
        <v>18</v>
      </c>
      <c r="L241" s="185">
        <f t="shared" si="228"/>
        <v>45</v>
      </c>
      <c r="M241" s="173">
        <f t="shared" si="228"/>
        <v>96.5</v>
      </c>
      <c r="N241" s="173">
        <f t="shared" si="228"/>
        <v>130</v>
      </c>
      <c r="O241" s="180">
        <f t="shared" si="228"/>
        <v>18</v>
      </c>
      <c r="Q241" s="185">
        <f t="shared" si="229"/>
        <v>45</v>
      </c>
      <c r="R241" s="173">
        <f t="shared" si="229"/>
        <v>96.5</v>
      </c>
      <c r="S241" s="173">
        <f t="shared" si="229"/>
        <v>241</v>
      </c>
      <c r="T241" s="180">
        <f t="shared" si="229"/>
        <v>18</v>
      </c>
      <c r="V241" s="185">
        <f t="shared" si="230"/>
        <v>45</v>
      </c>
      <c r="W241" s="173">
        <f t="shared" si="230"/>
        <v>96.5</v>
      </c>
      <c r="X241" s="173">
        <f t="shared" si="230"/>
        <v>463.5</v>
      </c>
      <c r="Y241" s="180">
        <f t="shared" si="230"/>
        <v>18</v>
      </c>
      <c r="AA241" s="185">
        <f t="shared" si="231"/>
        <v>45</v>
      </c>
      <c r="AB241" s="173">
        <f t="shared" si="231"/>
        <v>139.5</v>
      </c>
      <c r="AC241" s="173">
        <f t="shared" si="231"/>
        <v>196</v>
      </c>
      <c r="AD241" s="180">
        <f t="shared" si="231"/>
        <v>18</v>
      </c>
      <c r="AF241" s="185" t="str">
        <f t="shared" si="232"/>
        <v/>
      </c>
      <c r="AG241" s="173" t="str">
        <f t="shared" si="232"/>
        <v/>
      </c>
      <c r="AH241" s="173" t="str">
        <f t="shared" si="232"/>
        <v/>
      </c>
      <c r="AI241" s="180" t="str">
        <f t="shared" si="232"/>
        <v/>
      </c>
      <c r="AK241" s="185" t="str">
        <f t="shared" si="233"/>
        <v/>
      </c>
      <c r="AL241" s="173" t="str">
        <f t="shared" si="233"/>
        <v/>
      </c>
      <c r="AM241" s="173" t="str">
        <f t="shared" si="233"/>
        <v/>
      </c>
      <c r="AN241" s="180" t="str">
        <f t="shared" si="233"/>
        <v/>
      </c>
      <c r="AP241" s="185">
        <f t="shared" si="234"/>
        <v>45</v>
      </c>
      <c r="AQ241" s="173">
        <f t="shared" si="234"/>
        <v>96.5</v>
      </c>
      <c r="AR241" s="173">
        <f t="shared" si="234"/>
        <v>391</v>
      </c>
      <c r="AS241" s="180">
        <f t="shared" si="234"/>
        <v>18</v>
      </c>
      <c r="AT241" s="288"/>
      <c r="AU241" s="185" t="str">
        <f t="shared" si="235"/>
        <v/>
      </c>
      <c r="AV241" s="173" t="str">
        <f t="shared" si="235"/>
        <v/>
      </c>
      <c r="AW241" s="173" t="str">
        <f t="shared" si="235"/>
        <v/>
      </c>
      <c r="AX241" s="180" t="str">
        <f t="shared" si="235"/>
        <v/>
      </c>
      <c r="AZ241" s="185" t="str">
        <f t="shared" si="236"/>
        <v/>
      </c>
      <c r="BA241" s="173" t="str">
        <f t="shared" si="236"/>
        <v/>
      </c>
      <c r="BB241" s="173" t="str">
        <f t="shared" si="236"/>
        <v/>
      </c>
      <c r="BC241" s="180" t="str">
        <f t="shared" si="236"/>
        <v/>
      </c>
      <c r="BE241" s="185" t="str">
        <f t="shared" si="237"/>
        <v/>
      </c>
      <c r="BF241" s="173" t="str">
        <f t="shared" si="237"/>
        <v/>
      </c>
      <c r="BG241" s="173" t="str">
        <f t="shared" si="237"/>
        <v/>
      </c>
      <c r="BH241" s="180" t="str">
        <f t="shared" si="237"/>
        <v/>
      </c>
      <c r="BI241" s="288"/>
      <c r="BJ241" s="185" t="str">
        <f t="shared" si="238"/>
        <v/>
      </c>
      <c r="BK241" s="173" t="str">
        <f t="shared" si="238"/>
        <v/>
      </c>
      <c r="BL241" s="173" t="str">
        <f t="shared" si="238"/>
        <v/>
      </c>
      <c r="BM241" s="180" t="str">
        <f t="shared" si="238"/>
        <v/>
      </c>
      <c r="BO241" s="185" t="str">
        <f t="shared" si="239"/>
        <v/>
      </c>
      <c r="BP241" s="173" t="str">
        <f t="shared" si="239"/>
        <v/>
      </c>
      <c r="BQ241" s="173" t="str">
        <f t="shared" si="239"/>
        <v/>
      </c>
      <c r="BR241" s="180" t="str">
        <f t="shared" si="239"/>
        <v/>
      </c>
      <c r="BT241" s="185" t="str">
        <f t="shared" si="240"/>
        <v/>
      </c>
      <c r="BU241" s="173" t="str">
        <f t="shared" si="240"/>
        <v/>
      </c>
      <c r="BV241" s="173" t="str">
        <f t="shared" si="240"/>
        <v/>
      </c>
      <c r="BW241" s="180" t="str">
        <f t="shared" si="240"/>
        <v/>
      </c>
      <c r="BX241" s="288"/>
      <c r="CM241" s="96"/>
    </row>
    <row r="242" spans="1:91">
      <c r="A242" s="284" t="str">
        <f t="shared" si="226"/>
        <v/>
      </c>
      <c r="B242" s="185">
        <f t="shared" si="226"/>
        <v>45</v>
      </c>
      <c r="C242" s="173">
        <f t="shared" si="226"/>
        <v>53.5</v>
      </c>
      <c r="D242" s="173">
        <f t="shared" si="226"/>
        <v>748</v>
      </c>
      <c r="E242" s="180">
        <f t="shared" si="226"/>
        <v>18</v>
      </c>
      <c r="G242" s="185">
        <f t="shared" si="227"/>
        <v>45</v>
      </c>
      <c r="H242" s="173">
        <f t="shared" si="227"/>
        <v>53.5</v>
      </c>
      <c r="I242" s="173">
        <f t="shared" si="227"/>
        <v>748</v>
      </c>
      <c r="J242" s="180">
        <f t="shared" si="227"/>
        <v>18</v>
      </c>
      <c r="L242" s="185">
        <f t="shared" si="228"/>
        <v>45</v>
      </c>
      <c r="M242" s="173">
        <f t="shared" si="228"/>
        <v>96.5</v>
      </c>
      <c r="N242" s="173">
        <f t="shared" si="228"/>
        <v>187</v>
      </c>
      <c r="O242" s="180">
        <f t="shared" si="228"/>
        <v>18</v>
      </c>
      <c r="Q242" s="185">
        <f t="shared" si="229"/>
        <v>45</v>
      </c>
      <c r="R242" s="173">
        <f t="shared" si="229"/>
        <v>96.5</v>
      </c>
      <c r="S242" s="173">
        <f t="shared" si="229"/>
        <v>298</v>
      </c>
      <c r="T242" s="180">
        <f t="shared" si="229"/>
        <v>18</v>
      </c>
      <c r="V242" s="185">
        <f t="shared" si="230"/>
        <v>45</v>
      </c>
      <c r="W242" s="173">
        <f t="shared" si="230"/>
        <v>96.5</v>
      </c>
      <c r="X242" s="173">
        <f t="shared" si="230"/>
        <v>520.5</v>
      </c>
      <c r="Y242" s="180">
        <f t="shared" si="230"/>
        <v>18</v>
      </c>
      <c r="AA242" s="185">
        <f t="shared" si="231"/>
        <v>45</v>
      </c>
      <c r="AB242" s="173">
        <f t="shared" si="231"/>
        <v>139.5</v>
      </c>
      <c r="AC242" s="173">
        <f t="shared" si="231"/>
        <v>254</v>
      </c>
      <c r="AD242" s="180">
        <f t="shared" si="231"/>
        <v>18</v>
      </c>
      <c r="AF242" s="185" t="str">
        <f t="shared" si="232"/>
        <v/>
      </c>
      <c r="AG242" s="173" t="str">
        <f t="shared" si="232"/>
        <v/>
      </c>
      <c r="AH242" s="173" t="str">
        <f t="shared" si="232"/>
        <v/>
      </c>
      <c r="AI242" s="180" t="str">
        <f t="shared" si="232"/>
        <v/>
      </c>
      <c r="AK242" s="185" t="str">
        <f t="shared" si="233"/>
        <v/>
      </c>
      <c r="AL242" s="173" t="str">
        <f t="shared" si="233"/>
        <v/>
      </c>
      <c r="AM242" s="173" t="str">
        <f t="shared" si="233"/>
        <v/>
      </c>
      <c r="AN242" s="180" t="str">
        <f t="shared" si="233"/>
        <v/>
      </c>
      <c r="AP242" s="185">
        <f t="shared" si="234"/>
        <v>45</v>
      </c>
      <c r="AQ242" s="173">
        <f t="shared" si="234"/>
        <v>96.5</v>
      </c>
      <c r="AR242" s="173">
        <f t="shared" si="234"/>
        <v>448</v>
      </c>
      <c r="AS242" s="180">
        <f t="shared" si="234"/>
        <v>18</v>
      </c>
      <c r="AT242" s="288"/>
      <c r="AU242" s="185" t="str">
        <f t="shared" si="235"/>
        <v/>
      </c>
      <c r="AV242" s="173" t="str">
        <f t="shared" si="235"/>
        <v/>
      </c>
      <c r="AW242" s="173" t="str">
        <f t="shared" si="235"/>
        <v/>
      </c>
      <c r="AX242" s="180" t="str">
        <f t="shared" si="235"/>
        <v/>
      </c>
      <c r="AZ242" s="185" t="str">
        <f t="shared" si="236"/>
        <v/>
      </c>
      <c r="BA242" s="173" t="str">
        <f t="shared" si="236"/>
        <v/>
      </c>
      <c r="BB242" s="173" t="str">
        <f t="shared" si="236"/>
        <v/>
      </c>
      <c r="BC242" s="180" t="str">
        <f t="shared" si="236"/>
        <v/>
      </c>
      <c r="BE242" s="185" t="str">
        <f t="shared" si="237"/>
        <v/>
      </c>
      <c r="BF242" s="173" t="str">
        <f t="shared" si="237"/>
        <v/>
      </c>
      <c r="BG242" s="173" t="str">
        <f t="shared" si="237"/>
        <v/>
      </c>
      <c r="BH242" s="180" t="str">
        <f t="shared" si="237"/>
        <v/>
      </c>
      <c r="BI242" s="288"/>
      <c r="BJ242" s="185" t="str">
        <f t="shared" si="238"/>
        <v/>
      </c>
      <c r="BK242" s="173" t="str">
        <f t="shared" si="238"/>
        <v/>
      </c>
      <c r="BL242" s="173" t="str">
        <f t="shared" si="238"/>
        <v/>
      </c>
      <c r="BM242" s="180" t="str">
        <f t="shared" si="238"/>
        <v/>
      </c>
      <c r="BO242" s="185" t="str">
        <f t="shared" si="239"/>
        <v/>
      </c>
      <c r="BP242" s="173" t="str">
        <f t="shared" si="239"/>
        <v/>
      </c>
      <c r="BQ242" s="173" t="str">
        <f t="shared" si="239"/>
        <v/>
      </c>
      <c r="BR242" s="180" t="str">
        <f t="shared" si="239"/>
        <v/>
      </c>
      <c r="BT242" s="185" t="str">
        <f t="shared" si="240"/>
        <v/>
      </c>
      <c r="BU242" s="173" t="str">
        <f t="shared" si="240"/>
        <v/>
      </c>
      <c r="BV242" s="173" t="str">
        <f t="shared" si="240"/>
        <v/>
      </c>
      <c r="BW242" s="180" t="str">
        <f t="shared" si="240"/>
        <v/>
      </c>
      <c r="BX242" s="288"/>
      <c r="CM242" s="96"/>
    </row>
    <row r="243" spans="1:91">
      <c r="A243" s="284" t="str">
        <f t="shared" si="226"/>
        <v/>
      </c>
      <c r="B243" s="185">
        <f t="shared" si="226"/>
        <v>45</v>
      </c>
      <c r="C243" s="173">
        <f t="shared" si="226"/>
        <v>96.5</v>
      </c>
      <c r="D243" s="173">
        <f t="shared" si="226"/>
        <v>121</v>
      </c>
      <c r="E243" s="180">
        <f t="shared" si="226"/>
        <v>18</v>
      </c>
      <c r="G243" s="185">
        <f t="shared" si="227"/>
        <v>45</v>
      </c>
      <c r="H243" s="173">
        <f t="shared" si="227"/>
        <v>96.5</v>
      </c>
      <c r="I243" s="173">
        <f t="shared" si="227"/>
        <v>121</v>
      </c>
      <c r="J243" s="180">
        <f t="shared" si="227"/>
        <v>18</v>
      </c>
      <c r="L243" s="185">
        <f t="shared" si="228"/>
        <v>45</v>
      </c>
      <c r="M243" s="173">
        <f t="shared" si="228"/>
        <v>96.5</v>
      </c>
      <c r="N243" s="173">
        <f t="shared" si="228"/>
        <v>244</v>
      </c>
      <c r="O243" s="180">
        <f t="shared" si="228"/>
        <v>18</v>
      </c>
      <c r="Q243" s="185">
        <f t="shared" si="229"/>
        <v>45</v>
      </c>
      <c r="R243" s="173">
        <f t="shared" si="229"/>
        <v>96.5</v>
      </c>
      <c r="S243" s="173">
        <f t="shared" si="229"/>
        <v>355</v>
      </c>
      <c r="T243" s="180">
        <f t="shared" si="229"/>
        <v>18</v>
      </c>
      <c r="V243" s="185">
        <f t="shared" si="230"/>
        <v>45</v>
      </c>
      <c r="W243" s="173">
        <f t="shared" si="230"/>
        <v>139.5</v>
      </c>
      <c r="X243" s="173">
        <f t="shared" si="230"/>
        <v>150</v>
      </c>
      <c r="Y243" s="180">
        <f t="shared" si="230"/>
        <v>18</v>
      </c>
      <c r="AA243" s="185">
        <f t="shared" si="231"/>
        <v>45</v>
      </c>
      <c r="AB243" s="173">
        <f t="shared" si="231"/>
        <v>139.5</v>
      </c>
      <c r="AC243" s="173">
        <f t="shared" si="231"/>
        <v>312</v>
      </c>
      <c r="AD243" s="180">
        <f t="shared" si="231"/>
        <v>18</v>
      </c>
      <c r="AF243" s="185" t="str">
        <f t="shared" si="232"/>
        <v/>
      </c>
      <c r="AG243" s="173" t="str">
        <f t="shared" si="232"/>
        <v/>
      </c>
      <c r="AH243" s="173" t="str">
        <f t="shared" si="232"/>
        <v/>
      </c>
      <c r="AI243" s="180" t="str">
        <f t="shared" si="232"/>
        <v/>
      </c>
      <c r="AK243" s="185" t="str">
        <f t="shared" si="233"/>
        <v/>
      </c>
      <c r="AL243" s="173" t="str">
        <f t="shared" si="233"/>
        <v/>
      </c>
      <c r="AM243" s="173" t="str">
        <f t="shared" si="233"/>
        <v/>
      </c>
      <c r="AN243" s="180" t="str">
        <f t="shared" si="233"/>
        <v/>
      </c>
      <c r="AP243" s="185">
        <f t="shared" si="234"/>
        <v>45</v>
      </c>
      <c r="AQ243" s="173">
        <f t="shared" si="234"/>
        <v>96.5</v>
      </c>
      <c r="AR243" s="173">
        <f t="shared" si="234"/>
        <v>505</v>
      </c>
      <c r="AS243" s="180">
        <f t="shared" si="234"/>
        <v>18</v>
      </c>
      <c r="AT243" s="288"/>
      <c r="AU243" s="185" t="str">
        <f t="shared" si="235"/>
        <v/>
      </c>
      <c r="AV243" s="173" t="str">
        <f t="shared" si="235"/>
        <v/>
      </c>
      <c r="AW243" s="173" t="str">
        <f t="shared" si="235"/>
        <v/>
      </c>
      <c r="AX243" s="180" t="str">
        <f t="shared" si="235"/>
        <v/>
      </c>
      <c r="AZ243" s="185" t="str">
        <f t="shared" si="236"/>
        <v/>
      </c>
      <c r="BA243" s="173" t="str">
        <f t="shared" si="236"/>
        <v/>
      </c>
      <c r="BB243" s="173" t="str">
        <f t="shared" si="236"/>
        <v/>
      </c>
      <c r="BC243" s="180" t="str">
        <f t="shared" si="236"/>
        <v/>
      </c>
      <c r="BE243" s="185" t="str">
        <f t="shared" si="237"/>
        <v/>
      </c>
      <c r="BF243" s="173" t="str">
        <f t="shared" si="237"/>
        <v/>
      </c>
      <c r="BG243" s="173" t="str">
        <f t="shared" si="237"/>
        <v/>
      </c>
      <c r="BH243" s="180" t="str">
        <f t="shared" si="237"/>
        <v/>
      </c>
      <c r="BI243" s="288"/>
      <c r="BJ243" s="185" t="str">
        <f t="shared" si="238"/>
        <v/>
      </c>
      <c r="BK243" s="173" t="str">
        <f t="shared" si="238"/>
        <v/>
      </c>
      <c r="BL243" s="173" t="str">
        <f t="shared" si="238"/>
        <v/>
      </c>
      <c r="BM243" s="180" t="str">
        <f t="shared" si="238"/>
        <v/>
      </c>
      <c r="BO243" s="185" t="str">
        <f t="shared" si="239"/>
        <v/>
      </c>
      <c r="BP243" s="173" t="str">
        <f t="shared" si="239"/>
        <v/>
      </c>
      <c r="BQ243" s="173" t="str">
        <f t="shared" si="239"/>
        <v/>
      </c>
      <c r="BR243" s="180" t="str">
        <f t="shared" si="239"/>
        <v/>
      </c>
      <c r="BT243" s="185" t="str">
        <f t="shared" si="240"/>
        <v/>
      </c>
      <c r="BU243" s="173" t="str">
        <f t="shared" si="240"/>
        <v/>
      </c>
      <c r="BV243" s="173" t="str">
        <f t="shared" si="240"/>
        <v/>
      </c>
      <c r="BW243" s="180" t="str">
        <f t="shared" si="240"/>
        <v/>
      </c>
      <c r="BX243" s="288"/>
      <c r="CM243" s="96"/>
    </row>
    <row r="244" spans="1:91">
      <c r="A244" s="284" t="str">
        <f t="shared" si="226"/>
        <v/>
      </c>
      <c r="B244" s="185">
        <f t="shared" si="226"/>
        <v>45</v>
      </c>
      <c r="C244" s="173">
        <f t="shared" si="226"/>
        <v>96.5</v>
      </c>
      <c r="D244" s="173">
        <f t="shared" si="226"/>
        <v>178</v>
      </c>
      <c r="E244" s="180">
        <f t="shared" si="226"/>
        <v>18</v>
      </c>
      <c r="G244" s="185">
        <f t="shared" si="227"/>
        <v>45</v>
      </c>
      <c r="H244" s="173">
        <f t="shared" si="227"/>
        <v>96.5</v>
      </c>
      <c r="I244" s="173">
        <f t="shared" si="227"/>
        <v>178</v>
      </c>
      <c r="J244" s="180">
        <f t="shared" si="227"/>
        <v>18</v>
      </c>
      <c r="L244" s="185">
        <f t="shared" si="228"/>
        <v>45</v>
      </c>
      <c r="M244" s="173">
        <f t="shared" si="228"/>
        <v>96.5</v>
      </c>
      <c r="N244" s="173">
        <f t="shared" si="228"/>
        <v>301</v>
      </c>
      <c r="O244" s="180">
        <f t="shared" si="228"/>
        <v>18</v>
      </c>
      <c r="Q244" s="185">
        <f t="shared" si="229"/>
        <v>45</v>
      </c>
      <c r="R244" s="173">
        <f t="shared" si="229"/>
        <v>96.5</v>
      </c>
      <c r="S244" s="173">
        <f t="shared" si="229"/>
        <v>412</v>
      </c>
      <c r="T244" s="180">
        <f t="shared" si="229"/>
        <v>18</v>
      </c>
      <c r="V244" s="185">
        <f t="shared" si="230"/>
        <v>45</v>
      </c>
      <c r="W244" s="173">
        <f t="shared" si="230"/>
        <v>139.5</v>
      </c>
      <c r="X244" s="173">
        <f t="shared" si="230"/>
        <v>207</v>
      </c>
      <c r="Y244" s="180">
        <f t="shared" si="230"/>
        <v>18</v>
      </c>
      <c r="AA244" s="185">
        <f t="shared" si="231"/>
        <v>45</v>
      </c>
      <c r="AB244" s="173">
        <f t="shared" si="231"/>
        <v>139.5</v>
      </c>
      <c r="AC244" s="173">
        <f t="shared" si="231"/>
        <v>370</v>
      </c>
      <c r="AD244" s="180">
        <f t="shared" si="231"/>
        <v>18</v>
      </c>
      <c r="AF244" s="185" t="str">
        <f t="shared" si="232"/>
        <v/>
      </c>
      <c r="AG244" s="173" t="str">
        <f t="shared" si="232"/>
        <v/>
      </c>
      <c r="AH244" s="173" t="str">
        <f t="shared" si="232"/>
        <v/>
      </c>
      <c r="AI244" s="180" t="str">
        <f t="shared" si="232"/>
        <v/>
      </c>
      <c r="AK244" s="185" t="str">
        <f t="shared" si="233"/>
        <v/>
      </c>
      <c r="AL244" s="173" t="str">
        <f t="shared" si="233"/>
        <v/>
      </c>
      <c r="AM244" s="173" t="str">
        <f t="shared" si="233"/>
        <v/>
      </c>
      <c r="AN244" s="180" t="str">
        <f t="shared" si="233"/>
        <v/>
      </c>
      <c r="AP244" s="185">
        <f t="shared" si="234"/>
        <v>45</v>
      </c>
      <c r="AQ244" s="173">
        <f t="shared" si="234"/>
        <v>96.5</v>
      </c>
      <c r="AR244" s="173">
        <f t="shared" si="234"/>
        <v>562</v>
      </c>
      <c r="AS244" s="180">
        <f t="shared" si="234"/>
        <v>18</v>
      </c>
      <c r="AT244" s="288"/>
      <c r="AU244" s="185" t="str">
        <f t="shared" si="235"/>
        <v/>
      </c>
      <c r="AV244" s="173" t="str">
        <f t="shared" si="235"/>
        <v/>
      </c>
      <c r="AW244" s="173" t="str">
        <f t="shared" si="235"/>
        <v/>
      </c>
      <c r="AX244" s="180" t="str">
        <f t="shared" si="235"/>
        <v/>
      </c>
      <c r="AZ244" s="185" t="str">
        <f t="shared" si="236"/>
        <v/>
      </c>
      <c r="BA244" s="173" t="str">
        <f t="shared" si="236"/>
        <v/>
      </c>
      <c r="BB244" s="173" t="str">
        <f t="shared" si="236"/>
        <v/>
      </c>
      <c r="BC244" s="180" t="str">
        <f t="shared" si="236"/>
        <v/>
      </c>
      <c r="BE244" s="185" t="str">
        <f t="shared" si="237"/>
        <v/>
      </c>
      <c r="BF244" s="173" t="str">
        <f t="shared" si="237"/>
        <v/>
      </c>
      <c r="BG244" s="173" t="str">
        <f t="shared" si="237"/>
        <v/>
      </c>
      <c r="BH244" s="180" t="str">
        <f t="shared" si="237"/>
        <v/>
      </c>
      <c r="BI244" s="288"/>
      <c r="BJ244" s="185" t="str">
        <f t="shared" si="238"/>
        <v/>
      </c>
      <c r="BK244" s="173" t="str">
        <f t="shared" si="238"/>
        <v/>
      </c>
      <c r="BL244" s="173" t="str">
        <f t="shared" si="238"/>
        <v/>
      </c>
      <c r="BM244" s="180" t="str">
        <f t="shared" si="238"/>
        <v/>
      </c>
      <c r="BO244" s="185" t="str">
        <f t="shared" si="239"/>
        <v/>
      </c>
      <c r="BP244" s="173" t="str">
        <f t="shared" si="239"/>
        <v/>
      </c>
      <c r="BQ244" s="173" t="str">
        <f t="shared" si="239"/>
        <v/>
      </c>
      <c r="BR244" s="180" t="str">
        <f t="shared" si="239"/>
        <v/>
      </c>
      <c r="BT244" s="185" t="str">
        <f t="shared" si="240"/>
        <v/>
      </c>
      <c r="BU244" s="173" t="str">
        <f t="shared" si="240"/>
        <v/>
      </c>
      <c r="BV244" s="173" t="str">
        <f t="shared" si="240"/>
        <v/>
      </c>
      <c r="BW244" s="180" t="str">
        <f t="shared" si="240"/>
        <v/>
      </c>
      <c r="BX244" s="288"/>
      <c r="CM244" s="96"/>
    </row>
    <row r="245" spans="1:91">
      <c r="A245" s="284" t="str">
        <f t="shared" si="226"/>
        <v/>
      </c>
      <c r="B245" s="185">
        <f t="shared" si="226"/>
        <v>45</v>
      </c>
      <c r="C245" s="173">
        <f t="shared" si="226"/>
        <v>96.5</v>
      </c>
      <c r="D245" s="173">
        <f t="shared" si="226"/>
        <v>235</v>
      </c>
      <c r="E245" s="180">
        <f t="shared" si="226"/>
        <v>18</v>
      </c>
      <c r="G245" s="185">
        <f t="shared" si="227"/>
        <v>45</v>
      </c>
      <c r="H245" s="173">
        <f t="shared" si="227"/>
        <v>96.5</v>
      </c>
      <c r="I245" s="173">
        <f t="shared" si="227"/>
        <v>235</v>
      </c>
      <c r="J245" s="180">
        <f t="shared" si="227"/>
        <v>18</v>
      </c>
      <c r="L245" s="185">
        <f t="shared" si="228"/>
        <v>45</v>
      </c>
      <c r="M245" s="173">
        <f t="shared" si="228"/>
        <v>96.5</v>
      </c>
      <c r="N245" s="173">
        <f t="shared" si="228"/>
        <v>358</v>
      </c>
      <c r="O245" s="180">
        <f t="shared" si="228"/>
        <v>18</v>
      </c>
      <c r="Q245" s="185">
        <f t="shared" si="229"/>
        <v>45</v>
      </c>
      <c r="R245" s="173">
        <f t="shared" si="229"/>
        <v>96.5</v>
      </c>
      <c r="S245" s="173">
        <f t="shared" si="229"/>
        <v>469</v>
      </c>
      <c r="T245" s="180">
        <f t="shared" si="229"/>
        <v>18</v>
      </c>
      <c r="V245" s="185">
        <f t="shared" si="230"/>
        <v>45</v>
      </c>
      <c r="W245" s="173">
        <f t="shared" si="230"/>
        <v>139.5</v>
      </c>
      <c r="X245" s="173">
        <f t="shared" si="230"/>
        <v>264</v>
      </c>
      <c r="Y245" s="180">
        <f t="shared" si="230"/>
        <v>18</v>
      </c>
      <c r="AA245" s="185">
        <f t="shared" si="231"/>
        <v>45</v>
      </c>
      <c r="AB245" s="173">
        <f t="shared" si="231"/>
        <v>139.5</v>
      </c>
      <c r="AC245" s="173">
        <f t="shared" si="231"/>
        <v>428</v>
      </c>
      <c r="AD245" s="180">
        <f t="shared" si="231"/>
        <v>18</v>
      </c>
      <c r="AF245" s="185" t="str">
        <f t="shared" si="232"/>
        <v/>
      </c>
      <c r="AG245" s="173" t="str">
        <f t="shared" si="232"/>
        <v/>
      </c>
      <c r="AH245" s="173" t="str">
        <f t="shared" si="232"/>
        <v/>
      </c>
      <c r="AI245" s="180" t="str">
        <f t="shared" si="232"/>
        <v/>
      </c>
      <c r="AK245" s="185" t="str">
        <f t="shared" si="233"/>
        <v/>
      </c>
      <c r="AL245" s="173" t="str">
        <f t="shared" si="233"/>
        <v/>
      </c>
      <c r="AM245" s="173" t="str">
        <f t="shared" si="233"/>
        <v/>
      </c>
      <c r="AN245" s="180" t="str">
        <f t="shared" si="233"/>
        <v/>
      </c>
      <c r="AP245" s="185">
        <f t="shared" si="234"/>
        <v>45</v>
      </c>
      <c r="AQ245" s="173">
        <f t="shared" si="234"/>
        <v>96.5</v>
      </c>
      <c r="AR245" s="173">
        <f t="shared" si="234"/>
        <v>619</v>
      </c>
      <c r="AS245" s="180">
        <f t="shared" si="234"/>
        <v>18</v>
      </c>
      <c r="AT245" s="288"/>
      <c r="AU245" s="185" t="str">
        <f t="shared" si="235"/>
        <v/>
      </c>
      <c r="AV245" s="173" t="str">
        <f t="shared" si="235"/>
        <v/>
      </c>
      <c r="AW245" s="173" t="str">
        <f t="shared" si="235"/>
        <v/>
      </c>
      <c r="AX245" s="180" t="str">
        <f t="shared" si="235"/>
        <v/>
      </c>
      <c r="AZ245" s="185" t="str">
        <f t="shared" si="236"/>
        <v/>
      </c>
      <c r="BA245" s="173" t="str">
        <f t="shared" si="236"/>
        <v/>
      </c>
      <c r="BB245" s="173" t="str">
        <f t="shared" si="236"/>
        <v/>
      </c>
      <c r="BC245" s="180" t="str">
        <f t="shared" si="236"/>
        <v/>
      </c>
      <c r="BE245" s="185" t="str">
        <f t="shared" si="237"/>
        <v/>
      </c>
      <c r="BF245" s="173" t="str">
        <f t="shared" si="237"/>
        <v/>
      </c>
      <c r="BG245" s="173" t="str">
        <f t="shared" si="237"/>
        <v/>
      </c>
      <c r="BH245" s="180" t="str">
        <f t="shared" si="237"/>
        <v/>
      </c>
      <c r="BI245" s="288"/>
      <c r="BJ245" s="185" t="str">
        <f t="shared" si="238"/>
        <v/>
      </c>
      <c r="BK245" s="173" t="str">
        <f t="shared" si="238"/>
        <v/>
      </c>
      <c r="BL245" s="173" t="str">
        <f t="shared" si="238"/>
        <v/>
      </c>
      <c r="BM245" s="180" t="str">
        <f t="shared" si="238"/>
        <v/>
      </c>
      <c r="BO245" s="185" t="str">
        <f t="shared" si="239"/>
        <v/>
      </c>
      <c r="BP245" s="173" t="str">
        <f t="shared" si="239"/>
        <v/>
      </c>
      <c r="BQ245" s="173" t="str">
        <f t="shared" si="239"/>
        <v/>
      </c>
      <c r="BR245" s="180" t="str">
        <f t="shared" si="239"/>
        <v/>
      </c>
      <c r="BT245" s="185" t="str">
        <f t="shared" si="240"/>
        <v/>
      </c>
      <c r="BU245" s="173" t="str">
        <f t="shared" si="240"/>
        <v/>
      </c>
      <c r="BV245" s="173" t="str">
        <f t="shared" si="240"/>
        <v/>
      </c>
      <c r="BW245" s="180" t="str">
        <f t="shared" si="240"/>
        <v/>
      </c>
      <c r="BX245" s="288"/>
      <c r="CM245" s="96"/>
    </row>
    <row r="246" spans="1:91">
      <c r="A246" s="284" t="str">
        <f t="shared" si="226"/>
        <v/>
      </c>
      <c r="B246" s="185">
        <f t="shared" si="226"/>
        <v>45</v>
      </c>
      <c r="C246" s="173">
        <f t="shared" si="226"/>
        <v>96.5</v>
      </c>
      <c r="D246" s="173">
        <f t="shared" si="226"/>
        <v>292</v>
      </c>
      <c r="E246" s="180">
        <f t="shared" si="226"/>
        <v>18</v>
      </c>
      <c r="G246" s="185">
        <f t="shared" si="227"/>
        <v>45</v>
      </c>
      <c r="H246" s="173">
        <f t="shared" si="227"/>
        <v>96.5</v>
      </c>
      <c r="I246" s="173">
        <f t="shared" si="227"/>
        <v>292</v>
      </c>
      <c r="J246" s="180">
        <f t="shared" si="227"/>
        <v>18</v>
      </c>
      <c r="L246" s="185">
        <f t="shared" si="228"/>
        <v>45</v>
      </c>
      <c r="M246" s="173">
        <f t="shared" si="228"/>
        <v>96.5</v>
      </c>
      <c r="N246" s="173">
        <f t="shared" si="228"/>
        <v>415</v>
      </c>
      <c r="O246" s="180">
        <f t="shared" si="228"/>
        <v>18</v>
      </c>
      <c r="Q246" s="185">
        <f t="shared" si="229"/>
        <v>45</v>
      </c>
      <c r="R246" s="173">
        <f t="shared" si="229"/>
        <v>96.5</v>
      </c>
      <c r="S246" s="173">
        <f t="shared" si="229"/>
        <v>526</v>
      </c>
      <c r="T246" s="180">
        <f t="shared" si="229"/>
        <v>18</v>
      </c>
      <c r="V246" s="185">
        <f t="shared" si="230"/>
        <v>45</v>
      </c>
      <c r="W246" s="173">
        <f t="shared" si="230"/>
        <v>139.5</v>
      </c>
      <c r="X246" s="173">
        <f t="shared" si="230"/>
        <v>321</v>
      </c>
      <c r="Y246" s="180">
        <f t="shared" si="230"/>
        <v>18</v>
      </c>
      <c r="AA246" s="185">
        <f t="shared" si="231"/>
        <v>45</v>
      </c>
      <c r="AB246" s="173">
        <f t="shared" si="231"/>
        <v>139.5</v>
      </c>
      <c r="AC246" s="173">
        <f t="shared" si="231"/>
        <v>486</v>
      </c>
      <c r="AD246" s="180">
        <f t="shared" si="231"/>
        <v>18</v>
      </c>
      <c r="AF246" s="185" t="str">
        <f t="shared" si="232"/>
        <v/>
      </c>
      <c r="AG246" s="173" t="str">
        <f t="shared" si="232"/>
        <v/>
      </c>
      <c r="AH246" s="173" t="str">
        <f t="shared" si="232"/>
        <v/>
      </c>
      <c r="AI246" s="180" t="str">
        <f t="shared" si="232"/>
        <v/>
      </c>
      <c r="AK246" s="185" t="str">
        <f t="shared" si="233"/>
        <v/>
      </c>
      <c r="AL246" s="173" t="str">
        <f t="shared" si="233"/>
        <v/>
      </c>
      <c r="AM246" s="173" t="str">
        <f t="shared" si="233"/>
        <v/>
      </c>
      <c r="AN246" s="180" t="str">
        <f t="shared" si="233"/>
        <v/>
      </c>
      <c r="AP246" s="185">
        <f t="shared" si="234"/>
        <v>45</v>
      </c>
      <c r="AQ246" s="173">
        <f t="shared" si="234"/>
        <v>96.5</v>
      </c>
      <c r="AR246" s="173">
        <f t="shared" si="234"/>
        <v>676</v>
      </c>
      <c r="AS246" s="180">
        <f t="shared" si="234"/>
        <v>18</v>
      </c>
      <c r="AT246" s="288"/>
      <c r="AU246" s="185" t="str">
        <f t="shared" si="235"/>
        <v/>
      </c>
      <c r="AV246" s="173" t="str">
        <f t="shared" si="235"/>
        <v/>
      </c>
      <c r="AW246" s="173" t="str">
        <f t="shared" si="235"/>
        <v/>
      </c>
      <c r="AX246" s="180" t="str">
        <f t="shared" si="235"/>
        <v/>
      </c>
      <c r="AZ246" s="185" t="str">
        <f t="shared" si="236"/>
        <v/>
      </c>
      <c r="BA246" s="173" t="str">
        <f t="shared" si="236"/>
        <v/>
      </c>
      <c r="BB246" s="173" t="str">
        <f t="shared" si="236"/>
        <v/>
      </c>
      <c r="BC246" s="180" t="str">
        <f t="shared" si="236"/>
        <v/>
      </c>
      <c r="BE246" s="185" t="str">
        <f t="shared" si="237"/>
        <v/>
      </c>
      <c r="BF246" s="173" t="str">
        <f t="shared" si="237"/>
        <v/>
      </c>
      <c r="BG246" s="173" t="str">
        <f t="shared" si="237"/>
        <v/>
      </c>
      <c r="BH246" s="180" t="str">
        <f t="shared" si="237"/>
        <v/>
      </c>
      <c r="BI246" s="288"/>
      <c r="BJ246" s="185" t="str">
        <f t="shared" si="238"/>
        <v/>
      </c>
      <c r="BK246" s="173" t="str">
        <f t="shared" si="238"/>
        <v/>
      </c>
      <c r="BL246" s="173" t="str">
        <f t="shared" si="238"/>
        <v/>
      </c>
      <c r="BM246" s="180" t="str">
        <f t="shared" si="238"/>
        <v/>
      </c>
      <c r="BO246" s="185" t="str">
        <f t="shared" si="239"/>
        <v/>
      </c>
      <c r="BP246" s="173" t="str">
        <f t="shared" si="239"/>
        <v/>
      </c>
      <c r="BQ246" s="173" t="str">
        <f t="shared" si="239"/>
        <v/>
      </c>
      <c r="BR246" s="180" t="str">
        <f t="shared" si="239"/>
        <v/>
      </c>
      <c r="BT246" s="185" t="str">
        <f t="shared" si="240"/>
        <v/>
      </c>
      <c r="BU246" s="173" t="str">
        <f t="shared" si="240"/>
        <v/>
      </c>
      <c r="BV246" s="173" t="str">
        <f t="shared" si="240"/>
        <v/>
      </c>
      <c r="BW246" s="180" t="str">
        <f t="shared" si="240"/>
        <v/>
      </c>
      <c r="BX246" s="288"/>
      <c r="CM246" s="96"/>
    </row>
    <row r="247" spans="1:91">
      <c r="A247" s="284" t="str">
        <f t="shared" si="226"/>
        <v/>
      </c>
      <c r="B247" s="185">
        <f t="shared" si="226"/>
        <v>45</v>
      </c>
      <c r="C247" s="173">
        <f t="shared" si="226"/>
        <v>96.5</v>
      </c>
      <c r="D247" s="173">
        <f t="shared" si="226"/>
        <v>349</v>
      </c>
      <c r="E247" s="180">
        <f t="shared" si="226"/>
        <v>18</v>
      </c>
      <c r="G247" s="185">
        <f t="shared" si="227"/>
        <v>45</v>
      </c>
      <c r="H247" s="173">
        <f t="shared" si="227"/>
        <v>96.5</v>
      </c>
      <c r="I247" s="173">
        <f t="shared" si="227"/>
        <v>349</v>
      </c>
      <c r="J247" s="180">
        <f t="shared" si="227"/>
        <v>18</v>
      </c>
      <c r="L247" s="185">
        <f t="shared" si="228"/>
        <v>45</v>
      </c>
      <c r="M247" s="173">
        <f t="shared" si="228"/>
        <v>96.5</v>
      </c>
      <c r="N247" s="173">
        <f t="shared" si="228"/>
        <v>472</v>
      </c>
      <c r="O247" s="180">
        <f t="shared" si="228"/>
        <v>18</v>
      </c>
      <c r="Q247" s="185">
        <f t="shared" si="229"/>
        <v>45</v>
      </c>
      <c r="R247" s="173">
        <f t="shared" si="229"/>
        <v>96.5</v>
      </c>
      <c r="S247" s="173">
        <f t="shared" si="229"/>
        <v>583</v>
      </c>
      <c r="T247" s="180">
        <f t="shared" si="229"/>
        <v>18</v>
      </c>
      <c r="V247" s="185">
        <f t="shared" si="230"/>
        <v>45</v>
      </c>
      <c r="W247" s="173">
        <f t="shared" si="230"/>
        <v>139.5</v>
      </c>
      <c r="X247" s="173">
        <f t="shared" si="230"/>
        <v>378</v>
      </c>
      <c r="Y247" s="180">
        <f t="shared" si="230"/>
        <v>18</v>
      </c>
      <c r="AA247" s="185" t="str">
        <f t="shared" si="231"/>
        <v/>
      </c>
      <c r="AB247" s="173" t="str">
        <f t="shared" si="231"/>
        <v/>
      </c>
      <c r="AC247" s="173" t="str">
        <f t="shared" si="231"/>
        <v/>
      </c>
      <c r="AD247" s="180" t="str">
        <f t="shared" si="231"/>
        <v/>
      </c>
      <c r="AF247" s="185" t="str">
        <f t="shared" si="232"/>
        <v/>
      </c>
      <c r="AG247" s="173" t="str">
        <f t="shared" si="232"/>
        <v/>
      </c>
      <c r="AH247" s="173" t="str">
        <f t="shared" si="232"/>
        <v/>
      </c>
      <c r="AI247" s="180" t="str">
        <f t="shared" si="232"/>
        <v/>
      </c>
      <c r="AK247" s="185" t="str">
        <f t="shared" si="233"/>
        <v/>
      </c>
      <c r="AL247" s="173" t="str">
        <f t="shared" si="233"/>
        <v/>
      </c>
      <c r="AM247" s="173" t="str">
        <f t="shared" si="233"/>
        <v/>
      </c>
      <c r="AN247" s="180" t="str">
        <f t="shared" si="233"/>
        <v/>
      </c>
      <c r="AP247" s="185">
        <f t="shared" si="234"/>
        <v>45</v>
      </c>
      <c r="AQ247" s="173">
        <f t="shared" si="234"/>
        <v>96.5</v>
      </c>
      <c r="AR247" s="173">
        <f t="shared" si="234"/>
        <v>733</v>
      </c>
      <c r="AS247" s="180">
        <f t="shared" si="234"/>
        <v>18</v>
      </c>
      <c r="AT247" s="288"/>
      <c r="AU247" s="185" t="str">
        <f t="shared" si="235"/>
        <v/>
      </c>
      <c r="AV247" s="173" t="str">
        <f t="shared" si="235"/>
        <v/>
      </c>
      <c r="AW247" s="173" t="str">
        <f t="shared" si="235"/>
        <v/>
      </c>
      <c r="AX247" s="180" t="str">
        <f t="shared" si="235"/>
        <v/>
      </c>
      <c r="AZ247" s="185" t="str">
        <f t="shared" si="236"/>
        <v/>
      </c>
      <c r="BA247" s="173" t="str">
        <f t="shared" si="236"/>
        <v/>
      </c>
      <c r="BB247" s="173" t="str">
        <f t="shared" si="236"/>
        <v/>
      </c>
      <c r="BC247" s="180" t="str">
        <f t="shared" si="236"/>
        <v/>
      </c>
      <c r="BE247" s="185" t="str">
        <f t="shared" si="237"/>
        <v/>
      </c>
      <c r="BF247" s="173" t="str">
        <f t="shared" si="237"/>
        <v/>
      </c>
      <c r="BG247" s="173" t="str">
        <f t="shared" si="237"/>
        <v/>
      </c>
      <c r="BH247" s="180" t="str">
        <f t="shared" si="237"/>
        <v/>
      </c>
      <c r="BI247" s="288"/>
      <c r="BJ247" s="185" t="str">
        <f t="shared" si="238"/>
        <v/>
      </c>
      <c r="BK247" s="173" t="str">
        <f t="shared" si="238"/>
        <v/>
      </c>
      <c r="BL247" s="173" t="str">
        <f t="shared" si="238"/>
        <v/>
      </c>
      <c r="BM247" s="180" t="str">
        <f t="shared" si="238"/>
        <v/>
      </c>
      <c r="BO247" s="185" t="str">
        <f t="shared" si="239"/>
        <v/>
      </c>
      <c r="BP247" s="173" t="str">
        <f t="shared" si="239"/>
        <v/>
      </c>
      <c r="BQ247" s="173" t="str">
        <f t="shared" si="239"/>
        <v/>
      </c>
      <c r="BR247" s="180" t="str">
        <f t="shared" si="239"/>
        <v/>
      </c>
      <c r="BT247" s="185" t="str">
        <f t="shared" si="240"/>
        <v/>
      </c>
      <c r="BU247" s="173" t="str">
        <f t="shared" si="240"/>
        <v/>
      </c>
      <c r="BV247" s="173" t="str">
        <f t="shared" si="240"/>
        <v/>
      </c>
      <c r="BW247" s="180" t="str">
        <f t="shared" si="240"/>
        <v/>
      </c>
      <c r="BX247" s="288"/>
      <c r="CM247" s="96"/>
    </row>
    <row r="248" spans="1:91">
      <c r="A248" s="284" t="str">
        <f t="shared" si="226"/>
        <v/>
      </c>
      <c r="B248" s="185">
        <f t="shared" si="226"/>
        <v>45</v>
      </c>
      <c r="C248" s="173">
        <f t="shared" si="226"/>
        <v>96.5</v>
      </c>
      <c r="D248" s="173">
        <f t="shared" si="226"/>
        <v>406</v>
      </c>
      <c r="E248" s="180">
        <f t="shared" si="226"/>
        <v>18</v>
      </c>
      <c r="G248" s="185">
        <f t="shared" si="227"/>
        <v>45</v>
      </c>
      <c r="H248" s="173">
        <f t="shared" si="227"/>
        <v>96.5</v>
      </c>
      <c r="I248" s="173">
        <f t="shared" si="227"/>
        <v>406</v>
      </c>
      <c r="J248" s="180">
        <f t="shared" si="227"/>
        <v>18</v>
      </c>
      <c r="L248" s="185">
        <f t="shared" si="228"/>
        <v>45</v>
      </c>
      <c r="M248" s="173">
        <f t="shared" si="228"/>
        <v>96.5</v>
      </c>
      <c r="N248" s="173">
        <f t="shared" si="228"/>
        <v>529</v>
      </c>
      <c r="O248" s="180">
        <f t="shared" si="228"/>
        <v>18</v>
      </c>
      <c r="Q248" s="185">
        <f t="shared" si="229"/>
        <v>45</v>
      </c>
      <c r="R248" s="173">
        <f t="shared" si="229"/>
        <v>96.5</v>
      </c>
      <c r="S248" s="173">
        <f t="shared" si="229"/>
        <v>640</v>
      </c>
      <c r="T248" s="180">
        <f t="shared" si="229"/>
        <v>18</v>
      </c>
      <c r="V248" s="185">
        <f t="shared" si="230"/>
        <v>45</v>
      </c>
      <c r="W248" s="173">
        <f t="shared" si="230"/>
        <v>139.5</v>
      </c>
      <c r="X248" s="173">
        <f t="shared" si="230"/>
        <v>435</v>
      </c>
      <c r="Y248" s="180">
        <f t="shared" si="230"/>
        <v>18</v>
      </c>
      <c r="AA248" s="185" t="str">
        <f t="shared" si="231"/>
        <v/>
      </c>
      <c r="AB248" s="173" t="str">
        <f t="shared" si="231"/>
        <v/>
      </c>
      <c r="AC248" s="173" t="str">
        <f t="shared" si="231"/>
        <v/>
      </c>
      <c r="AD248" s="180" t="str">
        <f t="shared" si="231"/>
        <v/>
      </c>
      <c r="AF248" s="185" t="str">
        <f t="shared" si="232"/>
        <v/>
      </c>
      <c r="AG248" s="173" t="str">
        <f t="shared" si="232"/>
        <v/>
      </c>
      <c r="AH248" s="173" t="str">
        <f t="shared" si="232"/>
        <v/>
      </c>
      <c r="AI248" s="180" t="str">
        <f t="shared" si="232"/>
        <v/>
      </c>
      <c r="AK248" s="185" t="str">
        <f t="shared" si="233"/>
        <v/>
      </c>
      <c r="AL248" s="173" t="str">
        <f t="shared" si="233"/>
        <v/>
      </c>
      <c r="AM248" s="173" t="str">
        <f t="shared" si="233"/>
        <v/>
      </c>
      <c r="AN248" s="180" t="str">
        <f t="shared" si="233"/>
        <v/>
      </c>
      <c r="AP248" s="185">
        <f t="shared" si="234"/>
        <v>45</v>
      </c>
      <c r="AQ248" s="173">
        <f t="shared" si="234"/>
        <v>96.5</v>
      </c>
      <c r="AR248" s="173">
        <f t="shared" si="234"/>
        <v>790</v>
      </c>
      <c r="AS248" s="180">
        <f t="shared" si="234"/>
        <v>18</v>
      </c>
      <c r="AT248" s="288"/>
      <c r="AU248" s="185" t="str">
        <f t="shared" si="235"/>
        <v/>
      </c>
      <c r="AV248" s="173" t="str">
        <f t="shared" si="235"/>
        <v/>
      </c>
      <c r="AW248" s="173" t="str">
        <f t="shared" si="235"/>
        <v/>
      </c>
      <c r="AX248" s="180" t="str">
        <f t="shared" si="235"/>
        <v/>
      </c>
      <c r="AZ248" s="185" t="str">
        <f t="shared" si="236"/>
        <v/>
      </c>
      <c r="BA248" s="173" t="str">
        <f t="shared" si="236"/>
        <v/>
      </c>
      <c r="BB248" s="173" t="str">
        <f t="shared" si="236"/>
        <v/>
      </c>
      <c r="BC248" s="180" t="str">
        <f t="shared" si="236"/>
        <v/>
      </c>
      <c r="BE248" s="185" t="str">
        <f t="shared" si="237"/>
        <v/>
      </c>
      <c r="BF248" s="173" t="str">
        <f t="shared" si="237"/>
        <v/>
      </c>
      <c r="BG248" s="173" t="str">
        <f t="shared" si="237"/>
        <v/>
      </c>
      <c r="BH248" s="180" t="str">
        <f t="shared" si="237"/>
        <v/>
      </c>
      <c r="BI248" s="288"/>
      <c r="BJ248" s="185" t="str">
        <f t="shared" si="238"/>
        <v/>
      </c>
      <c r="BK248" s="173" t="str">
        <f t="shared" si="238"/>
        <v/>
      </c>
      <c r="BL248" s="173" t="str">
        <f t="shared" si="238"/>
        <v/>
      </c>
      <c r="BM248" s="180" t="str">
        <f t="shared" si="238"/>
        <v/>
      </c>
      <c r="BO248" s="185" t="str">
        <f t="shared" si="239"/>
        <v/>
      </c>
      <c r="BP248" s="173" t="str">
        <f t="shared" si="239"/>
        <v/>
      </c>
      <c r="BQ248" s="173" t="str">
        <f t="shared" si="239"/>
        <v/>
      </c>
      <c r="BR248" s="180" t="str">
        <f t="shared" si="239"/>
        <v/>
      </c>
      <c r="BT248" s="185" t="str">
        <f t="shared" si="240"/>
        <v/>
      </c>
      <c r="BU248" s="173" t="str">
        <f t="shared" si="240"/>
        <v/>
      </c>
      <c r="BV248" s="173" t="str">
        <f t="shared" si="240"/>
        <v/>
      </c>
      <c r="BW248" s="180" t="str">
        <f t="shared" si="240"/>
        <v/>
      </c>
      <c r="BX248" s="288"/>
      <c r="CM248" s="96"/>
    </row>
    <row r="249" spans="1:91">
      <c r="A249" s="284" t="str">
        <f t="shared" si="226"/>
        <v/>
      </c>
      <c r="B249" s="185">
        <f t="shared" si="226"/>
        <v>45</v>
      </c>
      <c r="C249" s="173">
        <f t="shared" si="226"/>
        <v>96.5</v>
      </c>
      <c r="D249" s="173">
        <f t="shared" si="226"/>
        <v>463</v>
      </c>
      <c r="E249" s="180">
        <f t="shared" si="226"/>
        <v>18</v>
      </c>
      <c r="G249" s="185">
        <f t="shared" si="227"/>
        <v>45</v>
      </c>
      <c r="H249" s="173">
        <f t="shared" si="227"/>
        <v>96.5</v>
      </c>
      <c r="I249" s="173">
        <f t="shared" si="227"/>
        <v>463</v>
      </c>
      <c r="J249" s="180">
        <f t="shared" si="227"/>
        <v>18</v>
      </c>
      <c r="L249" s="185">
        <f t="shared" si="228"/>
        <v>45</v>
      </c>
      <c r="M249" s="173">
        <f t="shared" si="228"/>
        <v>96.5</v>
      </c>
      <c r="N249" s="173">
        <f t="shared" si="228"/>
        <v>586</v>
      </c>
      <c r="O249" s="180">
        <f t="shared" si="228"/>
        <v>18</v>
      </c>
      <c r="Q249" s="185">
        <f t="shared" si="229"/>
        <v>45</v>
      </c>
      <c r="R249" s="173">
        <f t="shared" si="229"/>
        <v>139.5</v>
      </c>
      <c r="S249" s="173">
        <f t="shared" si="229"/>
        <v>156</v>
      </c>
      <c r="T249" s="180">
        <f t="shared" si="229"/>
        <v>18</v>
      </c>
      <c r="V249" s="185">
        <f t="shared" si="230"/>
        <v>45</v>
      </c>
      <c r="W249" s="173">
        <f t="shared" si="230"/>
        <v>139.5</v>
      </c>
      <c r="X249" s="173">
        <f t="shared" si="230"/>
        <v>492</v>
      </c>
      <c r="Y249" s="180">
        <f t="shared" si="230"/>
        <v>18</v>
      </c>
      <c r="AA249" s="185" t="str">
        <f t="shared" si="231"/>
        <v/>
      </c>
      <c r="AB249" s="173" t="str">
        <f t="shared" si="231"/>
        <v/>
      </c>
      <c r="AC249" s="173" t="str">
        <f t="shared" si="231"/>
        <v/>
      </c>
      <c r="AD249" s="180" t="str">
        <f t="shared" si="231"/>
        <v/>
      </c>
      <c r="AF249" s="185" t="str">
        <f t="shared" si="232"/>
        <v/>
      </c>
      <c r="AG249" s="173" t="str">
        <f t="shared" si="232"/>
        <v/>
      </c>
      <c r="AH249" s="173" t="str">
        <f t="shared" si="232"/>
        <v/>
      </c>
      <c r="AI249" s="180" t="str">
        <f t="shared" si="232"/>
        <v/>
      </c>
      <c r="AK249" s="185" t="str">
        <f t="shared" si="233"/>
        <v/>
      </c>
      <c r="AL249" s="173" t="str">
        <f t="shared" si="233"/>
        <v/>
      </c>
      <c r="AM249" s="173" t="str">
        <f t="shared" si="233"/>
        <v/>
      </c>
      <c r="AN249" s="180" t="str">
        <f t="shared" si="233"/>
        <v/>
      </c>
      <c r="AP249" s="185">
        <f t="shared" si="234"/>
        <v>45</v>
      </c>
      <c r="AQ249" s="173">
        <f t="shared" si="234"/>
        <v>139.5</v>
      </c>
      <c r="AR249" s="173">
        <f t="shared" si="234"/>
        <v>306</v>
      </c>
      <c r="AS249" s="180">
        <f t="shared" si="234"/>
        <v>18</v>
      </c>
      <c r="AT249" s="288"/>
      <c r="AU249" s="185" t="str">
        <f t="shared" si="235"/>
        <v/>
      </c>
      <c r="AV249" s="173" t="str">
        <f t="shared" si="235"/>
        <v/>
      </c>
      <c r="AW249" s="173" t="str">
        <f t="shared" si="235"/>
        <v/>
      </c>
      <c r="AX249" s="180" t="str">
        <f t="shared" si="235"/>
        <v/>
      </c>
      <c r="AZ249" s="185" t="str">
        <f t="shared" si="236"/>
        <v/>
      </c>
      <c r="BA249" s="173" t="str">
        <f t="shared" si="236"/>
        <v/>
      </c>
      <c r="BB249" s="173" t="str">
        <f t="shared" si="236"/>
        <v/>
      </c>
      <c r="BC249" s="180" t="str">
        <f t="shared" si="236"/>
        <v/>
      </c>
      <c r="BE249" s="185" t="str">
        <f t="shared" si="237"/>
        <v/>
      </c>
      <c r="BF249" s="173" t="str">
        <f t="shared" si="237"/>
        <v/>
      </c>
      <c r="BG249" s="173" t="str">
        <f t="shared" si="237"/>
        <v/>
      </c>
      <c r="BH249" s="180" t="str">
        <f t="shared" si="237"/>
        <v/>
      </c>
      <c r="BI249" s="288"/>
      <c r="BJ249" s="185" t="str">
        <f t="shared" si="238"/>
        <v/>
      </c>
      <c r="BK249" s="173" t="str">
        <f t="shared" si="238"/>
        <v/>
      </c>
      <c r="BL249" s="173" t="str">
        <f t="shared" si="238"/>
        <v/>
      </c>
      <c r="BM249" s="180" t="str">
        <f t="shared" si="238"/>
        <v/>
      </c>
      <c r="BO249" s="185" t="str">
        <f t="shared" si="239"/>
        <v/>
      </c>
      <c r="BP249" s="173" t="str">
        <f t="shared" si="239"/>
        <v/>
      </c>
      <c r="BQ249" s="173" t="str">
        <f t="shared" si="239"/>
        <v/>
      </c>
      <c r="BR249" s="180" t="str">
        <f t="shared" si="239"/>
        <v/>
      </c>
      <c r="BT249" s="185" t="str">
        <f t="shared" si="240"/>
        <v/>
      </c>
      <c r="BU249" s="173" t="str">
        <f t="shared" si="240"/>
        <v/>
      </c>
      <c r="BV249" s="173" t="str">
        <f t="shared" si="240"/>
        <v/>
      </c>
      <c r="BW249" s="180" t="str">
        <f t="shared" si="240"/>
        <v/>
      </c>
      <c r="BX249" s="288"/>
      <c r="CM249" s="96"/>
    </row>
    <row r="250" spans="1:91">
      <c r="A250" s="284" t="str">
        <f t="shared" si="226"/>
        <v/>
      </c>
      <c r="B250" s="185">
        <f t="shared" si="226"/>
        <v>45</v>
      </c>
      <c r="C250" s="173">
        <f t="shared" si="226"/>
        <v>96.5</v>
      </c>
      <c r="D250" s="173">
        <f t="shared" si="226"/>
        <v>520</v>
      </c>
      <c r="E250" s="180">
        <f t="shared" si="226"/>
        <v>18</v>
      </c>
      <c r="G250" s="185">
        <f t="shared" si="227"/>
        <v>45</v>
      </c>
      <c r="H250" s="173">
        <f t="shared" si="227"/>
        <v>96.5</v>
      </c>
      <c r="I250" s="173">
        <f t="shared" si="227"/>
        <v>520</v>
      </c>
      <c r="J250" s="180">
        <f t="shared" si="227"/>
        <v>18</v>
      </c>
      <c r="L250" s="185">
        <f t="shared" si="228"/>
        <v>45</v>
      </c>
      <c r="M250" s="173">
        <f t="shared" si="228"/>
        <v>96.5</v>
      </c>
      <c r="N250" s="173">
        <f t="shared" si="228"/>
        <v>643</v>
      </c>
      <c r="O250" s="180">
        <f t="shared" si="228"/>
        <v>18</v>
      </c>
      <c r="Q250" s="185">
        <f t="shared" si="229"/>
        <v>45</v>
      </c>
      <c r="R250" s="173">
        <f t="shared" si="229"/>
        <v>139.5</v>
      </c>
      <c r="S250" s="173">
        <f t="shared" si="229"/>
        <v>213</v>
      </c>
      <c r="T250" s="180">
        <f t="shared" si="229"/>
        <v>18</v>
      </c>
      <c r="V250" s="185">
        <f t="shared" si="230"/>
        <v>45</v>
      </c>
      <c r="W250" s="173">
        <f t="shared" si="230"/>
        <v>139.5</v>
      </c>
      <c r="X250" s="173">
        <f t="shared" si="230"/>
        <v>549</v>
      </c>
      <c r="Y250" s="180">
        <f t="shared" si="230"/>
        <v>18</v>
      </c>
      <c r="AA250" s="185" t="str">
        <f t="shared" si="231"/>
        <v/>
      </c>
      <c r="AB250" s="173" t="str">
        <f t="shared" si="231"/>
        <v/>
      </c>
      <c r="AC250" s="173" t="str">
        <f t="shared" si="231"/>
        <v/>
      </c>
      <c r="AD250" s="180" t="str">
        <f t="shared" si="231"/>
        <v/>
      </c>
      <c r="AF250" s="185" t="str">
        <f t="shared" si="232"/>
        <v/>
      </c>
      <c r="AG250" s="173" t="str">
        <f t="shared" si="232"/>
        <v/>
      </c>
      <c r="AH250" s="173" t="str">
        <f t="shared" si="232"/>
        <v/>
      </c>
      <c r="AI250" s="180" t="str">
        <f t="shared" si="232"/>
        <v/>
      </c>
      <c r="AK250" s="185" t="str">
        <f t="shared" si="233"/>
        <v/>
      </c>
      <c r="AL250" s="173" t="str">
        <f t="shared" si="233"/>
        <v/>
      </c>
      <c r="AM250" s="173" t="str">
        <f t="shared" si="233"/>
        <v/>
      </c>
      <c r="AN250" s="180" t="str">
        <f t="shared" si="233"/>
        <v/>
      </c>
      <c r="AP250" s="185">
        <f t="shared" si="234"/>
        <v>45</v>
      </c>
      <c r="AQ250" s="173">
        <f t="shared" si="234"/>
        <v>139.5</v>
      </c>
      <c r="AR250" s="173">
        <f t="shared" si="234"/>
        <v>363</v>
      </c>
      <c r="AS250" s="180">
        <f t="shared" si="234"/>
        <v>18</v>
      </c>
      <c r="AT250" s="288"/>
      <c r="AU250" s="185" t="str">
        <f t="shared" si="235"/>
        <v/>
      </c>
      <c r="AV250" s="173" t="str">
        <f t="shared" si="235"/>
        <v/>
      </c>
      <c r="AW250" s="173" t="str">
        <f t="shared" si="235"/>
        <v/>
      </c>
      <c r="AX250" s="180" t="str">
        <f t="shared" si="235"/>
        <v/>
      </c>
      <c r="AZ250" s="185" t="str">
        <f t="shared" si="236"/>
        <v/>
      </c>
      <c r="BA250" s="173" t="str">
        <f t="shared" si="236"/>
        <v/>
      </c>
      <c r="BB250" s="173" t="str">
        <f t="shared" si="236"/>
        <v/>
      </c>
      <c r="BC250" s="180" t="str">
        <f t="shared" si="236"/>
        <v/>
      </c>
      <c r="BE250" s="185" t="str">
        <f t="shared" si="237"/>
        <v/>
      </c>
      <c r="BF250" s="173" t="str">
        <f t="shared" si="237"/>
        <v/>
      </c>
      <c r="BG250" s="173" t="str">
        <f t="shared" si="237"/>
        <v/>
      </c>
      <c r="BH250" s="180" t="str">
        <f t="shared" si="237"/>
        <v/>
      </c>
      <c r="BI250" s="288"/>
      <c r="BJ250" s="185" t="str">
        <f t="shared" si="238"/>
        <v/>
      </c>
      <c r="BK250" s="173" t="str">
        <f t="shared" si="238"/>
        <v/>
      </c>
      <c r="BL250" s="173" t="str">
        <f t="shared" si="238"/>
        <v/>
      </c>
      <c r="BM250" s="180" t="str">
        <f t="shared" si="238"/>
        <v/>
      </c>
      <c r="BO250" s="185" t="str">
        <f t="shared" si="239"/>
        <v/>
      </c>
      <c r="BP250" s="173" t="str">
        <f t="shared" si="239"/>
        <v/>
      </c>
      <c r="BQ250" s="173" t="str">
        <f t="shared" si="239"/>
        <v/>
      </c>
      <c r="BR250" s="180" t="str">
        <f t="shared" si="239"/>
        <v/>
      </c>
      <c r="BT250" s="185" t="str">
        <f t="shared" si="240"/>
        <v/>
      </c>
      <c r="BU250" s="173" t="str">
        <f t="shared" si="240"/>
        <v/>
      </c>
      <c r="BV250" s="173" t="str">
        <f t="shared" si="240"/>
        <v/>
      </c>
      <c r="BW250" s="180" t="str">
        <f t="shared" si="240"/>
        <v/>
      </c>
      <c r="BX250" s="288"/>
      <c r="CM250" s="96"/>
    </row>
    <row r="251" spans="1:91">
      <c r="A251" s="284" t="str">
        <f t="shared" si="226"/>
        <v/>
      </c>
      <c r="B251" s="185">
        <f t="shared" si="226"/>
        <v>45</v>
      </c>
      <c r="C251" s="173">
        <f t="shared" si="226"/>
        <v>96.5</v>
      </c>
      <c r="D251" s="173">
        <f t="shared" si="226"/>
        <v>577</v>
      </c>
      <c r="E251" s="180">
        <f t="shared" si="226"/>
        <v>18</v>
      </c>
      <c r="G251" s="185">
        <f t="shared" si="227"/>
        <v>45</v>
      </c>
      <c r="H251" s="173">
        <f t="shared" si="227"/>
        <v>96.5</v>
      </c>
      <c r="I251" s="173">
        <f t="shared" si="227"/>
        <v>577</v>
      </c>
      <c r="J251" s="180">
        <f t="shared" si="227"/>
        <v>18</v>
      </c>
      <c r="L251" s="185">
        <f t="shared" si="228"/>
        <v>45</v>
      </c>
      <c r="M251" s="173">
        <f t="shared" si="228"/>
        <v>96.5</v>
      </c>
      <c r="N251" s="173">
        <f t="shared" si="228"/>
        <v>700</v>
      </c>
      <c r="O251" s="180">
        <f t="shared" si="228"/>
        <v>18</v>
      </c>
      <c r="Q251" s="185">
        <f t="shared" si="229"/>
        <v>45</v>
      </c>
      <c r="R251" s="173">
        <f t="shared" si="229"/>
        <v>139.5</v>
      </c>
      <c r="S251" s="173">
        <f t="shared" si="229"/>
        <v>270</v>
      </c>
      <c r="T251" s="180">
        <f t="shared" si="229"/>
        <v>18</v>
      </c>
      <c r="V251" s="185" t="str">
        <f t="shared" si="230"/>
        <v/>
      </c>
      <c r="W251" s="173" t="str">
        <f t="shared" si="230"/>
        <v/>
      </c>
      <c r="X251" s="173" t="str">
        <f t="shared" si="230"/>
        <v/>
      </c>
      <c r="Y251" s="180" t="str">
        <f t="shared" si="230"/>
        <v/>
      </c>
      <c r="AA251" s="185" t="str">
        <f t="shared" si="231"/>
        <v/>
      </c>
      <c r="AB251" s="173" t="str">
        <f t="shared" si="231"/>
        <v/>
      </c>
      <c r="AC251" s="173" t="str">
        <f t="shared" si="231"/>
        <v/>
      </c>
      <c r="AD251" s="180" t="str">
        <f t="shared" si="231"/>
        <v/>
      </c>
      <c r="AF251" s="185" t="str">
        <f t="shared" si="232"/>
        <v/>
      </c>
      <c r="AG251" s="173" t="str">
        <f t="shared" si="232"/>
        <v/>
      </c>
      <c r="AH251" s="173" t="str">
        <f t="shared" si="232"/>
        <v/>
      </c>
      <c r="AI251" s="180" t="str">
        <f t="shared" si="232"/>
        <v/>
      </c>
      <c r="AK251" s="185" t="str">
        <f t="shared" si="233"/>
        <v/>
      </c>
      <c r="AL251" s="173" t="str">
        <f t="shared" si="233"/>
        <v/>
      </c>
      <c r="AM251" s="173" t="str">
        <f t="shared" si="233"/>
        <v/>
      </c>
      <c r="AN251" s="180" t="str">
        <f t="shared" si="233"/>
        <v/>
      </c>
      <c r="AP251" s="185">
        <f t="shared" si="234"/>
        <v>45</v>
      </c>
      <c r="AQ251" s="173">
        <f t="shared" si="234"/>
        <v>139.5</v>
      </c>
      <c r="AR251" s="173">
        <f t="shared" si="234"/>
        <v>420</v>
      </c>
      <c r="AS251" s="180">
        <f t="shared" si="234"/>
        <v>18</v>
      </c>
      <c r="AT251" s="288"/>
      <c r="AU251" s="185" t="str">
        <f t="shared" si="235"/>
        <v/>
      </c>
      <c r="AV251" s="173" t="str">
        <f t="shared" si="235"/>
        <v/>
      </c>
      <c r="AW251" s="173" t="str">
        <f t="shared" si="235"/>
        <v/>
      </c>
      <c r="AX251" s="180" t="str">
        <f t="shared" si="235"/>
        <v/>
      </c>
      <c r="AZ251" s="185" t="str">
        <f t="shared" si="236"/>
        <v/>
      </c>
      <c r="BA251" s="173" t="str">
        <f t="shared" si="236"/>
        <v/>
      </c>
      <c r="BB251" s="173" t="str">
        <f t="shared" si="236"/>
        <v/>
      </c>
      <c r="BC251" s="180" t="str">
        <f t="shared" si="236"/>
        <v/>
      </c>
      <c r="BE251" s="185" t="str">
        <f t="shared" si="237"/>
        <v/>
      </c>
      <c r="BF251" s="173" t="str">
        <f t="shared" si="237"/>
        <v/>
      </c>
      <c r="BG251" s="173" t="str">
        <f t="shared" si="237"/>
        <v/>
      </c>
      <c r="BH251" s="180" t="str">
        <f t="shared" si="237"/>
        <v/>
      </c>
      <c r="BI251" s="288"/>
      <c r="BJ251" s="185" t="str">
        <f t="shared" si="238"/>
        <v/>
      </c>
      <c r="BK251" s="173" t="str">
        <f t="shared" si="238"/>
        <v/>
      </c>
      <c r="BL251" s="173" t="str">
        <f t="shared" si="238"/>
        <v/>
      </c>
      <c r="BM251" s="180" t="str">
        <f t="shared" si="238"/>
        <v/>
      </c>
      <c r="BO251" s="185" t="str">
        <f t="shared" si="239"/>
        <v/>
      </c>
      <c r="BP251" s="173" t="str">
        <f t="shared" si="239"/>
        <v/>
      </c>
      <c r="BQ251" s="173" t="str">
        <f t="shared" si="239"/>
        <v/>
      </c>
      <c r="BR251" s="180" t="str">
        <f t="shared" si="239"/>
        <v/>
      </c>
      <c r="BT251" s="185" t="str">
        <f t="shared" si="240"/>
        <v/>
      </c>
      <c r="BU251" s="173" t="str">
        <f t="shared" si="240"/>
        <v/>
      </c>
      <c r="BV251" s="173" t="str">
        <f t="shared" si="240"/>
        <v/>
      </c>
      <c r="BW251" s="180" t="str">
        <f t="shared" si="240"/>
        <v/>
      </c>
      <c r="BX251" s="288"/>
      <c r="CM251" s="96"/>
    </row>
    <row r="252" spans="1:91">
      <c r="A252" s="284" t="str">
        <f t="shared" ref="A252:E267" si="241">IF(A94="","",A94)</f>
        <v/>
      </c>
      <c r="B252" s="185">
        <f t="shared" si="241"/>
        <v>45</v>
      </c>
      <c r="C252" s="173">
        <f t="shared" si="241"/>
        <v>96.5</v>
      </c>
      <c r="D252" s="173">
        <f t="shared" si="241"/>
        <v>634</v>
      </c>
      <c r="E252" s="180">
        <f t="shared" si="241"/>
        <v>18</v>
      </c>
      <c r="G252" s="185">
        <f t="shared" ref="G252:J267" si="242">IF(G94="","",G94)</f>
        <v>45</v>
      </c>
      <c r="H252" s="173">
        <f t="shared" si="242"/>
        <v>96.5</v>
      </c>
      <c r="I252" s="173">
        <f t="shared" si="242"/>
        <v>634</v>
      </c>
      <c r="J252" s="180">
        <f t="shared" si="242"/>
        <v>18</v>
      </c>
      <c r="L252" s="185">
        <f t="shared" ref="L252:O267" si="243">IF(L94="","",L94)</f>
        <v>45</v>
      </c>
      <c r="M252" s="173">
        <f t="shared" si="243"/>
        <v>139.5</v>
      </c>
      <c r="N252" s="173">
        <f t="shared" si="243"/>
        <v>159</v>
      </c>
      <c r="O252" s="180">
        <f t="shared" si="243"/>
        <v>18</v>
      </c>
      <c r="Q252" s="185">
        <f t="shared" ref="Q252:T267" si="244">IF(Q94="","",Q94)</f>
        <v>45</v>
      </c>
      <c r="R252" s="173">
        <f t="shared" si="244"/>
        <v>139.5</v>
      </c>
      <c r="S252" s="173">
        <f t="shared" si="244"/>
        <v>327</v>
      </c>
      <c r="T252" s="180">
        <f t="shared" si="244"/>
        <v>18</v>
      </c>
      <c r="V252" s="185" t="str">
        <f t="shared" ref="V252:Y267" si="245">IF(V94="","",V94)</f>
        <v/>
      </c>
      <c r="W252" s="173" t="str">
        <f t="shared" si="245"/>
        <v/>
      </c>
      <c r="X252" s="173" t="str">
        <f t="shared" si="245"/>
        <v/>
      </c>
      <c r="Y252" s="180" t="str">
        <f t="shared" si="245"/>
        <v/>
      </c>
      <c r="AA252" s="185" t="str">
        <f t="shared" ref="AA252:AD267" si="246">IF(AA94="","",AA94)</f>
        <v/>
      </c>
      <c r="AB252" s="173" t="str">
        <f t="shared" si="246"/>
        <v/>
      </c>
      <c r="AC252" s="173" t="str">
        <f t="shared" si="246"/>
        <v/>
      </c>
      <c r="AD252" s="180" t="str">
        <f t="shared" si="246"/>
        <v/>
      </c>
      <c r="AF252" s="185" t="str">
        <f t="shared" ref="AF252:AI267" si="247">IF(AF94="","",AF94)</f>
        <v/>
      </c>
      <c r="AG252" s="173" t="str">
        <f t="shared" si="247"/>
        <v/>
      </c>
      <c r="AH252" s="173" t="str">
        <f t="shared" si="247"/>
        <v/>
      </c>
      <c r="AI252" s="180" t="str">
        <f t="shared" si="247"/>
        <v/>
      </c>
      <c r="AK252" s="185" t="str">
        <f t="shared" ref="AK252:AN267" si="248">IF(AK94="","",AK94)</f>
        <v/>
      </c>
      <c r="AL252" s="173" t="str">
        <f t="shared" si="248"/>
        <v/>
      </c>
      <c r="AM252" s="173" t="str">
        <f t="shared" si="248"/>
        <v/>
      </c>
      <c r="AN252" s="180" t="str">
        <f t="shared" si="248"/>
        <v/>
      </c>
      <c r="AP252" s="185">
        <f t="shared" ref="AP252:AS258" si="249">IF(AP94="","",AP94)</f>
        <v>45</v>
      </c>
      <c r="AQ252" s="173">
        <f t="shared" si="249"/>
        <v>139.5</v>
      </c>
      <c r="AR252" s="173">
        <f t="shared" si="249"/>
        <v>477</v>
      </c>
      <c r="AS252" s="180">
        <f t="shared" si="249"/>
        <v>18</v>
      </c>
      <c r="AT252" s="288"/>
      <c r="AU252" s="185" t="str">
        <f t="shared" ref="AU252:AX267" si="250">IF(AU94="","",AU94)</f>
        <v/>
      </c>
      <c r="AV252" s="173" t="str">
        <f t="shared" si="250"/>
        <v/>
      </c>
      <c r="AW252" s="173" t="str">
        <f t="shared" si="250"/>
        <v/>
      </c>
      <c r="AX252" s="180" t="str">
        <f t="shared" si="250"/>
        <v/>
      </c>
      <c r="AZ252" s="185" t="str">
        <f t="shared" ref="AZ252:BC267" si="251">IF(AZ94="","",AZ94)</f>
        <v/>
      </c>
      <c r="BA252" s="173" t="str">
        <f t="shared" si="251"/>
        <v/>
      </c>
      <c r="BB252" s="173" t="str">
        <f t="shared" si="251"/>
        <v/>
      </c>
      <c r="BC252" s="180" t="str">
        <f t="shared" si="251"/>
        <v/>
      </c>
      <c r="BE252" s="185" t="str">
        <f t="shared" ref="BE252:BH267" si="252">IF(BE94="","",BE94)</f>
        <v/>
      </c>
      <c r="BF252" s="173" t="str">
        <f t="shared" si="252"/>
        <v/>
      </c>
      <c r="BG252" s="173" t="str">
        <f t="shared" si="252"/>
        <v/>
      </c>
      <c r="BH252" s="180" t="str">
        <f t="shared" si="252"/>
        <v/>
      </c>
      <c r="BI252" s="288"/>
      <c r="BJ252" s="185" t="str">
        <f t="shared" ref="BJ252:BM267" si="253">IF(BJ94="","",BJ94)</f>
        <v/>
      </c>
      <c r="BK252" s="173" t="str">
        <f t="shared" si="253"/>
        <v/>
      </c>
      <c r="BL252" s="173" t="str">
        <f t="shared" si="253"/>
        <v/>
      </c>
      <c r="BM252" s="180" t="str">
        <f t="shared" si="253"/>
        <v/>
      </c>
      <c r="BO252" s="185" t="str">
        <f t="shared" ref="BO252:BR267" si="254">IF(BO94="","",BO94)</f>
        <v/>
      </c>
      <c r="BP252" s="173" t="str">
        <f t="shared" si="254"/>
        <v/>
      </c>
      <c r="BQ252" s="173" t="str">
        <f t="shared" si="254"/>
        <v/>
      </c>
      <c r="BR252" s="180" t="str">
        <f t="shared" si="254"/>
        <v/>
      </c>
      <c r="BT252" s="185" t="str">
        <f t="shared" ref="BT252:BW267" si="255">IF(BT94="","",BT94)</f>
        <v/>
      </c>
      <c r="BU252" s="173" t="str">
        <f t="shared" si="255"/>
        <v/>
      </c>
      <c r="BV252" s="173" t="str">
        <f t="shared" si="255"/>
        <v/>
      </c>
      <c r="BW252" s="180" t="str">
        <f t="shared" si="255"/>
        <v/>
      </c>
      <c r="BX252" s="288"/>
      <c r="CM252" s="96"/>
    </row>
    <row r="253" spans="1:91">
      <c r="A253" s="284" t="str">
        <f t="shared" si="241"/>
        <v/>
      </c>
      <c r="B253" s="185">
        <f t="shared" si="241"/>
        <v>45</v>
      </c>
      <c r="C253" s="173">
        <f t="shared" si="241"/>
        <v>96.5</v>
      </c>
      <c r="D253" s="173">
        <f t="shared" si="241"/>
        <v>691</v>
      </c>
      <c r="E253" s="180">
        <f t="shared" si="241"/>
        <v>18</v>
      </c>
      <c r="G253" s="185">
        <f t="shared" si="242"/>
        <v>45</v>
      </c>
      <c r="H253" s="173">
        <f t="shared" si="242"/>
        <v>96.5</v>
      </c>
      <c r="I253" s="173">
        <f t="shared" si="242"/>
        <v>691</v>
      </c>
      <c r="J253" s="180">
        <f t="shared" si="242"/>
        <v>18</v>
      </c>
      <c r="L253" s="185">
        <f t="shared" si="243"/>
        <v>45</v>
      </c>
      <c r="M253" s="173">
        <f t="shared" si="243"/>
        <v>139.5</v>
      </c>
      <c r="N253" s="173">
        <f t="shared" si="243"/>
        <v>216</v>
      </c>
      <c r="O253" s="180">
        <f t="shared" si="243"/>
        <v>18</v>
      </c>
      <c r="Q253" s="185">
        <f t="shared" si="244"/>
        <v>45</v>
      </c>
      <c r="R253" s="173">
        <f t="shared" si="244"/>
        <v>139.5</v>
      </c>
      <c r="S253" s="173">
        <f t="shared" si="244"/>
        <v>384</v>
      </c>
      <c r="T253" s="180">
        <f t="shared" si="244"/>
        <v>18</v>
      </c>
      <c r="V253" s="185" t="str">
        <f t="shared" si="245"/>
        <v/>
      </c>
      <c r="W253" s="173" t="str">
        <f t="shared" si="245"/>
        <v/>
      </c>
      <c r="X253" s="173" t="str">
        <f t="shared" si="245"/>
        <v/>
      </c>
      <c r="Y253" s="180" t="str">
        <f t="shared" si="245"/>
        <v/>
      </c>
      <c r="AA253" s="185" t="str">
        <f t="shared" si="246"/>
        <v/>
      </c>
      <c r="AB253" s="173" t="str">
        <f t="shared" si="246"/>
        <v/>
      </c>
      <c r="AC253" s="173" t="str">
        <f t="shared" si="246"/>
        <v/>
      </c>
      <c r="AD253" s="180" t="str">
        <f t="shared" si="246"/>
        <v/>
      </c>
      <c r="AF253" s="185" t="str">
        <f t="shared" si="247"/>
        <v/>
      </c>
      <c r="AG253" s="173" t="str">
        <f t="shared" si="247"/>
        <v/>
      </c>
      <c r="AH253" s="173" t="str">
        <f t="shared" si="247"/>
        <v/>
      </c>
      <c r="AI253" s="180" t="str">
        <f t="shared" si="247"/>
        <v/>
      </c>
      <c r="AK253" s="185" t="str">
        <f t="shared" si="248"/>
        <v/>
      </c>
      <c r="AL253" s="173" t="str">
        <f t="shared" si="248"/>
        <v/>
      </c>
      <c r="AM253" s="173" t="str">
        <f t="shared" si="248"/>
        <v/>
      </c>
      <c r="AN253" s="180" t="str">
        <f t="shared" si="248"/>
        <v/>
      </c>
      <c r="AP253" s="185">
        <f t="shared" si="249"/>
        <v>45</v>
      </c>
      <c r="AQ253" s="173">
        <f t="shared" si="249"/>
        <v>139.5</v>
      </c>
      <c r="AR253" s="173">
        <f t="shared" si="249"/>
        <v>534</v>
      </c>
      <c r="AS253" s="180">
        <f t="shared" si="249"/>
        <v>18</v>
      </c>
      <c r="AT253" s="288"/>
      <c r="AU253" s="185" t="str">
        <f t="shared" si="250"/>
        <v/>
      </c>
      <c r="AV253" s="173" t="str">
        <f t="shared" si="250"/>
        <v/>
      </c>
      <c r="AW253" s="173" t="str">
        <f t="shared" si="250"/>
        <v/>
      </c>
      <c r="AX253" s="180" t="str">
        <f t="shared" si="250"/>
        <v/>
      </c>
      <c r="AZ253" s="185" t="str">
        <f t="shared" si="251"/>
        <v/>
      </c>
      <c r="BA253" s="173" t="str">
        <f t="shared" si="251"/>
        <v/>
      </c>
      <c r="BB253" s="173" t="str">
        <f t="shared" si="251"/>
        <v/>
      </c>
      <c r="BC253" s="180" t="str">
        <f t="shared" si="251"/>
        <v/>
      </c>
      <c r="BE253" s="185" t="str">
        <f t="shared" si="252"/>
        <v/>
      </c>
      <c r="BF253" s="173" t="str">
        <f t="shared" si="252"/>
        <v/>
      </c>
      <c r="BG253" s="173" t="str">
        <f t="shared" si="252"/>
        <v/>
      </c>
      <c r="BH253" s="180" t="str">
        <f t="shared" si="252"/>
        <v/>
      </c>
      <c r="BI253" s="288"/>
      <c r="BJ253" s="185" t="str">
        <f t="shared" si="253"/>
        <v/>
      </c>
      <c r="BK253" s="173" t="str">
        <f t="shared" si="253"/>
        <v/>
      </c>
      <c r="BL253" s="173" t="str">
        <f t="shared" si="253"/>
        <v/>
      </c>
      <c r="BM253" s="180" t="str">
        <f t="shared" si="253"/>
        <v/>
      </c>
      <c r="BO253" s="185" t="str">
        <f t="shared" si="254"/>
        <v/>
      </c>
      <c r="BP253" s="173" t="str">
        <f t="shared" si="254"/>
        <v/>
      </c>
      <c r="BQ253" s="173" t="str">
        <f t="shared" si="254"/>
        <v/>
      </c>
      <c r="BR253" s="180" t="str">
        <f t="shared" si="254"/>
        <v/>
      </c>
      <c r="BT253" s="185" t="str">
        <f t="shared" si="255"/>
        <v/>
      </c>
      <c r="BU253" s="173" t="str">
        <f t="shared" si="255"/>
        <v/>
      </c>
      <c r="BV253" s="173" t="str">
        <f t="shared" si="255"/>
        <v/>
      </c>
      <c r="BW253" s="180" t="str">
        <f t="shared" si="255"/>
        <v/>
      </c>
      <c r="BX253" s="288"/>
      <c r="CM253" s="96"/>
    </row>
    <row r="254" spans="1:91">
      <c r="A254" s="284" t="str">
        <f t="shared" si="241"/>
        <v/>
      </c>
      <c r="B254" s="185">
        <f t="shared" si="241"/>
        <v>45</v>
      </c>
      <c r="C254" s="173">
        <f t="shared" si="241"/>
        <v>96.5</v>
      </c>
      <c r="D254" s="173">
        <f t="shared" si="241"/>
        <v>748</v>
      </c>
      <c r="E254" s="180">
        <f t="shared" si="241"/>
        <v>18</v>
      </c>
      <c r="G254" s="185">
        <f t="shared" si="242"/>
        <v>45</v>
      </c>
      <c r="H254" s="173">
        <f t="shared" si="242"/>
        <v>96.5</v>
      </c>
      <c r="I254" s="173">
        <f t="shared" si="242"/>
        <v>748</v>
      </c>
      <c r="J254" s="180">
        <f t="shared" si="242"/>
        <v>18</v>
      </c>
      <c r="L254" s="185">
        <f t="shared" si="243"/>
        <v>45</v>
      </c>
      <c r="M254" s="173">
        <f t="shared" si="243"/>
        <v>139.5</v>
      </c>
      <c r="N254" s="173">
        <f t="shared" si="243"/>
        <v>273</v>
      </c>
      <c r="O254" s="180">
        <f t="shared" si="243"/>
        <v>18</v>
      </c>
      <c r="Q254" s="185">
        <f t="shared" si="244"/>
        <v>45</v>
      </c>
      <c r="R254" s="173">
        <f t="shared" si="244"/>
        <v>139.5</v>
      </c>
      <c r="S254" s="173">
        <f t="shared" si="244"/>
        <v>441</v>
      </c>
      <c r="T254" s="180">
        <f t="shared" si="244"/>
        <v>18</v>
      </c>
      <c r="V254" s="185" t="str">
        <f t="shared" si="245"/>
        <v/>
      </c>
      <c r="W254" s="173" t="str">
        <f t="shared" si="245"/>
        <v/>
      </c>
      <c r="X254" s="173" t="str">
        <f t="shared" si="245"/>
        <v/>
      </c>
      <c r="Y254" s="180" t="str">
        <f t="shared" si="245"/>
        <v/>
      </c>
      <c r="AA254" s="185" t="str">
        <f t="shared" si="246"/>
        <v/>
      </c>
      <c r="AB254" s="173" t="str">
        <f t="shared" si="246"/>
        <v/>
      </c>
      <c r="AC254" s="173" t="str">
        <f t="shared" si="246"/>
        <v/>
      </c>
      <c r="AD254" s="180" t="str">
        <f t="shared" si="246"/>
        <v/>
      </c>
      <c r="AF254" s="185" t="str">
        <f t="shared" si="247"/>
        <v/>
      </c>
      <c r="AG254" s="173" t="str">
        <f t="shared" si="247"/>
        <v/>
      </c>
      <c r="AH254" s="173" t="str">
        <f t="shared" si="247"/>
        <v/>
      </c>
      <c r="AI254" s="180" t="str">
        <f t="shared" si="247"/>
        <v/>
      </c>
      <c r="AK254" s="185" t="str">
        <f t="shared" si="248"/>
        <v/>
      </c>
      <c r="AL254" s="173" t="str">
        <f t="shared" si="248"/>
        <v/>
      </c>
      <c r="AM254" s="173" t="str">
        <f t="shared" si="248"/>
        <v/>
      </c>
      <c r="AN254" s="180" t="str">
        <f t="shared" si="248"/>
        <v/>
      </c>
      <c r="AP254" s="185">
        <f t="shared" si="249"/>
        <v>45</v>
      </c>
      <c r="AQ254" s="173">
        <f t="shared" si="249"/>
        <v>139.5</v>
      </c>
      <c r="AR254" s="173">
        <f t="shared" si="249"/>
        <v>591</v>
      </c>
      <c r="AS254" s="180">
        <f t="shared" si="249"/>
        <v>18</v>
      </c>
      <c r="AT254" s="288"/>
      <c r="AU254" s="185" t="str">
        <f t="shared" si="250"/>
        <v/>
      </c>
      <c r="AV254" s="173" t="str">
        <f t="shared" si="250"/>
        <v/>
      </c>
      <c r="AW254" s="173" t="str">
        <f t="shared" si="250"/>
        <v/>
      </c>
      <c r="AX254" s="180" t="str">
        <f t="shared" si="250"/>
        <v/>
      </c>
      <c r="AZ254" s="185" t="str">
        <f t="shared" si="251"/>
        <v/>
      </c>
      <c r="BA254" s="173" t="str">
        <f t="shared" si="251"/>
        <v/>
      </c>
      <c r="BB254" s="173" t="str">
        <f t="shared" si="251"/>
        <v/>
      </c>
      <c r="BC254" s="180" t="str">
        <f t="shared" si="251"/>
        <v/>
      </c>
      <c r="BE254" s="185" t="str">
        <f t="shared" si="252"/>
        <v/>
      </c>
      <c r="BF254" s="173" t="str">
        <f t="shared" si="252"/>
        <v/>
      </c>
      <c r="BG254" s="173" t="str">
        <f t="shared" si="252"/>
        <v/>
      </c>
      <c r="BH254" s="180" t="str">
        <f t="shared" si="252"/>
        <v/>
      </c>
      <c r="BI254" s="288"/>
      <c r="BJ254" s="185" t="str">
        <f t="shared" si="253"/>
        <v/>
      </c>
      <c r="BK254" s="173" t="str">
        <f t="shared" si="253"/>
        <v/>
      </c>
      <c r="BL254" s="173" t="str">
        <f t="shared" si="253"/>
        <v/>
      </c>
      <c r="BM254" s="180" t="str">
        <f t="shared" si="253"/>
        <v/>
      </c>
      <c r="BO254" s="185" t="str">
        <f t="shared" si="254"/>
        <v/>
      </c>
      <c r="BP254" s="173" t="str">
        <f t="shared" si="254"/>
        <v/>
      </c>
      <c r="BQ254" s="173" t="str">
        <f t="shared" si="254"/>
        <v/>
      </c>
      <c r="BR254" s="180" t="str">
        <f t="shared" si="254"/>
        <v/>
      </c>
      <c r="BT254" s="185" t="str">
        <f t="shared" si="255"/>
        <v/>
      </c>
      <c r="BU254" s="173" t="str">
        <f t="shared" si="255"/>
        <v/>
      </c>
      <c r="BV254" s="173" t="str">
        <f t="shared" si="255"/>
        <v/>
      </c>
      <c r="BW254" s="180" t="str">
        <f t="shared" si="255"/>
        <v/>
      </c>
      <c r="BX254" s="288"/>
      <c r="CM254" s="96"/>
    </row>
    <row r="255" spans="1:91">
      <c r="A255" s="284" t="str">
        <f t="shared" si="241"/>
        <v/>
      </c>
      <c r="B255" s="185">
        <f t="shared" si="241"/>
        <v>45</v>
      </c>
      <c r="C255" s="173">
        <f t="shared" si="241"/>
        <v>139.5</v>
      </c>
      <c r="D255" s="173">
        <f t="shared" si="241"/>
        <v>150</v>
      </c>
      <c r="E255" s="180">
        <f t="shared" si="241"/>
        <v>18</v>
      </c>
      <c r="G255" s="185">
        <f t="shared" si="242"/>
        <v>45</v>
      </c>
      <c r="H255" s="173">
        <f t="shared" si="242"/>
        <v>139.5</v>
      </c>
      <c r="I255" s="173">
        <f t="shared" si="242"/>
        <v>150</v>
      </c>
      <c r="J255" s="180">
        <f t="shared" si="242"/>
        <v>18</v>
      </c>
      <c r="L255" s="185">
        <f t="shared" si="243"/>
        <v>45</v>
      </c>
      <c r="M255" s="173">
        <f t="shared" si="243"/>
        <v>139.5</v>
      </c>
      <c r="N255" s="173">
        <f t="shared" si="243"/>
        <v>330</v>
      </c>
      <c r="O255" s="180">
        <f t="shared" si="243"/>
        <v>18</v>
      </c>
      <c r="Q255" s="185">
        <f t="shared" si="244"/>
        <v>45</v>
      </c>
      <c r="R255" s="173">
        <f t="shared" si="244"/>
        <v>139.5</v>
      </c>
      <c r="S255" s="173">
        <f t="shared" si="244"/>
        <v>498</v>
      </c>
      <c r="T255" s="180">
        <f t="shared" si="244"/>
        <v>18</v>
      </c>
      <c r="V255" s="185" t="str">
        <f t="shared" si="245"/>
        <v/>
      </c>
      <c r="W255" s="173" t="str">
        <f t="shared" si="245"/>
        <v/>
      </c>
      <c r="X255" s="173" t="str">
        <f t="shared" si="245"/>
        <v/>
      </c>
      <c r="Y255" s="180" t="str">
        <f t="shared" si="245"/>
        <v/>
      </c>
      <c r="AA255" s="185" t="str">
        <f t="shared" si="246"/>
        <v/>
      </c>
      <c r="AB255" s="173" t="str">
        <f t="shared" si="246"/>
        <v/>
      </c>
      <c r="AC255" s="173" t="str">
        <f t="shared" si="246"/>
        <v/>
      </c>
      <c r="AD255" s="180" t="str">
        <f t="shared" si="246"/>
        <v/>
      </c>
      <c r="AF255" s="185" t="str">
        <f t="shared" si="247"/>
        <v/>
      </c>
      <c r="AG255" s="173" t="str">
        <f t="shared" si="247"/>
        <v/>
      </c>
      <c r="AH255" s="173" t="str">
        <f t="shared" si="247"/>
        <v/>
      </c>
      <c r="AI255" s="180" t="str">
        <f t="shared" si="247"/>
        <v/>
      </c>
      <c r="AK255" s="185" t="str">
        <f t="shared" si="248"/>
        <v/>
      </c>
      <c r="AL255" s="173" t="str">
        <f t="shared" si="248"/>
        <v/>
      </c>
      <c r="AM255" s="173" t="str">
        <f t="shared" si="248"/>
        <v/>
      </c>
      <c r="AN255" s="180" t="str">
        <f t="shared" si="248"/>
        <v/>
      </c>
      <c r="AP255" s="185">
        <f t="shared" si="249"/>
        <v>45</v>
      </c>
      <c r="AQ255" s="173">
        <f t="shared" si="249"/>
        <v>139.5</v>
      </c>
      <c r="AR255" s="173">
        <f t="shared" si="249"/>
        <v>648</v>
      </c>
      <c r="AS255" s="180">
        <f t="shared" si="249"/>
        <v>18</v>
      </c>
      <c r="AT255" s="288"/>
      <c r="AU255" s="185" t="str">
        <f t="shared" si="250"/>
        <v/>
      </c>
      <c r="AV255" s="173" t="str">
        <f t="shared" si="250"/>
        <v/>
      </c>
      <c r="AW255" s="173" t="str">
        <f t="shared" si="250"/>
        <v/>
      </c>
      <c r="AX255" s="180" t="str">
        <f t="shared" si="250"/>
        <v/>
      </c>
      <c r="AZ255" s="185" t="str">
        <f t="shared" si="251"/>
        <v/>
      </c>
      <c r="BA255" s="173" t="str">
        <f t="shared" si="251"/>
        <v/>
      </c>
      <c r="BB255" s="173" t="str">
        <f t="shared" si="251"/>
        <v/>
      </c>
      <c r="BC255" s="180" t="str">
        <f t="shared" si="251"/>
        <v/>
      </c>
      <c r="BE255" s="185" t="str">
        <f t="shared" si="252"/>
        <v/>
      </c>
      <c r="BF255" s="173" t="str">
        <f t="shared" si="252"/>
        <v/>
      </c>
      <c r="BG255" s="173" t="str">
        <f t="shared" si="252"/>
        <v/>
      </c>
      <c r="BH255" s="180" t="str">
        <f t="shared" si="252"/>
        <v/>
      </c>
      <c r="BI255" s="288"/>
      <c r="BJ255" s="185" t="str">
        <f t="shared" si="253"/>
        <v/>
      </c>
      <c r="BK255" s="173" t="str">
        <f t="shared" si="253"/>
        <v/>
      </c>
      <c r="BL255" s="173" t="str">
        <f t="shared" si="253"/>
        <v/>
      </c>
      <c r="BM255" s="180" t="str">
        <f t="shared" si="253"/>
        <v/>
      </c>
      <c r="BO255" s="185" t="str">
        <f t="shared" si="254"/>
        <v/>
      </c>
      <c r="BP255" s="173" t="str">
        <f t="shared" si="254"/>
        <v/>
      </c>
      <c r="BQ255" s="173" t="str">
        <f t="shared" si="254"/>
        <v/>
      </c>
      <c r="BR255" s="180" t="str">
        <f t="shared" si="254"/>
        <v/>
      </c>
      <c r="BT255" s="185" t="str">
        <f t="shared" si="255"/>
        <v/>
      </c>
      <c r="BU255" s="173" t="str">
        <f t="shared" si="255"/>
        <v/>
      </c>
      <c r="BV255" s="173" t="str">
        <f t="shared" si="255"/>
        <v/>
      </c>
      <c r="BW255" s="180" t="str">
        <f t="shared" si="255"/>
        <v/>
      </c>
      <c r="BX255" s="288"/>
      <c r="CM255" s="96"/>
    </row>
    <row r="256" spans="1:91">
      <c r="A256" s="284" t="str">
        <f t="shared" si="241"/>
        <v/>
      </c>
      <c r="B256" s="185">
        <f t="shared" si="241"/>
        <v>45</v>
      </c>
      <c r="C256" s="173">
        <f t="shared" si="241"/>
        <v>139.5</v>
      </c>
      <c r="D256" s="173">
        <f t="shared" si="241"/>
        <v>207</v>
      </c>
      <c r="E256" s="180">
        <f t="shared" si="241"/>
        <v>18</v>
      </c>
      <c r="G256" s="185">
        <f t="shared" si="242"/>
        <v>45</v>
      </c>
      <c r="H256" s="173">
        <f t="shared" si="242"/>
        <v>139.5</v>
      </c>
      <c r="I256" s="173">
        <f t="shared" si="242"/>
        <v>207</v>
      </c>
      <c r="J256" s="180">
        <f t="shared" si="242"/>
        <v>18</v>
      </c>
      <c r="L256" s="185">
        <f t="shared" si="243"/>
        <v>45</v>
      </c>
      <c r="M256" s="173">
        <f t="shared" si="243"/>
        <v>139.5</v>
      </c>
      <c r="N256" s="173">
        <f t="shared" si="243"/>
        <v>387</v>
      </c>
      <c r="O256" s="180">
        <f t="shared" si="243"/>
        <v>18</v>
      </c>
      <c r="Q256" s="185">
        <f t="shared" si="244"/>
        <v>45</v>
      </c>
      <c r="R256" s="173">
        <f t="shared" si="244"/>
        <v>139.5</v>
      </c>
      <c r="S256" s="173">
        <f t="shared" si="244"/>
        <v>555</v>
      </c>
      <c r="T256" s="180">
        <f t="shared" si="244"/>
        <v>18</v>
      </c>
      <c r="V256" s="185" t="str">
        <f t="shared" si="245"/>
        <v/>
      </c>
      <c r="W256" s="173" t="str">
        <f t="shared" si="245"/>
        <v/>
      </c>
      <c r="X256" s="173" t="str">
        <f t="shared" si="245"/>
        <v/>
      </c>
      <c r="Y256" s="180" t="str">
        <f t="shared" si="245"/>
        <v/>
      </c>
      <c r="AA256" s="185" t="str">
        <f t="shared" si="246"/>
        <v/>
      </c>
      <c r="AB256" s="173" t="str">
        <f t="shared" si="246"/>
        <v/>
      </c>
      <c r="AC256" s="173" t="str">
        <f t="shared" si="246"/>
        <v/>
      </c>
      <c r="AD256" s="180" t="str">
        <f t="shared" si="246"/>
        <v/>
      </c>
      <c r="AF256" s="185" t="str">
        <f t="shared" si="247"/>
        <v/>
      </c>
      <c r="AG256" s="173" t="str">
        <f t="shared" si="247"/>
        <v/>
      </c>
      <c r="AH256" s="173" t="str">
        <f t="shared" si="247"/>
        <v/>
      </c>
      <c r="AI256" s="180" t="str">
        <f t="shared" si="247"/>
        <v/>
      </c>
      <c r="AK256" s="185" t="str">
        <f t="shared" si="248"/>
        <v/>
      </c>
      <c r="AL256" s="173" t="str">
        <f t="shared" si="248"/>
        <v/>
      </c>
      <c r="AM256" s="173" t="str">
        <f t="shared" si="248"/>
        <v/>
      </c>
      <c r="AN256" s="180" t="str">
        <f t="shared" si="248"/>
        <v/>
      </c>
      <c r="AP256" s="185">
        <f t="shared" si="249"/>
        <v>45</v>
      </c>
      <c r="AQ256" s="173">
        <f t="shared" si="249"/>
        <v>139.5</v>
      </c>
      <c r="AR256" s="173">
        <f t="shared" si="249"/>
        <v>705</v>
      </c>
      <c r="AS256" s="180">
        <f t="shared" si="249"/>
        <v>18</v>
      </c>
      <c r="AT256" s="288"/>
      <c r="AU256" s="185" t="str">
        <f t="shared" si="250"/>
        <v/>
      </c>
      <c r="AV256" s="173" t="str">
        <f t="shared" si="250"/>
        <v/>
      </c>
      <c r="AW256" s="173" t="str">
        <f t="shared" si="250"/>
        <v/>
      </c>
      <c r="AX256" s="180" t="str">
        <f t="shared" si="250"/>
        <v/>
      </c>
      <c r="AZ256" s="185" t="str">
        <f t="shared" si="251"/>
        <v/>
      </c>
      <c r="BA256" s="173" t="str">
        <f t="shared" si="251"/>
        <v/>
      </c>
      <c r="BB256" s="173" t="str">
        <f t="shared" si="251"/>
        <v/>
      </c>
      <c r="BC256" s="180" t="str">
        <f t="shared" si="251"/>
        <v/>
      </c>
      <c r="BE256" s="185" t="str">
        <f t="shared" si="252"/>
        <v/>
      </c>
      <c r="BF256" s="173" t="str">
        <f t="shared" si="252"/>
        <v/>
      </c>
      <c r="BG256" s="173" t="str">
        <f t="shared" si="252"/>
        <v/>
      </c>
      <c r="BH256" s="180" t="str">
        <f t="shared" si="252"/>
        <v/>
      </c>
      <c r="BI256" s="288"/>
      <c r="BJ256" s="185" t="str">
        <f t="shared" si="253"/>
        <v/>
      </c>
      <c r="BK256" s="173" t="str">
        <f t="shared" si="253"/>
        <v/>
      </c>
      <c r="BL256" s="173" t="str">
        <f t="shared" si="253"/>
        <v/>
      </c>
      <c r="BM256" s="180" t="str">
        <f t="shared" si="253"/>
        <v/>
      </c>
      <c r="BO256" s="185" t="str">
        <f t="shared" si="254"/>
        <v/>
      </c>
      <c r="BP256" s="173" t="str">
        <f t="shared" si="254"/>
        <v/>
      </c>
      <c r="BQ256" s="173" t="str">
        <f t="shared" si="254"/>
        <v/>
      </c>
      <c r="BR256" s="180" t="str">
        <f t="shared" si="254"/>
        <v/>
      </c>
      <c r="BT256" s="185" t="str">
        <f t="shared" si="255"/>
        <v/>
      </c>
      <c r="BU256" s="173" t="str">
        <f t="shared" si="255"/>
        <v/>
      </c>
      <c r="BV256" s="173" t="str">
        <f t="shared" si="255"/>
        <v/>
      </c>
      <c r="BW256" s="180" t="str">
        <f t="shared" si="255"/>
        <v/>
      </c>
      <c r="BX256" s="288"/>
      <c r="CM256" s="96"/>
    </row>
    <row r="257" spans="1:91">
      <c r="A257" s="284" t="str">
        <f t="shared" si="241"/>
        <v/>
      </c>
      <c r="B257" s="185">
        <f t="shared" si="241"/>
        <v>45</v>
      </c>
      <c r="C257" s="173">
        <f t="shared" si="241"/>
        <v>139.5</v>
      </c>
      <c r="D257" s="173">
        <f t="shared" si="241"/>
        <v>264</v>
      </c>
      <c r="E257" s="180">
        <f t="shared" si="241"/>
        <v>18</v>
      </c>
      <c r="G257" s="185">
        <f t="shared" si="242"/>
        <v>45</v>
      </c>
      <c r="H257" s="173">
        <f t="shared" si="242"/>
        <v>139.5</v>
      </c>
      <c r="I257" s="173">
        <f t="shared" si="242"/>
        <v>264</v>
      </c>
      <c r="J257" s="180">
        <f t="shared" si="242"/>
        <v>18</v>
      </c>
      <c r="L257" s="185">
        <f t="shared" si="243"/>
        <v>45</v>
      </c>
      <c r="M257" s="173">
        <f t="shared" si="243"/>
        <v>139.5</v>
      </c>
      <c r="N257" s="173">
        <f t="shared" si="243"/>
        <v>444</v>
      </c>
      <c r="O257" s="180">
        <f t="shared" si="243"/>
        <v>18</v>
      </c>
      <c r="Q257" s="185">
        <f t="shared" si="244"/>
        <v>45</v>
      </c>
      <c r="R257" s="173">
        <f t="shared" si="244"/>
        <v>139.5</v>
      </c>
      <c r="S257" s="173">
        <f t="shared" si="244"/>
        <v>612</v>
      </c>
      <c r="T257" s="180">
        <f t="shared" si="244"/>
        <v>18</v>
      </c>
      <c r="V257" s="185" t="str">
        <f t="shared" si="245"/>
        <v/>
      </c>
      <c r="W257" s="173" t="str">
        <f t="shared" si="245"/>
        <v/>
      </c>
      <c r="X257" s="173" t="str">
        <f t="shared" si="245"/>
        <v/>
      </c>
      <c r="Y257" s="180" t="str">
        <f t="shared" si="245"/>
        <v/>
      </c>
      <c r="AA257" s="185" t="str">
        <f t="shared" si="246"/>
        <v/>
      </c>
      <c r="AB257" s="173" t="str">
        <f t="shared" si="246"/>
        <v/>
      </c>
      <c r="AC257" s="173" t="str">
        <f t="shared" si="246"/>
        <v/>
      </c>
      <c r="AD257" s="180" t="str">
        <f t="shared" si="246"/>
        <v/>
      </c>
      <c r="AF257" s="185" t="str">
        <f t="shared" si="247"/>
        <v/>
      </c>
      <c r="AG257" s="173" t="str">
        <f t="shared" si="247"/>
        <v/>
      </c>
      <c r="AH257" s="173" t="str">
        <f t="shared" si="247"/>
        <v/>
      </c>
      <c r="AI257" s="180" t="str">
        <f t="shared" si="247"/>
        <v/>
      </c>
      <c r="AK257" s="185" t="str">
        <f t="shared" si="248"/>
        <v/>
      </c>
      <c r="AL257" s="173" t="str">
        <f t="shared" si="248"/>
        <v/>
      </c>
      <c r="AM257" s="173" t="str">
        <f t="shared" si="248"/>
        <v/>
      </c>
      <c r="AN257" s="180" t="str">
        <f t="shared" si="248"/>
        <v/>
      </c>
      <c r="AP257" s="185">
        <f t="shared" si="249"/>
        <v>45</v>
      </c>
      <c r="AQ257" s="173">
        <f t="shared" si="249"/>
        <v>139.5</v>
      </c>
      <c r="AR257" s="173">
        <f t="shared" si="249"/>
        <v>762</v>
      </c>
      <c r="AS257" s="180">
        <f t="shared" si="249"/>
        <v>18</v>
      </c>
      <c r="AT257" s="288"/>
      <c r="AU257" s="185" t="str">
        <f t="shared" si="250"/>
        <v/>
      </c>
      <c r="AV257" s="173" t="str">
        <f t="shared" si="250"/>
        <v/>
      </c>
      <c r="AW257" s="173" t="str">
        <f t="shared" si="250"/>
        <v/>
      </c>
      <c r="AX257" s="180" t="str">
        <f t="shared" si="250"/>
        <v/>
      </c>
      <c r="AZ257" s="185" t="str">
        <f t="shared" si="251"/>
        <v/>
      </c>
      <c r="BA257" s="173" t="str">
        <f t="shared" si="251"/>
        <v/>
      </c>
      <c r="BB257" s="173" t="str">
        <f t="shared" si="251"/>
        <v/>
      </c>
      <c r="BC257" s="180" t="str">
        <f t="shared" si="251"/>
        <v/>
      </c>
      <c r="BE257" s="185" t="str">
        <f t="shared" si="252"/>
        <v/>
      </c>
      <c r="BF257" s="173" t="str">
        <f t="shared" si="252"/>
        <v/>
      </c>
      <c r="BG257" s="173" t="str">
        <f t="shared" si="252"/>
        <v/>
      </c>
      <c r="BH257" s="180" t="str">
        <f t="shared" si="252"/>
        <v/>
      </c>
      <c r="BI257" s="288"/>
      <c r="BJ257" s="185" t="str">
        <f t="shared" si="253"/>
        <v/>
      </c>
      <c r="BK257" s="173" t="str">
        <f t="shared" si="253"/>
        <v/>
      </c>
      <c r="BL257" s="173" t="str">
        <f t="shared" si="253"/>
        <v/>
      </c>
      <c r="BM257" s="180" t="str">
        <f t="shared" si="253"/>
        <v/>
      </c>
      <c r="BO257" s="185" t="str">
        <f t="shared" si="254"/>
        <v/>
      </c>
      <c r="BP257" s="173" t="str">
        <f t="shared" si="254"/>
        <v/>
      </c>
      <c r="BQ257" s="173" t="str">
        <f t="shared" si="254"/>
        <v/>
      </c>
      <c r="BR257" s="180" t="str">
        <f t="shared" si="254"/>
        <v/>
      </c>
      <c r="BT257" s="185" t="str">
        <f t="shared" si="255"/>
        <v/>
      </c>
      <c r="BU257" s="173" t="str">
        <f t="shared" si="255"/>
        <v/>
      </c>
      <c r="BV257" s="173" t="str">
        <f t="shared" si="255"/>
        <v/>
      </c>
      <c r="BW257" s="180" t="str">
        <f t="shared" si="255"/>
        <v/>
      </c>
      <c r="BX257" s="288"/>
      <c r="CM257" s="96"/>
    </row>
    <row r="258" spans="1:91">
      <c r="A258" s="284" t="str">
        <f t="shared" si="241"/>
        <v/>
      </c>
      <c r="B258" s="185">
        <f t="shared" si="241"/>
        <v>45</v>
      </c>
      <c r="C258" s="173">
        <f t="shared" si="241"/>
        <v>139.5</v>
      </c>
      <c r="D258" s="173">
        <f t="shared" si="241"/>
        <v>321</v>
      </c>
      <c r="E258" s="180">
        <f t="shared" si="241"/>
        <v>18</v>
      </c>
      <c r="G258" s="185">
        <f t="shared" si="242"/>
        <v>45</v>
      </c>
      <c r="H258" s="173">
        <f t="shared" si="242"/>
        <v>139.5</v>
      </c>
      <c r="I258" s="173">
        <f t="shared" si="242"/>
        <v>321</v>
      </c>
      <c r="J258" s="180">
        <f t="shared" si="242"/>
        <v>18</v>
      </c>
      <c r="L258" s="185">
        <f t="shared" si="243"/>
        <v>45</v>
      </c>
      <c r="M258" s="173">
        <f t="shared" si="243"/>
        <v>139.5</v>
      </c>
      <c r="N258" s="173">
        <f t="shared" si="243"/>
        <v>501</v>
      </c>
      <c r="O258" s="180">
        <f t="shared" si="243"/>
        <v>18</v>
      </c>
      <c r="Q258" s="185">
        <f t="shared" si="244"/>
        <v>45</v>
      </c>
      <c r="R258" s="173">
        <f t="shared" si="244"/>
        <v>139.5</v>
      </c>
      <c r="S258" s="173">
        <f t="shared" si="244"/>
        <v>669</v>
      </c>
      <c r="T258" s="180">
        <f t="shared" si="244"/>
        <v>18</v>
      </c>
      <c r="V258" s="185" t="str">
        <f t="shared" si="245"/>
        <v/>
      </c>
      <c r="W258" s="173" t="str">
        <f t="shared" si="245"/>
        <v/>
      </c>
      <c r="X258" s="173" t="str">
        <f t="shared" si="245"/>
        <v/>
      </c>
      <c r="Y258" s="180" t="str">
        <f t="shared" si="245"/>
        <v/>
      </c>
      <c r="AA258" s="185" t="str">
        <f t="shared" si="246"/>
        <v/>
      </c>
      <c r="AB258" s="173" t="str">
        <f t="shared" si="246"/>
        <v/>
      </c>
      <c r="AC258" s="173" t="str">
        <f t="shared" si="246"/>
        <v/>
      </c>
      <c r="AD258" s="180" t="str">
        <f t="shared" si="246"/>
        <v/>
      </c>
      <c r="AF258" s="185" t="str">
        <f t="shared" si="247"/>
        <v/>
      </c>
      <c r="AG258" s="173" t="str">
        <f t="shared" si="247"/>
        <v/>
      </c>
      <c r="AH258" s="173" t="str">
        <f t="shared" si="247"/>
        <v/>
      </c>
      <c r="AI258" s="180" t="str">
        <f t="shared" si="247"/>
        <v/>
      </c>
      <c r="AK258" s="185" t="str">
        <f t="shared" si="248"/>
        <v/>
      </c>
      <c r="AL258" s="173" t="str">
        <f t="shared" si="248"/>
        <v/>
      </c>
      <c r="AM258" s="173" t="str">
        <f t="shared" si="248"/>
        <v/>
      </c>
      <c r="AN258" s="180" t="str">
        <f t="shared" si="248"/>
        <v/>
      </c>
      <c r="AP258" s="185">
        <f t="shared" si="249"/>
        <v>45</v>
      </c>
      <c r="AQ258" s="173">
        <f t="shared" si="249"/>
        <v>139.5</v>
      </c>
      <c r="AR258" s="173">
        <f t="shared" si="249"/>
        <v>819</v>
      </c>
      <c r="AS258" s="180">
        <f t="shared" si="249"/>
        <v>18</v>
      </c>
      <c r="AT258" s="288"/>
      <c r="AU258" s="185" t="str">
        <f t="shared" si="250"/>
        <v/>
      </c>
      <c r="AV258" s="173" t="str">
        <f t="shared" si="250"/>
        <v/>
      </c>
      <c r="AW258" s="173" t="str">
        <f t="shared" si="250"/>
        <v/>
      </c>
      <c r="AX258" s="180" t="str">
        <f t="shared" si="250"/>
        <v/>
      </c>
      <c r="AZ258" s="185" t="str">
        <f t="shared" si="251"/>
        <v/>
      </c>
      <c r="BA258" s="173" t="str">
        <f t="shared" si="251"/>
        <v/>
      </c>
      <c r="BB258" s="173" t="str">
        <f t="shared" si="251"/>
        <v/>
      </c>
      <c r="BC258" s="180" t="str">
        <f t="shared" si="251"/>
        <v/>
      </c>
      <c r="BE258" s="185" t="str">
        <f t="shared" si="252"/>
        <v/>
      </c>
      <c r="BF258" s="173" t="str">
        <f t="shared" si="252"/>
        <v/>
      </c>
      <c r="BG258" s="173" t="str">
        <f t="shared" si="252"/>
        <v/>
      </c>
      <c r="BH258" s="180" t="str">
        <f t="shared" si="252"/>
        <v/>
      </c>
      <c r="BI258" s="288"/>
      <c r="BJ258" s="185" t="str">
        <f t="shared" si="253"/>
        <v/>
      </c>
      <c r="BK258" s="173" t="str">
        <f t="shared" si="253"/>
        <v/>
      </c>
      <c r="BL258" s="173" t="str">
        <f t="shared" si="253"/>
        <v/>
      </c>
      <c r="BM258" s="180" t="str">
        <f t="shared" si="253"/>
        <v/>
      </c>
      <c r="BO258" s="185" t="str">
        <f t="shared" si="254"/>
        <v/>
      </c>
      <c r="BP258" s="173" t="str">
        <f t="shared" si="254"/>
        <v/>
      </c>
      <c r="BQ258" s="173" t="str">
        <f t="shared" si="254"/>
        <v/>
      </c>
      <c r="BR258" s="180" t="str">
        <f t="shared" si="254"/>
        <v/>
      </c>
      <c r="BT258" s="185" t="str">
        <f t="shared" si="255"/>
        <v/>
      </c>
      <c r="BU258" s="173" t="str">
        <f t="shared" si="255"/>
        <v/>
      </c>
      <c r="BV258" s="173" t="str">
        <f t="shared" si="255"/>
        <v/>
      </c>
      <c r="BW258" s="180" t="str">
        <f t="shared" si="255"/>
        <v/>
      </c>
      <c r="BX258" s="288"/>
      <c r="CM258" s="96"/>
    </row>
    <row r="259" spans="1:91">
      <c r="A259" s="284" t="str">
        <f t="shared" si="241"/>
        <v/>
      </c>
      <c r="B259" s="185">
        <f t="shared" si="241"/>
        <v>45</v>
      </c>
      <c r="C259" s="173">
        <f t="shared" si="241"/>
        <v>139.5</v>
      </c>
      <c r="D259" s="173">
        <f t="shared" si="241"/>
        <v>378</v>
      </c>
      <c r="E259" s="180">
        <f t="shared" si="241"/>
        <v>18</v>
      </c>
      <c r="G259" s="185">
        <f t="shared" si="242"/>
        <v>45</v>
      </c>
      <c r="H259" s="173">
        <f t="shared" si="242"/>
        <v>139.5</v>
      </c>
      <c r="I259" s="173">
        <f t="shared" si="242"/>
        <v>378</v>
      </c>
      <c r="J259" s="180">
        <f t="shared" si="242"/>
        <v>18</v>
      </c>
      <c r="L259" s="185">
        <f t="shared" si="243"/>
        <v>45</v>
      </c>
      <c r="M259" s="173">
        <f t="shared" si="243"/>
        <v>139.5</v>
      </c>
      <c r="N259" s="173">
        <f t="shared" si="243"/>
        <v>558</v>
      </c>
      <c r="O259" s="180">
        <f t="shared" si="243"/>
        <v>18</v>
      </c>
      <c r="Q259" s="185" t="str">
        <f t="shared" si="244"/>
        <v/>
      </c>
      <c r="R259" s="173" t="str">
        <f t="shared" si="244"/>
        <v/>
      </c>
      <c r="S259" s="173" t="str">
        <f t="shared" si="244"/>
        <v/>
      </c>
      <c r="T259" s="180" t="str">
        <f t="shared" si="244"/>
        <v/>
      </c>
      <c r="V259" s="185" t="str">
        <f t="shared" si="245"/>
        <v/>
      </c>
      <c r="W259" s="173" t="str">
        <f t="shared" si="245"/>
        <v/>
      </c>
      <c r="X259" s="173" t="str">
        <f t="shared" si="245"/>
        <v/>
      </c>
      <c r="Y259" s="180" t="str">
        <f t="shared" si="245"/>
        <v/>
      </c>
      <c r="AA259" s="185" t="str">
        <f t="shared" si="246"/>
        <v/>
      </c>
      <c r="AB259" s="173" t="str">
        <f t="shared" si="246"/>
        <v/>
      </c>
      <c r="AC259" s="173" t="str">
        <f t="shared" si="246"/>
        <v/>
      </c>
      <c r="AD259" s="180" t="str">
        <f t="shared" si="246"/>
        <v/>
      </c>
      <c r="AF259" s="185" t="str">
        <f t="shared" si="247"/>
        <v/>
      </c>
      <c r="AG259" s="173" t="str">
        <f t="shared" si="247"/>
        <v/>
      </c>
      <c r="AH259" s="173" t="str">
        <f t="shared" si="247"/>
        <v/>
      </c>
      <c r="AI259" s="180" t="str">
        <f t="shared" si="247"/>
        <v/>
      </c>
      <c r="AK259" s="185" t="str">
        <f t="shared" si="248"/>
        <v/>
      </c>
      <c r="AL259" s="173" t="str">
        <f t="shared" si="248"/>
        <v/>
      </c>
      <c r="AM259" s="173" t="str">
        <f t="shared" si="248"/>
        <v/>
      </c>
      <c r="AN259" s="180" t="str">
        <f t="shared" si="248"/>
        <v/>
      </c>
      <c r="AP259" s="185" t="str">
        <f>""</f>
        <v/>
      </c>
      <c r="AQ259" s="173" t="str">
        <f>""</f>
        <v/>
      </c>
      <c r="AR259" s="173" t="str">
        <f>""</f>
        <v/>
      </c>
      <c r="AS259" s="180" t="str">
        <f>""</f>
        <v/>
      </c>
      <c r="AT259" s="288"/>
      <c r="AU259" s="185" t="str">
        <f t="shared" si="250"/>
        <v/>
      </c>
      <c r="AV259" s="173" t="str">
        <f t="shared" si="250"/>
        <v/>
      </c>
      <c r="AW259" s="173" t="str">
        <f t="shared" si="250"/>
        <v/>
      </c>
      <c r="AX259" s="180" t="str">
        <f t="shared" si="250"/>
        <v/>
      </c>
      <c r="AZ259" s="185" t="str">
        <f t="shared" si="251"/>
        <v/>
      </c>
      <c r="BA259" s="173" t="str">
        <f t="shared" si="251"/>
        <v/>
      </c>
      <c r="BB259" s="173" t="str">
        <f t="shared" si="251"/>
        <v/>
      </c>
      <c r="BC259" s="180" t="str">
        <f t="shared" si="251"/>
        <v/>
      </c>
      <c r="BE259" s="185" t="str">
        <f t="shared" si="252"/>
        <v/>
      </c>
      <c r="BF259" s="173" t="str">
        <f t="shared" si="252"/>
        <v/>
      </c>
      <c r="BG259" s="173" t="str">
        <f t="shared" si="252"/>
        <v/>
      </c>
      <c r="BH259" s="180" t="str">
        <f t="shared" si="252"/>
        <v/>
      </c>
      <c r="BI259" s="288"/>
      <c r="BJ259" s="185" t="str">
        <f t="shared" si="253"/>
        <v/>
      </c>
      <c r="BK259" s="173" t="str">
        <f t="shared" si="253"/>
        <v/>
      </c>
      <c r="BL259" s="173" t="str">
        <f t="shared" si="253"/>
        <v/>
      </c>
      <c r="BM259" s="180" t="str">
        <f t="shared" si="253"/>
        <v/>
      </c>
      <c r="BO259" s="185" t="str">
        <f t="shared" si="254"/>
        <v/>
      </c>
      <c r="BP259" s="173" t="str">
        <f t="shared" si="254"/>
        <v/>
      </c>
      <c r="BQ259" s="173" t="str">
        <f t="shared" si="254"/>
        <v/>
      </c>
      <c r="BR259" s="180" t="str">
        <f t="shared" si="254"/>
        <v/>
      </c>
      <c r="BT259" s="185" t="str">
        <f t="shared" si="255"/>
        <v/>
      </c>
      <c r="BU259" s="173" t="str">
        <f t="shared" si="255"/>
        <v/>
      </c>
      <c r="BV259" s="173" t="str">
        <f t="shared" si="255"/>
        <v/>
      </c>
      <c r="BW259" s="180" t="str">
        <f t="shared" si="255"/>
        <v/>
      </c>
      <c r="BX259" s="288"/>
      <c r="CM259" s="96"/>
    </row>
    <row r="260" spans="1:91">
      <c r="A260" s="284" t="str">
        <f t="shared" si="241"/>
        <v/>
      </c>
      <c r="B260" s="185">
        <f t="shared" si="241"/>
        <v>45</v>
      </c>
      <c r="C260" s="173">
        <f t="shared" si="241"/>
        <v>139.5</v>
      </c>
      <c r="D260" s="173">
        <f t="shared" si="241"/>
        <v>435</v>
      </c>
      <c r="E260" s="180">
        <f t="shared" si="241"/>
        <v>18</v>
      </c>
      <c r="G260" s="185">
        <f t="shared" si="242"/>
        <v>45</v>
      </c>
      <c r="H260" s="173">
        <f t="shared" si="242"/>
        <v>139.5</v>
      </c>
      <c r="I260" s="173">
        <f t="shared" si="242"/>
        <v>435</v>
      </c>
      <c r="J260" s="180">
        <f t="shared" si="242"/>
        <v>18</v>
      </c>
      <c r="L260" s="185">
        <f t="shared" si="243"/>
        <v>45</v>
      </c>
      <c r="M260" s="173">
        <f t="shared" si="243"/>
        <v>139.5</v>
      </c>
      <c r="N260" s="173">
        <f t="shared" si="243"/>
        <v>615</v>
      </c>
      <c r="O260" s="180">
        <f t="shared" si="243"/>
        <v>18</v>
      </c>
      <c r="Q260" s="185" t="str">
        <f t="shared" si="244"/>
        <v/>
      </c>
      <c r="R260" s="173" t="str">
        <f t="shared" si="244"/>
        <v/>
      </c>
      <c r="S260" s="173" t="str">
        <f t="shared" si="244"/>
        <v/>
      </c>
      <c r="T260" s="180" t="str">
        <f t="shared" si="244"/>
        <v/>
      </c>
      <c r="V260" s="185" t="str">
        <f t="shared" si="245"/>
        <v/>
      </c>
      <c r="W260" s="173" t="str">
        <f t="shared" si="245"/>
        <v/>
      </c>
      <c r="X260" s="173" t="str">
        <f t="shared" si="245"/>
        <v/>
      </c>
      <c r="Y260" s="180" t="str">
        <f t="shared" si="245"/>
        <v/>
      </c>
      <c r="AA260" s="185" t="str">
        <f t="shared" si="246"/>
        <v/>
      </c>
      <c r="AB260" s="173" t="str">
        <f t="shared" si="246"/>
        <v/>
      </c>
      <c r="AC260" s="173" t="str">
        <f t="shared" si="246"/>
        <v/>
      </c>
      <c r="AD260" s="180" t="str">
        <f t="shared" si="246"/>
        <v/>
      </c>
      <c r="AF260" s="185" t="str">
        <f t="shared" si="247"/>
        <v/>
      </c>
      <c r="AG260" s="173" t="str">
        <f t="shared" si="247"/>
        <v/>
      </c>
      <c r="AH260" s="173" t="str">
        <f t="shared" si="247"/>
        <v/>
      </c>
      <c r="AI260" s="180" t="str">
        <f t="shared" si="247"/>
        <v/>
      </c>
      <c r="AK260" s="185" t="str">
        <f t="shared" si="248"/>
        <v/>
      </c>
      <c r="AL260" s="173" t="str">
        <f t="shared" si="248"/>
        <v/>
      </c>
      <c r="AM260" s="173" t="str">
        <f t="shared" si="248"/>
        <v/>
      </c>
      <c r="AN260" s="180" t="str">
        <f t="shared" si="248"/>
        <v/>
      </c>
      <c r="AP260" s="185" t="str">
        <f>""</f>
        <v/>
      </c>
      <c r="AQ260" s="173" t="str">
        <f>""</f>
        <v/>
      </c>
      <c r="AR260" s="173" t="str">
        <f>""</f>
        <v/>
      </c>
      <c r="AS260" s="180" t="str">
        <f>""</f>
        <v/>
      </c>
      <c r="AT260" s="288"/>
      <c r="AU260" s="185" t="str">
        <f t="shared" si="250"/>
        <v/>
      </c>
      <c r="AV260" s="173" t="str">
        <f t="shared" si="250"/>
        <v/>
      </c>
      <c r="AW260" s="173" t="str">
        <f t="shared" si="250"/>
        <v/>
      </c>
      <c r="AX260" s="180" t="str">
        <f t="shared" si="250"/>
        <v/>
      </c>
      <c r="AZ260" s="185" t="str">
        <f t="shared" si="251"/>
        <v/>
      </c>
      <c r="BA260" s="173" t="str">
        <f t="shared" si="251"/>
        <v/>
      </c>
      <c r="BB260" s="173" t="str">
        <f t="shared" si="251"/>
        <v/>
      </c>
      <c r="BC260" s="180" t="str">
        <f t="shared" si="251"/>
        <v/>
      </c>
      <c r="BE260" s="185" t="str">
        <f t="shared" si="252"/>
        <v/>
      </c>
      <c r="BF260" s="173" t="str">
        <f t="shared" si="252"/>
        <v/>
      </c>
      <c r="BG260" s="173" t="str">
        <f t="shared" si="252"/>
        <v/>
      </c>
      <c r="BH260" s="180" t="str">
        <f t="shared" si="252"/>
        <v/>
      </c>
      <c r="BI260" s="288"/>
      <c r="BJ260" s="185" t="str">
        <f t="shared" si="253"/>
        <v/>
      </c>
      <c r="BK260" s="173" t="str">
        <f t="shared" si="253"/>
        <v/>
      </c>
      <c r="BL260" s="173" t="str">
        <f t="shared" si="253"/>
        <v/>
      </c>
      <c r="BM260" s="180" t="str">
        <f t="shared" si="253"/>
        <v/>
      </c>
      <c r="BO260" s="185" t="str">
        <f t="shared" si="254"/>
        <v/>
      </c>
      <c r="BP260" s="173" t="str">
        <f t="shared" si="254"/>
        <v/>
      </c>
      <c r="BQ260" s="173" t="str">
        <f t="shared" si="254"/>
        <v/>
      </c>
      <c r="BR260" s="180" t="str">
        <f t="shared" si="254"/>
        <v/>
      </c>
      <c r="BT260" s="185" t="str">
        <f t="shared" si="255"/>
        <v/>
      </c>
      <c r="BU260" s="173" t="str">
        <f t="shared" si="255"/>
        <v/>
      </c>
      <c r="BV260" s="173" t="str">
        <f t="shared" si="255"/>
        <v/>
      </c>
      <c r="BW260" s="180" t="str">
        <f t="shared" si="255"/>
        <v/>
      </c>
      <c r="BX260" s="288"/>
      <c r="CM260" s="96"/>
    </row>
    <row r="261" spans="1:91">
      <c r="A261" s="284" t="str">
        <f t="shared" si="241"/>
        <v/>
      </c>
      <c r="B261" s="185">
        <f t="shared" si="241"/>
        <v>45</v>
      </c>
      <c r="C261" s="173">
        <f t="shared" si="241"/>
        <v>139.5</v>
      </c>
      <c r="D261" s="173">
        <f t="shared" si="241"/>
        <v>492</v>
      </c>
      <c r="E261" s="180">
        <f t="shared" si="241"/>
        <v>18</v>
      </c>
      <c r="G261" s="185">
        <f t="shared" si="242"/>
        <v>45</v>
      </c>
      <c r="H261" s="173">
        <f t="shared" si="242"/>
        <v>139.5</v>
      </c>
      <c r="I261" s="173">
        <f t="shared" si="242"/>
        <v>492</v>
      </c>
      <c r="J261" s="180">
        <f t="shared" si="242"/>
        <v>18</v>
      </c>
      <c r="L261" s="185">
        <f t="shared" si="243"/>
        <v>45</v>
      </c>
      <c r="M261" s="173">
        <f t="shared" si="243"/>
        <v>139.5</v>
      </c>
      <c r="N261" s="173">
        <f t="shared" si="243"/>
        <v>672</v>
      </c>
      <c r="O261" s="180">
        <f t="shared" si="243"/>
        <v>18</v>
      </c>
      <c r="Q261" s="185" t="str">
        <f t="shared" si="244"/>
        <v/>
      </c>
      <c r="R261" s="173" t="str">
        <f t="shared" si="244"/>
        <v/>
      </c>
      <c r="S261" s="173" t="str">
        <f t="shared" si="244"/>
        <v/>
      </c>
      <c r="T261" s="180" t="str">
        <f t="shared" si="244"/>
        <v/>
      </c>
      <c r="V261" s="185" t="str">
        <f t="shared" si="245"/>
        <v/>
      </c>
      <c r="W261" s="173" t="str">
        <f t="shared" si="245"/>
        <v/>
      </c>
      <c r="X261" s="173" t="str">
        <f t="shared" si="245"/>
        <v/>
      </c>
      <c r="Y261" s="180" t="str">
        <f t="shared" si="245"/>
        <v/>
      </c>
      <c r="AA261" s="185" t="str">
        <f t="shared" si="246"/>
        <v/>
      </c>
      <c r="AB261" s="173" t="str">
        <f t="shared" si="246"/>
        <v/>
      </c>
      <c r="AC261" s="173" t="str">
        <f t="shared" si="246"/>
        <v/>
      </c>
      <c r="AD261" s="180" t="str">
        <f t="shared" si="246"/>
        <v/>
      </c>
      <c r="AF261" s="185" t="str">
        <f t="shared" si="247"/>
        <v/>
      </c>
      <c r="AG261" s="173" t="str">
        <f t="shared" si="247"/>
        <v/>
      </c>
      <c r="AH261" s="173" t="str">
        <f t="shared" si="247"/>
        <v/>
      </c>
      <c r="AI261" s="180" t="str">
        <f t="shared" si="247"/>
        <v/>
      </c>
      <c r="AK261" s="185" t="str">
        <f t="shared" si="248"/>
        <v/>
      </c>
      <c r="AL261" s="173" t="str">
        <f t="shared" si="248"/>
        <v/>
      </c>
      <c r="AM261" s="173" t="str">
        <f t="shared" si="248"/>
        <v/>
      </c>
      <c r="AN261" s="180" t="str">
        <f t="shared" si="248"/>
        <v/>
      </c>
      <c r="AP261" s="185" t="str">
        <f>""</f>
        <v/>
      </c>
      <c r="AQ261" s="173" t="str">
        <f>""</f>
        <v/>
      </c>
      <c r="AR261" s="173" t="str">
        <f>""</f>
        <v/>
      </c>
      <c r="AS261" s="180" t="str">
        <f>""</f>
        <v/>
      </c>
      <c r="AT261" s="288"/>
      <c r="AU261" s="185" t="str">
        <f t="shared" si="250"/>
        <v/>
      </c>
      <c r="AV261" s="173" t="str">
        <f t="shared" si="250"/>
        <v/>
      </c>
      <c r="AW261" s="173" t="str">
        <f t="shared" si="250"/>
        <v/>
      </c>
      <c r="AX261" s="180" t="str">
        <f t="shared" si="250"/>
        <v/>
      </c>
      <c r="AZ261" s="185" t="str">
        <f t="shared" si="251"/>
        <v/>
      </c>
      <c r="BA261" s="173" t="str">
        <f t="shared" si="251"/>
        <v/>
      </c>
      <c r="BB261" s="173" t="str">
        <f t="shared" si="251"/>
        <v/>
      </c>
      <c r="BC261" s="180" t="str">
        <f t="shared" si="251"/>
        <v/>
      </c>
      <c r="BE261" s="185" t="str">
        <f t="shared" si="252"/>
        <v/>
      </c>
      <c r="BF261" s="173" t="str">
        <f t="shared" si="252"/>
        <v/>
      </c>
      <c r="BG261" s="173" t="str">
        <f t="shared" si="252"/>
        <v/>
      </c>
      <c r="BH261" s="180" t="str">
        <f t="shared" si="252"/>
        <v/>
      </c>
      <c r="BI261" s="288"/>
      <c r="BJ261" s="185" t="str">
        <f t="shared" si="253"/>
        <v/>
      </c>
      <c r="BK261" s="173" t="str">
        <f t="shared" si="253"/>
        <v/>
      </c>
      <c r="BL261" s="173" t="str">
        <f t="shared" si="253"/>
        <v/>
      </c>
      <c r="BM261" s="180" t="str">
        <f t="shared" si="253"/>
        <v/>
      </c>
      <c r="BO261" s="185" t="str">
        <f t="shared" si="254"/>
        <v/>
      </c>
      <c r="BP261" s="173" t="str">
        <f t="shared" si="254"/>
        <v/>
      </c>
      <c r="BQ261" s="173" t="str">
        <f t="shared" si="254"/>
        <v/>
      </c>
      <c r="BR261" s="180" t="str">
        <f t="shared" si="254"/>
        <v/>
      </c>
      <c r="BT261" s="185" t="str">
        <f t="shared" si="255"/>
        <v/>
      </c>
      <c r="BU261" s="173" t="str">
        <f t="shared" si="255"/>
        <v/>
      </c>
      <c r="BV261" s="173" t="str">
        <f t="shared" si="255"/>
        <v/>
      </c>
      <c r="BW261" s="180" t="str">
        <f t="shared" si="255"/>
        <v/>
      </c>
      <c r="BX261" s="288"/>
      <c r="CM261" s="96"/>
    </row>
    <row r="262" spans="1:91">
      <c r="A262" s="284" t="str">
        <f t="shared" si="241"/>
        <v/>
      </c>
      <c r="B262" s="185">
        <f t="shared" si="241"/>
        <v>45</v>
      </c>
      <c r="C262" s="173">
        <f t="shared" si="241"/>
        <v>139.5</v>
      </c>
      <c r="D262" s="173">
        <f t="shared" si="241"/>
        <v>549</v>
      </c>
      <c r="E262" s="180">
        <f t="shared" si="241"/>
        <v>18</v>
      </c>
      <c r="G262" s="185">
        <f t="shared" si="242"/>
        <v>45</v>
      </c>
      <c r="H262" s="173">
        <f t="shared" si="242"/>
        <v>139.5</v>
      </c>
      <c r="I262" s="173">
        <f t="shared" si="242"/>
        <v>549</v>
      </c>
      <c r="J262" s="180">
        <f t="shared" si="242"/>
        <v>18</v>
      </c>
      <c r="L262" s="185">
        <f t="shared" si="243"/>
        <v>45</v>
      </c>
      <c r="M262" s="173">
        <f t="shared" si="243"/>
        <v>139.5</v>
      </c>
      <c r="N262" s="173">
        <f t="shared" si="243"/>
        <v>729</v>
      </c>
      <c r="O262" s="180">
        <f t="shared" si="243"/>
        <v>18</v>
      </c>
      <c r="Q262" s="185" t="str">
        <f t="shared" si="244"/>
        <v/>
      </c>
      <c r="R262" s="173" t="str">
        <f t="shared" si="244"/>
        <v/>
      </c>
      <c r="S262" s="173" t="str">
        <f t="shared" si="244"/>
        <v/>
      </c>
      <c r="T262" s="180" t="str">
        <f t="shared" si="244"/>
        <v/>
      </c>
      <c r="V262" s="185" t="str">
        <f t="shared" si="245"/>
        <v/>
      </c>
      <c r="W262" s="173" t="str">
        <f t="shared" si="245"/>
        <v/>
      </c>
      <c r="X262" s="173" t="str">
        <f t="shared" si="245"/>
        <v/>
      </c>
      <c r="Y262" s="180" t="str">
        <f t="shared" si="245"/>
        <v/>
      </c>
      <c r="AA262" s="185" t="str">
        <f t="shared" si="246"/>
        <v/>
      </c>
      <c r="AB262" s="173" t="str">
        <f t="shared" si="246"/>
        <v/>
      </c>
      <c r="AC262" s="173" t="str">
        <f t="shared" si="246"/>
        <v/>
      </c>
      <c r="AD262" s="180" t="str">
        <f t="shared" si="246"/>
        <v/>
      </c>
      <c r="AF262" s="185" t="str">
        <f t="shared" si="247"/>
        <v/>
      </c>
      <c r="AG262" s="173" t="str">
        <f t="shared" si="247"/>
        <v/>
      </c>
      <c r="AH262" s="173" t="str">
        <f t="shared" si="247"/>
        <v/>
      </c>
      <c r="AI262" s="180" t="str">
        <f t="shared" si="247"/>
        <v/>
      </c>
      <c r="AK262" s="185" t="str">
        <f t="shared" si="248"/>
        <v/>
      </c>
      <c r="AL262" s="173" t="str">
        <f t="shared" si="248"/>
        <v/>
      </c>
      <c r="AM262" s="173" t="str">
        <f t="shared" si="248"/>
        <v/>
      </c>
      <c r="AN262" s="180" t="str">
        <f t="shared" si="248"/>
        <v/>
      </c>
      <c r="AP262" s="185" t="str">
        <f>""</f>
        <v/>
      </c>
      <c r="AQ262" s="173" t="str">
        <f>""</f>
        <v/>
      </c>
      <c r="AR262" s="173" t="str">
        <f>""</f>
        <v/>
      </c>
      <c r="AS262" s="180" t="str">
        <f>""</f>
        <v/>
      </c>
      <c r="AT262" s="288"/>
      <c r="AU262" s="185" t="str">
        <f t="shared" si="250"/>
        <v/>
      </c>
      <c r="AV262" s="173" t="str">
        <f t="shared" si="250"/>
        <v/>
      </c>
      <c r="AW262" s="173" t="str">
        <f t="shared" si="250"/>
        <v/>
      </c>
      <c r="AX262" s="180" t="str">
        <f t="shared" si="250"/>
        <v/>
      </c>
      <c r="AZ262" s="185" t="str">
        <f t="shared" si="251"/>
        <v/>
      </c>
      <c r="BA262" s="173" t="str">
        <f t="shared" si="251"/>
        <v/>
      </c>
      <c r="BB262" s="173" t="str">
        <f t="shared" si="251"/>
        <v/>
      </c>
      <c r="BC262" s="180" t="str">
        <f t="shared" si="251"/>
        <v/>
      </c>
      <c r="BE262" s="185" t="str">
        <f t="shared" si="252"/>
        <v/>
      </c>
      <c r="BF262" s="173" t="str">
        <f t="shared" si="252"/>
        <v/>
      </c>
      <c r="BG262" s="173" t="str">
        <f t="shared" si="252"/>
        <v/>
      </c>
      <c r="BH262" s="180" t="str">
        <f t="shared" si="252"/>
        <v/>
      </c>
      <c r="BI262" s="288"/>
      <c r="BJ262" s="185" t="str">
        <f t="shared" si="253"/>
        <v/>
      </c>
      <c r="BK262" s="173" t="str">
        <f t="shared" si="253"/>
        <v/>
      </c>
      <c r="BL262" s="173" t="str">
        <f t="shared" si="253"/>
        <v/>
      </c>
      <c r="BM262" s="180" t="str">
        <f t="shared" si="253"/>
        <v/>
      </c>
      <c r="BO262" s="185" t="str">
        <f t="shared" si="254"/>
        <v/>
      </c>
      <c r="BP262" s="173" t="str">
        <f t="shared" si="254"/>
        <v/>
      </c>
      <c r="BQ262" s="173" t="str">
        <f t="shared" si="254"/>
        <v/>
      </c>
      <c r="BR262" s="180" t="str">
        <f t="shared" si="254"/>
        <v/>
      </c>
      <c r="BT262" s="185" t="str">
        <f t="shared" si="255"/>
        <v/>
      </c>
      <c r="BU262" s="173" t="str">
        <f t="shared" si="255"/>
        <v/>
      </c>
      <c r="BV262" s="173" t="str">
        <f t="shared" si="255"/>
        <v/>
      </c>
      <c r="BW262" s="180" t="str">
        <f t="shared" si="255"/>
        <v/>
      </c>
      <c r="BX262" s="288"/>
      <c r="CM262" s="96"/>
    </row>
    <row r="263" spans="1:91">
      <c r="A263" s="284" t="str">
        <f t="shared" si="241"/>
        <v/>
      </c>
      <c r="B263" s="185">
        <f t="shared" si="241"/>
        <v>45</v>
      </c>
      <c r="C263" s="173">
        <f t="shared" si="241"/>
        <v>139.5</v>
      </c>
      <c r="D263" s="173">
        <f t="shared" si="241"/>
        <v>606</v>
      </c>
      <c r="E263" s="180">
        <f t="shared" si="241"/>
        <v>18</v>
      </c>
      <c r="G263" s="185">
        <f t="shared" si="242"/>
        <v>45</v>
      </c>
      <c r="H263" s="173">
        <f t="shared" si="242"/>
        <v>139.5</v>
      </c>
      <c r="I263" s="173">
        <f t="shared" si="242"/>
        <v>606</v>
      </c>
      <c r="J263" s="180">
        <f t="shared" si="242"/>
        <v>18</v>
      </c>
      <c r="L263" s="185" t="str">
        <f t="shared" si="243"/>
        <v/>
      </c>
      <c r="M263" s="173" t="str">
        <f t="shared" si="243"/>
        <v/>
      </c>
      <c r="N263" s="173" t="str">
        <f t="shared" si="243"/>
        <v/>
      </c>
      <c r="O263" s="180" t="str">
        <f t="shared" si="243"/>
        <v/>
      </c>
      <c r="Q263" s="185" t="str">
        <f t="shared" si="244"/>
        <v/>
      </c>
      <c r="R263" s="173" t="str">
        <f t="shared" si="244"/>
        <v/>
      </c>
      <c r="S263" s="173" t="str">
        <f t="shared" si="244"/>
        <v/>
      </c>
      <c r="T263" s="180" t="str">
        <f t="shared" si="244"/>
        <v/>
      </c>
      <c r="V263" s="185" t="str">
        <f t="shared" si="245"/>
        <v/>
      </c>
      <c r="W263" s="173" t="str">
        <f t="shared" si="245"/>
        <v/>
      </c>
      <c r="X263" s="173" t="str">
        <f t="shared" si="245"/>
        <v/>
      </c>
      <c r="Y263" s="180" t="str">
        <f t="shared" si="245"/>
        <v/>
      </c>
      <c r="AA263" s="185" t="str">
        <f t="shared" si="246"/>
        <v/>
      </c>
      <c r="AB263" s="173" t="str">
        <f t="shared" si="246"/>
        <v/>
      </c>
      <c r="AC263" s="173" t="str">
        <f t="shared" si="246"/>
        <v/>
      </c>
      <c r="AD263" s="180" t="str">
        <f t="shared" si="246"/>
        <v/>
      </c>
      <c r="AF263" s="185" t="str">
        <f t="shared" si="247"/>
        <v/>
      </c>
      <c r="AG263" s="173" t="str">
        <f t="shared" si="247"/>
        <v/>
      </c>
      <c r="AH263" s="173" t="str">
        <f t="shared" si="247"/>
        <v/>
      </c>
      <c r="AI263" s="180" t="str">
        <f t="shared" si="247"/>
        <v/>
      </c>
      <c r="AK263" s="185" t="str">
        <f t="shared" si="248"/>
        <v/>
      </c>
      <c r="AL263" s="173" t="str">
        <f t="shared" si="248"/>
        <v/>
      </c>
      <c r="AM263" s="173" t="str">
        <f t="shared" si="248"/>
        <v/>
      </c>
      <c r="AN263" s="180" t="str">
        <f t="shared" si="248"/>
        <v/>
      </c>
      <c r="AP263" s="185" t="str">
        <f>""</f>
        <v/>
      </c>
      <c r="AQ263" s="173" t="str">
        <f>""</f>
        <v/>
      </c>
      <c r="AR263" s="173" t="str">
        <f>""</f>
        <v/>
      </c>
      <c r="AS263" s="180" t="str">
        <f>""</f>
        <v/>
      </c>
      <c r="AT263" s="288"/>
      <c r="AU263" s="185" t="str">
        <f t="shared" si="250"/>
        <v/>
      </c>
      <c r="AV263" s="173" t="str">
        <f t="shared" si="250"/>
        <v/>
      </c>
      <c r="AW263" s="173" t="str">
        <f t="shared" si="250"/>
        <v/>
      </c>
      <c r="AX263" s="180" t="str">
        <f t="shared" si="250"/>
        <v/>
      </c>
      <c r="AZ263" s="185" t="str">
        <f t="shared" si="251"/>
        <v/>
      </c>
      <c r="BA263" s="173" t="str">
        <f t="shared" si="251"/>
        <v/>
      </c>
      <c r="BB263" s="173" t="str">
        <f t="shared" si="251"/>
        <v/>
      </c>
      <c r="BC263" s="180" t="str">
        <f t="shared" si="251"/>
        <v/>
      </c>
      <c r="BE263" s="185" t="str">
        <f t="shared" si="252"/>
        <v/>
      </c>
      <c r="BF263" s="173" t="str">
        <f t="shared" si="252"/>
        <v/>
      </c>
      <c r="BG263" s="173" t="str">
        <f t="shared" si="252"/>
        <v/>
      </c>
      <c r="BH263" s="180" t="str">
        <f t="shared" si="252"/>
        <v/>
      </c>
      <c r="BI263" s="288"/>
      <c r="BJ263" s="185" t="str">
        <f t="shared" si="253"/>
        <v/>
      </c>
      <c r="BK263" s="173" t="str">
        <f t="shared" si="253"/>
        <v/>
      </c>
      <c r="BL263" s="173" t="str">
        <f t="shared" si="253"/>
        <v/>
      </c>
      <c r="BM263" s="180" t="str">
        <f t="shared" si="253"/>
        <v/>
      </c>
      <c r="BO263" s="185" t="str">
        <f t="shared" si="254"/>
        <v/>
      </c>
      <c r="BP263" s="173" t="str">
        <f t="shared" si="254"/>
        <v/>
      </c>
      <c r="BQ263" s="173" t="str">
        <f t="shared" si="254"/>
        <v/>
      </c>
      <c r="BR263" s="180" t="str">
        <f t="shared" si="254"/>
        <v/>
      </c>
      <c r="BT263" s="185" t="str">
        <f t="shared" si="255"/>
        <v/>
      </c>
      <c r="BU263" s="173" t="str">
        <f t="shared" si="255"/>
        <v/>
      </c>
      <c r="BV263" s="173" t="str">
        <f t="shared" si="255"/>
        <v/>
      </c>
      <c r="BW263" s="180" t="str">
        <f t="shared" si="255"/>
        <v/>
      </c>
      <c r="BX263" s="288"/>
      <c r="CM263" s="96"/>
    </row>
    <row r="264" spans="1:91">
      <c r="A264" s="284" t="str">
        <f t="shared" si="241"/>
        <v/>
      </c>
      <c r="B264" s="185">
        <f t="shared" si="241"/>
        <v>45</v>
      </c>
      <c r="C264" s="173">
        <f t="shared" si="241"/>
        <v>139.5</v>
      </c>
      <c r="D264" s="173">
        <f t="shared" si="241"/>
        <v>663</v>
      </c>
      <c r="E264" s="180">
        <f t="shared" si="241"/>
        <v>18</v>
      </c>
      <c r="G264" s="185">
        <f t="shared" si="242"/>
        <v>45</v>
      </c>
      <c r="H264" s="173">
        <f t="shared" si="242"/>
        <v>139.5</v>
      </c>
      <c r="I264" s="173">
        <f t="shared" si="242"/>
        <v>663</v>
      </c>
      <c r="J264" s="180">
        <f t="shared" si="242"/>
        <v>18</v>
      </c>
      <c r="L264" s="185" t="str">
        <f t="shared" si="243"/>
        <v/>
      </c>
      <c r="M264" s="173" t="str">
        <f t="shared" si="243"/>
        <v/>
      </c>
      <c r="N264" s="173" t="str">
        <f t="shared" si="243"/>
        <v/>
      </c>
      <c r="O264" s="180" t="str">
        <f t="shared" si="243"/>
        <v/>
      </c>
      <c r="Q264" s="185" t="str">
        <f t="shared" si="244"/>
        <v/>
      </c>
      <c r="R264" s="173" t="str">
        <f t="shared" si="244"/>
        <v/>
      </c>
      <c r="S264" s="173" t="str">
        <f t="shared" si="244"/>
        <v/>
      </c>
      <c r="T264" s="180" t="str">
        <f t="shared" si="244"/>
        <v/>
      </c>
      <c r="V264" s="185" t="str">
        <f t="shared" si="245"/>
        <v/>
      </c>
      <c r="W264" s="173" t="str">
        <f t="shared" si="245"/>
        <v/>
      </c>
      <c r="X264" s="173" t="str">
        <f t="shared" si="245"/>
        <v/>
      </c>
      <c r="Y264" s="180" t="str">
        <f t="shared" si="245"/>
        <v/>
      </c>
      <c r="AA264" s="185" t="str">
        <f t="shared" si="246"/>
        <v/>
      </c>
      <c r="AB264" s="173" t="str">
        <f t="shared" si="246"/>
        <v/>
      </c>
      <c r="AC264" s="173" t="str">
        <f t="shared" si="246"/>
        <v/>
      </c>
      <c r="AD264" s="180" t="str">
        <f t="shared" si="246"/>
        <v/>
      </c>
      <c r="AF264" s="185" t="str">
        <f t="shared" si="247"/>
        <v/>
      </c>
      <c r="AG264" s="173" t="str">
        <f t="shared" si="247"/>
        <v/>
      </c>
      <c r="AH264" s="173" t="str">
        <f t="shared" si="247"/>
        <v/>
      </c>
      <c r="AI264" s="180" t="str">
        <f t="shared" si="247"/>
        <v/>
      </c>
      <c r="AK264" s="185" t="str">
        <f t="shared" si="248"/>
        <v/>
      </c>
      <c r="AL264" s="173" t="str">
        <f t="shared" si="248"/>
        <v/>
      </c>
      <c r="AM264" s="173" t="str">
        <f t="shared" si="248"/>
        <v/>
      </c>
      <c r="AN264" s="180" t="str">
        <f t="shared" si="248"/>
        <v/>
      </c>
      <c r="AP264" s="185" t="str">
        <f>""</f>
        <v/>
      </c>
      <c r="AQ264" s="173" t="str">
        <f>""</f>
        <v/>
      </c>
      <c r="AR264" s="173" t="str">
        <f>""</f>
        <v/>
      </c>
      <c r="AS264" s="180" t="str">
        <f>""</f>
        <v/>
      </c>
      <c r="AT264" s="288"/>
      <c r="AU264" s="185" t="str">
        <f t="shared" si="250"/>
        <v/>
      </c>
      <c r="AV264" s="173" t="str">
        <f t="shared" si="250"/>
        <v/>
      </c>
      <c r="AW264" s="173" t="str">
        <f t="shared" si="250"/>
        <v/>
      </c>
      <c r="AX264" s="180" t="str">
        <f t="shared" si="250"/>
        <v/>
      </c>
      <c r="AZ264" s="185" t="str">
        <f t="shared" si="251"/>
        <v/>
      </c>
      <c r="BA264" s="173" t="str">
        <f t="shared" si="251"/>
        <v/>
      </c>
      <c r="BB264" s="173" t="str">
        <f t="shared" si="251"/>
        <v/>
      </c>
      <c r="BC264" s="180" t="str">
        <f t="shared" si="251"/>
        <v/>
      </c>
      <c r="BE264" s="185" t="str">
        <f t="shared" si="252"/>
        <v/>
      </c>
      <c r="BF264" s="173" t="str">
        <f t="shared" si="252"/>
        <v/>
      </c>
      <c r="BG264" s="173" t="str">
        <f t="shared" si="252"/>
        <v/>
      </c>
      <c r="BH264" s="180" t="str">
        <f t="shared" si="252"/>
        <v/>
      </c>
      <c r="BI264" s="288"/>
      <c r="BJ264" s="185" t="str">
        <f t="shared" si="253"/>
        <v/>
      </c>
      <c r="BK264" s="173" t="str">
        <f t="shared" si="253"/>
        <v/>
      </c>
      <c r="BL264" s="173" t="str">
        <f t="shared" si="253"/>
        <v/>
      </c>
      <c r="BM264" s="180" t="str">
        <f t="shared" si="253"/>
        <v/>
      </c>
      <c r="BO264" s="185" t="str">
        <f t="shared" si="254"/>
        <v/>
      </c>
      <c r="BP264" s="173" t="str">
        <f t="shared" si="254"/>
        <v/>
      </c>
      <c r="BQ264" s="173" t="str">
        <f t="shared" si="254"/>
        <v/>
      </c>
      <c r="BR264" s="180" t="str">
        <f t="shared" si="254"/>
        <v/>
      </c>
      <c r="BT264" s="185" t="str">
        <f t="shared" si="255"/>
        <v/>
      </c>
      <c r="BU264" s="173" t="str">
        <f t="shared" si="255"/>
        <v/>
      </c>
      <c r="BV264" s="173" t="str">
        <f t="shared" si="255"/>
        <v/>
      </c>
      <c r="BW264" s="180" t="str">
        <f t="shared" si="255"/>
        <v/>
      </c>
      <c r="BX264" s="288"/>
      <c r="CM264" s="96"/>
    </row>
    <row r="265" spans="1:91">
      <c r="A265" s="284" t="str">
        <f t="shared" si="241"/>
        <v/>
      </c>
      <c r="B265" s="185">
        <f t="shared" si="241"/>
        <v>45</v>
      </c>
      <c r="C265" s="173">
        <f t="shared" si="241"/>
        <v>139.5</v>
      </c>
      <c r="D265" s="173">
        <f t="shared" si="241"/>
        <v>720</v>
      </c>
      <c r="E265" s="180">
        <f t="shared" si="241"/>
        <v>18</v>
      </c>
      <c r="G265" s="185">
        <f t="shared" si="242"/>
        <v>45</v>
      </c>
      <c r="H265" s="173">
        <f t="shared" si="242"/>
        <v>139.5</v>
      </c>
      <c r="I265" s="173">
        <f t="shared" si="242"/>
        <v>720</v>
      </c>
      <c r="J265" s="180">
        <f t="shared" si="242"/>
        <v>18</v>
      </c>
      <c r="L265" s="185" t="str">
        <f t="shared" si="243"/>
        <v/>
      </c>
      <c r="M265" s="173" t="str">
        <f t="shared" si="243"/>
        <v/>
      </c>
      <c r="N265" s="173" t="str">
        <f t="shared" si="243"/>
        <v/>
      </c>
      <c r="O265" s="180" t="str">
        <f t="shared" si="243"/>
        <v/>
      </c>
      <c r="Q265" s="185" t="str">
        <f t="shared" si="244"/>
        <v/>
      </c>
      <c r="R265" s="173" t="str">
        <f t="shared" si="244"/>
        <v/>
      </c>
      <c r="S265" s="173" t="str">
        <f t="shared" si="244"/>
        <v/>
      </c>
      <c r="T265" s="180" t="str">
        <f t="shared" si="244"/>
        <v/>
      </c>
      <c r="V265" s="185" t="str">
        <f t="shared" si="245"/>
        <v/>
      </c>
      <c r="W265" s="173" t="str">
        <f t="shared" si="245"/>
        <v/>
      </c>
      <c r="X265" s="173" t="str">
        <f t="shared" si="245"/>
        <v/>
      </c>
      <c r="Y265" s="180" t="str">
        <f t="shared" si="245"/>
        <v/>
      </c>
      <c r="AA265" s="185" t="str">
        <f t="shared" si="246"/>
        <v/>
      </c>
      <c r="AB265" s="173" t="str">
        <f t="shared" si="246"/>
        <v/>
      </c>
      <c r="AC265" s="173" t="str">
        <f t="shared" si="246"/>
        <v/>
      </c>
      <c r="AD265" s="180" t="str">
        <f t="shared" si="246"/>
        <v/>
      </c>
      <c r="AF265" s="185" t="str">
        <f t="shared" si="247"/>
        <v/>
      </c>
      <c r="AG265" s="173" t="str">
        <f t="shared" si="247"/>
        <v/>
      </c>
      <c r="AH265" s="173" t="str">
        <f t="shared" si="247"/>
        <v/>
      </c>
      <c r="AI265" s="180" t="str">
        <f t="shared" si="247"/>
        <v/>
      </c>
      <c r="AK265" s="185" t="str">
        <f t="shared" si="248"/>
        <v/>
      </c>
      <c r="AL265" s="173" t="str">
        <f t="shared" si="248"/>
        <v/>
      </c>
      <c r="AM265" s="173" t="str">
        <f t="shared" si="248"/>
        <v/>
      </c>
      <c r="AN265" s="180" t="str">
        <f t="shared" si="248"/>
        <v/>
      </c>
      <c r="AP265" s="185" t="str">
        <f>""</f>
        <v/>
      </c>
      <c r="AQ265" s="173" t="str">
        <f>""</f>
        <v/>
      </c>
      <c r="AR265" s="173" t="str">
        <f>""</f>
        <v/>
      </c>
      <c r="AS265" s="180" t="str">
        <f>""</f>
        <v/>
      </c>
      <c r="AT265" s="288"/>
      <c r="AU265" s="185" t="str">
        <f t="shared" si="250"/>
        <v/>
      </c>
      <c r="AV265" s="173" t="str">
        <f t="shared" si="250"/>
        <v/>
      </c>
      <c r="AW265" s="173" t="str">
        <f t="shared" si="250"/>
        <v/>
      </c>
      <c r="AX265" s="180" t="str">
        <f t="shared" si="250"/>
        <v/>
      </c>
      <c r="AZ265" s="185" t="str">
        <f t="shared" si="251"/>
        <v/>
      </c>
      <c r="BA265" s="173" t="str">
        <f t="shared" si="251"/>
        <v/>
      </c>
      <c r="BB265" s="173" t="str">
        <f t="shared" si="251"/>
        <v/>
      </c>
      <c r="BC265" s="180" t="str">
        <f t="shared" si="251"/>
        <v/>
      </c>
      <c r="BE265" s="185" t="str">
        <f t="shared" si="252"/>
        <v/>
      </c>
      <c r="BF265" s="173" t="str">
        <f t="shared" si="252"/>
        <v/>
      </c>
      <c r="BG265" s="173" t="str">
        <f t="shared" si="252"/>
        <v/>
      </c>
      <c r="BH265" s="180" t="str">
        <f t="shared" si="252"/>
        <v/>
      </c>
      <c r="BI265" s="288"/>
      <c r="BJ265" s="185" t="str">
        <f t="shared" si="253"/>
        <v/>
      </c>
      <c r="BK265" s="173" t="str">
        <f t="shared" si="253"/>
        <v/>
      </c>
      <c r="BL265" s="173" t="str">
        <f t="shared" si="253"/>
        <v/>
      </c>
      <c r="BM265" s="180" t="str">
        <f t="shared" si="253"/>
        <v/>
      </c>
      <c r="BO265" s="185" t="str">
        <f t="shared" si="254"/>
        <v/>
      </c>
      <c r="BP265" s="173" t="str">
        <f t="shared" si="254"/>
        <v/>
      </c>
      <c r="BQ265" s="173" t="str">
        <f t="shared" si="254"/>
        <v/>
      </c>
      <c r="BR265" s="180" t="str">
        <f t="shared" si="254"/>
        <v/>
      </c>
      <c r="BT265" s="185" t="str">
        <f t="shared" si="255"/>
        <v/>
      </c>
      <c r="BU265" s="173" t="str">
        <f t="shared" si="255"/>
        <v/>
      </c>
      <c r="BV265" s="173" t="str">
        <f t="shared" si="255"/>
        <v/>
      </c>
      <c r="BW265" s="180" t="str">
        <f t="shared" si="255"/>
        <v/>
      </c>
      <c r="BX265" s="288"/>
      <c r="CM265" s="96"/>
    </row>
    <row r="266" spans="1:91">
      <c r="A266" s="284"/>
      <c r="B266" s="185">
        <f t="shared" si="241"/>
        <v>45</v>
      </c>
      <c r="C266" s="173">
        <f t="shared" si="241"/>
        <v>139.5</v>
      </c>
      <c r="D266" s="173">
        <f t="shared" si="241"/>
        <v>777</v>
      </c>
      <c r="E266" s="180">
        <f t="shared" si="241"/>
        <v>18</v>
      </c>
      <c r="G266" s="185">
        <f t="shared" si="242"/>
        <v>45</v>
      </c>
      <c r="H266" s="173">
        <f t="shared" si="242"/>
        <v>139.5</v>
      </c>
      <c r="I266" s="173">
        <f t="shared" si="242"/>
        <v>777</v>
      </c>
      <c r="J266" s="180">
        <f t="shared" si="242"/>
        <v>18</v>
      </c>
      <c r="L266" s="185" t="str">
        <f t="shared" si="243"/>
        <v/>
      </c>
      <c r="M266" s="173" t="str">
        <f t="shared" si="243"/>
        <v/>
      </c>
      <c r="N266" s="173" t="str">
        <f t="shared" si="243"/>
        <v/>
      </c>
      <c r="O266" s="180" t="str">
        <f t="shared" si="243"/>
        <v/>
      </c>
      <c r="Q266" s="185" t="str">
        <f t="shared" si="244"/>
        <v/>
      </c>
      <c r="R266" s="173" t="str">
        <f t="shared" si="244"/>
        <v/>
      </c>
      <c r="S266" s="173" t="str">
        <f t="shared" si="244"/>
        <v/>
      </c>
      <c r="T266" s="180" t="str">
        <f t="shared" si="244"/>
        <v/>
      </c>
      <c r="V266" s="185" t="str">
        <f t="shared" si="245"/>
        <v/>
      </c>
      <c r="W266" s="173" t="str">
        <f t="shared" si="245"/>
        <v/>
      </c>
      <c r="X266" s="173" t="str">
        <f t="shared" si="245"/>
        <v/>
      </c>
      <c r="Y266" s="180" t="str">
        <f t="shared" si="245"/>
        <v/>
      </c>
      <c r="AA266" s="185" t="str">
        <f t="shared" si="246"/>
        <v/>
      </c>
      <c r="AB266" s="173" t="str">
        <f t="shared" si="246"/>
        <v/>
      </c>
      <c r="AC266" s="173" t="str">
        <f t="shared" si="246"/>
        <v/>
      </c>
      <c r="AD266" s="180" t="str">
        <f t="shared" si="246"/>
        <v/>
      </c>
      <c r="AF266" s="185" t="str">
        <f t="shared" si="247"/>
        <v/>
      </c>
      <c r="AG266" s="173" t="str">
        <f t="shared" si="247"/>
        <v/>
      </c>
      <c r="AH266" s="173" t="str">
        <f t="shared" si="247"/>
        <v/>
      </c>
      <c r="AI266" s="180" t="str">
        <f t="shared" si="247"/>
        <v/>
      </c>
      <c r="AK266" s="185" t="str">
        <f t="shared" si="248"/>
        <v/>
      </c>
      <c r="AL266" s="173" t="str">
        <f t="shared" si="248"/>
        <v/>
      </c>
      <c r="AM266" s="173" t="str">
        <f t="shared" si="248"/>
        <v/>
      </c>
      <c r="AN266" s="180" t="str">
        <f t="shared" si="248"/>
        <v/>
      </c>
      <c r="AP266" s="185" t="str">
        <f>""</f>
        <v/>
      </c>
      <c r="AQ266" s="173" t="str">
        <f>""</f>
        <v/>
      </c>
      <c r="AR266" s="173" t="str">
        <f>""</f>
        <v/>
      </c>
      <c r="AS266" s="180" t="str">
        <f>""</f>
        <v/>
      </c>
      <c r="AT266" s="288"/>
      <c r="AU266" s="185" t="str">
        <f t="shared" si="250"/>
        <v/>
      </c>
      <c r="AV266" s="173" t="str">
        <f t="shared" si="250"/>
        <v/>
      </c>
      <c r="AW266" s="173" t="str">
        <f t="shared" si="250"/>
        <v/>
      </c>
      <c r="AX266" s="180" t="str">
        <f t="shared" si="250"/>
        <v/>
      </c>
      <c r="AZ266" s="185" t="str">
        <f t="shared" si="251"/>
        <v/>
      </c>
      <c r="BA266" s="173" t="str">
        <f t="shared" si="251"/>
        <v/>
      </c>
      <c r="BB266" s="173" t="str">
        <f t="shared" si="251"/>
        <v/>
      </c>
      <c r="BC266" s="180" t="str">
        <f t="shared" si="251"/>
        <v/>
      </c>
      <c r="BE266" s="185" t="str">
        <f t="shared" si="252"/>
        <v/>
      </c>
      <c r="BF266" s="173" t="str">
        <f t="shared" si="252"/>
        <v/>
      </c>
      <c r="BG266" s="173" t="str">
        <f t="shared" si="252"/>
        <v/>
      </c>
      <c r="BH266" s="180" t="str">
        <f t="shared" si="252"/>
        <v/>
      </c>
      <c r="BI266" s="288"/>
      <c r="BJ266" s="185" t="str">
        <f t="shared" si="253"/>
        <v/>
      </c>
      <c r="BK266" s="173" t="str">
        <f t="shared" si="253"/>
        <v/>
      </c>
      <c r="BL266" s="173" t="str">
        <f t="shared" si="253"/>
        <v/>
      </c>
      <c r="BM266" s="180" t="str">
        <f t="shared" si="253"/>
        <v/>
      </c>
      <c r="BO266" s="185" t="str">
        <f t="shared" si="254"/>
        <v/>
      </c>
      <c r="BP266" s="173" t="str">
        <f t="shared" si="254"/>
        <v/>
      </c>
      <c r="BQ266" s="173" t="str">
        <f t="shared" si="254"/>
        <v/>
      </c>
      <c r="BR266" s="180" t="str">
        <f t="shared" si="254"/>
        <v/>
      </c>
      <c r="BT266" s="185" t="str">
        <f t="shared" si="255"/>
        <v/>
      </c>
      <c r="BU266" s="173" t="str">
        <f t="shared" si="255"/>
        <v/>
      </c>
      <c r="BV266" s="173" t="str">
        <f t="shared" si="255"/>
        <v/>
      </c>
      <c r="BW266" s="180" t="str">
        <f t="shared" si="255"/>
        <v/>
      </c>
      <c r="BX266" s="288"/>
      <c r="CM266" s="96"/>
    </row>
    <row r="267" spans="1:91">
      <c r="A267" s="284"/>
      <c r="B267" s="185" t="str">
        <f t="shared" si="241"/>
        <v/>
      </c>
      <c r="C267" s="173" t="str">
        <f t="shared" si="241"/>
        <v/>
      </c>
      <c r="D267" s="173" t="str">
        <f t="shared" si="241"/>
        <v/>
      </c>
      <c r="E267" s="180" t="str">
        <f t="shared" si="241"/>
        <v/>
      </c>
      <c r="G267" s="185" t="str">
        <f t="shared" si="242"/>
        <v/>
      </c>
      <c r="H267" s="173" t="str">
        <f t="shared" si="242"/>
        <v/>
      </c>
      <c r="I267" s="173" t="str">
        <f t="shared" si="242"/>
        <v/>
      </c>
      <c r="J267" s="180" t="str">
        <f t="shared" si="242"/>
        <v/>
      </c>
      <c r="L267" s="185" t="str">
        <f t="shared" si="243"/>
        <v/>
      </c>
      <c r="M267" s="173" t="str">
        <f t="shared" si="243"/>
        <v/>
      </c>
      <c r="N267" s="173" t="str">
        <f t="shared" si="243"/>
        <v/>
      </c>
      <c r="O267" s="180" t="str">
        <f t="shared" si="243"/>
        <v/>
      </c>
      <c r="Q267" s="185" t="str">
        <f t="shared" si="244"/>
        <v/>
      </c>
      <c r="R267" s="173" t="str">
        <f t="shared" si="244"/>
        <v/>
      </c>
      <c r="S267" s="173" t="str">
        <f t="shared" si="244"/>
        <v/>
      </c>
      <c r="T267" s="180" t="str">
        <f t="shared" si="244"/>
        <v/>
      </c>
      <c r="V267" s="185" t="str">
        <f t="shared" si="245"/>
        <v/>
      </c>
      <c r="W267" s="173" t="str">
        <f t="shared" si="245"/>
        <v/>
      </c>
      <c r="X267" s="173" t="str">
        <f t="shared" si="245"/>
        <v/>
      </c>
      <c r="Y267" s="180" t="str">
        <f t="shared" si="245"/>
        <v/>
      </c>
      <c r="AA267" s="185" t="str">
        <f t="shared" si="246"/>
        <v/>
      </c>
      <c r="AB267" s="173" t="str">
        <f t="shared" si="246"/>
        <v/>
      </c>
      <c r="AC267" s="173" t="str">
        <f t="shared" si="246"/>
        <v/>
      </c>
      <c r="AD267" s="180" t="str">
        <f t="shared" si="246"/>
        <v/>
      </c>
      <c r="AF267" s="185" t="str">
        <f t="shared" si="247"/>
        <v/>
      </c>
      <c r="AG267" s="173" t="str">
        <f t="shared" si="247"/>
        <v/>
      </c>
      <c r="AH267" s="173" t="str">
        <f t="shared" si="247"/>
        <v/>
      </c>
      <c r="AI267" s="180" t="str">
        <f t="shared" si="247"/>
        <v/>
      </c>
      <c r="AK267" s="185" t="str">
        <f t="shared" si="248"/>
        <v/>
      </c>
      <c r="AL267" s="173" t="str">
        <f t="shared" si="248"/>
        <v/>
      </c>
      <c r="AM267" s="173" t="str">
        <f t="shared" si="248"/>
        <v/>
      </c>
      <c r="AN267" s="180" t="str">
        <f t="shared" si="248"/>
        <v/>
      </c>
      <c r="AO267" s="96" t="s">
        <v>217</v>
      </c>
      <c r="AP267" s="241">
        <f t="shared" ref="AP267:AS277" si="256">IF(AP109="","",AP109)</f>
        <v>90</v>
      </c>
      <c r="AQ267" s="242">
        <f t="shared" si="256"/>
        <v>32</v>
      </c>
      <c r="AR267" s="242">
        <f t="shared" si="256"/>
        <v>900</v>
      </c>
      <c r="AS267" s="243">
        <f t="shared" si="256"/>
        <v>14</v>
      </c>
      <c r="AT267" s="288"/>
      <c r="AU267" s="185" t="str">
        <f t="shared" si="250"/>
        <v/>
      </c>
      <c r="AV267" s="173" t="str">
        <f t="shared" si="250"/>
        <v/>
      </c>
      <c r="AW267" s="173" t="str">
        <f t="shared" si="250"/>
        <v/>
      </c>
      <c r="AX267" s="180" t="str">
        <f t="shared" si="250"/>
        <v/>
      </c>
      <c r="AZ267" s="185" t="str">
        <f t="shared" si="251"/>
        <v/>
      </c>
      <c r="BA267" s="173" t="str">
        <f t="shared" si="251"/>
        <v/>
      </c>
      <c r="BB267" s="173" t="str">
        <f t="shared" si="251"/>
        <v/>
      </c>
      <c r="BC267" s="180" t="str">
        <f t="shared" si="251"/>
        <v/>
      </c>
      <c r="BE267" s="185" t="str">
        <f t="shared" si="252"/>
        <v/>
      </c>
      <c r="BF267" s="173" t="str">
        <f t="shared" si="252"/>
        <v/>
      </c>
      <c r="BG267" s="173" t="str">
        <f t="shared" si="252"/>
        <v/>
      </c>
      <c r="BH267" s="180" t="str">
        <f t="shared" si="252"/>
        <v/>
      </c>
      <c r="BI267" s="288"/>
      <c r="BJ267" s="185" t="str">
        <f t="shared" si="253"/>
        <v/>
      </c>
      <c r="BK267" s="173" t="str">
        <f t="shared" si="253"/>
        <v/>
      </c>
      <c r="BL267" s="173" t="str">
        <f t="shared" si="253"/>
        <v/>
      </c>
      <c r="BM267" s="180" t="str">
        <f t="shared" si="253"/>
        <v/>
      </c>
      <c r="BO267" s="185" t="str">
        <f t="shared" si="254"/>
        <v/>
      </c>
      <c r="BP267" s="173" t="str">
        <f t="shared" si="254"/>
        <v/>
      </c>
      <c r="BQ267" s="173" t="str">
        <f t="shared" si="254"/>
        <v/>
      </c>
      <c r="BR267" s="180" t="str">
        <f t="shared" si="254"/>
        <v/>
      </c>
      <c r="BT267" s="185" t="str">
        <f t="shared" si="255"/>
        <v/>
      </c>
      <c r="BU267" s="173" t="str">
        <f t="shared" si="255"/>
        <v/>
      </c>
      <c r="BV267" s="173" t="str">
        <f t="shared" si="255"/>
        <v/>
      </c>
      <c r="BW267" s="180" t="str">
        <f t="shared" si="255"/>
        <v/>
      </c>
      <c r="BX267" s="288"/>
      <c r="CM267" s="96"/>
    </row>
    <row r="268" spans="1:91">
      <c r="A268" s="284"/>
      <c r="B268" s="185" t="str">
        <f t="shared" ref="B268:E277" si="257">IF(B110="","",B110)</f>
        <v/>
      </c>
      <c r="C268" s="173" t="str">
        <f t="shared" si="257"/>
        <v/>
      </c>
      <c r="D268" s="173" t="str">
        <f t="shared" si="257"/>
        <v/>
      </c>
      <c r="E268" s="180" t="str">
        <f t="shared" si="257"/>
        <v/>
      </c>
      <c r="G268" s="185" t="str">
        <f t="shared" ref="G268:J277" si="258">IF(G110="","",G110)</f>
        <v/>
      </c>
      <c r="H268" s="173" t="str">
        <f t="shared" si="258"/>
        <v/>
      </c>
      <c r="I268" s="173" t="str">
        <f t="shared" si="258"/>
        <v/>
      </c>
      <c r="J268" s="180" t="str">
        <f t="shared" si="258"/>
        <v/>
      </c>
      <c r="L268" s="185" t="str">
        <f t="shared" ref="L268:O277" si="259">IF(L110="","",L110)</f>
        <v/>
      </c>
      <c r="M268" s="173" t="str">
        <f t="shared" si="259"/>
        <v/>
      </c>
      <c r="N268" s="173" t="str">
        <f t="shared" si="259"/>
        <v/>
      </c>
      <c r="O268" s="180" t="str">
        <f t="shared" si="259"/>
        <v/>
      </c>
      <c r="Q268" s="185" t="str">
        <f t="shared" ref="Q268:T277" si="260">IF(Q110="","",Q110)</f>
        <v/>
      </c>
      <c r="R268" s="173" t="str">
        <f t="shared" si="260"/>
        <v/>
      </c>
      <c r="S268" s="173" t="str">
        <f t="shared" si="260"/>
        <v/>
      </c>
      <c r="T268" s="180" t="str">
        <f t="shared" si="260"/>
        <v/>
      </c>
      <c r="V268" s="185" t="str">
        <f t="shared" ref="V268:Y277" si="261">IF(V110="","",V110)</f>
        <v/>
      </c>
      <c r="W268" s="173" t="str">
        <f t="shared" si="261"/>
        <v/>
      </c>
      <c r="X268" s="173" t="str">
        <f t="shared" si="261"/>
        <v/>
      </c>
      <c r="Y268" s="180" t="str">
        <f t="shared" si="261"/>
        <v/>
      </c>
      <c r="AA268" s="185" t="str">
        <f t="shared" ref="AA268:AD277" si="262">IF(AA110="","",AA110)</f>
        <v/>
      </c>
      <c r="AB268" s="173" t="str">
        <f t="shared" si="262"/>
        <v/>
      </c>
      <c r="AC268" s="173" t="str">
        <f t="shared" si="262"/>
        <v/>
      </c>
      <c r="AD268" s="180" t="str">
        <f t="shared" si="262"/>
        <v/>
      </c>
      <c r="AF268" s="185" t="str">
        <f t="shared" ref="AF268:AI277" si="263">IF(AF110="","",AF110)</f>
        <v/>
      </c>
      <c r="AG268" s="173" t="str">
        <f t="shared" si="263"/>
        <v/>
      </c>
      <c r="AH268" s="173" t="str">
        <f t="shared" si="263"/>
        <v/>
      </c>
      <c r="AI268" s="180" t="str">
        <f t="shared" si="263"/>
        <v/>
      </c>
      <c r="AK268" s="185" t="str">
        <f t="shared" ref="AK268:AN277" si="264">IF(AK110="","",AK110)</f>
        <v/>
      </c>
      <c r="AL268" s="173" t="str">
        <f t="shared" si="264"/>
        <v/>
      </c>
      <c r="AM268" s="173" t="str">
        <f t="shared" si="264"/>
        <v/>
      </c>
      <c r="AN268" s="180" t="str">
        <f t="shared" si="264"/>
        <v/>
      </c>
      <c r="AP268" s="244">
        <f t="shared" si="256"/>
        <v>90</v>
      </c>
      <c r="AQ268" s="245">
        <f t="shared" si="256"/>
        <v>75</v>
      </c>
      <c r="AR268" s="245">
        <f t="shared" si="256"/>
        <v>900</v>
      </c>
      <c r="AS268" s="246">
        <f t="shared" si="256"/>
        <v>14</v>
      </c>
      <c r="AT268" s="288"/>
      <c r="AU268" s="185" t="str">
        <f t="shared" ref="AU268:AX277" si="265">IF(AU110="","",AU110)</f>
        <v/>
      </c>
      <c r="AV268" s="173" t="str">
        <f t="shared" si="265"/>
        <v/>
      </c>
      <c r="AW268" s="173" t="str">
        <f t="shared" si="265"/>
        <v/>
      </c>
      <c r="AX268" s="180" t="str">
        <f t="shared" si="265"/>
        <v/>
      </c>
      <c r="AZ268" s="185" t="str">
        <f t="shared" ref="AZ268:BC277" si="266">IF(AZ110="","",AZ110)</f>
        <v/>
      </c>
      <c r="BA268" s="173" t="str">
        <f t="shared" si="266"/>
        <v/>
      </c>
      <c r="BB268" s="173" t="str">
        <f t="shared" si="266"/>
        <v/>
      </c>
      <c r="BC268" s="180" t="str">
        <f t="shared" si="266"/>
        <v/>
      </c>
      <c r="BE268" s="185" t="str">
        <f t="shared" ref="BE268:BH277" si="267">IF(BE110="","",BE110)</f>
        <v/>
      </c>
      <c r="BF268" s="173" t="str">
        <f t="shared" si="267"/>
        <v/>
      </c>
      <c r="BG268" s="173" t="str">
        <f t="shared" si="267"/>
        <v/>
      </c>
      <c r="BH268" s="180" t="str">
        <f t="shared" si="267"/>
        <v/>
      </c>
      <c r="BI268" s="288"/>
      <c r="BJ268" s="185" t="str">
        <f t="shared" ref="BJ268:BM277" si="268">IF(BJ110="","",BJ110)</f>
        <v/>
      </c>
      <c r="BK268" s="173" t="str">
        <f t="shared" si="268"/>
        <v/>
      </c>
      <c r="BL268" s="173" t="str">
        <f t="shared" si="268"/>
        <v/>
      </c>
      <c r="BM268" s="180" t="str">
        <f t="shared" si="268"/>
        <v/>
      </c>
      <c r="BO268" s="185" t="str">
        <f t="shared" ref="BO268:BR277" si="269">IF(BO110="","",BO110)</f>
        <v/>
      </c>
      <c r="BP268" s="173" t="str">
        <f t="shared" si="269"/>
        <v/>
      </c>
      <c r="BQ268" s="173" t="str">
        <f t="shared" si="269"/>
        <v/>
      </c>
      <c r="BR268" s="180" t="str">
        <f t="shared" si="269"/>
        <v/>
      </c>
      <c r="BT268" s="185" t="str">
        <f t="shared" ref="BT268:BW277" si="270">IF(BT110="","",BT110)</f>
        <v/>
      </c>
      <c r="BU268" s="173" t="str">
        <f t="shared" si="270"/>
        <v/>
      </c>
      <c r="BV268" s="173" t="str">
        <f t="shared" si="270"/>
        <v/>
      </c>
      <c r="BW268" s="180" t="str">
        <f t="shared" si="270"/>
        <v/>
      </c>
      <c r="BX268" s="288"/>
      <c r="CM268" s="96"/>
    </row>
    <row r="269" spans="1:91">
      <c r="A269" s="284"/>
      <c r="B269" s="185" t="str">
        <f t="shared" si="257"/>
        <v/>
      </c>
      <c r="C269" s="173" t="str">
        <f t="shared" si="257"/>
        <v/>
      </c>
      <c r="D269" s="173" t="str">
        <f t="shared" si="257"/>
        <v/>
      </c>
      <c r="E269" s="180" t="str">
        <f t="shared" si="257"/>
        <v/>
      </c>
      <c r="G269" s="185" t="str">
        <f t="shared" si="258"/>
        <v/>
      </c>
      <c r="H269" s="173" t="str">
        <f t="shared" si="258"/>
        <v/>
      </c>
      <c r="I269" s="173" t="str">
        <f t="shared" si="258"/>
        <v/>
      </c>
      <c r="J269" s="180" t="str">
        <f t="shared" si="258"/>
        <v/>
      </c>
      <c r="L269" s="185" t="str">
        <f t="shared" si="259"/>
        <v/>
      </c>
      <c r="M269" s="173" t="str">
        <f t="shared" si="259"/>
        <v/>
      </c>
      <c r="N269" s="173" t="str">
        <f t="shared" si="259"/>
        <v/>
      </c>
      <c r="O269" s="180" t="str">
        <f t="shared" si="259"/>
        <v/>
      </c>
      <c r="Q269" s="185" t="str">
        <f t="shared" si="260"/>
        <v/>
      </c>
      <c r="R269" s="173" t="str">
        <f t="shared" si="260"/>
        <v/>
      </c>
      <c r="S269" s="173" t="str">
        <f t="shared" si="260"/>
        <v/>
      </c>
      <c r="T269" s="180" t="str">
        <f t="shared" si="260"/>
        <v/>
      </c>
      <c r="V269" s="185" t="str">
        <f t="shared" si="261"/>
        <v/>
      </c>
      <c r="W269" s="173" t="str">
        <f t="shared" si="261"/>
        <v/>
      </c>
      <c r="X269" s="173" t="str">
        <f t="shared" si="261"/>
        <v/>
      </c>
      <c r="Y269" s="180" t="str">
        <f t="shared" si="261"/>
        <v/>
      </c>
      <c r="AA269" s="185" t="str">
        <f t="shared" si="262"/>
        <v/>
      </c>
      <c r="AB269" s="173" t="str">
        <f t="shared" si="262"/>
        <v/>
      </c>
      <c r="AC269" s="173" t="str">
        <f t="shared" si="262"/>
        <v/>
      </c>
      <c r="AD269" s="180" t="str">
        <f t="shared" si="262"/>
        <v/>
      </c>
      <c r="AF269" s="185" t="str">
        <f t="shared" si="263"/>
        <v/>
      </c>
      <c r="AG269" s="173" t="str">
        <f t="shared" si="263"/>
        <v/>
      </c>
      <c r="AH269" s="173" t="str">
        <f t="shared" si="263"/>
        <v/>
      </c>
      <c r="AI269" s="180" t="str">
        <f t="shared" si="263"/>
        <v/>
      </c>
      <c r="AK269" s="185" t="str">
        <f t="shared" si="264"/>
        <v/>
      </c>
      <c r="AL269" s="173" t="str">
        <f t="shared" si="264"/>
        <v/>
      </c>
      <c r="AM269" s="173" t="str">
        <f t="shared" si="264"/>
        <v/>
      </c>
      <c r="AN269" s="180" t="str">
        <f t="shared" si="264"/>
        <v/>
      </c>
      <c r="AP269" s="247">
        <f t="shared" si="256"/>
        <v>90</v>
      </c>
      <c r="AQ269" s="248">
        <f t="shared" si="256"/>
        <v>118</v>
      </c>
      <c r="AR269" s="248">
        <f t="shared" si="256"/>
        <v>900</v>
      </c>
      <c r="AS269" s="249">
        <f t="shared" si="256"/>
        <v>14</v>
      </c>
      <c r="AT269" s="288"/>
      <c r="AU269" s="185" t="str">
        <f t="shared" si="265"/>
        <v/>
      </c>
      <c r="AV269" s="173" t="str">
        <f t="shared" si="265"/>
        <v/>
      </c>
      <c r="AW269" s="173" t="str">
        <f t="shared" si="265"/>
        <v/>
      </c>
      <c r="AX269" s="180" t="str">
        <f t="shared" si="265"/>
        <v/>
      </c>
      <c r="AZ269" s="185" t="str">
        <f t="shared" si="266"/>
        <v/>
      </c>
      <c r="BA269" s="173" t="str">
        <f t="shared" si="266"/>
        <v/>
      </c>
      <c r="BB269" s="173" t="str">
        <f t="shared" si="266"/>
        <v/>
      </c>
      <c r="BC269" s="180" t="str">
        <f t="shared" si="266"/>
        <v/>
      </c>
      <c r="BE269" s="185" t="str">
        <f t="shared" si="267"/>
        <v/>
      </c>
      <c r="BF269" s="173" t="str">
        <f t="shared" si="267"/>
        <v/>
      </c>
      <c r="BG269" s="173" t="str">
        <f t="shared" si="267"/>
        <v/>
      </c>
      <c r="BH269" s="180" t="str">
        <f t="shared" si="267"/>
        <v/>
      </c>
      <c r="BI269" s="288"/>
      <c r="BJ269" s="185" t="str">
        <f t="shared" si="268"/>
        <v/>
      </c>
      <c r="BK269" s="173" t="str">
        <f t="shared" si="268"/>
        <v/>
      </c>
      <c r="BL269" s="173" t="str">
        <f t="shared" si="268"/>
        <v/>
      </c>
      <c r="BM269" s="180" t="str">
        <f t="shared" si="268"/>
        <v/>
      </c>
      <c r="BO269" s="185" t="str">
        <f t="shared" si="269"/>
        <v/>
      </c>
      <c r="BP269" s="173" t="str">
        <f t="shared" si="269"/>
        <v/>
      </c>
      <c r="BQ269" s="173" t="str">
        <f t="shared" si="269"/>
        <v/>
      </c>
      <c r="BR269" s="180" t="str">
        <f t="shared" si="269"/>
        <v/>
      </c>
      <c r="BT269" s="185" t="str">
        <f t="shared" si="270"/>
        <v/>
      </c>
      <c r="BU269" s="173" t="str">
        <f t="shared" si="270"/>
        <v/>
      </c>
      <c r="BV269" s="173" t="str">
        <f t="shared" si="270"/>
        <v/>
      </c>
      <c r="BW269" s="180" t="str">
        <f t="shared" si="270"/>
        <v/>
      </c>
      <c r="BX269" s="288"/>
      <c r="CM269" s="96"/>
    </row>
    <row r="270" spans="1:91">
      <c r="A270" s="284"/>
      <c r="B270" s="185" t="str">
        <f t="shared" si="257"/>
        <v/>
      </c>
      <c r="C270" s="173" t="str">
        <f t="shared" si="257"/>
        <v/>
      </c>
      <c r="D270" s="173" t="str">
        <f t="shared" si="257"/>
        <v/>
      </c>
      <c r="E270" s="180" t="str">
        <f t="shared" si="257"/>
        <v/>
      </c>
      <c r="G270" s="185" t="str">
        <f t="shared" si="258"/>
        <v/>
      </c>
      <c r="H270" s="173" t="str">
        <f t="shared" si="258"/>
        <v/>
      </c>
      <c r="I270" s="173" t="str">
        <f t="shared" si="258"/>
        <v/>
      </c>
      <c r="J270" s="180" t="str">
        <f t="shared" si="258"/>
        <v/>
      </c>
      <c r="L270" s="185" t="str">
        <f t="shared" si="259"/>
        <v/>
      </c>
      <c r="M270" s="173" t="str">
        <f t="shared" si="259"/>
        <v/>
      </c>
      <c r="N270" s="173" t="str">
        <f t="shared" si="259"/>
        <v/>
      </c>
      <c r="O270" s="180" t="str">
        <f t="shared" si="259"/>
        <v/>
      </c>
      <c r="Q270" s="185" t="str">
        <f t="shared" si="260"/>
        <v/>
      </c>
      <c r="R270" s="173" t="str">
        <f t="shared" si="260"/>
        <v/>
      </c>
      <c r="S270" s="173" t="str">
        <f t="shared" si="260"/>
        <v/>
      </c>
      <c r="T270" s="180" t="str">
        <f t="shared" si="260"/>
        <v/>
      </c>
      <c r="V270" s="185" t="str">
        <f t="shared" si="261"/>
        <v/>
      </c>
      <c r="W270" s="173" t="str">
        <f t="shared" si="261"/>
        <v/>
      </c>
      <c r="X270" s="173" t="str">
        <f t="shared" si="261"/>
        <v/>
      </c>
      <c r="Y270" s="180" t="str">
        <f t="shared" si="261"/>
        <v/>
      </c>
      <c r="AA270" s="185" t="str">
        <f t="shared" si="262"/>
        <v/>
      </c>
      <c r="AB270" s="173" t="str">
        <f t="shared" si="262"/>
        <v/>
      </c>
      <c r="AC270" s="173" t="str">
        <f t="shared" si="262"/>
        <v/>
      </c>
      <c r="AD270" s="180" t="str">
        <f t="shared" si="262"/>
        <v/>
      </c>
      <c r="AF270" s="185" t="str">
        <f t="shared" si="263"/>
        <v/>
      </c>
      <c r="AG270" s="173" t="str">
        <f t="shared" si="263"/>
        <v/>
      </c>
      <c r="AH270" s="173" t="str">
        <f t="shared" si="263"/>
        <v/>
      </c>
      <c r="AI270" s="180" t="str">
        <f t="shared" si="263"/>
        <v/>
      </c>
      <c r="AK270" s="185" t="str">
        <f t="shared" si="264"/>
        <v/>
      </c>
      <c r="AL270" s="173" t="str">
        <f t="shared" si="264"/>
        <v/>
      </c>
      <c r="AM270" s="173" t="str">
        <f t="shared" si="264"/>
        <v/>
      </c>
      <c r="AN270" s="180" t="str">
        <f t="shared" si="264"/>
        <v/>
      </c>
      <c r="AP270" s="241">
        <f t="shared" si="256"/>
        <v>45</v>
      </c>
      <c r="AQ270" s="242">
        <f t="shared" si="256"/>
        <v>10</v>
      </c>
      <c r="AR270" s="242">
        <f t="shared" si="256"/>
        <v>980</v>
      </c>
      <c r="AS270" s="243">
        <f t="shared" si="256"/>
        <v>18</v>
      </c>
      <c r="AT270" s="288"/>
      <c r="AU270" s="185" t="str">
        <f t="shared" si="265"/>
        <v/>
      </c>
      <c r="AV270" s="173" t="str">
        <f t="shared" si="265"/>
        <v/>
      </c>
      <c r="AW270" s="173" t="str">
        <f t="shared" si="265"/>
        <v/>
      </c>
      <c r="AX270" s="180" t="str">
        <f t="shared" si="265"/>
        <v/>
      </c>
      <c r="AZ270" s="185" t="str">
        <f t="shared" si="266"/>
        <v/>
      </c>
      <c r="BA270" s="173" t="str">
        <f t="shared" si="266"/>
        <v/>
      </c>
      <c r="BB270" s="173" t="str">
        <f t="shared" si="266"/>
        <v/>
      </c>
      <c r="BC270" s="180" t="str">
        <f t="shared" si="266"/>
        <v/>
      </c>
      <c r="BE270" s="185" t="str">
        <f t="shared" si="267"/>
        <v/>
      </c>
      <c r="BF270" s="173" t="str">
        <f t="shared" si="267"/>
        <v/>
      </c>
      <c r="BG270" s="173" t="str">
        <f t="shared" si="267"/>
        <v/>
      </c>
      <c r="BH270" s="180" t="str">
        <f t="shared" si="267"/>
        <v/>
      </c>
      <c r="BI270" s="288"/>
      <c r="BJ270" s="185" t="str">
        <f t="shared" si="268"/>
        <v/>
      </c>
      <c r="BK270" s="173" t="str">
        <f t="shared" si="268"/>
        <v/>
      </c>
      <c r="BL270" s="173" t="str">
        <f t="shared" si="268"/>
        <v/>
      </c>
      <c r="BM270" s="180" t="str">
        <f t="shared" si="268"/>
        <v/>
      </c>
      <c r="BO270" s="185" t="str">
        <f t="shared" si="269"/>
        <v/>
      </c>
      <c r="BP270" s="173" t="str">
        <f t="shared" si="269"/>
        <v/>
      </c>
      <c r="BQ270" s="173" t="str">
        <f t="shared" si="269"/>
        <v/>
      </c>
      <c r="BR270" s="180" t="str">
        <f t="shared" si="269"/>
        <v/>
      </c>
      <c r="BT270" s="185" t="str">
        <f t="shared" si="270"/>
        <v/>
      </c>
      <c r="BU270" s="173" t="str">
        <f t="shared" si="270"/>
        <v/>
      </c>
      <c r="BV270" s="173" t="str">
        <f t="shared" si="270"/>
        <v/>
      </c>
      <c r="BW270" s="180" t="str">
        <f t="shared" si="270"/>
        <v/>
      </c>
      <c r="BX270" s="288"/>
      <c r="CM270" s="96"/>
    </row>
    <row r="271" spans="1:91">
      <c r="A271" s="284"/>
      <c r="B271" s="185" t="str">
        <f t="shared" si="257"/>
        <v/>
      </c>
      <c r="C271" s="173" t="str">
        <f t="shared" si="257"/>
        <v/>
      </c>
      <c r="D271" s="173" t="str">
        <f t="shared" si="257"/>
        <v/>
      </c>
      <c r="E271" s="180" t="str">
        <f t="shared" si="257"/>
        <v/>
      </c>
      <c r="G271" s="185" t="str">
        <f t="shared" si="258"/>
        <v/>
      </c>
      <c r="H271" s="173" t="str">
        <f t="shared" si="258"/>
        <v/>
      </c>
      <c r="I271" s="173" t="str">
        <f t="shared" si="258"/>
        <v/>
      </c>
      <c r="J271" s="180" t="str">
        <f t="shared" si="258"/>
        <v/>
      </c>
      <c r="L271" s="185" t="str">
        <f t="shared" si="259"/>
        <v/>
      </c>
      <c r="M271" s="173" t="str">
        <f t="shared" si="259"/>
        <v/>
      </c>
      <c r="N271" s="173" t="str">
        <f t="shared" si="259"/>
        <v/>
      </c>
      <c r="O271" s="180" t="str">
        <f t="shared" si="259"/>
        <v/>
      </c>
      <c r="Q271" s="185" t="str">
        <f t="shared" si="260"/>
        <v/>
      </c>
      <c r="R271" s="173" t="str">
        <f t="shared" si="260"/>
        <v/>
      </c>
      <c r="S271" s="173" t="str">
        <f t="shared" si="260"/>
        <v/>
      </c>
      <c r="T271" s="180" t="str">
        <f t="shared" si="260"/>
        <v/>
      </c>
      <c r="V271" s="185" t="str">
        <f t="shared" si="261"/>
        <v/>
      </c>
      <c r="W271" s="173" t="str">
        <f t="shared" si="261"/>
        <v/>
      </c>
      <c r="X271" s="173" t="str">
        <f t="shared" si="261"/>
        <v/>
      </c>
      <c r="Y271" s="180" t="str">
        <f t="shared" si="261"/>
        <v/>
      </c>
      <c r="AA271" s="185" t="str">
        <f t="shared" si="262"/>
        <v/>
      </c>
      <c r="AB271" s="173" t="str">
        <f t="shared" si="262"/>
        <v/>
      </c>
      <c r="AC271" s="173" t="str">
        <f t="shared" si="262"/>
        <v/>
      </c>
      <c r="AD271" s="180" t="str">
        <f t="shared" si="262"/>
        <v/>
      </c>
      <c r="AF271" s="185" t="str">
        <f t="shared" si="263"/>
        <v/>
      </c>
      <c r="AG271" s="173" t="str">
        <f t="shared" si="263"/>
        <v/>
      </c>
      <c r="AH271" s="173" t="str">
        <f t="shared" si="263"/>
        <v/>
      </c>
      <c r="AI271" s="180" t="str">
        <f t="shared" si="263"/>
        <v/>
      </c>
      <c r="AK271" s="185" t="str">
        <f t="shared" si="264"/>
        <v/>
      </c>
      <c r="AL271" s="173" t="str">
        <f t="shared" si="264"/>
        <v/>
      </c>
      <c r="AM271" s="173" t="str">
        <f t="shared" si="264"/>
        <v/>
      </c>
      <c r="AN271" s="180" t="str">
        <f t="shared" si="264"/>
        <v/>
      </c>
      <c r="AP271" s="244">
        <f t="shared" si="256"/>
        <v>45</v>
      </c>
      <c r="AQ271" s="245">
        <f t="shared" si="256"/>
        <v>10</v>
      </c>
      <c r="AR271" s="245">
        <f t="shared" si="256"/>
        <v>923</v>
      </c>
      <c r="AS271" s="246">
        <f t="shared" si="256"/>
        <v>18</v>
      </c>
      <c r="AT271" s="288"/>
      <c r="AU271" s="185" t="str">
        <f t="shared" si="265"/>
        <v/>
      </c>
      <c r="AV271" s="173" t="str">
        <f t="shared" si="265"/>
        <v/>
      </c>
      <c r="AW271" s="173" t="str">
        <f t="shared" si="265"/>
        <v/>
      </c>
      <c r="AX271" s="180" t="str">
        <f t="shared" si="265"/>
        <v/>
      </c>
      <c r="AZ271" s="185" t="str">
        <f t="shared" si="266"/>
        <v/>
      </c>
      <c r="BA271" s="173" t="str">
        <f t="shared" si="266"/>
        <v/>
      </c>
      <c r="BB271" s="173" t="str">
        <f t="shared" si="266"/>
        <v/>
      </c>
      <c r="BC271" s="180" t="str">
        <f t="shared" si="266"/>
        <v/>
      </c>
      <c r="BE271" s="185" t="str">
        <f t="shared" si="267"/>
        <v/>
      </c>
      <c r="BF271" s="173" t="str">
        <f t="shared" si="267"/>
        <v/>
      </c>
      <c r="BG271" s="173" t="str">
        <f t="shared" si="267"/>
        <v/>
      </c>
      <c r="BH271" s="180" t="str">
        <f t="shared" si="267"/>
        <v/>
      </c>
      <c r="BI271" s="288"/>
      <c r="BJ271" s="185" t="str">
        <f t="shared" si="268"/>
        <v/>
      </c>
      <c r="BK271" s="173" t="str">
        <f t="shared" si="268"/>
        <v/>
      </c>
      <c r="BL271" s="173" t="str">
        <f t="shared" si="268"/>
        <v/>
      </c>
      <c r="BM271" s="180" t="str">
        <f t="shared" si="268"/>
        <v/>
      </c>
      <c r="BO271" s="185" t="str">
        <f t="shared" si="269"/>
        <v/>
      </c>
      <c r="BP271" s="173" t="str">
        <f t="shared" si="269"/>
        <v/>
      </c>
      <c r="BQ271" s="173" t="str">
        <f t="shared" si="269"/>
        <v/>
      </c>
      <c r="BR271" s="180" t="str">
        <f t="shared" si="269"/>
        <v/>
      </c>
      <c r="BT271" s="185" t="str">
        <f t="shared" si="270"/>
        <v/>
      </c>
      <c r="BU271" s="173" t="str">
        <f t="shared" si="270"/>
        <v/>
      </c>
      <c r="BV271" s="173" t="str">
        <f t="shared" si="270"/>
        <v/>
      </c>
      <c r="BW271" s="180" t="str">
        <f t="shared" si="270"/>
        <v/>
      </c>
      <c r="BX271" s="288"/>
      <c r="CM271" s="96"/>
    </row>
    <row r="272" spans="1:91">
      <c r="A272" s="284"/>
      <c r="B272" s="185" t="str">
        <f t="shared" si="257"/>
        <v/>
      </c>
      <c r="C272" s="173" t="str">
        <f t="shared" si="257"/>
        <v/>
      </c>
      <c r="D272" s="173" t="str">
        <f t="shared" si="257"/>
        <v/>
      </c>
      <c r="E272" s="180" t="str">
        <f t="shared" si="257"/>
        <v/>
      </c>
      <c r="G272" s="185" t="str">
        <f t="shared" si="258"/>
        <v/>
      </c>
      <c r="H272" s="173" t="str">
        <f t="shared" si="258"/>
        <v/>
      </c>
      <c r="I272" s="173" t="str">
        <f t="shared" si="258"/>
        <v/>
      </c>
      <c r="J272" s="180" t="str">
        <f t="shared" si="258"/>
        <v/>
      </c>
      <c r="L272" s="185" t="str">
        <f t="shared" si="259"/>
        <v/>
      </c>
      <c r="M272" s="173" t="str">
        <f t="shared" si="259"/>
        <v/>
      </c>
      <c r="N272" s="173" t="str">
        <f t="shared" si="259"/>
        <v/>
      </c>
      <c r="O272" s="180" t="str">
        <f t="shared" si="259"/>
        <v/>
      </c>
      <c r="Q272" s="185" t="str">
        <f t="shared" si="260"/>
        <v/>
      </c>
      <c r="R272" s="173" t="str">
        <f t="shared" si="260"/>
        <v/>
      </c>
      <c r="S272" s="173" t="str">
        <f t="shared" si="260"/>
        <v/>
      </c>
      <c r="T272" s="180" t="str">
        <f t="shared" si="260"/>
        <v/>
      </c>
      <c r="V272" s="185" t="str">
        <f t="shared" si="261"/>
        <v/>
      </c>
      <c r="W272" s="173" t="str">
        <f t="shared" si="261"/>
        <v/>
      </c>
      <c r="X272" s="173" t="str">
        <f t="shared" si="261"/>
        <v/>
      </c>
      <c r="Y272" s="180" t="str">
        <f t="shared" si="261"/>
        <v/>
      </c>
      <c r="AA272" s="185" t="str">
        <f t="shared" si="262"/>
        <v/>
      </c>
      <c r="AB272" s="173" t="str">
        <f t="shared" si="262"/>
        <v/>
      </c>
      <c r="AC272" s="173" t="str">
        <f t="shared" si="262"/>
        <v/>
      </c>
      <c r="AD272" s="180" t="str">
        <f t="shared" si="262"/>
        <v/>
      </c>
      <c r="AF272" s="185" t="str">
        <f t="shared" si="263"/>
        <v/>
      </c>
      <c r="AG272" s="173" t="str">
        <f t="shared" si="263"/>
        <v/>
      </c>
      <c r="AH272" s="173" t="str">
        <f t="shared" si="263"/>
        <v/>
      </c>
      <c r="AI272" s="180" t="str">
        <f t="shared" si="263"/>
        <v/>
      </c>
      <c r="AK272" s="185" t="str">
        <f t="shared" si="264"/>
        <v/>
      </c>
      <c r="AL272" s="173" t="str">
        <f t="shared" si="264"/>
        <v/>
      </c>
      <c r="AM272" s="173" t="str">
        <f t="shared" si="264"/>
        <v/>
      </c>
      <c r="AN272" s="180" t="str">
        <f t="shared" si="264"/>
        <v/>
      </c>
      <c r="AP272" s="244">
        <f t="shared" si="256"/>
        <v>45</v>
      </c>
      <c r="AQ272" s="245">
        <f t="shared" si="256"/>
        <v>54</v>
      </c>
      <c r="AR272" s="245">
        <f t="shared" si="256"/>
        <v>980</v>
      </c>
      <c r="AS272" s="246">
        <f t="shared" si="256"/>
        <v>18</v>
      </c>
      <c r="AT272" s="288"/>
      <c r="AU272" s="185" t="str">
        <f t="shared" si="265"/>
        <v/>
      </c>
      <c r="AV272" s="173" t="str">
        <f t="shared" si="265"/>
        <v/>
      </c>
      <c r="AW272" s="173" t="str">
        <f t="shared" si="265"/>
        <v/>
      </c>
      <c r="AX272" s="180" t="str">
        <f t="shared" si="265"/>
        <v/>
      </c>
      <c r="AZ272" s="185" t="str">
        <f t="shared" si="266"/>
        <v/>
      </c>
      <c r="BA272" s="173" t="str">
        <f t="shared" si="266"/>
        <v/>
      </c>
      <c r="BB272" s="173" t="str">
        <f t="shared" si="266"/>
        <v/>
      </c>
      <c r="BC272" s="180" t="str">
        <f t="shared" si="266"/>
        <v/>
      </c>
      <c r="BE272" s="185" t="str">
        <f t="shared" si="267"/>
        <v/>
      </c>
      <c r="BF272" s="173" t="str">
        <f t="shared" si="267"/>
        <v/>
      </c>
      <c r="BG272" s="173" t="str">
        <f t="shared" si="267"/>
        <v/>
      </c>
      <c r="BH272" s="180" t="str">
        <f t="shared" si="267"/>
        <v/>
      </c>
      <c r="BI272" s="288"/>
      <c r="BJ272" s="185" t="str">
        <f t="shared" si="268"/>
        <v/>
      </c>
      <c r="BK272" s="173" t="str">
        <f t="shared" si="268"/>
        <v/>
      </c>
      <c r="BL272" s="173" t="str">
        <f t="shared" si="268"/>
        <v/>
      </c>
      <c r="BM272" s="180" t="str">
        <f t="shared" si="268"/>
        <v/>
      </c>
      <c r="BO272" s="185" t="str">
        <f t="shared" si="269"/>
        <v/>
      </c>
      <c r="BP272" s="173" t="str">
        <f t="shared" si="269"/>
        <v/>
      </c>
      <c r="BQ272" s="173" t="str">
        <f t="shared" si="269"/>
        <v/>
      </c>
      <c r="BR272" s="180" t="str">
        <f t="shared" si="269"/>
        <v/>
      </c>
      <c r="BT272" s="185" t="str">
        <f t="shared" si="270"/>
        <v/>
      </c>
      <c r="BU272" s="173" t="str">
        <f t="shared" si="270"/>
        <v/>
      </c>
      <c r="BV272" s="173" t="str">
        <f t="shared" si="270"/>
        <v/>
      </c>
      <c r="BW272" s="180" t="str">
        <f t="shared" si="270"/>
        <v/>
      </c>
      <c r="BX272" s="288"/>
      <c r="CM272" s="96"/>
    </row>
    <row r="273" spans="1:91">
      <c r="A273" s="284"/>
      <c r="B273" s="185" t="str">
        <f t="shared" si="257"/>
        <v/>
      </c>
      <c r="C273" s="173" t="str">
        <f t="shared" si="257"/>
        <v/>
      </c>
      <c r="D273" s="173" t="str">
        <f t="shared" si="257"/>
        <v/>
      </c>
      <c r="E273" s="180" t="str">
        <f t="shared" si="257"/>
        <v/>
      </c>
      <c r="G273" s="185" t="str">
        <f t="shared" si="258"/>
        <v/>
      </c>
      <c r="H273" s="173" t="str">
        <f t="shared" si="258"/>
        <v/>
      </c>
      <c r="I273" s="173" t="str">
        <f t="shared" si="258"/>
        <v/>
      </c>
      <c r="J273" s="180" t="str">
        <f t="shared" si="258"/>
        <v/>
      </c>
      <c r="L273" s="185" t="str">
        <f t="shared" si="259"/>
        <v/>
      </c>
      <c r="M273" s="173" t="str">
        <f t="shared" si="259"/>
        <v/>
      </c>
      <c r="N273" s="173" t="str">
        <f t="shared" si="259"/>
        <v/>
      </c>
      <c r="O273" s="180" t="str">
        <f t="shared" si="259"/>
        <v/>
      </c>
      <c r="Q273" s="185" t="str">
        <f t="shared" si="260"/>
        <v/>
      </c>
      <c r="R273" s="173" t="str">
        <f t="shared" si="260"/>
        <v/>
      </c>
      <c r="S273" s="173" t="str">
        <f t="shared" si="260"/>
        <v/>
      </c>
      <c r="T273" s="180" t="str">
        <f t="shared" si="260"/>
        <v/>
      </c>
      <c r="V273" s="185" t="str">
        <f t="shared" si="261"/>
        <v/>
      </c>
      <c r="W273" s="173" t="str">
        <f t="shared" si="261"/>
        <v/>
      </c>
      <c r="X273" s="173" t="str">
        <f t="shared" si="261"/>
        <v/>
      </c>
      <c r="Y273" s="180" t="str">
        <f t="shared" si="261"/>
        <v/>
      </c>
      <c r="AA273" s="185" t="str">
        <f t="shared" si="262"/>
        <v/>
      </c>
      <c r="AB273" s="173" t="str">
        <f t="shared" si="262"/>
        <v/>
      </c>
      <c r="AC273" s="173" t="str">
        <f t="shared" si="262"/>
        <v/>
      </c>
      <c r="AD273" s="180" t="str">
        <f t="shared" si="262"/>
        <v/>
      </c>
      <c r="AF273" s="185" t="str">
        <f t="shared" si="263"/>
        <v/>
      </c>
      <c r="AG273" s="173" t="str">
        <f t="shared" si="263"/>
        <v/>
      </c>
      <c r="AH273" s="173" t="str">
        <f t="shared" si="263"/>
        <v/>
      </c>
      <c r="AI273" s="180" t="str">
        <f t="shared" si="263"/>
        <v/>
      </c>
      <c r="AK273" s="185" t="str">
        <f t="shared" si="264"/>
        <v/>
      </c>
      <c r="AL273" s="173" t="str">
        <f t="shared" si="264"/>
        <v/>
      </c>
      <c r="AM273" s="173" t="str">
        <f t="shared" si="264"/>
        <v/>
      </c>
      <c r="AN273" s="180" t="str">
        <f t="shared" si="264"/>
        <v/>
      </c>
      <c r="AP273" s="244">
        <f t="shared" si="256"/>
        <v>45</v>
      </c>
      <c r="AQ273" s="245">
        <f t="shared" si="256"/>
        <v>54</v>
      </c>
      <c r="AR273" s="245">
        <f t="shared" si="256"/>
        <v>923</v>
      </c>
      <c r="AS273" s="246">
        <f t="shared" si="256"/>
        <v>18</v>
      </c>
      <c r="AT273" s="288"/>
      <c r="AU273" s="185" t="str">
        <f t="shared" si="265"/>
        <v/>
      </c>
      <c r="AV273" s="173" t="str">
        <f t="shared" si="265"/>
        <v/>
      </c>
      <c r="AW273" s="173" t="str">
        <f t="shared" si="265"/>
        <v/>
      </c>
      <c r="AX273" s="180" t="str">
        <f t="shared" si="265"/>
        <v/>
      </c>
      <c r="AZ273" s="185" t="str">
        <f t="shared" si="266"/>
        <v/>
      </c>
      <c r="BA273" s="173" t="str">
        <f t="shared" si="266"/>
        <v/>
      </c>
      <c r="BB273" s="173" t="str">
        <f t="shared" si="266"/>
        <v/>
      </c>
      <c r="BC273" s="180" t="str">
        <f t="shared" si="266"/>
        <v/>
      </c>
      <c r="BE273" s="185" t="str">
        <f t="shared" si="267"/>
        <v/>
      </c>
      <c r="BF273" s="173" t="str">
        <f t="shared" si="267"/>
        <v/>
      </c>
      <c r="BG273" s="173" t="str">
        <f t="shared" si="267"/>
        <v/>
      </c>
      <c r="BH273" s="180" t="str">
        <f t="shared" si="267"/>
        <v/>
      </c>
      <c r="BI273" s="288"/>
      <c r="BJ273" s="185" t="str">
        <f t="shared" si="268"/>
        <v/>
      </c>
      <c r="BK273" s="173" t="str">
        <f t="shared" si="268"/>
        <v/>
      </c>
      <c r="BL273" s="173" t="str">
        <f t="shared" si="268"/>
        <v/>
      </c>
      <c r="BM273" s="180" t="str">
        <f t="shared" si="268"/>
        <v/>
      </c>
      <c r="BO273" s="185" t="str">
        <f t="shared" si="269"/>
        <v/>
      </c>
      <c r="BP273" s="173" t="str">
        <f t="shared" si="269"/>
        <v/>
      </c>
      <c r="BQ273" s="173" t="str">
        <f t="shared" si="269"/>
        <v/>
      </c>
      <c r="BR273" s="180" t="str">
        <f t="shared" si="269"/>
        <v/>
      </c>
      <c r="BT273" s="185" t="str">
        <f t="shared" si="270"/>
        <v/>
      </c>
      <c r="BU273" s="173" t="str">
        <f t="shared" si="270"/>
        <v/>
      </c>
      <c r="BV273" s="173" t="str">
        <f t="shared" si="270"/>
        <v/>
      </c>
      <c r="BW273" s="180" t="str">
        <f t="shared" si="270"/>
        <v/>
      </c>
      <c r="BX273" s="288"/>
      <c r="CM273" s="96"/>
    </row>
    <row r="274" spans="1:91">
      <c r="A274" s="284"/>
      <c r="B274" s="185" t="str">
        <f t="shared" si="257"/>
        <v/>
      </c>
      <c r="C274" s="173" t="str">
        <f t="shared" si="257"/>
        <v/>
      </c>
      <c r="D274" s="173" t="str">
        <f t="shared" si="257"/>
        <v/>
      </c>
      <c r="E274" s="180" t="str">
        <f t="shared" si="257"/>
        <v/>
      </c>
      <c r="G274" s="185" t="str">
        <f t="shared" si="258"/>
        <v/>
      </c>
      <c r="H274" s="173" t="str">
        <f t="shared" si="258"/>
        <v/>
      </c>
      <c r="I274" s="173" t="str">
        <f t="shared" si="258"/>
        <v/>
      </c>
      <c r="J274" s="180" t="str">
        <f t="shared" si="258"/>
        <v/>
      </c>
      <c r="L274" s="185" t="str">
        <f t="shared" si="259"/>
        <v/>
      </c>
      <c r="M274" s="173" t="str">
        <f t="shared" si="259"/>
        <v/>
      </c>
      <c r="N274" s="173" t="str">
        <f t="shared" si="259"/>
        <v/>
      </c>
      <c r="O274" s="180" t="str">
        <f t="shared" si="259"/>
        <v/>
      </c>
      <c r="Q274" s="185" t="str">
        <f t="shared" si="260"/>
        <v/>
      </c>
      <c r="R274" s="173" t="str">
        <f t="shared" si="260"/>
        <v/>
      </c>
      <c r="S274" s="173" t="str">
        <f t="shared" si="260"/>
        <v/>
      </c>
      <c r="T274" s="180" t="str">
        <f t="shared" si="260"/>
        <v/>
      </c>
      <c r="V274" s="185" t="str">
        <f t="shared" si="261"/>
        <v/>
      </c>
      <c r="W274" s="173" t="str">
        <f t="shared" si="261"/>
        <v/>
      </c>
      <c r="X274" s="173" t="str">
        <f t="shared" si="261"/>
        <v/>
      </c>
      <c r="Y274" s="180" t="str">
        <f t="shared" si="261"/>
        <v/>
      </c>
      <c r="AA274" s="185" t="str">
        <f t="shared" si="262"/>
        <v/>
      </c>
      <c r="AB274" s="173" t="str">
        <f t="shared" si="262"/>
        <v/>
      </c>
      <c r="AC274" s="173" t="str">
        <f t="shared" si="262"/>
        <v/>
      </c>
      <c r="AD274" s="180" t="str">
        <f t="shared" si="262"/>
        <v/>
      </c>
      <c r="AF274" s="185" t="str">
        <f t="shared" si="263"/>
        <v/>
      </c>
      <c r="AG274" s="173" t="str">
        <f t="shared" si="263"/>
        <v/>
      </c>
      <c r="AH274" s="173" t="str">
        <f t="shared" si="263"/>
        <v/>
      </c>
      <c r="AI274" s="180" t="str">
        <f t="shared" si="263"/>
        <v/>
      </c>
      <c r="AK274" s="185" t="str">
        <f t="shared" si="264"/>
        <v/>
      </c>
      <c r="AL274" s="173" t="str">
        <f t="shared" si="264"/>
        <v/>
      </c>
      <c r="AM274" s="173" t="str">
        <f t="shared" si="264"/>
        <v/>
      </c>
      <c r="AN274" s="180" t="str">
        <f t="shared" si="264"/>
        <v/>
      </c>
      <c r="AP274" s="244">
        <f t="shared" si="256"/>
        <v>45</v>
      </c>
      <c r="AQ274" s="245">
        <f t="shared" si="256"/>
        <v>96</v>
      </c>
      <c r="AR274" s="245">
        <f t="shared" si="256"/>
        <v>980</v>
      </c>
      <c r="AS274" s="246">
        <f t="shared" si="256"/>
        <v>18</v>
      </c>
      <c r="AT274" s="288"/>
      <c r="AU274" s="185" t="str">
        <f t="shared" si="265"/>
        <v/>
      </c>
      <c r="AV274" s="173" t="str">
        <f t="shared" si="265"/>
        <v/>
      </c>
      <c r="AW274" s="173" t="str">
        <f t="shared" si="265"/>
        <v/>
      </c>
      <c r="AX274" s="180" t="str">
        <f t="shared" si="265"/>
        <v/>
      </c>
      <c r="AZ274" s="185" t="str">
        <f t="shared" si="266"/>
        <v/>
      </c>
      <c r="BA274" s="173" t="str">
        <f t="shared" si="266"/>
        <v/>
      </c>
      <c r="BB274" s="173" t="str">
        <f t="shared" si="266"/>
        <v/>
      </c>
      <c r="BC274" s="180" t="str">
        <f t="shared" si="266"/>
        <v/>
      </c>
      <c r="BE274" s="185" t="str">
        <f t="shared" si="267"/>
        <v/>
      </c>
      <c r="BF274" s="173" t="str">
        <f t="shared" si="267"/>
        <v/>
      </c>
      <c r="BG274" s="173" t="str">
        <f t="shared" si="267"/>
        <v/>
      </c>
      <c r="BH274" s="180" t="str">
        <f t="shared" si="267"/>
        <v/>
      </c>
      <c r="BI274" s="288"/>
      <c r="BJ274" s="185" t="str">
        <f t="shared" si="268"/>
        <v/>
      </c>
      <c r="BK274" s="173" t="str">
        <f t="shared" si="268"/>
        <v/>
      </c>
      <c r="BL274" s="173" t="str">
        <f t="shared" si="268"/>
        <v/>
      </c>
      <c r="BM274" s="180" t="str">
        <f t="shared" si="268"/>
        <v/>
      </c>
      <c r="BO274" s="185" t="str">
        <f t="shared" si="269"/>
        <v/>
      </c>
      <c r="BP274" s="173" t="str">
        <f t="shared" si="269"/>
        <v/>
      </c>
      <c r="BQ274" s="173" t="str">
        <f t="shared" si="269"/>
        <v/>
      </c>
      <c r="BR274" s="180" t="str">
        <f t="shared" si="269"/>
        <v/>
      </c>
      <c r="BT274" s="185" t="str">
        <f t="shared" si="270"/>
        <v/>
      </c>
      <c r="BU274" s="173" t="str">
        <f t="shared" si="270"/>
        <v/>
      </c>
      <c r="BV274" s="173" t="str">
        <f t="shared" si="270"/>
        <v/>
      </c>
      <c r="BW274" s="180" t="str">
        <f t="shared" si="270"/>
        <v/>
      </c>
      <c r="BX274" s="288"/>
      <c r="CM274" s="96"/>
    </row>
    <row r="275" spans="1:91">
      <c r="A275" s="284"/>
      <c r="B275" s="185" t="str">
        <f t="shared" si="257"/>
        <v/>
      </c>
      <c r="C275" s="173" t="str">
        <f t="shared" si="257"/>
        <v/>
      </c>
      <c r="D275" s="173" t="str">
        <f t="shared" si="257"/>
        <v/>
      </c>
      <c r="E275" s="180" t="str">
        <f t="shared" si="257"/>
        <v/>
      </c>
      <c r="G275" s="185" t="str">
        <f t="shared" si="258"/>
        <v/>
      </c>
      <c r="H275" s="173" t="str">
        <f t="shared" si="258"/>
        <v/>
      </c>
      <c r="I275" s="173" t="str">
        <f t="shared" si="258"/>
        <v/>
      </c>
      <c r="J275" s="180" t="str">
        <f t="shared" si="258"/>
        <v/>
      </c>
      <c r="L275" s="185" t="str">
        <f t="shared" si="259"/>
        <v/>
      </c>
      <c r="M275" s="173" t="str">
        <f t="shared" si="259"/>
        <v/>
      </c>
      <c r="N275" s="173" t="str">
        <f t="shared" si="259"/>
        <v/>
      </c>
      <c r="O275" s="180" t="str">
        <f t="shared" si="259"/>
        <v/>
      </c>
      <c r="Q275" s="185" t="str">
        <f t="shared" si="260"/>
        <v/>
      </c>
      <c r="R275" s="173" t="str">
        <f t="shared" si="260"/>
        <v/>
      </c>
      <c r="S275" s="173" t="str">
        <f t="shared" si="260"/>
        <v/>
      </c>
      <c r="T275" s="180" t="str">
        <f t="shared" si="260"/>
        <v/>
      </c>
      <c r="V275" s="185" t="str">
        <f t="shared" si="261"/>
        <v/>
      </c>
      <c r="W275" s="173" t="str">
        <f t="shared" si="261"/>
        <v/>
      </c>
      <c r="X275" s="173" t="str">
        <f t="shared" si="261"/>
        <v/>
      </c>
      <c r="Y275" s="180" t="str">
        <f t="shared" si="261"/>
        <v/>
      </c>
      <c r="AA275" s="185" t="str">
        <f t="shared" si="262"/>
        <v/>
      </c>
      <c r="AB275" s="173" t="str">
        <f t="shared" si="262"/>
        <v/>
      </c>
      <c r="AC275" s="173" t="str">
        <f t="shared" si="262"/>
        <v/>
      </c>
      <c r="AD275" s="180" t="str">
        <f t="shared" si="262"/>
        <v/>
      </c>
      <c r="AF275" s="185" t="str">
        <f t="shared" si="263"/>
        <v/>
      </c>
      <c r="AG275" s="173" t="str">
        <f t="shared" si="263"/>
        <v/>
      </c>
      <c r="AH275" s="173" t="str">
        <f t="shared" si="263"/>
        <v/>
      </c>
      <c r="AI275" s="180" t="str">
        <f t="shared" si="263"/>
        <v/>
      </c>
      <c r="AK275" s="185" t="str">
        <f t="shared" si="264"/>
        <v/>
      </c>
      <c r="AL275" s="173" t="str">
        <f t="shared" si="264"/>
        <v/>
      </c>
      <c r="AM275" s="173" t="str">
        <f t="shared" si="264"/>
        <v/>
      </c>
      <c r="AN275" s="180" t="str">
        <f t="shared" si="264"/>
        <v/>
      </c>
      <c r="AP275" s="244">
        <f t="shared" si="256"/>
        <v>45</v>
      </c>
      <c r="AQ275" s="245">
        <f t="shared" si="256"/>
        <v>96</v>
      </c>
      <c r="AR275" s="245">
        <f t="shared" si="256"/>
        <v>923</v>
      </c>
      <c r="AS275" s="246">
        <f t="shared" si="256"/>
        <v>18</v>
      </c>
      <c r="AT275" s="288"/>
      <c r="AU275" s="185" t="str">
        <f t="shared" si="265"/>
        <v/>
      </c>
      <c r="AV275" s="173" t="str">
        <f t="shared" si="265"/>
        <v/>
      </c>
      <c r="AW275" s="173" t="str">
        <f t="shared" si="265"/>
        <v/>
      </c>
      <c r="AX275" s="180" t="str">
        <f t="shared" si="265"/>
        <v/>
      </c>
      <c r="AZ275" s="185" t="str">
        <f t="shared" si="266"/>
        <v/>
      </c>
      <c r="BA275" s="173" t="str">
        <f t="shared" si="266"/>
        <v/>
      </c>
      <c r="BB275" s="173" t="str">
        <f t="shared" si="266"/>
        <v/>
      </c>
      <c r="BC275" s="180" t="str">
        <f t="shared" si="266"/>
        <v/>
      </c>
      <c r="BE275" s="185" t="str">
        <f t="shared" si="267"/>
        <v/>
      </c>
      <c r="BF275" s="173" t="str">
        <f t="shared" si="267"/>
        <v/>
      </c>
      <c r="BG275" s="173" t="str">
        <f t="shared" si="267"/>
        <v/>
      </c>
      <c r="BH275" s="180" t="str">
        <f t="shared" si="267"/>
        <v/>
      </c>
      <c r="BI275" s="288"/>
      <c r="BJ275" s="185" t="str">
        <f t="shared" si="268"/>
        <v/>
      </c>
      <c r="BK275" s="173" t="str">
        <f t="shared" si="268"/>
        <v/>
      </c>
      <c r="BL275" s="173" t="str">
        <f t="shared" si="268"/>
        <v/>
      </c>
      <c r="BM275" s="180" t="str">
        <f t="shared" si="268"/>
        <v/>
      </c>
      <c r="BO275" s="185" t="str">
        <f t="shared" si="269"/>
        <v/>
      </c>
      <c r="BP275" s="173" t="str">
        <f t="shared" si="269"/>
        <v/>
      </c>
      <c r="BQ275" s="173" t="str">
        <f t="shared" si="269"/>
        <v/>
      </c>
      <c r="BR275" s="180" t="str">
        <f t="shared" si="269"/>
        <v/>
      </c>
      <c r="BT275" s="185" t="str">
        <f t="shared" si="270"/>
        <v/>
      </c>
      <c r="BU275" s="173" t="str">
        <f t="shared" si="270"/>
        <v/>
      </c>
      <c r="BV275" s="173" t="str">
        <f t="shared" si="270"/>
        <v/>
      </c>
      <c r="BW275" s="180" t="str">
        <f t="shared" si="270"/>
        <v/>
      </c>
      <c r="BX275" s="288"/>
      <c r="CM275" s="96"/>
    </row>
    <row r="276" spans="1:91">
      <c r="A276" s="284"/>
      <c r="B276" s="185" t="str">
        <f t="shared" si="257"/>
        <v/>
      </c>
      <c r="C276" s="173" t="str">
        <f t="shared" si="257"/>
        <v/>
      </c>
      <c r="D276" s="173" t="str">
        <f t="shared" si="257"/>
        <v/>
      </c>
      <c r="E276" s="180" t="str">
        <f t="shared" si="257"/>
        <v/>
      </c>
      <c r="G276" s="185" t="str">
        <f t="shared" si="258"/>
        <v/>
      </c>
      <c r="H276" s="173" t="str">
        <f t="shared" si="258"/>
        <v/>
      </c>
      <c r="I276" s="173" t="str">
        <f t="shared" si="258"/>
        <v/>
      </c>
      <c r="J276" s="180" t="str">
        <f t="shared" si="258"/>
        <v/>
      </c>
      <c r="L276" s="185" t="str">
        <f t="shared" si="259"/>
        <v/>
      </c>
      <c r="M276" s="173" t="str">
        <f t="shared" si="259"/>
        <v/>
      </c>
      <c r="N276" s="173" t="str">
        <f t="shared" si="259"/>
        <v/>
      </c>
      <c r="O276" s="180" t="str">
        <f t="shared" si="259"/>
        <v/>
      </c>
      <c r="Q276" s="185" t="str">
        <f t="shared" si="260"/>
        <v/>
      </c>
      <c r="R276" s="173" t="str">
        <f t="shared" si="260"/>
        <v/>
      </c>
      <c r="S276" s="173" t="str">
        <f t="shared" si="260"/>
        <v/>
      </c>
      <c r="T276" s="180" t="str">
        <f t="shared" si="260"/>
        <v/>
      </c>
      <c r="V276" s="185" t="str">
        <f t="shared" si="261"/>
        <v/>
      </c>
      <c r="W276" s="173" t="str">
        <f t="shared" si="261"/>
        <v/>
      </c>
      <c r="X276" s="173" t="str">
        <f t="shared" si="261"/>
        <v/>
      </c>
      <c r="Y276" s="180" t="str">
        <f t="shared" si="261"/>
        <v/>
      </c>
      <c r="AA276" s="185" t="str">
        <f t="shared" si="262"/>
        <v/>
      </c>
      <c r="AB276" s="173" t="str">
        <f t="shared" si="262"/>
        <v/>
      </c>
      <c r="AC276" s="173" t="str">
        <f t="shared" si="262"/>
        <v/>
      </c>
      <c r="AD276" s="180" t="str">
        <f t="shared" si="262"/>
        <v/>
      </c>
      <c r="AF276" s="185" t="str">
        <f t="shared" si="263"/>
        <v/>
      </c>
      <c r="AG276" s="173" t="str">
        <f t="shared" si="263"/>
        <v/>
      </c>
      <c r="AH276" s="173" t="str">
        <f t="shared" si="263"/>
        <v/>
      </c>
      <c r="AI276" s="180" t="str">
        <f t="shared" si="263"/>
        <v/>
      </c>
      <c r="AK276" s="185" t="str">
        <f t="shared" si="264"/>
        <v/>
      </c>
      <c r="AL276" s="173" t="str">
        <f t="shared" si="264"/>
        <v/>
      </c>
      <c r="AM276" s="173" t="str">
        <f t="shared" si="264"/>
        <v/>
      </c>
      <c r="AN276" s="180" t="str">
        <f t="shared" si="264"/>
        <v/>
      </c>
      <c r="AP276" s="244">
        <f t="shared" si="256"/>
        <v>45</v>
      </c>
      <c r="AQ276" s="245">
        <f t="shared" si="256"/>
        <v>140</v>
      </c>
      <c r="AR276" s="245">
        <f t="shared" si="256"/>
        <v>980</v>
      </c>
      <c r="AS276" s="246">
        <f t="shared" si="256"/>
        <v>18</v>
      </c>
      <c r="AT276" s="288"/>
      <c r="AU276" s="185" t="str">
        <f t="shared" si="265"/>
        <v/>
      </c>
      <c r="AV276" s="173" t="str">
        <f t="shared" si="265"/>
        <v/>
      </c>
      <c r="AW276" s="173" t="str">
        <f t="shared" si="265"/>
        <v/>
      </c>
      <c r="AX276" s="180" t="str">
        <f t="shared" si="265"/>
        <v/>
      </c>
      <c r="AZ276" s="185" t="str">
        <f t="shared" si="266"/>
        <v/>
      </c>
      <c r="BA276" s="173" t="str">
        <f t="shared" si="266"/>
        <v/>
      </c>
      <c r="BB276" s="173" t="str">
        <f t="shared" si="266"/>
        <v/>
      </c>
      <c r="BC276" s="180" t="str">
        <f t="shared" si="266"/>
        <v/>
      </c>
      <c r="BE276" s="185" t="str">
        <f t="shared" si="267"/>
        <v/>
      </c>
      <c r="BF276" s="173" t="str">
        <f t="shared" si="267"/>
        <v/>
      </c>
      <c r="BG276" s="173" t="str">
        <f t="shared" si="267"/>
        <v/>
      </c>
      <c r="BH276" s="180" t="str">
        <f t="shared" si="267"/>
        <v/>
      </c>
      <c r="BI276" s="288"/>
      <c r="BJ276" s="185" t="str">
        <f t="shared" si="268"/>
        <v/>
      </c>
      <c r="BK276" s="173" t="str">
        <f t="shared" si="268"/>
        <v/>
      </c>
      <c r="BL276" s="173" t="str">
        <f t="shared" si="268"/>
        <v/>
      </c>
      <c r="BM276" s="180" t="str">
        <f t="shared" si="268"/>
        <v/>
      </c>
      <c r="BO276" s="185" t="str">
        <f t="shared" si="269"/>
        <v/>
      </c>
      <c r="BP276" s="173" t="str">
        <f t="shared" si="269"/>
        <v/>
      </c>
      <c r="BQ276" s="173" t="str">
        <f t="shared" si="269"/>
        <v/>
      </c>
      <c r="BR276" s="180" t="str">
        <f t="shared" si="269"/>
        <v/>
      </c>
      <c r="BT276" s="185" t="str">
        <f t="shared" si="270"/>
        <v/>
      </c>
      <c r="BU276" s="173" t="str">
        <f t="shared" si="270"/>
        <v/>
      </c>
      <c r="BV276" s="173" t="str">
        <f t="shared" si="270"/>
        <v/>
      </c>
      <c r="BW276" s="180" t="str">
        <f t="shared" si="270"/>
        <v/>
      </c>
      <c r="BX276" s="288"/>
      <c r="CM276" s="96"/>
    </row>
    <row r="277" spans="1:91">
      <c r="A277" s="284"/>
      <c r="B277" s="186" t="str">
        <f t="shared" si="257"/>
        <v/>
      </c>
      <c r="C277" s="174" t="str">
        <f t="shared" si="257"/>
        <v/>
      </c>
      <c r="D277" s="174" t="str">
        <f t="shared" si="257"/>
        <v/>
      </c>
      <c r="E277" s="181" t="str">
        <f t="shared" si="257"/>
        <v/>
      </c>
      <c r="G277" s="186" t="str">
        <f t="shared" si="258"/>
        <v/>
      </c>
      <c r="H277" s="174" t="str">
        <f t="shared" si="258"/>
        <v/>
      </c>
      <c r="I277" s="174" t="str">
        <f t="shared" si="258"/>
        <v/>
      </c>
      <c r="J277" s="181" t="str">
        <f t="shared" si="258"/>
        <v/>
      </c>
      <c r="L277" s="186" t="str">
        <f t="shared" si="259"/>
        <v/>
      </c>
      <c r="M277" s="174" t="str">
        <f t="shared" si="259"/>
        <v/>
      </c>
      <c r="N277" s="174" t="str">
        <f t="shared" si="259"/>
        <v/>
      </c>
      <c r="O277" s="181" t="str">
        <f t="shared" si="259"/>
        <v/>
      </c>
      <c r="Q277" s="186" t="str">
        <f t="shared" si="260"/>
        <v/>
      </c>
      <c r="R277" s="174" t="str">
        <f t="shared" si="260"/>
        <v/>
      </c>
      <c r="S277" s="174" t="str">
        <f t="shared" si="260"/>
        <v/>
      </c>
      <c r="T277" s="181" t="str">
        <f t="shared" si="260"/>
        <v/>
      </c>
      <c r="V277" s="186" t="str">
        <f t="shared" si="261"/>
        <v/>
      </c>
      <c r="W277" s="174" t="str">
        <f t="shared" si="261"/>
        <v/>
      </c>
      <c r="X277" s="174" t="str">
        <f t="shared" si="261"/>
        <v/>
      </c>
      <c r="Y277" s="181" t="str">
        <f t="shared" si="261"/>
        <v/>
      </c>
      <c r="AA277" s="186" t="str">
        <f t="shared" si="262"/>
        <v/>
      </c>
      <c r="AB277" s="174" t="str">
        <f t="shared" si="262"/>
        <v/>
      </c>
      <c r="AC277" s="174" t="str">
        <f t="shared" si="262"/>
        <v/>
      </c>
      <c r="AD277" s="181" t="str">
        <f t="shared" si="262"/>
        <v/>
      </c>
      <c r="AF277" s="186" t="str">
        <f t="shared" si="263"/>
        <v/>
      </c>
      <c r="AG277" s="174" t="str">
        <f t="shared" si="263"/>
        <v/>
      </c>
      <c r="AH277" s="174" t="str">
        <f t="shared" si="263"/>
        <v/>
      </c>
      <c r="AI277" s="181" t="str">
        <f t="shared" si="263"/>
        <v/>
      </c>
      <c r="AK277" s="186" t="str">
        <f t="shared" si="264"/>
        <v/>
      </c>
      <c r="AL277" s="174" t="str">
        <f t="shared" si="264"/>
        <v/>
      </c>
      <c r="AM277" s="174" t="str">
        <f t="shared" si="264"/>
        <v/>
      </c>
      <c r="AN277" s="181" t="str">
        <f t="shared" si="264"/>
        <v/>
      </c>
      <c r="AP277" s="247">
        <f t="shared" si="256"/>
        <v>45</v>
      </c>
      <c r="AQ277" s="248">
        <f t="shared" si="256"/>
        <v>140</v>
      </c>
      <c r="AR277" s="248">
        <f t="shared" si="256"/>
        <v>923</v>
      </c>
      <c r="AS277" s="249">
        <f t="shared" si="256"/>
        <v>18</v>
      </c>
      <c r="AT277" s="288"/>
      <c r="AU277" s="186" t="str">
        <f t="shared" si="265"/>
        <v/>
      </c>
      <c r="AV277" s="174" t="str">
        <f t="shared" si="265"/>
        <v/>
      </c>
      <c r="AW277" s="174" t="str">
        <f t="shared" si="265"/>
        <v/>
      </c>
      <c r="AX277" s="181" t="str">
        <f t="shared" si="265"/>
        <v/>
      </c>
      <c r="AZ277" s="186" t="str">
        <f t="shared" si="266"/>
        <v/>
      </c>
      <c r="BA277" s="174" t="str">
        <f t="shared" si="266"/>
        <v/>
      </c>
      <c r="BB277" s="174" t="str">
        <f t="shared" si="266"/>
        <v/>
      </c>
      <c r="BC277" s="181" t="str">
        <f t="shared" si="266"/>
        <v/>
      </c>
      <c r="BE277" s="186" t="str">
        <f t="shared" si="267"/>
        <v/>
      </c>
      <c r="BF277" s="174" t="str">
        <f t="shared" si="267"/>
        <v/>
      </c>
      <c r="BG277" s="174" t="str">
        <f t="shared" si="267"/>
        <v/>
      </c>
      <c r="BH277" s="181" t="str">
        <f t="shared" si="267"/>
        <v/>
      </c>
      <c r="BI277" s="288"/>
      <c r="BJ277" s="186" t="str">
        <f t="shared" si="268"/>
        <v/>
      </c>
      <c r="BK277" s="174" t="str">
        <f t="shared" si="268"/>
        <v/>
      </c>
      <c r="BL277" s="174" t="str">
        <f t="shared" si="268"/>
        <v/>
      </c>
      <c r="BM277" s="181" t="str">
        <f t="shared" si="268"/>
        <v/>
      </c>
      <c r="BO277" s="186" t="str">
        <f t="shared" si="269"/>
        <v/>
      </c>
      <c r="BP277" s="174" t="str">
        <f t="shared" si="269"/>
        <v/>
      </c>
      <c r="BQ277" s="174" t="str">
        <f t="shared" si="269"/>
        <v/>
      </c>
      <c r="BR277" s="181" t="str">
        <f t="shared" si="269"/>
        <v/>
      </c>
      <c r="BT277" s="186" t="str">
        <f t="shared" si="270"/>
        <v/>
      </c>
      <c r="BU277" s="174" t="str">
        <f t="shared" si="270"/>
        <v/>
      </c>
      <c r="BV277" s="174" t="str">
        <f t="shared" si="270"/>
        <v/>
      </c>
      <c r="BW277" s="181" t="str">
        <f t="shared" si="270"/>
        <v/>
      </c>
      <c r="BX277" s="288"/>
      <c r="CM277" s="96"/>
    </row>
    <row r="278" spans="1:91">
      <c r="A278" s="47"/>
      <c r="B278" s="47">
        <f>COUNT(B204:B277)</f>
        <v>63</v>
      </c>
      <c r="C278" s="47"/>
      <c r="D278" s="47"/>
      <c r="E278" s="47"/>
      <c r="F278" s="47"/>
      <c r="G278" s="47">
        <f>COUNT(G204:G277)</f>
        <v>63</v>
      </c>
      <c r="H278" s="47"/>
      <c r="I278" s="47"/>
      <c r="J278" s="47"/>
      <c r="K278" s="47"/>
      <c r="L278" s="47">
        <f>COUNT(L204:L277)</f>
        <v>56</v>
      </c>
      <c r="M278" s="47"/>
      <c r="N278" s="47"/>
      <c r="O278" s="47"/>
      <c r="P278" s="47"/>
      <c r="Q278" s="47">
        <f>COUNT(Q204:Q277)</f>
        <v>52</v>
      </c>
      <c r="R278" s="47"/>
      <c r="S278" s="47"/>
      <c r="T278" s="47"/>
      <c r="U278" s="47"/>
      <c r="V278" s="47">
        <f>COUNT(V204:V277)</f>
        <v>44</v>
      </c>
      <c r="W278" s="47"/>
      <c r="X278" s="47"/>
      <c r="Y278" s="47"/>
      <c r="Z278" s="47"/>
      <c r="AA278" s="47">
        <f>COUNT(AA204:AA277)</f>
        <v>40</v>
      </c>
      <c r="AB278" s="47"/>
      <c r="AC278" s="47"/>
      <c r="AD278" s="47"/>
      <c r="AE278" s="47"/>
      <c r="AF278" s="47">
        <f>COUNT(AF204:AF277)</f>
        <v>32</v>
      </c>
      <c r="AG278" s="47"/>
      <c r="AH278" s="47"/>
      <c r="AI278" s="47"/>
      <c r="AJ278" s="47"/>
      <c r="AK278" s="47">
        <f>COUNT(AK204:AK277)</f>
        <v>24</v>
      </c>
      <c r="AL278" s="47"/>
      <c r="AM278" s="47"/>
      <c r="AN278" s="47"/>
      <c r="AO278" s="47"/>
      <c r="AP278" s="47">
        <f>COUNT(AP204:AP277)</f>
        <v>63</v>
      </c>
      <c r="AQ278" s="47"/>
      <c r="AR278" s="47"/>
      <c r="AS278" s="47"/>
      <c r="AT278" s="292"/>
      <c r="AU278" s="47">
        <f>COUNT(AU204:AU277)</f>
        <v>29</v>
      </c>
      <c r="AV278" s="47"/>
      <c r="AW278" s="47"/>
      <c r="AX278" s="47"/>
      <c r="AY278" s="47"/>
      <c r="AZ278" s="47">
        <f>COUNT(AZ204:AZ277)</f>
        <v>23</v>
      </c>
      <c r="BA278" s="47"/>
      <c r="BB278" s="47"/>
      <c r="BC278" s="47"/>
      <c r="BD278" s="47"/>
      <c r="BE278" s="47">
        <f>COUNT(BE204:BE277)</f>
        <v>17</v>
      </c>
      <c r="BF278" s="47"/>
      <c r="BG278" s="47"/>
      <c r="BH278" s="47"/>
      <c r="BI278" s="292"/>
      <c r="BJ278" s="47">
        <f>COUNT(BJ204:BJ277)</f>
        <v>20</v>
      </c>
      <c r="BK278" s="47"/>
      <c r="BL278" s="47"/>
      <c r="BM278" s="47"/>
      <c r="BN278" s="47"/>
      <c r="BO278" s="47">
        <f>COUNT(BO204:BO277)</f>
        <v>16</v>
      </c>
      <c r="BP278" s="47"/>
      <c r="BQ278" s="47"/>
      <c r="BR278" s="47"/>
      <c r="BS278" s="47"/>
      <c r="BT278" s="47">
        <f>COUNT(BT204:BT277)</f>
        <v>12</v>
      </c>
      <c r="BU278" s="47"/>
      <c r="BV278" s="47"/>
      <c r="BW278" s="47"/>
      <c r="BX278" s="288"/>
      <c r="CM278" s="47"/>
    </row>
    <row r="279" spans="1:91">
      <c r="A279" s="284"/>
      <c r="C279" s="47"/>
      <c r="D279" s="47"/>
      <c r="E279" s="47"/>
      <c r="G279" s="47"/>
      <c r="H279" s="47"/>
      <c r="I279" s="47"/>
      <c r="J279" s="47"/>
      <c r="L279" s="47"/>
      <c r="M279" s="47"/>
      <c r="N279" s="47"/>
      <c r="O279" s="47"/>
      <c r="Q279" s="47"/>
      <c r="R279" s="47"/>
      <c r="S279" s="47"/>
      <c r="T279" s="47"/>
      <c r="V279" s="47"/>
      <c r="W279" s="47"/>
      <c r="X279" s="47"/>
      <c r="Y279" s="47"/>
      <c r="AA279" s="47"/>
      <c r="AB279" s="47"/>
      <c r="AC279" s="47"/>
      <c r="AD279" s="47"/>
      <c r="AF279" s="47"/>
      <c r="AG279" s="47"/>
      <c r="AH279" s="47"/>
      <c r="AI279" s="47"/>
      <c r="AK279" s="47"/>
      <c r="AL279" s="47"/>
      <c r="AM279" s="47"/>
      <c r="AN279" s="47"/>
      <c r="AP279" s="47"/>
      <c r="AQ279" s="47"/>
      <c r="AR279" s="47"/>
      <c r="AS279" s="47"/>
      <c r="AT279" s="288"/>
      <c r="AU279" s="47"/>
      <c r="AV279" s="47"/>
      <c r="AW279" s="47"/>
      <c r="AX279" s="47"/>
      <c r="AZ279" s="47"/>
      <c r="BA279" s="47"/>
      <c r="BB279" s="47"/>
      <c r="BC279" s="47"/>
      <c r="BE279" s="47"/>
      <c r="BF279" s="47"/>
      <c r="BG279" s="47"/>
      <c r="BH279" s="47"/>
      <c r="BI279" s="288"/>
      <c r="BJ279" s="47"/>
      <c r="BK279" s="47"/>
      <c r="BL279" s="47"/>
      <c r="BM279" s="47"/>
      <c r="BO279" s="47"/>
      <c r="BP279" s="47"/>
      <c r="BQ279" s="47"/>
      <c r="BR279" s="47"/>
      <c r="BT279" s="47"/>
      <c r="BU279" s="47"/>
      <c r="BV279" s="47"/>
      <c r="BW279" s="47"/>
      <c r="BX279" s="288"/>
      <c r="CM279" s="96"/>
    </row>
    <row r="280" spans="1:91">
      <c r="A280" s="282" t="s">
        <v>7</v>
      </c>
      <c r="C280" s="47"/>
      <c r="D280" s="47"/>
      <c r="E280" s="47"/>
      <c r="G280" s="47"/>
      <c r="H280" s="47"/>
      <c r="I280" s="47"/>
      <c r="J280" s="47"/>
      <c r="L280" s="47"/>
      <c r="M280" s="47"/>
      <c r="N280" s="47"/>
      <c r="O280" s="47"/>
      <c r="Q280" s="47"/>
      <c r="R280" s="47"/>
      <c r="S280" s="47"/>
      <c r="T280" s="47"/>
      <c r="V280" s="47"/>
      <c r="W280" s="47"/>
      <c r="X280" s="47"/>
      <c r="Y280" s="47"/>
      <c r="AA280" s="47"/>
      <c r="AB280" s="47"/>
      <c r="AC280" s="47"/>
      <c r="AD280" s="47"/>
      <c r="AF280" s="47"/>
      <c r="AG280" s="47"/>
      <c r="AH280" s="47"/>
      <c r="AI280" s="47"/>
      <c r="AK280" s="47"/>
      <c r="AL280" s="47"/>
      <c r="AM280" s="47"/>
      <c r="AN280" s="47"/>
      <c r="AP280" s="47"/>
      <c r="AQ280" s="47"/>
      <c r="AR280" s="47"/>
      <c r="AS280" s="47"/>
      <c r="AT280" s="288"/>
      <c r="AU280" s="47"/>
      <c r="AV280" s="47"/>
      <c r="AW280" s="47"/>
      <c r="AX280" s="47"/>
      <c r="AZ280" s="47"/>
      <c r="BA280" s="47"/>
      <c r="BB280" s="47"/>
      <c r="BC280" s="47"/>
      <c r="BE280" s="47"/>
      <c r="BF280" s="47"/>
      <c r="BG280" s="47"/>
      <c r="BH280" s="47"/>
      <c r="BI280" s="288"/>
      <c r="BJ280" s="47"/>
      <c r="BK280" s="47"/>
      <c r="BL280" s="47"/>
      <c r="BM280" s="47"/>
      <c r="BO280" s="47"/>
      <c r="BP280" s="47"/>
      <c r="BQ280" s="47"/>
      <c r="BR280" s="47"/>
      <c r="BT280" s="47"/>
      <c r="BU280" s="47"/>
      <c r="BV280" s="47"/>
      <c r="BW280" s="47"/>
      <c r="BX280" s="288"/>
      <c r="CM280" s="96"/>
    </row>
    <row r="281" spans="1:91">
      <c r="A281" s="280" t="str">
        <f>IF(A127="","",A127)</f>
        <v>SB-O</v>
      </c>
      <c r="B281" s="189">
        <f>IF(B127="","",B127)</f>
        <v>90</v>
      </c>
      <c r="C281" s="190">
        <f>IF(C127="","",C127)</f>
        <v>140</v>
      </c>
      <c r="D281" s="190">
        <f>IF(D127="","",D127)</f>
        <v>10</v>
      </c>
      <c r="E281" s="191">
        <f>IF(E127="","",E127)</f>
        <v>50</v>
      </c>
      <c r="G281" s="189">
        <f t="shared" ref="G281:J296" si="271">IF(G127="","",G127)</f>
        <v>90</v>
      </c>
      <c r="H281" s="190">
        <f t="shared" si="271"/>
        <v>140</v>
      </c>
      <c r="I281" s="190">
        <f t="shared" si="271"/>
        <v>10</v>
      </c>
      <c r="J281" s="191">
        <f t="shared" si="271"/>
        <v>50</v>
      </c>
      <c r="L281" s="189">
        <f t="shared" ref="L281:O296" si="272">IF(L127="","",L127)</f>
        <v>90</v>
      </c>
      <c r="M281" s="190">
        <f t="shared" si="272"/>
        <v>140</v>
      </c>
      <c r="N281" s="190">
        <f t="shared" si="272"/>
        <v>10</v>
      </c>
      <c r="O281" s="191">
        <f t="shared" si="272"/>
        <v>50</v>
      </c>
      <c r="Q281" s="189">
        <f t="shared" ref="Q281:T296" si="273">IF(Q127="","",Q127)</f>
        <v>90</v>
      </c>
      <c r="R281" s="190">
        <f t="shared" si="273"/>
        <v>140</v>
      </c>
      <c r="S281" s="190">
        <f t="shared" si="273"/>
        <v>10</v>
      </c>
      <c r="T281" s="191">
        <f t="shared" si="273"/>
        <v>50</v>
      </c>
      <c r="V281" s="189">
        <f t="shared" ref="V281:Y296" si="274">IF(V127="","",V127)</f>
        <v>90</v>
      </c>
      <c r="W281" s="190">
        <f t="shared" si="274"/>
        <v>140</v>
      </c>
      <c r="X281" s="190">
        <f t="shared" si="274"/>
        <v>10</v>
      </c>
      <c r="Y281" s="191">
        <f t="shared" si="274"/>
        <v>50</v>
      </c>
      <c r="AA281" s="189">
        <f t="shared" ref="AA281:AD296" si="275">IF(AA127="","",AA127)</f>
        <v>90</v>
      </c>
      <c r="AB281" s="190">
        <f t="shared" si="275"/>
        <v>140</v>
      </c>
      <c r="AC281" s="190">
        <f t="shared" si="275"/>
        <v>10</v>
      </c>
      <c r="AD281" s="191">
        <f t="shared" si="275"/>
        <v>50</v>
      </c>
      <c r="AF281" s="189">
        <f t="shared" ref="AF281:AI296" si="276">IF(AF127="","",AF127)</f>
        <v>90</v>
      </c>
      <c r="AG281" s="190">
        <f t="shared" si="276"/>
        <v>140</v>
      </c>
      <c r="AH281" s="190">
        <f t="shared" si="276"/>
        <v>10</v>
      </c>
      <c r="AI281" s="191">
        <f t="shared" si="276"/>
        <v>50</v>
      </c>
      <c r="AK281" s="189">
        <f t="shared" ref="AK281:AN296" si="277">IF(AK127="","",AK127)</f>
        <v>90</v>
      </c>
      <c r="AL281" s="190">
        <f t="shared" si="277"/>
        <v>140</v>
      </c>
      <c r="AM281" s="190">
        <f t="shared" si="277"/>
        <v>10</v>
      </c>
      <c r="AN281" s="191">
        <f t="shared" si="277"/>
        <v>50</v>
      </c>
      <c r="AP281" s="189">
        <f t="shared" ref="AP281:AS296" si="278">IF(AP127="","",AP127)</f>
        <v>90</v>
      </c>
      <c r="AQ281" s="190">
        <f t="shared" si="278"/>
        <v>140</v>
      </c>
      <c r="AR281" s="190">
        <f t="shared" si="278"/>
        <v>15</v>
      </c>
      <c r="AS281" s="191">
        <f t="shared" si="278"/>
        <v>50</v>
      </c>
      <c r="AT281" s="288"/>
      <c r="AU281" s="189">
        <f t="shared" ref="AU281:AX296" si="279">IF(AU127="","",AU127)</f>
        <v>90</v>
      </c>
      <c r="AV281" s="190">
        <f t="shared" si="279"/>
        <v>90</v>
      </c>
      <c r="AW281" s="190">
        <f t="shared" si="279"/>
        <v>10</v>
      </c>
      <c r="AX281" s="191">
        <f t="shared" si="279"/>
        <v>40</v>
      </c>
      <c r="AZ281" s="189">
        <f t="shared" ref="AZ281:BC296" si="280">IF(AZ127="","",AZ127)</f>
        <v>90</v>
      </c>
      <c r="BA281" s="190">
        <f t="shared" si="280"/>
        <v>90</v>
      </c>
      <c r="BB281" s="190">
        <f t="shared" si="280"/>
        <v>10</v>
      </c>
      <c r="BC281" s="191">
        <f t="shared" si="280"/>
        <v>40</v>
      </c>
      <c r="BE281" s="189">
        <f t="shared" ref="BE281:BH296" si="281">IF(BE127="","",BE127)</f>
        <v>90</v>
      </c>
      <c r="BF281" s="190">
        <f t="shared" si="281"/>
        <v>90</v>
      </c>
      <c r="BG281" s="190">
        <f t="shared" si="281"/>
        <v>10</v>
      </c>
      <c r="BH281" s="191">
        <f t="shared" si="281"/>
        <v>40</v>
      </c>
      <c r="BI281" s="288"/>
      <c r="BJ281" s="189">
        <f t="shared" ref="BJ281:BM296" si="282">IF(BJ127="","",BJ127)</f>
        <v>90</v>
      </c>
      <c r="BK281" s="190">
        <f t="shared" si="282"/>
        <v>50</v>
      </c>
      <c r="BL281" s="190">
        <f t="shared" si="282"/>
        <v>10</v>
      </c>
      <c r="BM281" s="191">
        <f t="shared" si="282"/>
        <v>40</v>
      </c>
      <c r="BO281" s="189">
        <f t="shared" ref="BO281:BR296" si="283">IF(BO127="","",BO127)</f>
        <v>90</v>
      </c>
      <c r="BP281" s="190">
        <f t="shared" si="283"/>
        <v>50</v>
      </c>
      <c r="BQ281" s="190">
        <f t="shared" si="283"/>
        <v>10</v>
      </c>
      <c r="BR281" s="191">
        <f t="shared" si="283"/>
        <v>40</v>
      </c>
      <c r="BT281" s="189">
        <f t="shared" ref="BT281:BW296" si="284">IF(BT127="","",BT127)</f>
        <v>90</v>
      </c>
      <c r="BU281" s="190">
        <f t="shared" si="284"/>
        <v>50</v>
      </c>
      <c r="BV281" s="190">
        <f t="shared" si="284"/>
        <v>10</v>
      </c>
      <c r="BW281" s="191">
        <f t="shared" si="284"/>
        <v>40</v>
      </c>
      <c r="BX281" s="288"/>
      <c r="CM281" s="96"/>
    </row>
    <row r="282" spans="1:91">
      <c r="A282" s="280" t="str">
        <f>IF(A124="","",A124)</f>
        <v/>
      </c>
      <c r="B282" s="192">
        <f t="shared" ref="B282:E297" si="285">IF(B128="","",B128)</f>
        <v>90</v>
      </c>
      <c r="C282" s="193">
        <f t="shared" si="285"/>
        <v>96</v>
      </c>
      <c r="D282" s="193">
        <f t="shared" si="285"/>
        <v>20</v>
      </c>
      <c r="E282" s="194">
        <f t="shared" si="285"/>
        <v>50</v>
      </c>
      <c r="G282" s="192">
        <f t="shared" si="271"/>
        <v>90</v>
      </c>
      <c r="H282" s="193">
        <f t="shared" si="271"/>
        <v>96</v>
      </c>
      <c r="I282" s="193">
        <f t="shared" si="271"/>
        <v>20</v>
      </c>
      <c r="J282" s="194">
        <f t="shared" si="271"/>
        <v>50</v>
      </c>
      <c r="L282" s="192">
        <f t="shared" si="272"/>
        <v>90</v>
      </c>
      <c r="M282" s="193">
        <f t="shared" si="272"/>
        <v>96</v>
      </c>
      <c r="N282" s="193">
        <f t="shared" si="272"/>
        <v>20</v>
      </c>
      <c r="O282" s="194">
        <f t="shared" si="272"/>
        <v>50</v>
      </c>
      <c r="Q282" s="192">
        <f t="shared" si="273"/>
        <v>90</v>
      </c>
      <c r="R282" s="193">
        <f t="shared" si="273"/>
        <v>96</v>
      </c>
      <c r="S282" s="193">
        <f t="shared" si="273"/>
        <v>20</v>
      </c>
      <c r="T282" s="194">
        <f t="shared" si="273"/>
        <v>50</v>
      </c>
      <c r="V282" s="192">
        <f t="shared" si="274"/>
        <v>90</v>
      </c>
      <c r="W282" s="193">
        <f t="shared" si="274"/>
        <v>96</v>
      </c>
      <c r="X282" s="193">
        <f t="shared" si="274"/>
        <v>20</v>
      </c>
      <c r="Y282" s="194">
        <f t="shared" si="274"/>
        <v>50</v>
      </c>
      <c r="AA282" s="192">
        <f t="shared" si="275"/>
        <v>90</v>
      </c>
      <c r="AB282" s="193">
        <f t="shared" si="275"/>
        <v>96</v>
      </c>
      <c r="AC282" s="193">
        <f t="shared" si="275"/>
        <v>20</v>
      </c>
      <c r="AD282" s="194">
        <f t="shared" si="275"/>
        <v>50</v>
      </c>
      <c r="AF282" s="192">
        <f t="shared" si="276"/>
        <v>90</v>
      </c>
      <c r="AG282" s="193">
        <f t="shared" si="276"/>
        <v>96</v>
      </c>
      <c r="AH282" s="193">
        <f t="shared" si="276"/>
        <v>20</v>
      </c>
      <c r="AI282" s="194">
        <f t="shared" si="276"/>
        <v>50</v>
      </c>
      <c r="AK282" s="192">
        <f t="shared" si="277"/>
        <v>90</v>
      </c>
      <c r="AL282" s="193">
        <f t="shared" si="277"/>
        <v>96</v>
      </c>
      <c r="AM282" s="193">
        <f t="shared" si="277"/>
        <v>20</v>
      </c>
      <c r="AN282" s="194">
        <f t="shared" si="277"/>
        <v>50</v>
      </c>
      <c r="AP282" s="192">
        <f t="shared" si="278"/>
        <v>90</v>
      </c>
      <c r="AQ282" s="193">
        <f t="shared" si="278"/>
        <v>96</v>
      </c>
      <c r="AR282" s="193">
        <f t="shared" si="278"/>
        <v>25</v>
      </c>
      <c r="AS282" s="194">
        <f t="shared" si="278"/>
        <v>50</v>
      </c>
      <c r="AT282" s="288"/>
      <c r="AU282" s="192">
        <f t="shared" si="279"/>
        <v>90</v>
      </c>
      <c r="AV282" s="193">
        <f t="shared" si="279"/>
        <v>10</v>
      </c>
      <c r="AW282" s="193">
        <f t="shared" si="279"/>
        <v>10</v>
      </c>
      <c r="AX282" s="194">
        <f t="shared" si="279"/>
        <v>40</v>
      </c>
      <c r="AZ282" s="192">
        <f t="shared" si="280"/>
        <v>90</v>
      </c>
      <c r="BA282" s="193">
        <f t="shared" si="280"/>
        <v>10</v>
      </c>
      <c r="BB282" s="193">
        <f t="shared" si="280"/>
        <v>10</v>
      </c>
      <c r="BC282" s="194">
        <f t="shared" si="280"/>
        <v>40</v>
      </c>
      <c r="BE282" s="192">
        <f t="shared" si="281"/>
        <v>90</v>
      </c>
      <c r="BF282" s="193">
        <f t="shared" si="281"/>
        <v>10</v>
      </c>
      <c r="BG282" s="193">
        <f t="shared" si="281"/>
        <v>10</v>
      </c>
      <c r="BH282" s="194">
        <f t="shared" si="281"/>
        <v>40</v>
      </c>
      <c r="BI282" s="288"/>
      <c r="BJ282" s="192">
        <f t="shared" si="282"/>
        <v>90</v>
      </c>
      <c r="BK282" s="193">
        <f t="shared" si="282"/>
        <v>10</v>
      </c>
      <c r="BL282" s="193">
        <f t="shared" si="282"/>
        <v>10</v>
      </c>
      <c r="BM282" s="194">
        <f t="shared" si="282"/>
        <v>40</v>
      </c>
      <c r="BO282" s="192">
        <f t="shared" si="283"/>
        <v>90</v>
      </c>
      <c r="BP282" s="193">
        <f t="shared" si="283"/>
        <v>10</v>
      </c>
      <c r="BQ282" s="193">
        <f t="shared" si="283"/>
        <v>10</v>
      </c>
      <c r="BR282" s="194">
        <f t="shared" si="283"/>
        <v>40</v>
      </c>
      <c r="BT282" s="192">
        <f t="shared" si="284"/>
        <v>90</v>
      </c>
      <c r="BU282" s="193">
        <f t="shared" si="284"/>
        <v>10</v>
      </c>
      <c r="BV282" s="193">
        <f t="shared" si="284"/>
        <v>10</v>
      </c>
      <c r="BW282" s="194">
        <f t="shared" si="284"/>
        <v>40</v>
      </c>
      <c r="BX282" s="288"/>
      <c r="CM282" s="96"/>
    </row>
    <row r="283" spans="1:91">
      <c r="A283" s="280" t="str">
        <f>IF(A125="","",A125)</f>
        <v/>
      </c>
      <c r="B283" s="192">
        <f t="shared" si="285"/>
        <v>90</v>
      </c>
      <c r="C283" s="193">
        <f t="shared" si="285"/>
        <v>54</v>
      </c>
      <c r="D283" s="193">
        <f t="shared" si="285"/>
        <v>20</v>
      </c>
      <c r="E283" s="194">
        <f t="shared" si="285"/>
        <v>50</v>
      </c>
      <c r="G283" s="192">
        <f t="shared" si="271"/>
        <v>90</v>
      </c>
      <c r="H283" s="193">
        <f t="shared" si="271"/>
        <v>54</v>
      </c>
      <c r="I283" s="193">
        <f t="shared" si="271"/>
        <v>20</v>
      </c>
      <c r="J283" s="194">
        <f t="shared" si="271"/>
        <v>50</v>
      </c>
      <c r="L283" s="192">
        <f t="shared" si="272"/>
        <v>90</v>
      </c>
      <c r="M283" s="193">
        <f t="shared" si="272"/>
        <v>54</v>
      </c>
      <c r="N283" s="193">
        <f t="shared" si="272"/>
        <v>20</v>
      </c>
      <c r="O283" s="194">
        <f t="shared" si="272"/>
        <v>50</v>
      </c>
      <c r="Q283" s="192">
        <f t="shared" si="273"/>
        <v>90</v>
      </c>
      <c r="R283" s="193">
        <f t="shared" si="273"/>
        <v>54</v>
      </c>
      <c r="S283" s="193">
        <f t="shared" si="273"/>
        <v>20</v>
      </c>
      <c r="T283" s="194">
        <f t="shared" si="273"/>
        <v>50</v>
      </c>
      <c r="V283" s="192">
        <f t="shared" si="274"/>
        <v>90</v>
      </c>
      <c r="W283" s="193">
        <f t="shared" si="274"/>
        <v>54</v>
      </c>
      <c r="X283" s="193">
        <f t="shared" si="274"/>
        <v>20</v>
      </c>
      <c r="Y283" s="194">
        <f t="shared" si="274"/>
        <v>50</v>
      </c>
      <c r="AA283" s="192">
        <f t="shared" si="275"/>
        <v>90</v>
      </c>
      <c r="AB283" s="193">
        <f t="shared" si="275"/>
        <v>54</v>
      </c>
      <c r="AC283" s="193">
        <f t="shared" si="275"/>
        <v>20</v>
      </c>
      <c r="AD283" s="194">
        <f t="shared" si="275"/>
        <v>50</v>
      </c>
      <c r="AF283" s="192">
        <f t="shared" si="276"/>
        <v>90</v>
      </c>
      <c r="AG283" s="193">
        <f t="shared" si="276"/>
        <v>54</v>
      </c>
      <c r="AH283" s="193">
        <f t="shared" si="276"/>
        <v>20</v>
      </c>
      <c r="AI283" s="194">
        <f t="shared" si="276"/>
        <v>50</v>
      </c>
      <c r="AK283" s="192">
        <f t="shared" si="277"/>
        <v>90</v>
      </c>
      <c r="AL283" s="193">
        <f t="shared" si="277"/>
        <v>54</v>
      </c>
      <c r="AM283" s="193">
        <f t="shared" si="277"/>
        <v>20</v>
      </c>
      <c r="AN283" s="194">
        <f t="shared" si="277"/>
        <v>50</v>
      </c>
      <c r="AP283" s="192">
        <f t="shared" si="278"/>
        <v>90</v>
      </c>
      <c r="AQ283" s="193">
        <f t="shared" si="278"/>
        <v>54</v>
      </c>
      <c r="AR283" s="193">
        <f t="shared" si="278"/>
        <v>25</v>
      </c>
      <c r="AS283" s="194">
        <f t="shared" si="278"/>
        <v>50</v>
      </c>
      <c r="AT283" s="288"/>
      <c r="AU283" s="192" t="str">
        <f t="shared" si="279"/>
        <v/>
      </c>
      <c r="AV283" s="193" t="str">
        <f t="shared" si="279"/>
        <v/>
      </c>
      <c r="AW283" s="193" t="str">
        <f t="shared" si="279"/>
        <v/>
      </c>
      <c r="AX283" s="194" t="str">
        <f t="shared" si="279"/>
        <v/>
      </c>
      <c r="AZ283" s="192" t="str">
        <f t="shared" si="280"/>
        <v/>
      </c>
      <c r="BA283" s="193" t="str">
        <f t="shared" si="280"/>
        <v/>
      </c>
      <c r="BB283" s="193" t="str">
        <f t="shared" si="280"/>
        <v/>
      </c>
      <c r="BC283" s="194" t="str">
        <f t="shared" si="280"/>
        <v/>
      </c>
      <c r="BE283" s="192" t="str">
        <f t="shared" si="281"/>
        <v/>
      </c>
      <c r="BF283" s="193" t="str">
        <f t="shared" si="281"/>
        <v/>
      </c>
      <c r="BG283" s="193" t="str">
        <f t="shared" si="281"/>
        <v/>
      </c>
      <c r="BH283" s="194" t="str">
        <f t="shared" si="281"/>
        <v/>
      </c>
      <c r="BI283" s="288"/>
      <c r="BJ283" s="192" t="str">
        <f t="shared" si="282"/>
        <v/>
      </c>
      <c r="BK283" s="193" t="str">
        <f t="shared" si="282"/>
        <v/>
      </c>
      <c r="BL283" s="193" t="str">
        <f t="shared" si="282"/>
        <v/>
      </c>
      <c r="BM283" s="194" t="str">
        <f t="shared" si="282"/>
        <v/>
      </c>
      <c r="BO283" s="192" t="str">
        <f t="shared" si="283"/>
        <v/>
      </c>
      <c r="BP283" s="193" t="str">
        <f t="shared" si="283"/>
        <v/>
      </c>
      <c r="BQ283" s="193" t="str">
        <f t="shared" si="283"/>
        <v/>
      </c>
      <c r="BR283" s="194" t="str">
        <f t="shared" si="283"/>
        <v/>
      </c>
      <c r="BT283" s="192" t="str">
        <f t="shared" si="284"/>
        <v/>
      </c>
      <c r="BU283" s="193" t="str">
        <f t="shared" si="284"/>
        <v/>
      </c>
      <c r="BV283" s="193" t="str">
        <f t="shared" si="284"/>
        <v/>
      </c>
      <c r="BW283" s="194" t="str">
        <f t="shared" si="284"/>
        <v/>
      </c>
      <c r="BX283" s="288"/>
      <c r="CM283" s="96"/>
    </row>
    <row r="284" spans="1:91">
      <c r="A284" s="280" t="str">
        <f>IF(A126="","",A126)</f>
        <v/>
      </c>
      <c r="B284" s="195">
        <f t="shared" si="285"/>
        <v>90</v>
      </c>
      <c r="C284" s="196">
        <f t="shared" si="285"/>
        <v>10</v>
      </c>
      <c r="D284" s="196">
        <f t="shared" si="285"/>
        <v>10</v>
      </c>
      <c r="E284" s="197">
        <f t="shared" si="285"/>
        <v>50</v>
      </c>
      <c r="G284" s="195">
        <f t="shared" si="271"/>
        <v>90</v>
      </c>
      <c r="H284" s="196">
        <f t="shared" si="271"/>
        <v>10</v>
      </c>
      <c r="I284" s="196">
        <f t="shared" si="271"/>
        <v>10</v>
      </c>
      <c r="J284" s="197">
        <f t="shared" si="271"/>
        <v>50</v>
      </c>
      <c r="L284" s="195">
        <f t="shared" si="272"/>
        <v>90</v>
      </c>
      <c r="M284" s="196">
        <f t="shared" si="272"/>
        <v>10</v>
      </c>
      <c r="N284" s="196">
        <f t="shared" si="272"/>
        <v>10</v>
      </c>
      <c r="O284" s="197">
        <f t="shared" si="272"/>
        <v>50</v>
      </c>
      <c r="Q284" s="195">
        <f t="shared" si="273"/>
        <v>90</v>
      </c>
      <c r="R284" s="196">
        <f t="shared" si="273"/>
        <v>10</v>
      </c>
      <c r="S284" s="196">
        <f t="shared" si="273"/>
        <v>10</v>
      </c>
      <c r="T284" s="197">
        <f t="shared" si="273"/>
        <v>50</v>
      </c>
      <c r="V284" s="195">
        <f t="shared" si="274"/>
        <v>90</v>
      </c>
      <c r="W284" s="196">
        <f t="shared" si="274"/>
        <v>10</v>
      </c>
      <c r="X284" s="196">
        <f t="shared" si="274"/>
        <v>10</v>
      </c>
      <c r="Y284" s="197">
        <f t="shared" si="274"/>
        <v>50</v>
      </c>
      <c r="AA284" s="195">
        <f t="shared" si="275"/>
        <v>90</v>
      </c>
      <c r="AB284" s="196">
        <f t="shared" si="275"/>
        <v>10</v>
      </c>
      <c r="AC284" s="196">
        <f t="shared" si="275"/>
        <v>10</v>
      </c>
      <c r="AD284" s="197">
        <f t="shared" si="275"/>
        <v>50</v>
      </c>
      <c r="AF284" s="195">
        <f t="shared" si="276"/>
        <v>90</v>
      </c>
      <c r="AG284" s="196">
        <f t="shared" si="276"/>
        <v>10</v>
      </c>
      <c r="AH284" s="196">
        <f t="shared" si="276"/>
        <v>10</v>
      </c>
      <c r="AI284" s="197">
        <f t="shared" si="276"/>
        <v>50</v>
      </c>
      <c r="AK284" s="195">
        <f t="shared" si="277"/>
        <v>90</v>
      </c>
      <c r="AL284" s="196">
        <f t="shared" si="277"/>
        <v>10</v>
      </c>
      <c r="AM284" s="196">
        <f t="shared" si="277"/>
        <v>10</v>
      </c>
      <c r="AN284" s="197">
        <f t="shared" si="277"/>
        <v>50</v>
      </c>
      <c r="AP284" s="195">
        <f t="shared" si="278"/>
        <v>90</v>
      </c>
      <c r="AQ284" s="196">
        <f t="shared" si="278"/>
        <v>10</v>
      </c>
      <c r="AR284" s="196">
        <f t="shared" si="278"/>
        <v>15</v>
      </c>
      <c r="AS284" s="197">
        <f t="shared" si="278"/>
        <v>50</v>
      </c>
      <c r="AT284" s="288"/>
      <c r="AU284" s="195" t="str">
        <f t="shared" si="279"/>
        <v/>
      </c>
      <c r="AV284" s="196" t="str">
        <f t="shared" si="279"/>
        <v/>
      </c>
      <c r="AW284" s="196" t="str">
        <f t="shared" si="279"/>
        <v/>
      </c>
      <c r="AX284" s="197" t="str">
        <f t="shared" si="279"/>
        <v/>
      </c>
      <c r="AZ284" s="195" t="str">
        <f t="shared" si="280"/>
        <v/>
      </c>
      <c r="BA284" s="196" t="str">
        <f t="shared" si="280"/>
        <v/>
      </c>
      <c r="BB284" s="196" t="str">
        <f t="shared" si="280"/>
        <v/>
      </c>
      <c r="BC284" s="197" t="str">
        <f t="shared" si="280"/>
        <v/>
      </c>
      <c r="BE284" s="195" t="str">
        <f t="shared" si="281"/>
        <v/>
      </c>
      <c r="BF284" s="196" t="str">
        <f t="shared" si="281"/>
        <v/>
      </c>
      <c r="BG284" s="196" t="str">
        <f t="shared" si="281"/>
        <v/>
      </c>
      <c r="BH284" s="197" t="str">
        <f t="shared" si="281"/>
        <v/>
      </c>
      <c r="BI284" s="288"/>
      <c r="BJ284" s="195" t="str">
        <f t="shared" si="282"/>
        <v/>
      </c>
      <c r="BK284" s="196" t="str">
        <f t="shared" si="282"/>
        <v/>
      </c>
      <c r="BL284" s="196" t="str">
        <f t="shared" si="282"/>
        <v/>
      </c>
      <c r="BM284" s="197" t="str">
        <f t="shared" si="282"/>
        <v/>
      </c>
      <c r="BO284" s="195" t="str">
        <f t="shared" si="283"/>
        <v/>
      </c>
      <c r="BP284" s="196" t="str">
        <f t="shared" si="283"/>
        <v/>
      </c>
      <c r="BQ284" s="196" t="str">
        <f t="shared" si="283"/>
        <v/>
      </c>
      <c r="BR284" s="197" t="str">
        <f t="shared" si="283"/>
        <v/>
      </c>
      <c r="BT284" s="195" t="str">
        <f t="shared" si="284"/>
        <v/>
      </c>
      <c r="BU284" s="196" t="str">
        <f t="shared" si="284"/>
        <v/>
      </c>
      <c r="BV284" s="196" t="str">
        <f t="shared" si="284"/>
        <v/>
      </c>
      <c r="BW284" s="197" t="str">
        <f t="shared" si="284"/>
        <v/>
      </c>
      <c r="BX284" s="288"/>
      <c r="CM284" s="96"/>
    </row>
    <row r="285" spans="1:91">
      <c r="A285" s="280" t="str">
        <f>IF(A131="","",A131)</f>
        <v>GP</v>
      </c>
      <c r="B285" s="182">
        <f t="shared" si="285"/>
        <v>90</v>
      </c>
      <c r="C285" s="170">
        <f t="shared" si="285"/>
        <v>139.5</v>
      </c>
      <c r="D285" s="170">
        <f t="shared" si="285"/>
        <v>1010</v>
      </c>
      <c r="E285" s="177">
        <f t="shared" si="285"/>
        <v>20</v>
      </c>
      <c r="G285" s="182">
        <f t="shared" si="271"/>
        <v>90</v>
      </c>
      <c r="H285" s="170">
        <f t="shared" si="271"/>
        <v>139.5</v>
      </c>
      <c r="I285" s="170">
        <f t="shared" si="271"/>
        <v>770</v>
      </c>
      <c r="J285" s="177">
        <f t="shared" si="271"/>
        <v>20</v>
      </c>
      <c r="L285" s="182">
        <f t="shared" si="272"/>
        <v>90</v>
      </c>
      <c r="M285" s="170">
        <f t="shared" si="272"/>
        <v>139.5</v>
      </c>
      <c r="N285" s="170">
        <f t="shared" si="272"/>
        <v>710</v>
      </c>
      <c r="O285" s="177">
        <f t="shared" si="272"/>
        <v>20</v>
      </c>
      <c r="Q285" s="182">
        <f t="shared" si="273"/>
        <v>90</v>
      </c>
      <c r="R285" s="170">
        <f t="shared" si="273"/>
        <v>139.5</v>
      </c>
      <c r="S285" s="170">
        <f t="shared" si="273"/>
        <v>650</v>
      </c>
      <c r="T285" s="177">
        <f t="shared" si="273"/>
        <v>20</v>
      </c>
      <c r="V285" s="182">
        <f t="shared" si="274"/>
        <v>90</v>
      </c>
      <c r="W285" s="170">
        <f t="shared" si="274"/>
        <v>139.5</v>
      </c>
      <c r="X285" s="170">
        <f t="shared" si="274"/>
        <v>530</v>
      </c>
      <c r="Y285" s="177">
        <f t="shared" si="274"/>
        <v>20</v>
      </c>
      <c r="AA285" s="182">
        <f t="shared" si="275"/>
        <v>90</v>
      </c>
      <c r="AB285" s="170">
        <f t="shared" si="275"/>
        <v>139.5</v>
      </c>
      <c r="AC285" s="170">
        <f t="shared" si="275"/>
        <v>470</v>
      </c>
      <c r="AD285" s="177">
        <f t="shared" si="275"/>
        <v>20</v>
      </c>
      <c r="AF285" s="182">
        <f t="shared" si="276"/>
        <v>90</v>
      </c>
      <c r="AG285" s="170">
        <f t="shared" si="276"/>
        <v>139.5</v>
      </c>
      <c r="AH285" s="170">
        <f t="shared" si="276"/>
        <v>350</v>
      </c>
      <c r="AI285" s="177">
        <f t="shared" si="276"/>
        <v>20</v>
      </c>
      <c r="AK285" s="182">
        <f t="shared" si="277"/>
        <v>90</v>
      </c>
      <c r="AL285" s="170">
        <f t="shared" si="277"/>
        <v>139.5</v>
      </c>
      <c r="AM285" s="170">
        <f t="shared" si="277"/>
        <v>230</v>
      </c>
      <c r="AN285" s="177">
        <f t="shared" si="277"/>
        <v>20</v>
      </c>
      <c r="AP285" s="182">
        <f t="shared" si="278"/>
        <v>90</v>
      </c>
      <c r="AQ285" s="170">
        <f t="shared" si="278"/>
        <v>139.5</v>
      </c>
      <c r="AR285" s="170">
        <f t="shared" si="278"/>
        <v>800</v>
      </c>
      <c r="AS285" s="177">
        <f t="shared" si="278"/>
        <v>20</v>
      </c>
      <c r="AT285" s="288"/>
      <c r="AU285" s="182">
        <f t="shared" si="279"/>
        <v>90</v>
      </c>
      <c r="AV285" s="170">
        <f t="shared" si="279"/>
        <v>89.2</v>
      </c>
      <c r="AW285" s="170">
        <f t="shared" si="279"/>
        <v>470</v>
      </c>
      <c r="AX285" s="177">
        <f t="shared" si="279"/>
        <v>16.5</v>
      </c>
      <c r="AZ285" s="182">
        <f t="shared" si="280"/>
        <v>90</v>
      </c>
      <c r="BA285" s="170">
        <f t="shared" si="280"/>
        <v>89.2</v>
      </c>
      <c r="BB285" s="170">
        <f t="shared" si="280"/>
        <v>350</v>
      </c>
      <c r="BC285" s="177">
        <f t="shared" si="280"/>
        <v>16.5</v>
      </c>
      <c r="BE285" s="182">
        <f t="shared" si="281"/>
        <v>90</v>
      </c>
      <c r="BF285" s="170">
        <f t="shared" si="281"/>
        <v>89.2</v>
      </c>
      <c r="BG285" s="170">
        <f t="shared" si="281"/>
        <v>230</v>
      </c>
      <c r="BH285" s="177">
        <f t="shared" si="281"/>
        <v>16.5</v>
      </c>
      <c r="BI285" s="288"/>
      <c r="BJ285" s="182">
        <f t="shared" si="282"/>
        <v>90</v>
      </c>
      <c r="BK285" s="170">
        <f t="shared" si="282"/>
        <v>50.25</v>
      </c>
      <c r="BL285" s="170">
        <f t="shared" si="282"/>
        <v>490</v>
      </c>
      <c r="BM285" s="177">
        <f t="shared" si="282"/>
        <v>16.5</v>
      </c>
      <c r="BO285" s="182">
        <f t="shared" si="283"/>
        <v>90</v>
      </c>
      <c r="BP285" s="170">
        <f t="shared" si="283"/>
        <v>50.25</v>
      </c>
      <c r="BQ285" s="170">
        <f t="shared" si="283"/>
        <v>370</v>
      </c>
      <c r="BR285" s="177">
        <f t="shared" si="283"/>
        <v>16.5</v>
      </c>
      <c r="BT285" s="182">
        <f t="shared" si="284"/>
        <v>90</v>
      </c>
      <c r="BU285" s="170">
        <f t="shared" si="284"/>
        <v>50.25</v>
      </c>
      <c r="BV285" s="170">
        <f t="shared" si="284"/>
        <v>250</v>
      </c>
      <c r="BW285" s="177">
        <f t="shared" si="284"/>
        <v>16.5</v>
      </c>
      <c r="BX285" s="288"/>
      <c r="CM285" s="96"/>
    </row>
    <row r="286" spans="1:91">
      <c r="A286" s="280" t="str">
        <f>IF(A128="","",A128)</f>
        <v/>
      </c>
      <c r="B286" s="183">
        <f t="shared" si="285"/>
        <v>90</v>
      </c>
      <c r="C286" s="171">
        <f t="shared" si="285"/>
        <v>118</v>
      </c>
      <c r="D286" s="171">
        <f t="shared" si="285"/>
        <v>1025</v>
      </c>
      <c r="E286" s="178">
        <f t="shared" si="285"/>
        <v>14</v>
      </c>
      <c r="G286" s="183">
        <f t="shared" si="271"/>
        <v>90</v>
      </c>
      <c r="H286" s="171">
        <f t="shared" si="271"/>
        <v>118</v>
      </c>
      <c r="I286" s="171">
        <f t="shared" si="271"/>
        <v>785</v>
      </c>
      <c r="J286" s="178">
        <f t="shared" si="271"/>
        <v>14</v>
      </c>
      <c r="L286" s="183">
        <f t="shared" si="272"/>
        <v>90</v>
      </c>
      <c r="M286" s="171">
        <f t="shared" si="272"/>
        <v>118</v>
      </c>
      <c r="N286" s="171">
        <f t="shared" si="272"/>
        <v>725</v>
      </c>
      <c r="O286" s="178">
        <f t="shared" si="272"/>
        <v>14</v>
      </c>
      <c r="Q286" s="183">
        <f t="shared" si="273"/>
        <v>90</v>
      </c>
      <c r="R286" s="171">
        <f t="shared" si="273"/>
        <v>118</v>
      </c>
      <c r="S286" s="171">
        <f t="shared" si="273"/>
        <v>665</v>
      </c>
      <c r="T286" s="178">
        <f t="shared" si="273"/>
        <v>14</v>
      </c>
      <c r="V286" s="183">
        <f t="shared" si="274"/>
        <v>90</v>
      </c>
      <c r="W286" s="171">
        <f t="shared" si="274"/>
        <v>118</v>
      </c>
      <c r="X286" s="171">
        <f t="shared" si="274"/>
        <v>545</v>
      </c>
      <c r="Y286" s="178">
        <f t="shared" si="274"/>
        <v>14</v>
      </c>
      <c r="AA286" s="183">
        <f t="shared" si="275"/>
        <v>90</v>
      </c>
      <c r="AB286" s="171">
        <f t="shared" si="275"/>
        <v>118</v>
      </c>
      <c r="AC286" s="171">
        <f t="shared" si="275"/>
        <v>485</v>
      </c>
      <c r="AD286" s="178">
        <f t="shared" si="275"/>
        <v>14</v>
      </c>
      <c r="AF286" s="183">
        <f t="shared" si="276"/>
        <v>90</v>
      </c>
      <c r="AG286" s="171">
        <f t="shared" si="276"/>
        <v>118</v>
      </c>
      <c r="AH286" s="171">
        <f t="shared" si="276"/>
        <v>365</v>
      </c>
      <c r="AI286" s="178">
        <f t="shared" si="276"/>
        <v>14</v>
      </c>
      <c r="AK286" s="183">
        <f t="shared" si="277"/>
        <v>90</v>
      </c>
      <c r="AL286" s="171">
        <f t="shared" si="277"/>
        <v>118</v>
      </c>
      <c r="AM286" s="171">
        <f t="shared" si="277"/>
        <v>245</v>
      </c>
      <c r="AN286" s="178">
        <f t="shared" si="277"/>
        <v>14</v>
      </c>
      <c r="AP286" s="183">
        <f t="shared" si="278"/>
        <v>90</v>
      </c>
      <c r="AQ286" s="171">
        <f t="shared" si="278"/>
        <v>118</v>
      </c>
      <c r="AR286" s="171">
        <f t="shared" si="278"/>
        <v>815</v>
      </c>
      <c r="AS286" s="178">
        <f t="shared" si="278"/>
        <v>14</v>
      </c>
      <c r="AT286" s="288"/>
      <c r="AU286" s="183">
        <f t="shared" si="279"/>
        <v>90</v>
      </c>
      <c r="AV286" s="171">
        <f t="shared" si="279"/>
        <v>70</v>
      </c>
      <c r="AW286" s="171">
        <f t="shared" si="279"/>
        <v>485</v>
      </c>
      <c r="AX286" s="178">
        <f t="shared" si="279"/>
        <v>14</v>
      </c>
      <c r="AZ286" s="183">
        <f t="shared" si="280"/>
        <v>90</v>
      </c>
      <c r="BA286" s="171">
        <f t="shared" si="280"/>
        <v>70</v>
      </c>
      <c r="BB286" s="171">
        <f t="shared" si="280"/>
        <v>365</v>
      </c>
      <c r="BC286" s="178">
        <f t="shared" si="280"/>
        <v>14</v>
      </c>
      <c r="BE286" s="183">
        <f t="shared" si="281"/>
        <v>90</v>
      </c>
      <c r="BF286" s="171">
        <f t="shared" si="281"/>
        <v>70</v>
      </c>
      <c r="BG286" s="171">
        <f t="shared" si="281"/>
        <v>245</v>
      </c>
      <c r="BH286" s="178">
        <f t="shared" si="281"/>
        <v>14</v>
      </c>
      <c r="BI286" s="288"/>
      <c r="BJ286" s="183">
        <f t="shared" si="282"/>
        <v>90</v>
      </c>
      <c r="BK286" s="171">
        <f t="shared" si="282"/>
        <v>30</v>
      </c>
      <c r="BL286" s="171">
        <f t="shared" si="282"/>
        <v>480</v>
      </c>
      <c r="BM286" s="178">
        <f t="shared" si="282"/>
        <v>14</v>
      </c>
      <c r="BO286" s="183">
        <f t="shared" si="283"/>
        <v>90</v>
      </c>
      <c r="BP286" s="171">
        <f t="shared" si="283"/>
        <v>30</v>
      </c>
      <c r="BQ286" s="171">
        <f t="shared" si="283"/>
        <v>360</v>
      </c>
      <c r="BR286" s="178">
        <f t="shared" si="283"/>
        <v>14</v>
      </c>
      <c r="BT286" s="183">
        <f t="shared" si="284"/>
        <v>90</v>
      </c>
      <c r="BU286" s="171">
        <f t="shared" si="284"/>
        <v>30</v>
      </c>
      <c r="BV286" s="171">
        <f t="shared" si="284"/>
        <v>240</v>
      </c>
      <c r="BW286" s="178">
        <f t="shared" si="284"/>
        <v>14</v>
      </c>
      <c r="BX286" s="288"/>
      <c r="CM286" s="96"/>
    </row>
    <row r="287" spans="1:91">
      <c r="A287" s="284" t="str">
        <f t="shared" ref="A287:E302" si="286">IF(A133="","",A133)</f>
        <v/>
      </c>
      <c r="B287" s="183">
        <f t="shared" si="285"/>
        <v>90</v>
      </c>
      <c r="C287" s="171">
        <f t="shared" si="285"/>
        <v>75</v>
      </c>
      <c r="D287" s="171">
        <f t="shared" si="285"/>
        <v>1015</v>
      </c>
      <c r="E287" s="178">
        <f t="shared" si="285"/>
        <v>14</v>
      </c>
      <c r="G287" s="183">
        <f t="shared" si="271"/>
        <v>90</v>
      </c>
      <c r="H287" s="171">
        <f t="shared" si="271"/>
        <v>75</v>
      </c>
      <c r="I287" s="171">
        <f t="shared" si="271"/>
        <v>775</v>
      </c>
      <c r="J287" s="178">
        <f t="shared" si="271"/>
        <v>14</v>
      </c>
      <c r="L287" s="183">
        <f t="shared" si="272"/>
        <v>90</v>
      </c>
      <c r="M287" s="171">
        <f t="shared" si="272"/>
        <v>75</v>
      </c>
      <c r="N287" s="171">
        <f t="shared" si="272"/>
        <v>715</v>
      </c>
      <c r="O287" s="178">
        <f t="shared" si="272"/>
        <v>14</v>
      </c>
      <c r="Q287" s="183">
        <f t="shared" si="273"/>
        <v>90</v>
      </c>
      <c r="R287" s="171">
        <f t="shared" si="273"/>
        <v>75</v>
      </c>
      <c r="S287" s="171">
        <f t="shared" si="273"/>
        <v>655</v>
      </c>
      <c r="T287" s="178">
        <f t="shared" si="273"/>
        <v>14</v>
      </c>
      <c r="V287" s="183">
        <f t="shared" si="274"/>
        <v>90</v>
      </c>
      <c r="W287" s="171">
        <f t="shared" si="274"/>
        <v>75</v>
      </c>
      <c r="X287" s="171">
        <f t="shared" si="274"/>
        <v>535</v>
      </c>
      <c r="Y287" s="178">
        <f t="shared" si="274"/>
        <v>14</v>
      </c>
      <c r="AA287" s="183">
        <f t="shared" si="275"/>
        <v>90</v>
      </c>
      <c r="AB287" s="171">
        <f t="shared" si="275"/>
        <v>75</v>
      </c>
      <c r="AC287" s="171">
        <f t="shared" si="275"/>
        <v>475</v>
      </c>
      <c r="AD287" s="178">
        <f t="shared" si="275"/>
        <v>14</v>
      </c>
      <c r="AF287" s="183">
        <f t="shared" si="276"/>
        <v>90</v>
      </c>
      <c r="AG287" s="171">
        <f t="shared" si="276"/>
        <v>75</v>
      </c>
      <c r="AH287" s="171">
        <f t="shared" si="276"/>
        <v>355</v>
      </c>
      <c r="AI287" s="178">
        <f t="shared" si="276"/>
        <v>14</v>
      </c>
      <c r="AK287" s="183">
        <f t="shared" si="277"/>
        <v>90</v>
      </c>
      <c r="AL287" s="171">
        <f t="shared" si="277"/>
        <v>75</v>
      </c>
      <c r="AM287" s="171">
        <f t="shared" si="277"/>
        <v>235</v>
      </c>
      <c r="AN287" s="178">
        <f t="shared" si="277"/>
        <v>14</v>
      </c>
      <c r="AP287" s="183">
        <f t="shared" si="278"/>
        <v>90</v>
      </c>
      <c r="AQ287" s="171">
        <f t="shared" si="278"/>
        <v>75</v>
      </c>
      <c r="AR287" s="171">
        <f t="shared" si="278"/>
        <v>805</v>
      </c>
      <c r="AS287" s="178">
        <f t="shared" si="278"/>
        <v>14</v>
      </c>
      <c r="AT287" s="288"/>
      <c r="AU287" s="183">
        <f t="shared" si="279"/>
        <v>90</v>
      </c>
      <c r="AV287" s="171">
        <f t="shared" si="279"/>
        <v>30</v>
      </c>
      <c r="AW287" s="171">
        <f t="shared" si="279"/>
        <v>485</v>
      </c>
      <c r="AX287" s="178">
        <f t="shared" si="279"/>
        <v>14</v>
      </c>
      <c r="AZ287" s="183">
        <f t="shared" si="280"/>
        <v>90</v>
      </c>
      <c r="BA287" s="171">
        <f t="shared" si="280"/>
        <v>30</v>
      </c>
      <c r="BB287" s="171">
        <f t="shared" si="280"/>
        <v>365</v>
      </c>
      <c r="BC287" s="178">
        <f t="shared" si="280"/>
        <v>14</v>
      </c>
      <c r="BE287" s="183">
        <f t="shared" si="281"/>
        <v>90</v>
      </c>
      <c r="BF287" s="171">
        <f t="shared" si="281"/>
        <v>30</v>
      </c>
      <c r="BG287" s="171">
        <f t="shared" si="281"/>
        <v>245</v>
      </c>
      <c r="BH287" s="178">
        <f t="shared" si="281"/>
        <v>14</v>
      </c>
      <c r="BI287" s="288"/>
      <c r="BJ287" s="183">
        <f t="shared" si="282"/>
        <v>90</v>
      </c>
      <c r="BK287" s="171">
        <f t="shared" si="282"/>
        <v>30</v>
      </c>
      <c r="BL287" s="171">
        <f t="shared" si="282"/>
        <v>70</v>
      </c>
      <c r="BM287" s="178">
        <f t="shared" si="282"/>
        <v>14</v>
      </c>
      <c r="BO287" s="183">
        <f t="shared" si="283"/>
        <v>90</v>
      </c>
      <c r="BP287" s="171">
        <f t="shared" si="283"/>
        <v>30</v>
      </c>
      <c r="BQ287" s="171">
        <f t="shared" si="283"/>
        <v>70</v>
      </c>
      <c r="BR287" s="178">
        <f t="shared" si="283"/>
        <v>14</v>
      </c>
      <c r="BT287" s="183">
        <f t="shared" si="284"/>
        <v>90</v>
      </c>
      <c r="BU287" s="171">
        <f t="shared" si="284"/>
        <v>30</v>
      </c>
      <c r="BV287" s="171">
        <f t="shared" si="284"/>
        <v>70</v>
      </c>
      <c r="BW287" s="178">
        <f t="shared" si="284"/>
        <v>14</v>
      </c>
      <c r="BX287" s="288"/>
      <c r="CM287" s="96"/>
    </row>
    <row r="288" spans="1:91">
      <c r="A288" s="284" t="str">
        <f t="shared" si="286"/>
        <v/>
      </c>
      <c r="B288" s="183">
        <f t="shared" si="285"/>
        <v>90</v>
      </c>
      <c r="C288" s="171">
        <f t="shared" si="285"/>
        <v>32</v>
      </c>
      <c r="D288" s="171">
        <f t="shared" si="285"/>
        <v>1025</v>
      </c>
      <c r="E288" s="178">
        <f t="shared" si="285"/>
        <v>14</v>
      </c>
      <c r="G288" s="183">
        <f t="shared" si="271"/>
        <v>90</v>
      </c>
      <c r="H288" s="171">
        <f t="shared" si="271"/>
        <v>32</v>
      </c>
      <c r="I288" s="171">
        <f t="shared" si="271"/>
        <v>785</v>
      </c>
      <c r="J288" s="178">
        <f t="shared" si="271"/>
        <v>14</v>
      </c>
      <c r="L288" s="183">
        <f t="shared" si="272"/>
        <v>90</v>
      </c>
      <c r="M288" s="171">
        <f t="shared" si="272"/>
        <v>32</v>
      </c>
      <c r="N288" s="171">
        <f t="shared" si="272"/>
        <v>725</v>
      </c>
      <c r="O288" s="178">
        <f t="shared" si="272"/>
        <v>14</v>
      </c>
      <c r="Q288" s="183">
        <f t="shared" si="273"/>
        <v>90</v>
      </c>
      <c r="R288" s="171">
        <f t="shared" si="273"/>
        <v>32</v>
      </c>
      <c r="S288" s="171">
        <f t="shared" si="273"/>
        <v>665</v>
      </c>
      <c r="T288" s="178">
        <f t="shared" si="273"/>
        <v>14</v>
      </c>
      <c r="V288" s="183">
        <f t="shared" si="274"/>
        <v>90</v>
      </c>
      <c r="W288" s="171">
        <f t="shared" si="274"/>
        <v>32</v>
      </c>
      <c r="X288" s="171">
        <f t="shared" si="274"/>
        <v>545</v>
      </c>
      <c r="Y288" s="178">
        <f t="shared" si="274"/>
        <v>14</v>
      </c>
      <c r="AA288" s="183">
        <f t="shared" si="275"/>
        <v>90</v>
      </c>
      <c r="AB288" s="171">
        <f t="shared" si="275"/>
        <v>32</v>
      </c>
      <c r="AC288" s="171">
        <f t="shared" si="275"/>
        <v>485</v>
      </c>
      <c r="AD288" s="178">
        <f t="shared" si="275"/>
        <v>14</v>
      </c>
      <c r="AF288" s="183">
        <f t="shared" si="276"/>
        <v>90</v>
      </c>
      <c r="AG288" s="171">
        <f t="shared" si="276"/>
        <v>32</v>
      </c>
      <c r="AH288" s="171">
        <f t="shared" si="276"/>
        <v>365</v>
      </c>
      <c r="AI288" s="178">
        <f t="shared" si="276"/>
        <v>14</v>
      </c>
      <c r="AK288" s="183">
        <f t="shared" si="277"/>
        <v>90</v>
      </c>
      <c r="AL288" s="171">
        <f t="shared" si="277"/>
        <v>32</v>
      </c>
      <c r="AM288" s="171">
        <f t="shared" si="277"/>
        <v>245</v>
      </c>
      <c r="AN288" s="178">
        <f t="shared" si="277"/>
        <v>14</v>
      </c>
      <c r="AP288" s="183">
        <f t="shared" si="278"/>
        <v>90</v>
      </c>
      <c r="AQ288" s="171">
        <f t="shared" si="278"/>
        <v>32</v>
      </c>
      <c r="AR288" s="171">
        <f t="shared" si="278"/>
        <v>815</v>
      </c>
      <c r="AS288" s="178">
        <f t="shared" si="278"/>
        <v>14</v>
      </c>
      <c r="AT288" s="288"/>
      <c r="AU288" s="183">
        <f t="shared" si="279"/>
        <v>90</v>
      </c>
      <c r="AV288" s="171">
        <f t="shared" si="279"/>
        <v>10.799999999999997</v>
      </c>
      <c r="AW288" s="171">
        <f t="shared" si="279"/>
        <v>470</v>
      </c>
      <c r="AX288" s="178">
        <f t="shared" si="279"/>
        <v>14</v>
      </c>
      <c r="AZ288" s="183">
        <f t="shared" si="280"/>
        <v>90</v>
      </c>
      <c r="BA288" s="171">
        <f t="shared" si="280"/>
        <v>10.799999999999997</v>
      </c>
      <c r="BB288" s="171">
        <f t="shared" si="280"/>
        <v>350</v>
      </c>
      <c r="BC288" s="178">
        <f t="shared" si="280"/>
        <v>14</v>
      </c>
      <c r="BE288" s="183">
        <f t="shared" si="281"/>
        <v>90</v>
      </c>
      <c r="BF288" s="171">
        <f t="shared" si="281"/>
        <v>10.799999999999997</v>
      </c>
      <c r="BG288" s="171">
        <f t="shared" si="281"/>
        <v>230</v>
      </c>
      <c r="BH288" s="178">
        <f t="shared" si="281"/>
        <v>14</v>
      </c>
      <c r="BI288" s="288"/>
      <c r="BJ288" s="183" t="str">
        <f t="shared" si="282"/>
        <v/>
      </c>
      <c r="BK288" s="171" t="str">
        <f t="shared" si="282"/>
        <v/>
      </c>
      <c r="BL288" s="171" t="str">
        <f t="shared" si="282"/>
        <v/>
      </c>
      <c r="BM288" s="178" t="str">
        <f t="shared" si="282"/>
        <v/>
      </c>
      <c r="BO288" s="183" t="str">
        <f t="shared" si="283"/>
        <v/>
      </c>
      <c r="BP288" s="171" t="str">
        <f t="shared" si="283"/>
        <v/>
      </c>
      <c r="BQ288" s="171" t="str">
        <f t="shared" si="283"/>
        <v/>
      </c>
      <c r="BR288" s="178" t="str">
        <f t="shared" si="283"/>
        <v/>
      </c>
      <c r="BT288" s="183" t="str">
        <f t="shared" si="284"/>
        <v/>
      </c>
      <c r="BU288" s="171" t="str">
        <f t="shared" si="284"/>
        <v/>
      </c>
      <c r="BV288" s="171" t="str">
        <f t="shared" si="284"/>
        <v/>
      </c>
      <c r="BW288" s="178" t="str">
        <f t="shared" si="284"/>
        <v/>
      </c>
      <c r="BX288" s="288"/>
      <c r="CM288" s="96"/>
    </row>
    <row r="289" spans="1:91">
      <c r="A289" s="284" t="str">
        <f t="shared" si="286"/>
        <v/>
      </c>
      <c r="B289" s="184">
        <f t="shared" si="285"/>
        <v>90</v>
      </c>
      <c r="C289" s="172">
        <f t="shared" si="285"/>
        <v>10.5</v>
      </c>
      <c r="D289" s="172">
        <f t="shared" si="285"/>
        <v>1010</v>
      </c>
      <c r="E289" s="179">
        <f t="shared" si="285"/>
        <v>20</v>
      </c>
      <c r="G289" s="184">
        <f t="shared" si="271"/>
        <v>90</v>
      </c>
      <c r="H289" s="172">
        <f t="shared" si="271"/>
        <v>10.5</v>
      </c>
      <c r="I289" s="172">
        <f t="shared" si="271"/>
        <v>770</v>
      </c>
      <c r="J289" s="179">
        <f t="shared" si="271"/>
        <v>20</v>
      </c>
      <c r="L289" s="184">
        <f t="shared" si="272"/>
        <v>90</v>
      </c>
      <c r="M289" s="172">
        <f t="shared" si="272"/>
        <v>10.5</v>
      </c>
      <c r="N289" s="172">
        <f t="shared" si="272"/>
        <v>710</v>
      </c>
      <c r="O289" s="179">
        <f t="shared" si="272"/>
        <v>20</v>
      </c>
      <c r="Q289" s="184">
        <f t="shared" si="273"/>
        <v>90</v>
      </c>
      <c r="R289" s="172">
        <f t="shared" si="273"/>
        <v>10.5</v>
      </c>
      <c r="S289" s="172">
        <f t="shared" si="273"/>
        <v>650</v>
      </c>
      <c r="T289" s="179">
        <f t="shared" si="273"/>
        <v>20</v>
      </c>
      <c r="V289" s="184">
        <f t="shared" si="274"/>
        <v>90</v>
      </c>
      <c r="W289" s="172">
        <f t="shared" si="274"/>
        <v>10.5</v>
      </c>
      <c r="X289" s="172">
        <f t="shared" si="274"/>
        <v>530</v>
      </c>
      <c r="Y289" s="179">
        <f t="shared" si="274"/>
        <v>20</v>
      </c>
      <c r="AA289" s="184">
        <f t="shared" si="275"/>
        <v>90</v>
      </c>
      <c r="AB289" s="172">
        <f t="shared" si="275"/>
        <v>10.5</v>
      </c>
      <c r="AC289" s="172">
        <f t="shared" si="275"/>
        <v>470</v>
      </c>
      <c r="AD289" s="179">
        <f t="shared" si="275"/>
        <v>20</v>
      </c>
      <c r="AF289" s="184">
        <f t="shared" si="276"/>
        <v>90</v>
      </c>
      <c r="AG289" s="172">
        <f t="shared" si="276"/>
        <v>10.5</v>
      </c>
      <c r="AH289" s="172">
        <f t="shared" si="276"/>
        <v>350</v>
      </c>
      <c r="AI289" s="179">
        <f t="shared" si="276"/>
        <v>20</v>
      </c>
      <c r="AK289" s="184">
        <f t="shared" si="277"/>
        <v>90</v>
      </c>
      <c r="AL289" s="172">
        <f t="shared" si="277"/>
        <v>10.5</v>
      </c>
      <c r="AM289" s="172">
        <f t="shared" si="277"/>
        <v>230</v>
      </c>
      <c r="AN289" s="179">
        <f t="shared" si="277"/>
        <v>20</v>
      </c>
      <c r="AP289" s="184">
        <f t="shared" si="278"/>
        <v>90</v>
      </c>
      <c r="AQ289" s="172">
        <f t="shared" si="278"/>
        <v>10.5</v>
      </c>
      <c r="AR289" s="172">
        <f t="shared" si="278"/>
        <v>800</v>
      </c>
      <c r="AS289" s="179">
        <f t="shared" si="278"/>
        <v>20</v>
      </c>
      <c r="AT289" s="288"/>
      <c r="AU289" s="184" t="str">
        <f t="shared" si="279"/>
        <v/>
      </c>
      <c r="AV289" s="172" t="str">
        <f t="shared" si="279"/>
        <v/>
      </c>
      <c r="AW289" s="172" t="str">
        <f t="shared" si="279"/>
        <v/>
      </c>
      <c r="AX289" s="179" t="str">
        <f t="shared" si="279"/>
        <v/>
      </c>
      <c r="AZ289" s="184" t="str">
        <f t="shared" si="280"/>
        <v/>
      </c>
      <c r="BA289" s="172" t="str">
        <f t="shared" si="280"/>
        <v/>
      </c>
      <c r="BB289" s="172" t="str">
        <f t="shared" si="280"/>
        <v/>
      </c>
      <c r="BC289" s="179" t="str">
        <f t="shared" si="280"/>
        <v/>
      </c>
      <c r="BE289" s="184" t="str">
        <f t="shared" si="281"/>
        <v/>
      </c>
      <c r="BF289" s="172" t="str">
        <f t="shared" si="281"/>
        <v/>
      </c>
      <c r="BG289" s="172" t="str">
        <f t="shared" si="281"/>
        <v/>
      </c>
      <c r="BH289" s="179" t="str">
        <f t="shared" si="281"/>
        <v/>
      </c>
      <c r="BI289" s="288"/>
      <c r="BJ289" s="184" t="str">
        <f t="shared" si="282"/>
        <v/>
      </c>
      <c r="BK289" s="172" t="str">
        <f t="shared" si="282"/>
        <v/>
      </c>
      <c r="BL289" s="172" t="str">
        <f t="shared" si="282"/>
        <v/>
      </c>
      <c r="BM289" s="179" t="str">
        <f t="shared" si="282"/>
        <v/>
      </c>
      <c r="BO289" s="184" t="str">
        <f t="shared" si="283"/>
        <v/>
      </c>
      <c r="BP289" s="172" t="str">
        <f t="shared" si="283"/>
        <v/>
      </c>
      <c r="BQ289" s="172" t="str">
        <f t="shared" si="283"/>
        <v/>
      </c>
      <c r="BR289" s="179" t="str">
        <f t="shared" si="283"/>
        <v/>
      </c>
      <c r="BT289" s="184" t="str">
        <f t="shared" si="284"/>
        <v/>
      </c>
      <c r="BU289" s="172" t="str">
        <f t="shared" si="284"/>
        <v/>
      </c>
      <c r="BV289" s="172" t="str">
        <f t="shared" si="284"/>
        <v/>
      </c>
      <c r="BW289" s="179" t="str">
        <f t="shared" si="284"/>
        <v/>
      </c>
      <c r="BX289" s="288"/>
      <c r="CM289" s="96"/>
    </row>
    <row r="290" spans="1:91">
      <c r="A290" s="284" t="str">
        <f t="shared" si="286"/>
        <v/>
      </c>
      <c r="B290" s="204">
        <f t="shared" si="285"/>
        <v>90</v>
      </c>
      <c r="C290" s="205">
        <f t="shared" si="285"/>
        <v>118</v>
      </c>
      <c r="D290" s="205">
        <f t="shared" si="285"/>
        <v>560</v>
      </c>
      <c r="E290" s="206">
        <f t="shared" si="285"/>
        <v>14</v>
      </c>
      <c r="G290" s="204">
        <f t="shared" si="271"/>
        <v>90</v>
      </c>
      <c r="H290" s="205">
        <f t="shared" si="271"/>
        <v>118</v>
      </c>
      <c r="I290" s="205">
        <f t="shared" si="271"/>
        <v>430</v>
      </c>
      <c r="J290" s="206">
        <f t="shared" si="271"/>
        <v>14</v>
      </c>
      <c r="L290" s="204">
        <f t="shared" si="272"/>
        <v>90</v>
      </c>
      <c r="M290" s="205">
        <f t="shared" si="272"/>
        <v>118</v>
      </c>
      <c r="N290" s="205">
        <f t="shared" si="272"/>
        <v>75</v>
      </c>
      <c r="O290" s="206">
        <f t="shared" si="272"/>
        <v>14</v>
      </c>
      <c r="Q290" s="204">
        <f t="shared" si="273"/>
        <v>90</v>
      </c>
      <c r="R290" s="205">
        <f t="shared" si="273"/>
        <v>118</v>
      </c>
      <c r="S290" s="205">
        <f t="shared" si="273"/>
        <v>75</v>
      </c>
      <c r="T290" s="206">
        <f t="shared" si="273"/>
        <v>14</v>
      </c>
      <c r="V290" s="204">
        <f t="shared" si="274"/>
        <v>90</v>
      </c>
      <c r="W290" s="205">
        <f t="shared" si="274"/>
        <v>118</v>
      </c>
      <c r="X290" s="205">
        <f t="shared" si="274"/>
        <v>75</v>
      </c>
      <c r="Y290" s="206">
        <f t="shared" si="274"/>
        <v>14</v>
      </c>
      <c r="AA290" s="204">
        <f t="shared" si="275"/>
        <v>90</v>
      </c>
      <c r="AB290" s="205">
        <f t="shared" si="275"/>
        <v>118</v>
      </c>
      <c r="AC290" s="205">
        <f t="shared" si="275"/>
        <v>75</v>
      </c>
      <c r="AD290" s="206">
        <f t="shared" si="275"/>
        <v>14</v>
      </c>
      <c r="AF290" s="204">
        <f t="shared" si="276"/>
        <v>90</v>
      </c>
      <c r="AG290" s="205">
        <f t="shared" si="276"/>
        <v>118</v>
      </c>
      <c r="AH290" s="205">
        <f t="shared" si="276"/>
        <v>75</v>
      </c>
      <c r="AI290" s="206">
        <f t="shared" si="276"/>
        <v>14</v>
      </c>
      <c r="AK290" s="204">
        <f t="shared" si="277"/>
        <v>90</v>
      </c>
      <c r="AL290" s="205">
        <f t="shared" si="277"/>
        <v>118</v>
      </c>
      <c r="AM290" s="205">
        <f t="shared" si="277"/>
        <v>75</v>
      </c>
      <c r="AN290" s="206">
        <f t="shared" si="277"/>
        <v>14</v>
      </c>
      <c r="AP290" s="204">
        <f t="shared" si="278"/>
        <v>90</v>
      </c>
      <c r="AQ290" s="205">
        <f t="shared" si="278"/>
        <v>118</v>
      </c>
      <c r="AR290" s="205">
        <f t="shared" si="278"/>
        <v>225</v>
      </c>
      <c r="AS290" s="206">
        <f t="shared" si="278"/>
        <v>14</v>
      </c>
      <c r="AT290" s="288"/>
      <c r="AU290" s="204">
        <f t="shared" si="279"/>
        <v>90</v>
      </c>
      <c r="AV290" s="205">
        <f t="shared" si="279"/>
        <v>70</v>
      </c>
      <c r="AW290" s="205">
        <f t="shared" si="279"/>
        <v>75</v>
      </c>
      <c r="AX290" s="206">
        <f t="shared" si="279"/>
        <v>14</v>
      </c>
      <c r="AZ290" s="204">
        <f t="shared" si="280"/>
        <v>90</v>
      </c>
      <c r="BA290" s="205">
        <f t="shared" si="280"/>
        <v>70</v>
      </c>
      <c r="BB290" s="205">
        <f t="shared" si="280"/>
        <v>75</v>
      </c>
      <c r="BC290" s="206">
        <f t="shared" si="280"/>
        <v>14</v>
      </c>
      <c r="BE290" s="204">
        <f t="shared" si="281"/>
        <v>90</v>
      </c>
      <c r="BF290" s="205">
        <f t="shared" si="281"/>
        <v>70</v>
      </c>
      <c r="BG290" s="205">
        <f t="shared" si="281"/>
        <v>75</v>
      </c>
      <c r="BH290" s="206">
        <f t="shared" si="281"/>
        <v>14</v>
      </c>
      <c r="BI290" s="288"/>
      <c r="BJ290" s="204" t="str">
        <f t="shared" si="282"/>
        <v/>
      </c>
      <c r="BK290" s="205" t="str">
        <f t="shared" si="282"/>
        <v/>
      </c>
      <c r="BL290" s="205" t="str">
        <f t="shared" si="282"/>
        <v/>
      </c>
      <c r="BM290" s="206" t="str">
        <f t="shared" si="282"/>
        <v/>
      </c>
      <c r="BO290" s="204" t="str">
        <f t="shared" si="283"/>
        <v/>
      </c>
      <c r="BP290" s="205" t="str">
        <f t="shared" si="283"/>
        <v/>
      </c>
      <c r="BQ290" s="205" t="str">
        <f t="shared" si="283"/>
        <v/>
      </c>
      <c r="BR290" s="206" t="str">
        <f t="shared" si="283"/>
        <v/>
      </c>
      <c r="BT290" s="204" t="str">
        <f t="shared" si="284"/>
        <v/>
      </c>
      <c r="BU290" s="205" t="str">
        <f t="shared" si="284"/>
        <v/>
      </c>
      <c r="BV290" s="205" t="str">
        <f t="shared" si="284"/>
        <v/>
      </c>
      <c r="BW290" s="206" t="str">
        <f t="shared" si="284"/>
        <v/>
      </c>
      <c r="BX290" s="288"/>
      <c r="CM290" s="96"/>
    </row>
    <row r="291" spans="1:91">
      <c r="A291" s="284" t="str">
        <f t="shared" si="286"/>
        <v/>
      </c>
      <c r="B291" s="201">
        <f t="shared" si="285"/>
        <v>90</v>
      </c>
      <c r="C291" s="202">
        <f t="shared" si="285"/>
        <v>75</v>
      </c>
      <c r="D291" s="202">
        <f t="shared" si="285"/>
        <v>550</v>
      </c>
      <c r="E291" s="203">
        <f t="shared" si="285"/>
        <v>14</v>
      </c>
      <c r="G291" s="201">
        <f t="shared" si="271"/>
        <v>90</v>
      </c>
      <c r="H291" s="202">
        <f t="shared" si="271"/>
        <v>75</v>
      </c>
      <c r="I291" s="202">
        <f t="shared" si="271"/>
        <v>420</v>
      </c>
      <c r="J291" s="203">
        <f t="shared" si="271"/>
        <v>14</v>
      </c>
      <c r="L291" s="201">
        <f t="shared" si="272"/>
        <v>90</v>
      </c>
      <c r="M291" s="202">
        <f t="shared" si="272"/>
        <v>75</v>
      </c>
      <c r="N291" s="202">
        <f t="shared" si="272"/>
        <v>65</v>
      </c>
      <c r="O291" s="203">
        <f t="shared" si="272"/>
        <v>14</v>
      </c>
      <c r="Q291" s="201">
        <f t="shared" si="273"/>
        <v>90</v>
      </c>
      <c r="R291" s="202">
        <f t="shared" si="273"/>
        <v>75</v>
      </c>
      <c r="S291" s="202">
        <f t="shared" si="273"/>
        <v>65</v>
      </c>
      <c r="T291" s="203">
        <f t="shared" si="273"/>
        <v>14</v>
      </c>
      <c r="V291" s="201">
        <f t="shared" si="274"/>
        <v>90</v>
      </c>
      <c r="W291" s="202">
        <f t="shared" si="274"/>
        <v>75</v>
      </c>
      <c r="X291" s="202">
        <f t="shared" si="274"/>
        <v>65</v>
      </c>
      <c r="Y291" s="203">
        <f t="shared" si="274"/>
        <v>14</v>
      </c>
      <c r="AA291" s="201">
        <f t="shared" si="275"/>
        <v>90</v>
      </c>
      <c r="AB291" s="202">
        <f t="shared" si="275"/>
        <v>75</v>
      </c>
      <c r="AC291" s="202">
        <f t="shared" si="275"/>
        <v>65</v>
      </c>
      <c r="AD291" s="203">
        <f t="shared" si="275"/>
        <v>14</v>
      </c>
      <c r="AF291" s="201">
        <f t="shared" si="276"/>
        <v>90</v>
      </c>
      <c r="AG291" s="202">
        <f t="shared" si="276"/>
        <v>75</v>
      </c>
      <c r="AH291" s="202">
        <f t="shared" si="276"/>
        <v>65</v>
      </c>
      <c r="AI291" s="203">
        <f t="shared" si="276"/>
        <v>14</v>
      </c>
      <c r="AK291" s="201">
        <f t="shared" si="277"/>
        <v>90</v>
      </c>
      <c r="AL291" s="202">
        <f t="shared" si="277"/>
        <v>75</v>
      </c>
      <c r="AM291" s="202">
        <f t="shared" si="277"/>
        <v>65</v>
      </c>
      <c r="AN291" s="203">
        <f t="shared" si="277"/>
        <v>14</v>
      </c>
      <c r="AP291" s="201">
        <f t="shared" si="278"/>
        <v>90</v>
      </c>
      <c r="AQ291" s="202">
        <f t="shared" si="278"/>
        <v>75</v>
      </c>
      <c r="AR291" s="202">
        <f t="shared" si="278"/>
        <v>215</v>
      </c>
      <c r="AS291" s="203">
        <f t="shared" si="278"/>
        <v>14</v>
      </c>
      <c r="AT291" s="288"/>
      <c r="AU291" s="201">
        <f t="shared" si="279"/>
        <v>90</v>
      </c>
      <c r="AV291" s="202">
        <f t="shared" si="279"/>
        <v>30</v>
      </c>
      <c r="AW291" s="202">
        <f t="shared" si="279"/>
        <v>75</v>
      </c>
      <c r="AX291" s="203">
        <f t="shared" si="279"/>
        <v>14</v>
      </c>
      <c r="AZ291" s="201">
        <f t="shared" si="280"/>
        <v>90</v>
      </c>
      <c r="BA291" s="202">
        <f t="shared" si="280"/>
        <v>30</v>
      </c>
      <c r="BB291" s="202">
        <f t="shared" si="280"/>
        <v>75</v>
      </c>
      <c r="BC291" s="203">
        <f t="shared" si="280"/>
        <v>14</v>
      </c>
      <c r="BE291" s="201">
        <f t="shared" si="281"/>
        <v>90</v>
      </c>
      <c r="BF291" s="202">
        <f t="shared" si="281"/>
        <v>30</v>
      </c>
      <c r="BG291" s="202">
        <f t="shared" si="281"/>
        <v>75</v>
      </c>
      <c r="BH291" s="203">
        <f t="shared" si="281"/>
        <v>14</v>
      </c>
      <c r="BI291" s="288"/>
      <c r="BJ291" s="201" t="str">
        <f t="shared" si="282"/>
        <v/>
      </c>
      <c r="BK291" s="202" t="str">
        <f t="shared" si="282"/>
        <v/>
      </c>
      <c r="BL291" s="202" t="str">
        <f t="shared" si="282"/>
        <v/>
      </c>
      <c r="BM291" s="203" t="str">
        <f t="shared" si="282"/>
        <v/>
      </c>
      <c r="BO291" s="201" t="str">
        <f t="shared" si="283"/>
        <v/>
      </c>
      <c r="BP291" s="202" t="str">
        <f t="shared" si="283"/>
        <v/>
      </c>
      <c r="BQ291" s="202" t="str">
        <f t="shared" si="283"/>
        <v/>
      </c>
      <c r="BR291" s="203" t="str">
        <f t="shared" si="283"/>
        <v/>
      </c>
      <c r="BT291" s="201" t="str">
        <f t="shared" si="284"/>
        <v/>
      </c>
      <c r="BU291" s="202" t="str">
        <f t="shared" si="284"/>
        <v/>
      </c>
      <c r="BV291" s="202" t="str">
        <f t="shared" si="284"/>
        <v/>
      </c>
      <c r="BW291" s="203" t="str">
        <f t="shared" si="284"/>
        <v/>
      </c>
      <c r="BX291" s="288"/>
      <c r="CM291" s="96"/>
    </row>
    <row r="292" spans="1:91">
      <c r="A292" s="284" t="str">
        <f t="shared" si="286"/>
        <v/>
      </c>
      <c r="B292" s="207">
        <f t="shared" si="285"/>
        <v>90</v>
      </c>
      <c r="C292" s="208">
        <f t="shared" si="285"/>
        <v>32</v>
      </c>
      <c r="D292" s="208">
        <f t="shared" si="285"/>
        <v>560</v>
      </c>
      <c r="E292" s="209">
        <f t="shared" si="285"/>
        <v>14</v>
      </c>
      <c r="G292" s="207">
        <f t="shared" si="271"/>
        <v>90</v>
      </c>
      <c r="H292" s="208">
        <f t="shared" si="271"/>
        <v>32</v>
      </c>
      <c r="I292" s="208">
        <f t="shared" si="271"/>
        <v>430</v>
      </c>
      <c r="J292" s="209">
        <f t="shared" si="271"/>
        <v>14</v>
      </c>
      <c r="L292" s="207">
        <f t="shared" si="272"/>
        <v>90</v>
      </c>
      <c r="M292" s="208">
        <f t="shared" si="272"/>
        <v>32</v>
      </c>
      <c r="N292" s="208">
        <f t="shared" si="272"/>
        <v>75</v>
      </c>
      <c r="O292" s="209">
        <f t="shared" si="272"/>
        <v>14</v>
      </c>
      <c r="Q292" s="207">
        <f t="shared" si="273"/>
        <v>90</v>
      </c>
      <c r="R292" s="208">
        <f t="shared" si="273"/>
        <v>32</v>
      </c>
      <c r="S292" s="208">
        <f t="shared" si="273"/>
        <v>75</v>
      </c>
      <c r="T292" s="209">
        <f t="shared" si="273"/>
        <v>14</v>
      </c>
      <c r="V292" s="207">
        <f t="shared" si="274"/>
        <v>90</v>
      </c>
      <c r="W292" s="208">
        <f t="shared" si="274"/>
        <v>32</v>
      </c>
      <c r="X292" s="208">
        <f t="shared" si="274"/>
        <v>75</v>
      </c>
      <c r="Y292" s="209">
        <f t="shared" si="274"/>
        <v>14</v>
      </c>
      <c r="AA292" s="207">
        <f t="shared" si="275"/>
        <v>90</v>
      </c>
      <c r="AB292" s="208">
        <f t="shared" si="275"/>
        <v>32</v>
      </c>
      <c r="AC292" s="208">
        <f t="shared" si="275"/>
        <v>75</v>
      </c>
      <c r="AD292" s="209">
        <f t="shared" si="275"/>
        <v>14</v>
      </c>
      <c r="AF292" s="207">
        <f t="shared" si="276"/>
        <v>90</v>
      </c>
      <c r="AG292" s="208">
        <f t="shared" si="276"/>
        <v>32</v>
      </c>
      <c r="AH292" s="208">
        <f t="shared" si="276"/>
        <v>75</v>
      </c>
      <c r="AI292" s="209">
        <f t="shared" si="276"/>
        <v>14</v>
      </c>
      <c r="AK292" s="207">
        <f t="shared" si="277"/>
        <v>90</v>
      </c>
      <c r="AL292" s="208">
        <f t="shared" si="277"/>
        <v>32</v>
      </c>
      <c r="AM292" s="208">
        <f t="shared" si="277"/>
        <v>75</v>
      </c>
      <c r="AN292" s="209">
        <f t="shared" si="277"/>
        <v>14</v>
      </c>
      <c r="AP292" s="207">
        <f t="shared" si="278"/>
        <v>90</v>
      </c>
      <c r="AQ292" s="208">
        <f t="shared" si="278"/>
        <v>32</v>
      </c>
      <c r="AR292" s="208">
        <f t="shared" si="278"/>
        <v>225</v>
      </c>
      <c r="AS292" s="209">
        <f t="shared" si="278"/>
        <v>14</v>
      </c>
      <c r="AT292" s="288"/>
      <c r="AU292" s="207" t="str">
        <f t="shared" si="279"/>
        <v/>
      </c>
      <c r="AV292" s="208" t="str">
        <f t="shared" si="279"/>
        <v/>
      </c>
      <c r="AW292" s="208" t="str">
        <f t="shared" si="279"/>
        <v/>
      </c>
      <c r="AX292" s="209" t="str">
        <f t="shared" si="279"/>
        <v/>
      </c>
      <c r="AZ292" s="207" t="str">
        <f t="shared" si="280"/>
        <v/>
      </c>
      <c r="BA292" s="208" t="str">
        <f t="shared" si="280"/>
        <v/>
      </c>
      <c r="BB292" s="208" t="str">
        <f t="shared" si="280"/>
        <v/>
      </c>
      <c r="BC292" s="209" t="str">
        <f t="shared" si="280"/>
        <v/>
      </c>
      <c r="BE292" s="207" t="str">
        <f t="shared" si="281"/>
        <v/>
      </c>
      <c r="BF292" s="208" t="str">
        <f t="shared" si="281"/>
        <v/>
      </c>
      <c r="BG292" s="208" t="str">
        <f t="shared" si="281"/>
        <v/>
      </c>
      <c r="BH292" s="209" t="str">
        <f t="shared" si="281"/>
        <v/>
      </c>
      <c r="BI292" s="288"/>
      <c r="BJ292" s="207" t="str">
        <f t="shared" si="282"/>
        <v/>
      </c>
      <c r="BK292" s="208" t="str">
        <f t="shared" si="282"/>
        <v/>
      </c>
      <c r="BL292" s="208" t="str">
        <f t="shared" si="282"/>
        <v/>
      </c>
      <c r="BM292" s="209" t="str">
        <f t="shared" si="282"/>
        <v/>
      </c>
      <c r="BO292" s="207" t="str">
        <f t="shared" si="283"/>
        <v/>
      </c>
      <c r="BP292" s="208" t="str">
        <f t="shared" si="283"/>
        <v/>
      </c>
      <c r="BQ292" s="208" t="str">
        <f t="shared" si="283"/>
        <v/>
      </c>
      <c r="BR292" s="209" t="str">
        <f t="shared" si="283"/>
        <v/>
      </c>
      <c r="BT292" s="207" t="str">
        <f t="shared" si="284"/>
        <v/>
      </c>
      <c r="BU292" s="208" t="str">
        <f t="shared" si="284"/>
        <v/>
      </c>
      <c r="BV292" s="208" t="str">
        <f t="shared" si="284"/>
        <v/>
      </c>
      <c r="BW292" s="209" t="str">
        <f t="shared" si="284"/>
        <v/>
      </c>
      <c r="BX292" s="288"/>
      <c r="CM292" s="96"/>
    </row>
    <row r="293" spans="1:91">
      <c r="A293" s="284" t="str">
        <f t="shared" si="286"/>
        <v/>
      </c>
      <c r="B293" s="204">
        <f t="shared" si="285"/>
        <v>90</v>
      </c>
      <c r="C293" s="205">
        <f t="shared" si="285"/>
        <v>118</v>
      </c>
      <c r="D293" s="205">
        <f t="shared" si="285"/>
        <v>75</v>
      </c>
      <c r="E293" s="206">
        <f t="shared" si="285"/>
        <v>14</v>
      </c>
      <c r="G293" s="204">
        <f t="shared" si="271"/>
        <v>90</v>
      </c>
      <c r="H293" s="205">
        <f t="shared" si="271"/>
        <v>118</v>
      </c>
      <c r="I293" s="205">
        <f t="shared" si="271"/>
        <v>75</v>
      </c>
      <c r="J293" s="206">
        <f t="shared" si="271"/>
        <v>14</v>
      </c>
      <c r="L293" s="204" t="str">
        <f t="shared" si="272"/>
        <v/>
      </c>
      <c r="M293" s="205" t="str">
        <f t="shared" si="272"/>
        <v/>
      </c>
      <c r="N293" s="205" t="str">
        <f t="shared" si="272"/>
        <v/>
      </c>
      <c r="O293" s="206" t="str">
        <f t="shared" si="272"/>
        <v/>
      </c>
      <c r="Q293" s="204" t="str">
        <f t="shared" si="273"/>
        <v/>
      </c>
      <c r="R293" s="205" t="str">
        <f t="shared" si="273"/>
        <v/>
      </c>
      <c r="S293" s="205" t="str">
        <f t="shared" si="273"/>
        <v/>
      </c>
      <c r="T293" s="206" t="str">
        <f t="shared" si="273"/>
        <v/>
      </c>
      <c r="V293" s="204" t="str">
        <f t="shared" si="274"/>
        <v/>
      </c>
      <c r="W293" s="205" t="str">
        <f t="shared" si="274"/>
        <v/>
      </c>
      <c r="X293" s="205" t="str">
        <f t="shared" si="274"/>
        <v/>
      </c>
      <c r="Y293" s="206" t="str">
        <f t="shared" si="274"/>
        <v/>
      </c>
      <c r="AA293" s="204" t="str">
        <f t="shared" si="275"/>
        <v/>
      </c>
      <c r="AB293" s="205" t="str">
        <f t="shared" si="275"/>
        <v/>
      </c>
      <c r="AC293" s="205" t="str">
        <f t="shared" si="275"/>
        <v/>
      </c>
      <c r="AD293" s="206" t="str">
        <f t="shared" si="275"/>
        <v/>
      </c>
      <c r="AF293" s="204" t="str">
        <f t="shared" si="276"/>
        <v/>
      </c>
      <c r="AG293" s="205" t="str">
        <f t="shared" si="276"/>
        <v/>
      </c>
      <c r="AH293" s="205" t="str">
        <f t="shared" si="276"/>
        <v/>
      </c>
      <c r="AI293" s="206" t="str">
        <f t="shared" si="276"/>
        <v/>
      </c>
      <c r="AK293" s="204" t="str">
        <f t="shared" si="277"/>
        <v/>
      </c>
      <c r="AL293" s="205" t="str">
        <f t="shared" si="277"/>
        <v/>
      </c>
      <c r="AM293" s="205" t="str">
        <f t="shared" si="277"/>
        <v/>
      </c>
      <c r="AN293" s="206" t="str">
        <f t="shared" si="277"/>
        <v/>
      </c>
      <c r="AP293" s="204" t="str">
        <f t="shared" si="278"/>
        <v/>
      </c>
      <c r="AQ293" s="205" t="str">
        <f t="shared" si="278"/>
        <v/>
      </c>
      <c r="AR293" s="205" t="str">
        <f t="shared" si="278"/>
        <v/>
      </c>
      <c r="AS293" s="206" t="str">
        <f t="shared" si="278"/>
        <v/>
      </c>
      <c r="AT293" s="288"/>
      <c r="AU293" s="204" t="str">
        <f t="shared" si="279"/>
        <v/>
      </c>
      <c r="AV293" s="205" t="str">
        <f t="shared" si="279"/>
        <v/>
      </c>
      <c r="AW293" s="205" t="str">
        <f t="shared" si="279"/>
        <v/>
      </c>
      <c r="AX293" s="206" t="str">
        <f t="shared" si="279"/>
        <v/>
      </c>
      <c r="AZ293" s="204" t="str">
        <f t="shared" si="280"/>
        <v/>
      </c>
      <c r="BA293" s="205" t="str">
        <f t="shared" si="280"/>
        <v/>
      </c>
      <c r="BB293" s="205" t="str">
        <f t="shared" si="280"/>
        <v/>
      </c>
      <c r="BC293" s="206" t="str">
        <f t="shared" si="280"/>
        <v/>
      </c>
      <c r="BE293" s="204" t="str">
        <f t="shared" si="281"/>
        <v/>
      </c>
      <c r="BF293" s="205" t="str">
        <f t="shared" si="281"/>
        <v/>
      </c>
      <c r="BG293" s="205" t="str">
        <f t="shared" si="281"/>
        <v/>
      </c>
      <c r="BH293" s="206" t="str">
        <f t="shared" si="281"/>
        <v/>
      </c>
      <c r="BI293" s="288"/>
      <c r="BJ293" s="204" t="str">
        <f t="shared" si="282"/>
        <v/>
      </c>
      <c r="BK293" s="205" t="str">
        <f t="shared" si="282"/>
        <v/>
      </c>
      <c r="BL293" s="205" t="str">
        <f t="shared" si="282"/>
        <v/>
      </c>
      <c r="BM293" s="206" t="str">
        <f t="shared" si="282"/>
        <v/>
      </c>
      <c r="BO293" s="204" t="str">
        <f t="shared" si="283"/>
        <v/>
      </c>
      <c r="BP293" s="205" t="str">
        <f t="shared" si="283"/>
        <v/>
      </c>
      <c r="BQ293" s="205" t="str">
        <f t="shared" si="283"/>
        <v/>
      </c>
      <c r="BR293" s="206" t="str">
        <f t="shared" si="283"/>
        <v/>
      </c>
      <c r="BT293" s="204" t="str">
        <f t="shared" si="284"/>
        <v/>
      </c>
      <c r="BU293" s="205" t="str">
        <f t="shared" si="284"/>
        <v/>
      </c>
      <c r="BV293" s="205" t="str">
        <f t="shared" si="284"/>
        <v/>
      </c>
      <c r="BW293" s="206" t="str">
        <f t="shared" si="284"/>
        <v/>
      </c>
      <c r="BX293" s="288"/>
      <c r="CM293" s="96"/>
    </row>
    <row r="294" spans="1:91">
      <c r="A294" s="284" t="str">
        <f t="shared" si="286"/>
        <v/>
      </c>
      <c r="B294" s="201">
        <f t="shared" si="285"/>
        <v>90</v>
      </c>
      <c r="C294" s="202">
        <f t="shared" si="285"/>
        <v>75</v>
      </c>
      <c r="D294" s="202">
        <f t="shared" si="285"/>
        <v>65</v>
      </c>
      <c r="E294" s="203">
        <f t="shared" si="285"/>
        <v>14</v>
      </c>
      <c r="G294" s="201">
        <f t="shared" si="271"/>
        <v>90</v>
      </c>
      <c r="H294" s="202">
        <f t="shared" si="271"/>
        <v>75</v>
      </c>
      <c r="I294" s="202">
        <f t="shared" si="271"/>
        <v>65</v>
      </c>
      <c r="J294" s="203">
        <f t="shared" si="271"/>
        <v>14</v>
      </c>
      <c r="L294" s="201" t="str">
        <f t="shared" si="272"/>
        <v/>
      </c>
      <c r="M294" s="202" t="str">
        <f t="shared" si="272"/>
        <v/>
      </c>
      <c r="N294" s="202" t="str">
        <f t="shared" si="272"/>
        <v/>
      </c>
      <c r="O294" s="203" t="str">
        <f t="shared" si="272"/>
        <v/>
      </c>
      <c r="Q294" s="201" t="str">
        <f t="shared" si="273"/>
        <v/>
      </c>
      <c r="R294" s="202" t="str">
        <f t="shared" si="273"/>
        <v/>
      </c>
      <c r="S294" s="202" t="str">
        <f t="shared" si="273"/>
        <v/>
      </c>
      <c r="T294" s="203" t="str">
        <f t="shared" si="273"/>
        <v/>
      </c>
      <c r="V294" s="201" t="str">
        <f t="shared" si="274"/>
        <v/>
      </c>
      <c r="W294" s="202" t="str">
        <f t="shared" si="274"/>
        <v/>
      </c>
      <c r="X294" s="202" t="str">
        <f t="shared" si="274"/>
        <v/>
      </c>
      <c r="Y294" s="203" t="str">
        <f t="shared" si="274"/>
        <v/>
      </c>
      <c r="AA294" s="201" t="str">
        <f t="shared" si="275"/>
        <v/>
      </c>
      <c r="AB294" s="202" t="str">
        <f t="shared" si="275"/>
        <v/>
      </c>
      <c r="AC294" s="202" t="str">
        <f t="shared" si="275"/>
        <v/>
      </c>
      <c r="AD294" s="203" t="str">
        <f t="shared" si="275"/>
        <v/>
      </c>
      <c r="AF294" s="201" t="str">
        <f t="shared" si="276"/>
        <v/>
      </c>
      <c r="AG294" s="202" t="str">
        <f t="shared" si="276"/>
        <v/>
      </c>
      <c r="AH294" s="202" t="str">
        <f t="shared" si="276"/>
        <v/>
      </c>
      <c r="AI294" s="203" t="str">
        <f t="shared" si="276"/>
        <v/>
      </c>
      <c r="AK294" s="201" t="str">
        <f t="shared" si="277"/>
        <v/>
      </c>
      <c r="AL294" s="202" t="str">
        <f t="shared" si="277"/>
        <v/>
      </c>
      <c r="AM294" s="202" t="str">
        <f t="shared" si="277"/>
        <v/>
      </c>
      <c r="AN294" s="203" t="str">
        <f t="shared" si="277"/>
        <v/>
      </c>
      <c r="AP294" s="201" t="str">
        <f t="shared" si="278"/>
        <v/>
      </c>
      <c r="AQ294" s="202" t="str">
        <f t="shared" si="278"/>
        <v/>
      </c>
      <c r="AR294" s="202" t="str">
        <f t="shared" si="278"/>
        <v/>
      </c>
      <c r="AS294" s="203" t="str">
        <f t="shared" si="278"/>
        <v/>
      </c>
      <c r="AT294" s="288"/>
      <c r="AU294" s="201" t="str">
        <f t="shared" si="279"/>
        <v/>
      </c>
      <c r="AV294" s="202" t="str">
        <f t="shared" si="279"/>
        <v/>
      </c>
      <c r="AW294" s="202" t="str">
        <f t="shared" si="279"/>
        <v/>
      </c>
      <c r="AX294" s="203" t="str">
        <f t="shared" si="279"/>
        <v/>
      </c>
      <c r="AZ294" s="201" t="str">
        <f t="shared" si="280"/>
        <v/>
      </c>
      <c r="BA294" s="202" t="str">
        <f t="shared" si="280"/>
        <v/>
      </c>
      <c r="BB294" s="202" t="str">
        <f t="shared" si="280"/>
        <v/>
      </c>
      <c r="BC294" s="203" t="str">
        <f t="shared" si="280"/>
        <v/>
      </c>
      <c r="BE294" s="201" t="str">
        <f t="shared" si="281"/>
        <v/>
      </c>
      <c r="BF294" s="202" t="str">
        <f t="shared" si="281"/>
        <v/>
      </c>
      <c r="BG294" s="202" t="str">
        <f t="shared" si="281"/>
        <v/>
      </c>
      <c r="BH294" s="203" t="str">
        <f t="shared" si="281"/>
        <v/>
      </c>
      <c r="BI294" s="288"/>
      <c r="BJ294" s="201" t="str">
        <f t="shared" si="282"/>
        <v/>
      </c>
      <c r="BK294" s="202" t="str">
        <f t="shared" si="282"/>
        <v/>
      </c>
      <c r="BL294" s="202" t="str">
        <f t="shared" si="282"/>
        <v/>
      </c>
      <c r="BM294" s="203" t="str">
        <f t="shared" si="282"/>
        <v/>
      </c>
      <c r="BO294" s="201" t="str">
        <f t="shared" si="283"/>
        <v/>
      </c>
      <c r="BP294" s="202" t="str">
        <f t="shared" si="283"/>
        <v/>
      </c>
      <c r="BQ294" s="202" t="str">
        <f t="shared" si="283"/>
        <v/>
      </c>
      <c r="BR294" s="203" t="str">
        <f t="shared" si="283"/>
        <v/>
      </c>
      <c r="BT294" s="201" t="str">
        <f t="shared" si="284"/>
        <v/>
      </c>
      <c r="BU294" s="202" t="str">
        <f t="shared" si="284"/>
        <v/>
      </c>
      <c r="BV294" s="202" t="str">
        <f t="shared" si="284"/>
        <v/>
      </c>
      <c r="BW294" s="203" t="str">
        <f t="shared" si="284"/>
        <v/>
      </c>
      <c r="BX294" s="288"/>
      <c r="CM294" s="96"/>
    </row>
    <row r="295" spans="1:91">
      <c r="A295" s="284" t="str">
        <f t="shared" si="286"/>
        <v/>
      </c>
      <c r="B295" s="207">
        <f t="shared" si="285"/>
        <v>90</v>
      </c>
      <c r="C295" s="208">
        <f t="shared" si="285"/>
        <v>32</v>
      </c>
      <c r="D295" s="208">
        <f t="shared" si="285"/>
        <v>75</v>
      </c>
      <c r="E295" s="209">
        <f t="shared" si="285"/>
        <v>14</v>
      </c>
      <c r="G295" s="207">
        <f t="shared" si="271"/>
        <v>90</v>
      </c>
      <c r="H295" s="208">
        <f t="shared" si="271"/>
        <v>32</v>
      </c>
      <c r="I295" s="208">
        <f t="shared" si="271"/>
        <v>75</v>
      </c>
      <c r="J295" s="209">
        <f t="shared" si="271"/>
        <v>14</v>
      </c>
      <c r="L295" s="207" t="str">
        <f t="shared" si="272"/>
        <v/>
      </c>
      <c r="M295" s="208" t="str">
        <f t="shared" si="272"/>
        <v/>
      </c>
      <c r="N295" s="208" t="str">
        <f t="shared" si="272"/>
        <v/>
      </c>
      <c r="O295" s="209" t="str">
        <f t="shared" si="272"/>
        <v/>
      </c>
      <c r="Q295" s="207" t="str">
        <f t="shared" si="273"/>
        <v/>
      </c>
      <c r="R295" s="208" t="str">
        <f t="shared" si="273"/>
        <v/>
      </c>
      <c r="S295" s="208" t="str">
        <f t="shared" si="273"/>
        <v/>
      </c>
      <c r="T295" s="209" t="str">
        <f t="shared" si="273"/>
        <v/>
      </c>
      <c r="V295" s="207" t="str">
        <f t="shared" si="274"/>
        <v/>
      </c>
      <c r="W295" s="208" t="str">
        <f t="shared" si="274"/>
        <v/>
      </c>
      <c r="X295" s="208" t="str">
        <f t="shared" si="274"/>
        <v/>
      </c>
      <c r="Y295" s="209" t="str">
        <f t="shared" si="274"/>
        <v/>
      </c>
      <c r="AA295" s="207" t="str">
        <f t="shared" si="275"/>
        <v/>
      </c>
      <c r="AB295" s="208" t="str">
        <f t="shared" si="275"/>
        <v/>
      </c>
      <c r="AC295" s="208" t="str">
        <f t="shared" si="275"/>
        <v/>
      </c>
      <c r="AD295" s="209" t="str">
        <f t="shared" si="275"/>
        <v/>
      </c>
      <c r="AF295" s="207" t="str">
        <f t="shared" si="276"/>
        <v/>
      </c>
      <c r="AG295" s="208" t="str">
        <f t="shared" si="276"/>
        <v/>
      </c>
      <c r="AH295" s="208" t="str">
        <f t="shared" si="276"/>
        <v/>
      </c>
      <c r="AI295" s="209" t="str">
        <f t="shared" si="276"/>
        <v/>
      </c>
      <c r="AK295" s="207" t="str">
        <f t="shared" si="277"/>
        <v/>
      </c>
      <c r="AL295" s="208" t="str">
        <f t="shared" si="277"/>
        <v/>
      </c>
      <c r="AM295" s="208" t="str">
        <f t="shared" si="277"/>
        <v/>
      </c>
      <c r="AN295" s="209" t="str">
        <f t="shared" si="277"/>
        <v/>
      </c>
      <c r="AP295" s="207" t="str">
        <f t="shared" si="278"/>
        <v/>
      </c>
      <c r="AQ295" s="208" t="str">
        <f t="shared" si="278"/>
        <v/>
      </c>
      <c r="AR295" s="208" t="str">
        <f t="shared" si="278"/>
        <v/>
      </c>
      <c r="AS295" s="209" t="str">
        <f t="shared" si="278"/>
        <v/>
      </c>
      <c r="AT295" s="288"/>
      <c r="AU295" s="207" t="str">
        <f t="shared" si="279"/>
        <v/>
      </c>
      <c r="AV295" s="208" t="str">
        <f t="shared" si="279"/>
        <v/>
      </c>
      <c r="AW295" s="208" t="str">
        <f t="shared" si="279"/>
        <v/>
      </c>
      <c r="AX295" s="209" t="str">
        <f t="shared" si="279"/>
        <v/>
      </c>
      <c r="AZ295" s="207" t="str">
        <f t="shared" si="280"/>
        <v/>
      </c>
      <c r="BA295" s="208" t="str">
        <f t="shared" si="280"/>
        <v/>
      </c>
      <c r="BB295" s="208" t="str">
        <f t="shared" si="280"/>
        <v/>
      </c>
      <c r="BC295" s="209" t="str">
        <f t="shared" si="280"/>
        <v/>
      </c>
      <c r="BE295" s="207" t="str">
        <f t="shared" si="281"/>
        <v/>
      </c>
      <c r="BF295" s="208" t="str">
        <f t="shared" si="281"/>
        <v/>
      </c>
      <c r="BG295" s="208" t="str">
        <f t="shared" si="281"/>
        <v/>
      </c>
      <c r="BH295" s="209" t="str">
        <f t="shared" si="281"/>
        <v/>
      </c>
      <c r="BI295" s="288"/>
      <c r="BJ295" s="207" t="str">
        <f t="shared" si="282"/>
        <v/>
      </c>
      <c r="BK295" s="208" t="str">
        <f t="shared" si="282"/>
        <v/>
      </c>
      <c r="BL295" s="208" t="str">
        <f t="shared" si="282"/>
        <v/>
      </c>
      <c r="BM295" s="209" t="str">
        <f t="shared" si="282"/>
        <v/>
      </c>
      <c r="BO295" s="207" t="str">
        <f t="shared" si="283"/>
        <v/>
      </c>
      <c r="BP295" s="208" t="str">
        <f t="shared" si="283"/>
        <v/>
      </c>
      <c r="BQ295" s="208" t="str">
        <f t="shared" si="283"/>
        <v/>
      </c>
      <c r="BR295" s="209" t="str">
        <f t="shared" si="283"/>
        <v/>
      </c>
      <c r="BT295" s="207" t="str">
        <f t="shared" si="284"/>
        <v/>
      </c>
      <c r="BU295" s="208" t="str">
        <f t="shared" si="284"/>
        <v/>
      </c>
      <c r="BV295" s="208" t="str">
        <f t="shared" si="284"/>
        <v/>
      </c>
      <c r="BW295" s="209" t="str">
        <f t="shared" si="284"/>
        <v/>
      </c>
      <c r="BX295" s="288"/>
      <c r="CM295" s="96"/>
    </row>
    <row r="296" spans="1:91">
      <c r="A296" s="284" t="str">
        <f t="shared" si="286"/>
        <v/>
      </c>
      <c r="B296" s="185">
        <f t="shared" si="285"/>
        <v>45</v>
      </c>
      <c r="C296" s="173">
        <f t="shared" si="285"/>
        <v>139.5</v>
      </c>
      <c r="D296" s="173">
        <f t="shared" si="285"/>
        <v>940</v>
      </c>
      <c r="E296" s="180">
        <f t="shared" si="285"/>
        <v>18</v>
      </c>
      <c r="G296" s="185">
        <f t="shared" si="271"/>
        <v>45</v>
      </c>
      <c r="H296" s="173">
        <f t="shared" si="271"/>
        <v>139.5</v>
      </c>
      <c r="I296" s="173">
        <f t="shared" si="271"/>
        <v>700</v>
      </c>
      <c r="J296" s="180">
        <f t="shared" si="271"/>
        <v>18</v>
      </c>
      <c r="L296" s="185">
        <f t="shared" si="272"/>
        <v>45</v>
      </c>
      <c r="M296" s="173">
        <f t="shared" si="272"/>
        <v>139.5</v>
      </c>
      <c r="N296" s="173">
        <f t="shared" si="272"/>
        <v>631</v>
      </c>
      <c r="O296" s="180">
        <f t="shared" si="272"/>
        <v>18</v>
      </c>
      <c r="Q296" s="185">
        <f t="shared" si="273"/>
        <v>45</v>
      </c>
      <c r="R296" s="173">
        <f t="shared" si="273"/>
        <v>139.5</v>
      </c>
      <c r="S296" s="173">
        <f t="shared" si="273"/>
        <v>574</v>
      </c>
      <c r="T296" s="180">
        <f t="shared" si="273"/>
        <v>18</v>
      </c>
      <c r="V296" s="185">
        <f t="shared" si="274"/>
        <v>45</v>
      </c>
      <c r="W296" s="173">
        <f t="shared" si="274"/>
        <v>139.5</v>
      </c>
      <c r="X296" s="173">
        <f t="shared" si="274"/>
        <v>460</v>
      </c>
      <c r="Y296" s="180">
        <f t="shared" si="274"/>
        <v>18</v>
      </c>
      <c r="AA296" s="185">
        <f t="shared" si="275"/>
        <v>45</v>
      </c>
      <c r="AB296" s="173">
        <f t="shared" si="275"/>
        <v>139.5</v>
      </c>
      <c r="AC296" s="173">
        <f t="shared" si="275"/>
        <v>412</v>
      </c>
      <c r="AD296" s="180">
        <f t="shared" si="275"/>
        <v>18</v>
      </c>
      <c r="AF296" s="185">
        <f t="shared" si="276"/>
        <v>45</v>
      </c>
      <c r="AG296" s="173">
        <f t="shared" si="276"/>
        <v>139.5</v>
      </c>
      <c r="AH296" s="173">
        <f t="shared" si="276"/>
        <v>292</v>
      </c>
      <c r="AI296" s="180">
        <f t="shared" si="276"/>
        <v>18</v>
      </c>
      <c r="AK296" s="185">
        <f t="shared" si="277"/>
        <v>45</v>
      </c>
      <c r="AL296" s="173">
        <f t="shared" si="277"/>
        <v>139.5</v>
      </c>
      <c r="AM296" s="173">
        <f t="shared" si="277"/>
        <v>176</v>
      </c>
      <c r="AN296" s="180">
        <f t="shared" si="277"/>
        <v>18</v>
      </c>
      <c r="AP296" s="185">
        <f t="shared" si="278"/>
        <v>45</v>
      </c>
      <c r="AQ296" s="173">
        <f t="shared" si="278"/>
        <v>139.5</v>
      </c>
      <c r="AR296" s="173">
        <f t="shared" si="278"/>
        <v>724</v>
      </c>
      <c r="AS296" s="180">
        <f t="shared" si="278"/>
        <v>18</v>
      </c>
      <c r="AT296" s="288"/>
      <c r="AU296" s="185">
        <f t="shared" si="279"/>
        <v>45</v>
      </c>
      <c r="AV296" s="173">
        <f t="shared" si="279"/>
        <v>89.2</v>
      </c>
      <c r="AW296" s="173">
        <f t="shared" si="279"/>
        <v>412</v>
      </c>
      <c r="AX296" s="180">
        <f t="shared" si="279"/>
        <v>17.5</v>
      </c>
      <c r="AZ296" s="185">
        <f t="shared" si="280"/>
        <v>45</v>
      </c>
      <c r="BA296" s="173">
        <f t="shared" si="280"/>
        <v>89.2</v>
      </c>
      <c r="BB296" s="173">
        <f t="shared" si="280"/>
        <v>292</v>
      </c>
      <c r="BC296" s="180">
        <f t="shared" si="280"/>
        <v>17.5</v>
      </c>
      <c r="BE296" s="185">
        <f t="shared" si="281"/>
        <v>45</v>
      </c>
      <c r="BF296" s="173">
        <f t="shared" si="281"/>
        <v>89.2</v>
      </c>
      <c r="BG296" s="173">
        <f t="shared" si="281"/>
        <v>172</v>
      </c>
      <c r="BH296" s="180">
        <f t="shared" si="281"/>
        <v>17.5</v>
      </c>
      <c r="BI296" s="288"/>
      <c r="BJ296" s="185">
        <f t="shared" si="282"/>
        <v>45</v>
      </c>
      <c r="BK296" s="173">
        <f t="shared" si="282"/>
        <v>50.25</v>
      </c>
      <c r="BL296" s="173">
        <f t="shared" si="282"/>
        <v>432</v>
      </c>
      <c r="BM296" s="180">
        <f t="shared" si="282"/>
        <v>17.5</v>
      </c>
      <c r="BO296" s="185">
        <f t="shared" si="283"/>
        <v>45</v>
      </c>
      <c r="BP296" s="173">
        <f t="shared" si="283"/>
        <v>50.25</v>
      </c>
      <c r="BQ296" s="173">
        <f t="shared" si="283"/>
        <v>312</v>
      </c>
      <c r="BR296" s="180">
        <f t="shared" si="283"/>
        <v>17.5</v>
      </c>
      <c r="BT296" s="185">
        <f t="shared" si="284"/>
        <v>45</v>
      </c>
      <c r="BU296" s="173">
        <f t="shared" si="284"/>
        <v>50.25</v>
      </c>
      <c r="BV296" s="173">
        <f t="shared" si="284"/>
        <v>192</v>
      </c>
      <c r="BW296" s="180">
        <f t="shared" si="284"/>
        <v>17.5</v>
      </c>
      <c r="BX296" s="288"/>
      <c r="CM296" s="96"/>
    </row>
    <row r="297" spans="1:91">
      <c r="A297" s="284" t="str">
        <f t="shared" si="286"/>
        <v/>
      </c>
      <c r="B297" s="185">
        <f t="shared" si="285"/>
        <v>45</v>
      </c>
      <c r="C297" s="173">
        <f t="shared" si="285"/>
        <v>139.5</v>
      </c>
      <c r="D297" s="173">
        <f t="shared" si="285"/>
        <v>883</v>
      </c>
      <c r="E297" s="180">
        <f t="shared" si="285"/>
        <v>18</v>
      </c>
      <c r="G297" s="185">
        <f t="shared" ref="G297:J312" si="287">IF(G143="","",G143)</f>
        <v>45</v>
      </c>
      <c r="H297" s="173">
        <f t="shared" si="287"/>
        <v>139.5</v>
      </c>
      <c r="I297" s="173">
        <f t="shared" si="287"/>
        <v>643</v>
      </c>
      <c r="J297" s="180">
        <f t="shared" si="287"/>
        <v>18</v>
      </c>
      <c r="L297" s="185">
        <f t="shared" ref="L297:O312" si="288">IF(L143="","",L143)</f>
        <v>45</v>
      </c>
      <c r="M297" s="173">
        <f t="shared" si="288"/>
        <v>139.5</v>
      </c>
      <c r="N297" s="173">
        <f t="shared" si="288"/>
        <v>574</v>
      </c>
      <c r="O297" s="180">
        <f t="shared" si="288"/>
        <v>18</v>
      </c>
      <c r="Q297" s="185">
        <f t="shared" ref="Q297:T312" si="289">IF(Q143="","",Q143)</f>
        <v>45</v>
      </c>
      <c r="R297" s="173">
        <f t="shared" si="289"/>
        <v>139.5</v>
      </c>
      <c r="S297" s="173">
        <f t="shared" si="289"/>
        <v>517</v>
      </c>
      <c r="T297" s="180">
        <f t="shared" si="289"/>
        <v>18</v>
      </c>
      <c r="V297" s="185">
        <f t="shared" ref="V297:Y312" si="290">IF(V143="","",V143)</f>
        <v>45</v>
      </c>
      <c r="W297" s="173">
        <f t="shared" si="290"/>
        <v>139.5</v>
      </c>
      <c r="X297" s="173">
        <f t="shared" si="290"/>
        <v>403</v>
      </c>
      <c r="Y297" s="180">
        <f t="shared" si="290"/>
        <v>18</v>
      </c>
      <c r="AA297" s="185">
        <f t="shared" ref="AA297:AD312" si="291">IF(AA143="","",AA143)</f>
        <v>45</v>
      </c>
      <c r="AB297" s="173">
        <f t="shared" si="291"/>
        <v>139.5</v>
      </c>
      <c r="AC297" s="173">
        <f t="shared" si="291"/>
        <v>354</v>
      </c>
      <c r="AD297" s="180">
        <f t="shared" si="291"/>
        <v>18</v>
      </c>
      <c r="AF297" s="185">
        <f t="shared" ref="AF297:AI312" si="292">IF(AF143="","",AF143)</f>
        <v>45</v>
      </c>
      <c r="AG297" s="173">
        <f t="shared" si="292"/>
        <v>139.5</v>
      </c>
      <c r="AH297" s="173">
        <f t="shared" si="292"/>
        <v>234</v>
      </c>
      <c r="AI297" s="180">
        <f t="shared" si="292"/>
        <v>18</v>
      </c>
      <c r="AK297" s="185">
        <f t="shared" ref="AK297:AN312" si="293">IF(AK143="","",AK143)</f>
        <v>45</v>
      </c>
      <c r="AL297" s="173">
        <f t="shared" si="293"/>
        <v>139.5</v>
      </c>
      <c r="AM297" s="173">
        <f t="shared" si="293"/>
        <v>118</v>
      </c>
      <c r="AN297" s="180">
        <f t="shared" si="293"/>
        <v>18</v>
      </c>
      <c r="AP297" s="185">
        <f t="shared" ref="AP297:AS312" si="294">IF(AP143="","",AP143)</f>
        <v>45</v>
      </c>
      <c r="AQ297" s="173">
        <f t="shared" si="294"/>
        <v>139.5</v>
      </c>
      <c r="AR297" s="173">
        <f t="shared" si="294"/>
        <v>667</v>
      </c>
      <c r="AS297" s="180">
        <f t="shared" si="294"/>
        <v>18</v>
      </c>
      <c r="AT297" s="288"/>
      <c r="AU297" s="185">
        <f t="shared" ref="AU297:AX312" si="295">IF(AU143="","",AU143)</f>
        <v>45</v>
      </c>
      <c r="AV297" s="173">
        <f t="shared" si="295"/>
        <v>89.2</v>
      </c>
      <c r="AW297" s="173">
        <f t="shared" si="295"/>
        <v>354</v>
      </c>
      <c r="AX297" s="180">
        <f t="shared" si="295"/>
        <v>17.5</v>
      </c>
      <c r="AZ297" s="185">
        <f t="shared" ref="AZ297:BC312" si="296">IF(AZ143="","",AZ143)</f>
        <v>45</v>
      </c>
      <c r="BA297" s="173">
        <f t="shared" si="296"/>
        <v>89.2</v>
      </c>
      <c r="BB297" s="173">
        <f t="shared" si="296"/>
        <v>234</v>
      </c>
      <c r="BC297" s="180">
        <f t="shared" si="296"/>
        <v>17.5</v>
      </c>
      <c r="BE297" s="185">
        <f t="shared" ref="BE297:BH312" si="297">IF(BE143="","",BE143)</f>
        <v>45</v>
      </c>
      <c r="BF297" s="173">
        <f t="shared" si="297"/>
        <v>89.2</v>
      </c>
      <c r="BG297" s="173">
        <f t="shared" si="297"/>
        <v>114</v>
      </c>
      <c r="BH297" s="180">
        <f t="shared" si="297"/>
        <v>17.5</v>
      </c>
      <c r="BI297" s="288"/>
      <c r="BJ297" s="185">
        <f t="shared" ref="BJ297:BM312" si="298">IF(BJ143="","",BJ143)</f>
        <v>45</v>
      </c>
      <c r="BK297" s="173">
        <f t="shared" si="298"/>
        <v>50.25</v>
      </c>
      <c r="BL297" s="173">
        <f t="shared" si="298"/>
        <v>374</v>
      </c>
      <c r="BM297" s="180">
        <f t="shared" si="298"/>
        <v>17.5</v>
      </c>
      <c r="BO297" s="185">
        <f t="shared" ref="BO297:BR312" si="299">IF(BO143="","",BO143)</f>
        <v>45</v>
      </c>
      <c r="BP297" s="173">
        <f t="shared" si="299"/>
        <v>50.25</v>
      </c>
      <c r="BQ297" s="173">
        <f t="shared" si="299"/>
        <v>254</v>
      </c>
      <c r="BR297" s="180">
        <f t="shared" si="299"/>
        <v>17.5</v>
      </c>
      <c r="BT297" s="185">
        <f t="shared" ref="BT297:BW312" si="300">IF(BT143="","",BT143)</f>
        <v>45</v>
      </c>
      <c r="BU297" s="173">
        <f t="shared" si="300"/>
        <v>50.25</v>
      </c>
      <c r="BV297" s="173">
        <f t="shared" si="300"/>
        <v>134</v>
      </c>
      <c r="BW297" s="180">
        <f t="shared" si="300"/>
        <v>17.5</v>
      </c>
      <c r="BX297" s="288"/>
      <c r="CM297" s="96"/>
    </row>
    <row r="298" spans="1:91">
      <c r="A298" s="284" t="str">
        <f t="shared" si="286"/>
        <v/>
      </c>
      <c r="B298" s="185">
        <f t="shared" si="286"/>
        <v>45</v>
      </c>
      <c r="C298" s="173">
        <f t="shared" si="286"/>
        <v>139.5</v>
      </c>
      <c r="D298" s="173">
        <f t="shared" si="286"/>
        <v>826</v>
      </c>
      <c r="E298" s="180">
        <f t="shared" si="286"/>
        <v>18</v>
      </c>
      <c r="G298" s="185">
        <f t="shared" si="287"/>
        <v>45</v>
      </c>
      <c r="H298" s="173">
        <f t="shared" si="287"/>
        <v>139.5</v>
      </c>
      <c r="I298" s="173">
        <f t="shared" si="287"/>
        <v>586</v>
      </c>
      <c r="J298" s="180">
        <f t="shared" si="287"/>
        <v>18</v>
      </c>
      <c r="L298" s="185">
        <f t="shared" si="288"/>
        <v>45</v>
      </c>
      <c r="M298" s="173">
        <f t="shared" si="288"/>
        <v>139.5</v>
      </c>
      <c r="N298" s="173">
        <f t="shared" si="288"/>
        <v>517</v>
      </c>
      <c r="O298" s="180">
        <f t="shared" si="288"/>
        <v>18</v>
      </c>
      <c r="Q298" s="185">
        <f t="shared" si="289"/>
        <v>45</v>
      </c>
      <c r="R298" s="173">
        <f t="shared" si="289"/>
        <v>139.5</v>
      </c>
      <c r="S298" s="173">
        <f t="shared" si="289"/>
        <v>460</v>
      </c>
      <c r="T298" s="180">
        <f t="shared" si="289"/>
        <v>18</v>
      </c>
      <c r="V298" s="185">
        <f t="shared" si="290"/>
        <v>45</v>
      </c>
      <c r="W298" s="173">
        <f t="shared" si="290"/>
        <v>139.5</v>
      </c>
      <c r="X298" s="173">
        <f t="shared" si="290"/>
        <v>346</v>
      </c>
      <c r="Y298" s="180">
        <f t="shared" si="290"/>
        <v>18</v>
      </c>
      <c r="AA298" s="185">
        <f t="shared" si="291"/>
        <v>45</v>
      </c>
      <c r="AB298" s="173">
        <f t="shared" si="291"/>
        <v>139.5</v>
      </c>
      <c r="AC298" s="173">
        <f t="shared" si="291"/>
        <v>296</v>
      </c>
      <c r="AD298" s="180">
        <f t="shared" si="291"/>
        <v>18</v>
      </c>
      <c r="AF298" s="185">
        <f t="shared" si="292"/>
        <v>45</v>
      </c>
      <c r="AG298" s="173">
        <f t="shared" si="292"/>
        <v>139.5</v>
      </c>
      <c r="AH298" s="173">
        <f t="shared" si="292"/>
        <v>176</v>
      </c>
      <c r="AI298" s="180">
        <f t="shared" si="292"/>
        <v>18</v>
      </c>
      <c r="AK298" s="185">
        <f t="shared" si="293"/>
        <v>45</v>
      </c>
      <c r="AL298" s="173">
        <f t="shared" si="293"/>
        <v>139.5</v>
      </c>
      <c r="AM298" s="173">
        <f t="shared" si="293"/>
        <v>60</v>
      </c>
      <c r="AN298" s="180">
        <f t="shared" si="293"/>
        <v>18</v>
      </c>
      <c r="AP298" s="185">
        <f t="shared" si="294"/>
        <v>45</v>
      </c>
      <c r="AQ298" s="173">
        <f t="shared" si="294"/>
        <v>139.5</v>
      </c>
      <c r="AR298" s="173">
        <f t="shared" si="294"/>
        <v>610</v>
      </c>
      <c r="AS298" s="180">
        <f t="shared" si="294"/>
        <v>18</v>
      </c>
      <c r="AT298" s="288"/>
      <c r="AU298" s="185">
        <f t="shared" si="295"/>
        <v>45</v>
      </c>
      <c r="AV298" s="173">
        <f t="shared" si="295"/>
        <v>89.2</v>
      </c>
      <c r="AW298" s="173">
        <f t="shared" si="295"/>
        <v>296</v>
      </c>
      <c r="AX298" s="180">
        <f t="shared" si="295"/>
        <v>17.5</v>
      </c>
      <c r="AZ298" s="185">
        <f t="shared" si="296"/>
        <v>45</v>
      </c>
      <c r="BA298" s="173">
        <f t="shared" si="296"/>
        <v>89.2</v>
      </c>
      <c r="BB298" s="173">
        <f t="shared" si="296"/>
        <v>176</v>
      </c>
      <c r="BC298" s="180">
        <f t="shared" si="296"/>
        <v>17.5</v>
      </c>
      <c r="BE298" s="185">
        <f t="shared" si="297"/>
        <v>45</v>
      </c>
      <c r="BF298" s="173">
        <f t="shared" si="297"/>
        <v>89.2</v>
      </c>
      <c r="BG298" s="173">
        <f t="shared" si="297"/>
        <v>56</v>
      </c>
      <c r="BH298" s="180">
        <f t="shared" si="297"/>
        <v>17.5</v>
      </c>
      <c r="BI298" s="288"/>
      <c r="BJ298" s="185">
        <f t="shared" si="298"/>
        <v>45</v>
      </c>
      <c r="BK298" s="173">
        <f t="shared" si="298"/>
        <v>50.25</v>
      </c>
      <c r="BL298" s="173">
        <f t="shared" si="298"/>
        <v>316</v>
      </c>
      <c r="BM298" s="180">
        <f t="shared" si="298"/>
        <v>17.5</v>
      </c>
      <c r="BO298" s="185">
        <f t="shared" si="299"/>
        <v>45</v>
      </c>
      <c r="BP298" s="173">
        <f t="shared" si="299"/>
        <v>50.25</v>
      </c>
      <c r="BQ298" s="173">
        <f t="shared" si="299"/>
        <v>196</v>
      </c>
      <c r="BR298" s="180">
        <f t="shared" si="299"/>
        <v>17.5</v>
      </c>
      <c r="BT298" s="185">
        <f t="shared" si="300"/>
        <v>45</v>
      </c>
      <c r="BU298" s="173">
        <f t="shared" si="300"/>
        <v>50.25</v>
      </c>
      <c r="BV298" s="173">
        <f t="shared" si="300"/>
        <v>76</v>
      </c>
      <c r="BW298" s="180">
        <f t="shared" si="300"/>
        <v>17.5</v>
      </c>
      <c r="BX298" s="288"/>
      <c r="CM298" s="96"/>
    </row>
    <row r="299" spans="1:91">
      <c r="A299" s="284" t="str">
        <f t="shared" si="286"/>
        <v/>
      </c>
      <c r="B299" s="185">
        <f t="shared" si="286"/>
        <v>45</v>
      </c>
      <c r="C299" s="173">
        <f t="shared" si="286"/>
        <v>139.5</v>
      </c>
      <c r="D299" s="173">
        <f t="shared" si="286"/>
        <v>769</v>
      </c>
      <c r="E299" s="180">
        <f t="shared" si="286"/>
        <v>18</v>
      </c>
      <c r="G299" s="185">
        <f t="shared" si="287"/>
        <v>45</v>
      </c>
      <c r="H299" s="173">
        <f t="shared" si="287"/>
        <v>139.5</v>
      </c>
      <c r="I299" s="173">
        <f t="shared" si="287"/>
        <v>529</v>
      </c>
      <c r="J299" s="180">
        <f t="shared" si="287"/>
        <v>18</v>
      </c>
      <c r="L299" s="185">
        <f t="shared" si="288"/>
        <v>45</v>
      </c>
      <c r="M299" s="173">
        <f t="shared" si="288"/>
        <v>139.5</v>
      </c>
      <c r="N299" s="173">
        <f t="shared" si="288"/>
        <v>460</v>
      </c>
      <c r="O299" s="180">
        <f t="shared" si="288"/>
        <v>18</v>
      </c>
      <c r="Q299" s="185">
        <f t="shared" si="289"/>
        <v>45</v>
      </c>
      <c r="R299" s="173">
        <f t="shared" si="289"/>
        <v>139.5</v>
      </c>
      <c r="S299" s="173">
        <f t="shared" si="289"/>
        <v>403</v>
      </c>
      <c r="T299" s="180">
        <f t="shared" si="289"/>
        <v>18</v>
      </c>
      <c r="V299" s="185">
        <f t="shared" si="290"/>
        <v>45</v>
      </c>
      <c r="W299" s="173">
        <f t="shared" si="290"/>
        <v>139.5</v>
      </c>
      <c r="X299" s="173">
        <f t="shared" si="290"/>
        <v>289</v>
      </c>
      <c r="Y299" s="180">
        <f t="shared" si="290"/>
        <v>18</v>
      </c>
      <c r="AA299" s="185">
        <f t="shared" si="291"/>
        <v>45</v>
      </c>
      <c r="AB299" s="173">
        <f t="shared" si="291"/>
        <v>139.5</v>
      </c>
      <c r="AC299" s="173">
        <f t="shared" si="291"/>
        <v>238</v>
      </c>
      <c r="AD299" s="180">
        <f t="shared" si="291"/>
        <v>18</v>
      </c>
      <c r="AF299" s="185">
        <f t="shared" si="292"/>
        <v>45</v>
      </c>
      <c r="AG299" s="173">
        <f t="shared" si="292"/>
        <v>139.5</v>
      </c>
      <c r="AH299" s="173">
        <f t="shared" si="292"/>
        <v>118</v>
      </c>
      <c r="AI299" s="180">
        <f t="shared" si="292"/>
        <v>18</v>
      </c>
      <c r="AK299" s="185">
        <f t="shared" si="293"/>
        <v>45</v>
      </c>
      <c r="AL299" s="173">
        <f t="shared" si="293"/>
        <v>96.5</v>
      </c>
      <c r="AM299" s="173">
        <f t="shared" si="293"/>
        <v>200</v>
      </c>
      <c r="AN299" s="180">
        <f t="shared" si="293"/>
        <v>18</v>
      </c>
      <c r="AP299" s="185">
        <f t="shared" si="294"/>
        <v>45</v>
      </c>
      <c r="AQ299" s="173">
        <f t="shared" si="294"/>
        <v>139.5</v>
      </c>
      <c r="AR299" s="173">
        <f t="shared" si="294"/>
        <v>553</v>
      </c>
      <c r="AS299" s="180">
        <f t="shared" si="294"/>
        <v>18</v>
      </c>
      <c r="AT299" s="288"/>
      <c r="AU299" s="185">
        <f t="shared" si="295"/>
        <v>45</v>
      </c>
      <c r="AV299" s="173">
        <f t="shared" si="295"/>
        <v>89.2</v>
      </c>
      <c r="AW299" s="173">
        <f t="shared" si="295"/>
        <v>238</v>
      </c>
      <c r="AX299" s="180">
        <f t="shared" si="295"/>
        <v>17.5</v>
      </c>
      <c r="AZ299" s="185">
        <f t="shared" si="296"/>
        <v>45</v>
      </c>
      <c r="BA299" s="173">
        <f t="shared" si="296"/>
        <v>89.2</v>
      </c>
      <c r="BB299" s="173">
        <f t="shared" si="296"/>
        <v>118</v>
      </c>
      <c r="BC299" s="180">
        <f t="shared" si="296"/>
        <v>17.5</v>
      </c>
      <c r="BE299" s="185">
        <f t="shared" si="297"/>
        <v>45</v>
      </c>
      <c r="BF299" s="173">
        <f t="shared" si="297"/>
        <v>50</v>
      </c>
      <c r="BG299" s="173">
        <f t="shared" si="297"/>
        <v>200</v>
      </c>
      <c r="BH299" s="180">
        <f t="shared" si="297"/>
        <v>17.5</v>
      </c>
      <c r="BI299" s="288"/>
      <c r="BJ299" s="185">
        <f t="shared" si="298"/>
        <v>45</v>
      </c>
      <c r="BK299" s="173">
        <f t="shared" si="298"/>
        <v>50.25</v>
      </c>
      <c r="BL299" s="173">
        <f t="shared" si="298"/>
        <v>258</v>
      </c>
      <c r="BM299" s="180">
        <f t="shared" si="298"/>
        <v>17.5</v>
      </c>
      <c r="BO299" s="185">
        <f t="shared" si="299"/>
        <v>45</v>
      </c>
      <c r="BP299" s="173">
        <f t="shared" si="299"/>
        <v>50.25</v>
      </c>
      <c r="BQ299" s="173">
        <f t="shared" si="299"/>
        <v>138</v>
      </c>
      <c r="BR299" s="180">
        <f t="shared" si="299"/>
        <v>17.5</v>
      </c>
      <c r="BT299" s="185">
        <f t="shared" si="300"/>
        <v>45</v>
      </c>
      <c r="BU299" s="173">
        <f t="shared" si="300"/>
        <v>9.75</v>
      </c>
      <c r="BV299" s="173">
        <f t="shared" si="300"/>
        <v>230</v>
      </c>
      <c r="BW299" s="180">
        <f t="shared" si="300"/>
        <v>17.5</v>
      </c>
      <c r="BX299" s="288"/>
      <c r="CM299" s="96"/>
    </row>
    <row r="300" spans="1:91">
      <c r="A300" s="284" t="str">
        <f t="shared" si="286"/>
        <v/>
      </c>
      <c r="B300" s="185">
        <f t="shared" si="286"/>
        <v>45</v>
      </c>
      <c r="C300" s="173">
        <f t="shared" si="286"/>
        <v>139.5</v>
      </c>
      <c r="D300" s="173">
        <f t="shared" si="286"/>
        <v>712</v>
      </c>
      <c r="E300" s="180">
        <f t="shared" si="286"/>
        <v>18</v>
      </c>
      <c r="G300" s="185">
        <f t="shared" si="287"/>
        <v>45</v>
      </c>
      <c r="H300" s="173">
        <f t="shared" si="287"/>
        <v>139.5</v>
      </c>
      <c r="I300" s="173">
        <f t="shared" si="287"/>
        <v>472</v>
      </c>
      <c r="J300" s="180">
        <f t="shared" si="287"/>
        <v>18</v>
      </c>
      <c r="L300" s="185">
        <f t="shared" si="288"/>
        <v>45</v>
      </c>
      <c r="M300" s="173">
        <f t="shared" si="288"/>
        <v>139.5</v>
      </c>
      <c r="N300" s="173">
        <f t="shared" si="288"/>
        <v>403</v>
      </c>
      <c r="O300" s="180">
        <f t="shared" si="288"/>
        <v>18</v>
      </c>
      <c r="Q300" s="185">
        <f t="shared" si="289"/>
        <v>45</v>
      </c>
      <c r="R300" s="173">
        <f t="shared" si="289"/>
        <v>139.5</v>
      </c>
      <c r="S300" s="173">
        <f t="shared" si="289"/>
        <v>346</v>
      </c>
      <c r="T300" s="180">
        <f t="shared" si="289"/>
        <v>18</v>
      </c>
      <c r="V300" s="185">
        <f t="shared" si="290"/>
        <v>45</v>
      </c>
      <c r="W300" s="173">
        <f t="shared" si="290"/>
        <v>139.5</v>
      </c>
      <c r="X300" s="173">
        <f t="shared" si="290"/>
        <v>232</v>
      </c>
      <c r="Y300" s="180">
        <f t="shared" si="290"/>
        <v>18</v>
      </c>
      <c r="AA300" s="185">
        <f t="shared" si="291"/>
        <v>45</v>
      </c>
      <c r="AB300" s="173">
        <f t="shared" si="291"/>
        <v>139.5</v>
      </c>
      <c r="AC300" s="173">
        <f t="shared" si="291"/>
        <v>180</v>
      </c>
      <c r="AD300" s="180">
        <f t="shared" si="291"/>
        <v>18</v>
      </c>
      <c r="AF300" s="185">
        <f t="shared" si="292"/>
        <v>45</v>
      </c>
      <c r="AG300" s="173">
        <f t="shared" si="292"/>
        <v>139.5</v>
      </c>
      <c r="AH300" s="173">
        <f t="shared" si="292"/>
        <v>60</v>
      </c>
      <c r="AI300" s="180">
        <f t="shared" si="292"/>
        <v>18</v>
      </c>
      <c r="AK300" s="185">
        <f t="shared" si="293"/>
        <v>45</v>
      </c>
      <c r="AL300" s="173">
        <f t="shared" si="293"/>
        <v>96.5</v>
      </c>
      <c r="AM300" s="173">
        <f t="shared" si="293"/>
        <v>142</v>
      </c>
      <c r="AN300" s="180">
        <f t="shared" si="293"/>
        <v>18</v>
      </c>
      <c r="AP300" s="185">
        <f t="shared" si="294"/>
        <v>45</v>
      </c>
      <c r="AQ300" s="173">
        <f t="shared" si="294"/>
        <v>139.5</v>
      </c>
      <c r="AR300" s="173">
        <f t="shared" si="294"/>
        <v>496</v>
      </c>
      <c r="AS300" s="180">
        <f t="shared" si="294"/>
        <v>18</v>
      </c>
      <c r="AT300" s="288"/>
      <c r="AU300" s="185">
        <f t="shared" si="295"/>
        <v>45</v>
      </c>
      <c r="AV300" s="173">
        <f t="shared" si="295"/>
        <v>89.2</v>
      </c>
      <c r="AW300" s="173">
        <f t="shared" si="295"/>
        <v>180</v>
      </c>
      <c r="AX300" s="180">
        <f t="shared" si="295"/>
        <v>17.5</v>
      </c>
      <c r="AZ300" s="185">
        <f t="shared" si="296"/>
        <v>45</v>
      </c>
      <c r="BA300" s="173">
        <f t="shared" si="296"/>
        <v>89.2</v>
      </c>
      <c r="BB300" s="173">
        <f t="shared" si="296"/>
        <v>60</v>
      </c>
      <c r="BC300" s="180">
        <f t="shared" si="296"/>
        <v>17.5</v>
      </c>
      <c r="BE300" s="185">
        <f t="shared" si="297"/>
        <v>45</v>
      </c>
      <c r="BF300" s="173">
        <f t="shared" si="297"/>
        <v>50</v>
      </c>
      <c r="BG300" s="173">
        <f t="shared" si="297"/>
        <v>142</v>
      </c>
      <c r="BH300" s="180">
        <f t="shared" si="297"/>
        <v>17.5</v>
      </c>
      <c r="BI300" s="288"/>
      <c r="BJ300" s="185">
        <f t="shared" si="298"/>
        <v>45</v>
      </c>
      <c r="BK300" s="173">
        <f t="shared" si="298"/>
        <v>50.25</v>
      </c>
      <c r="BL300" s="173">
        <f t="shared" si="298"/>
        <v>200</v>
      </c>
      <c r="BM300" s="180">
        <f t="shared" si="298"/>
        <v>17.5</v>
      </c>
      <c r="BO300" s="185">
        <f t="shared" si="299"/>
        <v>45</v>
      </c>
      <c r="BP300" s="173">
        <f t="shared" si="299"/>
        <v>50.25</v>
      </c>
      <c r="BQ300" s="173">
        <f t="shared" si="299"/>
        <v>80</v>
      </c>
      <c r="BR300" s="180">
        <f t="shared" si="299"/>
        <v>17.5</v>
      </c>
      <c r="BT300" s="185">
        <f t="shared" si="300"/>
        <v>45</v>
      </c>
      <c r="BU300" s="173">
        <f t="shared" si="300"/>
        <v>9.75</v>
      </c>
      <c r="BV300" s="173">
        <f t="shared" si="300"/>
        <v>172</v>
      </c>
      <c r="BW300" s="180">
        <f t="shared" si="300"/>
        <v>17.5</v>
      </c>
      <c r="BX300" s="288"/>
      <c r="CM300" s="96"/>
    </row>
    <row r="301" spans="1:91">
      <c r="A301" s="284" t="str">
        <f t="shared" si="286"/>
        <v/>
      </c>
      <c r="B301" s="185">
        <f t="shared" si="286"/>
        <v>45</v>
      </c>
      <c r="C301" s="173">
        <f t="shared" si="286"/>
        <v>139.5</v>
      </c>
      <c r="D301" s="173">
        <f t="shared" si="286"/>
        <v>655</v>
      </c>
      <c r="E301" s="180">
        <f t="shared" si="286"/>
        <v>18</v>
      </c>
      <c r="G301" s="185">
        <f t="shared" si="287"/>
        <v>45</v>
      </c>
      <c r="H301" s="173">
        <f t="shared" si="287"/>
        <v>139.5</v>
      </c>
      <c r="I301" s="173">
        <f t="shared" si="287"/>
        <v>415</v>
      </c>
      <c r="J301" s="180">
        <f t="shared" si="287"/>
        <v>18</v>
      </c>
      <c r="L301" s="185">
        <f t="shared" si="288"/>
        <v>45</v>
      </c>
      <c r="M301" s="173">
        <f t="shared" si="288"/>
        <v>139.5</v>
      </c>
      <c r="N301" s="173">
        <f t="shared" si="288"/>
        <v>346</v>
      </c>
      <c r="O301" s="180">
        <f t="shared" si="288"/>
        <v>18</v>
      </c>
      <c r="Q301" s="185">
        <f t="shared" si="289"/>
        <v>45</v>
      </c>
      <c r="R301" s="173">
        <f t="shared" si="289"/>
        <v>139.5</v>
      </c>
      <c r="S301" s="173">
        <f t="shared" si="289"/>
        <v>289</v>
      </c>
      <c r="T301" s="180">
        <f t="shared" si="289"/>
        <v>18</v>
      </c>
      <c r="V301" s="185">
        <f t="shared" si="290"/>
        <v>45</v>
      </c>
      <c r="W301" s="173">
        <f t="shared" si="290"/>
        <v>139.5</v>
      </c>
      <c r="X301" s="173">
        <f t="shared" si="290"/>
        <v>175</v>
      </c>
      <c r="Y301" s="180">
        <f t="shared" si="290"/>
        <v>18</v>
      </c>
      <c r="AA301" s="185">
        <f t="shared" si="291"/>
        <v>45</v>
      </c>
      <c r="AB301" s="173">
        <f t="shared" si="291"/>
        <v>139.5</v>
      </c>
      <c r="AC301" s="173">
        <f t="shared" si="291"/>
        <v>122</v>
      </c>
      <c r="AD301" s="180">
        <f t="shared" si="291"/>
        <v>18</v>
      </c>
      <c r="AF301" s="185">
        <f t="shared" si="292"/>
        <v>45</v>
      </c>
      <c r="AG301" s="173">
        <f t="shared" si="292"/>
        <v>96.5</v>
      </c>
      <c r="AH301" s="173">
        <f t="shared" si="292"/>
        <v>320</v>
      </c>
      <c r="AI301" s="180">
        <f t="shared" si="292"/>
        <v>18</v>
      </c>
      <c r="AK301" s="185">
        <f t="shared" si="293"/>
        <v>45</v>
      </c>
      <c r="AL301" s="173">
        <f t="shared" si="293"/>
        <v>96.5</v>
      </c>
      <c r="AM301" s="173">
        <f t="shared" si="293"/>
        <v>84</v>
      </c>
      <c r="AN301" s="180">
        <f t="shared" si="293"/>
        <v>18</v>
      </c>
      <c r="AP301" s="185">
        <f t="shared" si="294"/>
        <v>45</v>
      </c>
      <c r="AQ301" s="173">
        <f t="shared" si="294"/>
        <v>139.5</v>
      </c>
      <c r="AR301" s="173">
        <f t="shared" si="294"/>
        <v>439</v>
      </c>
      <c r="AS301" s="180">
        <f t="shared" si="294"/>
        <v>18</v>
      </c>
      <c r="AT301" s="288"/>
      <c r="AU301" s="185">
        <f t="shared" si="295"/>
        <v>45</v>
      </c>
      <c r="AV301" s="173">
        <f t="shared" si="295"/>
        <v>89.2</v>
      </c>
      <c r="AW301" s="173">
        <f t="shared" si="295"/>
        <v>122</v>
      </c>
      <c r="AX301" s="180">
        <f t="shared" si="295"/>
        <v>17.5</v>
      </c>
      <c r="AZ301" s="185">
        <f t="shared" si="296"/>
        <v>45</v>
      </c>
      <c r="BA301" s="173">
        <f t="shared" si="296"/>
        <v>50</v>
      </c>
      <c r="BB301" s="173">
        <f t="shared" si="296"/>
        <v>320</v>
      </c>
      <c r="BC301" s="180">
        <f t="shared" si="296"/>
        <v>17.5</v>
      </c>
      <c r="BE301" s="185">
        <f t="shared" si="297"/>
        <v>45</v>
      </c>
      <c r="BF301" s="173">
        <f t="shared" si="297"/>
        <v>50</v>
      </c>
      <c r="BG301" s="173">
        <f t="shared" si="297"/>
        <v>84</v>
      </c>
      <c r="BH301" s="180">
        <f t="shared" si="297"/>
        <v>17.5</v>
      </c>
      <c r="BI301" s="288"/>
      <c r="BJ301" s="185">
        <f t="shared" si="298"/>
        <v>45</v>
      </c>
      <c r="BK301" s="173">
        <f t="shared" si="298"/>
        <v>50.25</v>
      </c>
      <c r="BL301" s="173">
        <f t="shared" si="298"/>
        <v>142</v>
      </c>
      <c r="BM301" s="180">
        <f t="shared" si="298"/>
        <v>17.5</v>
      </c>
      <c r="BO301" s="185">
        <f t="shared" si="299"/>
        <v>45</v>
      </c>
      <c r="BP301" s="173">
        <f t="shared" si="299"/>
        <v>9.75</v>
      </c>
      <c r="BQ301" s="173">
        <f t="shared" si="299"/>
        <v>350</v>
      </c>
      <c r="BR301" s="180">
        <f t="shared" si="299"/>
        <v>17.5</v>
      </c>
      <c r="BT301" s="185">
        <f t="shared" si="300"/>
        <v>45</v>
      </c>
      <c r="BU301" s="173">
        <f t="shared" si="300"/>
        <v>9.75</v>
      </c>
      <c r="BV301" s="173">
        <f t="shared" si="300"/>
        <v>114</v>
      </c>
      <c r="BW301" s="180">
        <f t="shared" si="300"/>
        <v>17.5</v>
      </c>
      <c r="BX301" s="288"/>
      <c r="CM301" s="96"/>
    </row>
    <row r="302" spans="1:91">
      <c r="A302" s="284" t="str">
        <f t="shared" si="286"/>
        <v/>
      </c>
      <c r="B302" s="185">
        <f t="shared" si="286"/>
        <v>45</v>
      </c>
      <c r="C302" s="173">
        <f t="shared" si="286"/>
        <v>139.5</v>
      </c>
      <c r="D302" s="173">
        <f t="shared" si="286"/>
        <v>598</v>
      </c>
      <c r="E302" s="180">
        <f t="shared" si="286"/>
        <v>18</v>
      </c>
      <c r="G302" s="185">
        <f t="shared" si="287"/>
        <v>45</v>
      </c>
      <c r="H302" s="173">
        <f t="shared" si="287"/>
        <v>139.5</v>
      </c>
      <c r="I302" s="173">
        <f t="shared" si="287"/>
        <v>358</v>
      </c>
      <c r="J302" s="180">
        <f t="shared" si="287"/>
        <v>18</v>
      </c>
      <c r="L302" s="185">
        <f t="shared" si="288"/>
        <v>45</v>
      </c>
      <c r="M302" s="173">
        <f t="shared" si="288"/>
        <v>139.5</v>
      </c>
      <c r="N302" s="173">
        <f t="shared" si="288"/>
        <v>289</v>
      </c>
      <c r="O302" s="180">
        <f t="shared" si="288"/>
        <v>18</v>
      </c>
      <c r="Q302" s="185">
        <f t="shared" si="289"/>
        <v>45</v>
      </c>
      <c r="R302" s="173">
        <f t="shared" si="289"/>
        <v>139.5</v>
      </c>
      <c r="S302" s="173">
        <f t="shared" si="289"/>
        <v>232</v>
      </c>
      <c r="T302" s="180">
        <f t="shared" si="289"/>
        <v>18</v>
      </c>
      <c r="V302" s="185">
        <f t="shared" si="290"/>
        <v>45</v>
      </c>
      <c r="W302" s="173">
        <f t="shared" si="290"/>
        <v>139.5</v>
      </c>
      <c r="X302" s="173">
        <f t="shared" si="290"/>
        <v>118</v>
      </c>
      <c r="Y302" s="180">
        <f t="shared" si="290"/>
        <v>18</v>
      </c>
      <c r="AA302" s="185">
        <f t="shared" si="291"/>
        <v>45</v>
      </c>
      <c r="AB302" s="173">
        <f t="shared" si="291"/>
        <v>139.5</v>
      </c>
      <c r="AC302" s="173">
        <f t="shared" si="291"/>
        <v>64</v>
      </c>
      <c r="AD302" s="180">
        <f t="shared" si="291"/>
        <v>18</v>
      </c>
      <c r="AF302" s="185">
        <f t="shared" si="292"/>
        <v>45</v>
      </c>
      <c r="AG302" s="173">
        <f t="shared" si="292"/>
        <v>96.5</v>
      </c>
      <c r="AH302" s="173">
        <f t="shared" si="292"/>
        <v>262</v>
      </c>
      <c r="AI302" s="180">
        <f t="shared" si="292"/>
        <v>18</v>
      </c>
      <c r="AK302" s="185">
        <f t="shared" si="293"/>
        <v>45</v>
      </c>
      <c r="AL302" s="173">
        <f t="shared" si="293"/>
        <v>53.5</v>
      </c>
      <c r="AM302" s="173">
        <f t="shared" si="293"/>
        <v>200</v>
      </c>
      <c r="AN302" s="180">
        <f t="shared" si="293"/>
        <v>18</v>
      </c>
      <c r="AP302" s="185">
        <f t="shared" si="294"/>
        <v>45</v>
      </c>
      <c r="AQ302" s="173">
        <f t="shared" si="294"/>
        <v>139.5</v>
      </c>
      <c r="AR302" s="173">
        <f t="shared" si="294"/>
        <v>382</v>
      </c>
      <c r="AS302" s="180">
        <f t="shared" si="294"/>
        <v>18</v>
      </c>
      <c r="AT302" s="288"/>
      <c r="AU302" s="185">
        <f t="shared" si="295"/>
        <v>45</v>
      </c>
      <c r="AV302" s="173">
        <f t="shared" si="295"/>
        <v>89.2</v>
      </c>
      <c r="AW302" s="173">
        <f t="shared" si="295"/>
        <v>64</v>
      </c>
      <c r="AX302" s="180">
        <f t="shared" si="295"/>
        <v>17.5</v>
      </c>
      <c r="AZ302" s="185">
        <f t="shared" si="296"/>
        <v>45</v>
      </c>
      <c r="BA302" s="173">
        <f t="shared" si="296"/>
        <v>50</v>
      </c>
      <c r="BB302" s="173">
        <f t="shared" si="296"/>
        <v>262</v>
      </c>
      <c r="BC302" s="180">
        <f t="shared" si="296"/>
        <v>17.5</v>
      </c>
      <c r="BE302" s="185">
        <f t="shared" si="297"/>
        <v>45</v>
      </c>
      <c r="BF302" s="173">
        <f t="shared" si="297"/>
        <v>10.799999999999997</v>
      </c>
      <c r="BG302" s="173">
        <f t="shared" si="297"/>
        <v>172</v>
      </c>
      <c r="BH302" s="180">
        <f t="shared" si="297"/>
        <v>17.5</v>
      </c>
      <c r="BI302" s="288"/>
      <c r="BJ302" s="185">
        <f t="shared" si="298"/>
        <v>45</v>
      </c>
      <c r="BK302" s="173">
        <f t="shared" si="298"/>
        <v>50.25</v>
      </c>
      <c r="BL302" s="173">
        <f t="shared" si="298"/>
        <v>84</v>
      </c>
      <c r="BM302" s="180">
        <f t="shared" si="298"/>
        <v>17.5</v>
      </c>
      <c r="BO302" s="185">
        <f t="shared" si="299"/>
        <v>45</v>
      </c>
      <c r="BP302" s="173">
        <f t="shared" si="299"/>
        <v>9.75</v>
      </c>
      <c r="BQ302" s="173">
        <f t="shared" si="299"/>
        <v>292</v>
      </c>
      <c r="BR302" s="180">
        <f t="shared" si="299"/>
        <v>17.5</v>
      </c>
      <c r="BT302" s="185">
        <f t="shared" si="300"/>
        <v>45</v>
      </c>
      <c r="BU302" s="173">
        <f t="shared" si="300"/>
        <v>9.75</v>
      </c>
      <c r="BV302" s="173">
        <f t="shared" si="300"/>
        <v>56</v>
      </c>
      <c r="BW302" s="180">
        <f t="shared" si="300"/>
        <v>17.5</v>
      </c>
      <c r="BX302" s="288"/>
      <c r="CM302" s="96"/>
    </row>
    <row r="303" spans="1:91">
      <c r="A303" s="284" t="str">
        <f t="shared" ref="A303:E318" si="301">IF(A149="","",A149)</f>
        <v/>
      </c>
      <c r="B303" s="185">
        <f t="shared" si="301"/>
        <v>45</v>
      </c>
      <c r="C303" s="173">
        <f t="shared" si="301"/>
        <v>139.5</v>
      </c>
      <c r="D303" s="173">
        <f t="shared" si="301"/>
        <v>541</v>
      </c>
      <c r="E303" s="180">
        <f t="shared" si="301"/>
        <v>18</v>
      </c>
      <c r="G303" s="185">
        <f t="shared" si="287"/>
        <v>45</v>
      </c>
      <c r="H303" s="173">
        <f t="shared" si="287"/>
        <v>139.5</v>
      </c>
      <c r="I303" s="173">
        <f t="shared" si="287"/>
        <v>301</v>
      </c>
      <c r="J303" s="180">
        <f t="shared" si="287"/>
        <v>18</v>
      </c>
      <c r="L303" s="185">
        <f t="shared" si="288"/>
        <v>45</v>
      </c>
      <c r="M303" s="173">
        <f t="shared" si="288"/>
        <v>139.5</v>
      </c>
      <c r="N303" s="173">
        <f t="shared" si="288"/>
        <v>232</v>
      </c>
      <c r="O303" s="180">
        <f t="shared" si="288"/>
        <v>18</v>
      </c>
      <c r="Q303" s="185">
        <f t="shared" si="289"/>
        <v>45</v>
      </c>
      <c r="R303" s="173">
        <f t="shared" si="289"/>
        <v>139.5</v>
      </c>
      <c r="S303" s="173">
        <f t="shared" si="289"/>
        <v>175</v>
      </c>
      <c r="T303" s="180">
        <f t="shared" si="289"/>
        <v>18</v>
      </c>
      <c r="V303" s="185">
        <f t="shared" si="290"/>
        <v>45</v>
      </c>
      <c r="W303" s="173">
        <f t="shared" si="290"/>
        <v>139.5</v>
      </c>
      <c r="X303" s="173">
        <f t="shared" si="290"/>
        <v>61</v>
      </c>
      <c r="Y303" s="180">
        <f t="shared" si="290"/>
        <v>18</v>
      </c>
      <c r="AA303" s="185">
        <f t="shared" si="291"/>
        <v>45</v>
      </c>
      <c r="AB303" s="173">
        <f t="shared" si="291"/>
        <v>96.5</v>
      </c>
      <c r="AC303" s="173">
        <f t="shared" si="291"/>
        <v>440</v>
      </c>
      <c r="AD303" s="180">
        <f t="shared" si="291"/>
        <v>18</v>
      </c>
      <c r="AF303" s="185">
        <f t="shared" si="292"/>
        <v>45</v>
      </c>
      <c r="AG303" s="173">
        <f t="shared" si="292"/>
        <v>96.5</v>
      </c>
      <c r="AH303" s="173">
        <f t="shared" si="292"/>
        <v>204</v>
      </c>
      <c r="AI303" s="180">
        <f t="shared" si="292"/>
        <v>18</v>
      </c>
      <c r="AK303" s="185">
        <f t="shared" si="293"/>
        <v>45</v>
      </c>
      <c r="AL303" s="173">
        <f t="shared" si="293"/>
        <v>53.5</v>
      </c>
      <c r="AM303" s="173">
        <f t="shared" si="293"/>
        <v>142</v>
      </c>
      <c r="AN303" s="180">
        <f t="shared" si="293"/>
        <v>18</v>
      </c>
      <c r="AP303" s="185">
        <f t="shared" si="294"/>
        <v>45</v>
      </c>
      <c r="AQ303" s="173">
        <f t="shared" si="294"/>
        <v>139.5</v>
      </c>
      <c r="AR303" s="173">
        <f t="shared" si="294"/>
        <v>325</v>
      </c>
      <c r="AS303" s="180">
        <f t="shared" si="294"/>
        <v>18</v>
      </c>
      <c r="AT303" s="288"/>
      <c r="AU303" s="185">
        <f t="shared" si="295"/>
        <v>45</v>
      </c>
      <c r="AV303" s="173">
        <f t="shared" si="295"/>
        <v>50</v>
      </c>
      <c r="AW303" s="173">
        <f t="shared" si="295"/>
        <v>440</v>
      </c>
      <c r="AX303" s="180">
        <f t="shared" si="295"/>
        <v>17.5</v>
      </c>
      <c r="AZ303" s="185">
        <f t="shared" si="296"/>
        <v>45</v>
      </c>
      <c r="BA303" s="173">
        <f t="shared" si="296"/>
        <v>50</v>
      </c>
      <c r="BB303" s="173">
        <f t="shared" si="296"/>
        <v>204</v>
      </c>
      <c r="BC303" s="180">
        <f t="shared" si="296"/>
        <v>17.5</v>
      </c>
      <c r="BE303" s="185">
        <f t="shared" si="297"/>
        <v>45</v>
      </c>
      <c r="BF303" s="173">
        <f t="shared" si="297"/>
        <v>10.799999999999997</v>
      </c>
      <c r="BG303" s="173">
        <f t="shared" si="297"/>
        <v>114</v>
      </c>
      <c r="BH303" s="180">
        <f t="shared" si="297"/>
        <v>17.5</v>
      </c>
      <c r="BI303" s="288"/>
      <c r="BJ303" s="185">
        <f t="shared" si="298"/>
        <v>45</v>
      </c>
      <c r="BK303" s="173">
        <f t="shared" si="298"/>
        <v>9.75</v>
      </c>
      <c r="BL303" s="173">
        <f t="shared" si="298"/>
        <v>470</v>
      </c>
      <c r="BM303" s="180">
        <f t="shared" si="298"/>
        <v>17.5</v>
      </c>
      <c r="BO303" s="185">
        <f t="shared" si="299"/>
        <v>45</v>
      </c>
      <c r="BP303" s="173">
        <f t="shared" si="299"/>
        <v>9.75</v>
      </c>
      <c r="BQ303" s="173">
        <f t="shared" si="299"/>
        <v>234</v>
      </c>
      <c r="BR303" s="180">
        <f t="shared" si="299"/>
        <v>17.5</v>
      </c>
      <c r="BT303" s="185" t="str">
        <f t="shared" si="300"/>
        <v/>
      </c>
      <c r="BU303" s="173" t="str">
        <f t="shared" si="300"/>
        <v/>
      </c>
      <c r="BV303" s="173" t="str">
        <f t="shared" si="300"/>
        <v/>
      </c>
      <c r="BW303" s="180" t="str">
        <f t="shared" si="300"/>
        <v/>
      </c>
      <c r="BX303" s="288"/>
      <c r="CM303" s="96"/>
    </row>
    <row r="304" spans="1:91">
      <c r="A304" s="284" t="str">
        <f t="shared" si="301"/>
        <v/>
      </c>
      <c r="B304" s="185">
        <f t="shared" si="301"/>
        <v>45</v>
      </c>
      <c r="C304" s="173">
        <f t="shared" si="301"/>
        <v>139.5</v>
      </c>
      <c r="D304" s="173">
        <f t="shared" si="301"/>
        <v>484</v>
      </c>
      <c r="E304" s="180">
        <f t="shared" si="301"/>
        <v>18</v>
      </c>
      <c r="G304" s="185">
        <f t="shared" si="287"/>
        <v>45</v>
      </c>
      <c r="H304" s="173">
        <f t="shared" si="287"/>
        <v>139.5</v>
      </c>
      <c r="I304" s="173">
        <f t="shared" si="287"/>
        <v>244</v>
      </c>
      <c r="J304" s="180">
        <f t="shared" si="287"/>
        <v>18</v>
      </c>
      <c r="L304" s="185">
        <f t="shared" si="288"/>
        <v>45</v>
      </c>
      <c r="M304" s="173">
        <f t="shared" si="288"/>
        <v>139.5</v>
      </c>
      <c r="N304" s="173">
        <f t="shared" si="288"/>
        <v>175</v>
      </c>
      <c r="O304" s="180">
        <f t="shared" si="288"/>
        <v>18</v>
      </c>
      <c r="Q304" s="185">
        <f t="shared" si="289"/>
        <v>45</v>
      </c>
      <c r="R304" s="173">
        <f t="shared" si="289"/>
        <v>139.5</v>
      </c>
      <c r="S304" s="173">
        <f t="shared" si="289"/>
        <v>118</v>
      </c>
      <c r="T304" s="180">
        <f t="shared" si="289"/>
        <v>18</v>
      </c>
      <c r="V304" s="185">
        <f t="shared" si="290"/>
        <v>45</v>
      </c>
      <c r="W304" s="173">
        <f t="shared" si="290"/>
        <v>96.5</v>
      </c>
      <c r="X304" s="173">
        <f t="shared" si="290"/>
        <v>488.5</v>
      </c>
      <c r="Y304" s="180">
        <f t="shared" si="290"/>
        <v>18</v>
      </c>
      <c r="AA304" s="185">
        <f t="shared" si="291"/>
        <v>45</v>
      </c>
      <c r="AB304" s="173">
        <f t="shared" si="291"/>
        <v>96.5</v>
      </c>
      <c r="AC304" s="173">
        <f t="shared" si="291"/>
        <v>382</v>
      </c>
      <c r="AD304" s="180">
        <f t="shared" si="291"/>
        <v>18</v>
      </c>
      <c r="AF304" s="185">
        <f t="shared" si="292"/>
        <v>45</v>
      </c>
      <c r="AG304" s="173">
        <f t="shared" si="292"/>
        <v>96.5</v>
      </c>
      <c r="AH304" s="173">
        <f t="shared" si="292"/>
        <v>146</v>
      </c>
      <c r="AI304" s="180">
        <f t="shared" si="292"/>
        <v>18</v>
      </c>
      <c r="AK304" s="185">
        <f t="shared" si="293"/>
        <v>45</v>
      </c>
      <c r="AL304" s="173">
        <f t="shared" si="293"/>
        <v>53.5</v>
      </c>
      <c r="AM304" s="173">
        <f t="shared" si="293"/>
        <v>84</v>
      </c>
      <c r="AN304" s="180">
        <f t="shared" si="293"/>
        <v>18</v>
      </c>
      <c r="AP304" s="185">
        <f t="shared" si="294"/>
        <v>45</v>
      </c>
      <c r="AQ304" s="173">
        <f t="shared" si="294"/>
        <v>139.5</v>
      </c>
      <c r="AR304" s="173">
        <f t="shared" si="294"/>
        <v>268</v>
      </c>
      <c r="AS304" s="180">
        <f t="shared" si="294"/>
        <v>18</v>
      </c>
      <c r="AT304" s="288"/>
      <c r="AU304" s="185">
        <f t="shared" si="295"/>
        <v>45</v>
      </c>
      <c r="AV304" s="173">
        <f t="shared" si="295"/>
        <v>50</v>
      </c>
      <c r="AW304" s="173">
        <f t="shared" si="295"/>
        <v>382</v>
      </c>
      <c r="AX304" s="180">
        <f t="shared" si="295"/>
        <v>17.5</v>
      </c>
      <c r="AZ304" s="185">
        <f t="shared" si="296"/>
        <v>45</v>
      </c>
      <c r="BA304" s="173">
        <f t="shared" si="296"/>
        <v>50</v>
      </c>
      <c r="BB304" s="173">
        <f t="shared" si="296"/>
        <v>146</v>
      </c>
      <c r="BC304" s="180">
        <f t="shared" si="296"/>
        <v>17.5</v>
      </c>
      <c r="BE304" s="185">
        <f t="shared" si="297"/>
        <v>45</v>
      </c>
      <c r="BF304" s="173">
        <f t="shared" si="297"/>
        <v>10.799999999999997</v>
      </c>
      <c r="BG304" s="173">
        <f t="shared" si="297"/>
        <v>56</v>
      </c>
      <c r="BH304" s="180">
        <f t="shared" si="297"/>
        <v>17.5</v>
      </c>
      <c r="BI304" s="288"/>
      <c r="BJ304" s="185">
        <f t="shared" si="298"/>
        <v>45</v>
      </c>
      <c r="BK304" s="173">
        <f t="shared" si="298"/>
        <v>9.75</v>
      </c>
      <c r="BL304" s="173">
        <f t="shared" si="298"/>
        <v>412</v>
      </c>
      <c r="BM304" s="180">
        <f t="shared" si="298"/>
        <v>17.5</v>
      </c>
      <c r="BO304" s="185">
        <f t="shared" si="299"/>
        <v>45</v>
      </c>
      <c r="BP304" s="173">
        <f t="shared" si="299"/>
        <v>9.75</v>
      </c>
      <c r="BQ304" s="173">
        <f t="shared" si="299"/>
        <v>176</v>
      </c>
      <c r="BR304" s="180">
        <f t="shared" si="299"/>
        <v>17.5</v>
      </c>
      <c r="BT304" s="185" t="str">
        <f t="shared" si="300"/>
        <v/>
      </c>
      <c r="BU304" s="173" t="str">
        <f t="shared" si="300"/>
        <v/>
      </c>
      <c r="BV304" s="173" t="str">
        <f t="shared" si="300"/>
        <v/>
      </c>
      <c r="BW304" s="180" t="str">
        <f t="shared" si="300"/>
        <v/>
      </c>
      <c r="BX304" s="288"/>
      <c r="CM304" s="96"/>
    </row>
    <row r="305" spans="1:91">
      <c r="A305" s="284" t="str">
        <f t="shared" si="301"/>
        <v/>
      </c>
      <c r="B305" s="185">
        <f t="shared" si="301"/>
        <v>45</v>
      </c>
      <c r="C305" s="173">
        <f t="shared" si="301"/>
        <v>139.5</v>
      </c>
      <c r="D305" s="173">
        <f t="shared" si="301"/>
        <v>427</v>
      </c>
      <c r="E305" s="180">
        <f t="shared" si="301"/>
        <v>18</v>
      </c>
      <c r="G305" s="185">
        <f t="shared" si="287"/>
        <v>45</v>
      </c>
      <c r="H305" s="173">
        <f t="shared" si="287"/>
        <v>139.5</v>
      </c>
      <c r="I305" s="173">
        <f t="shared" si="287"/>
        <v>187</v>
      </c>
      <c r="J305" s="180">
        <f t="shared" si="287"/>
        <v>18</v>
      </c>
      <c r="L305" s="185">
        <f t="shared" si="288"/>
        <v>45</v>
      </c>
      <c r="M305" s="173">
        <f t="shared" si="288"/>
        <v>139.5</v>
      </c>
      <c r="N305" s="173">
        <f t="shared" si="288"/>
        <v>118</v>
      </c>
      <c r="O305" s="180">
        <f t="shared" si="288"/>
        <v>18</v>
      </c>
      <c r="Q305" s="185">
        <f t="shared" si="289"/>
        <v>45</v>
      </c>
      <c r="R305" s="173">
        <f t="shared" si="289"/>
        <v>139.5</v>
      </c>
      <c r="S305" s="173">
        <f t="shared" si="289"/>
        <v>61</v>
      </c>
      <c r="T305" s="180">
        <f t="shared" si="289"/>
        <v>18</v>
      </c>
      <c r="V305" s="185">
        <f t="shared" si="290"/>
        <v>45</v>
      </c>
      <c r="W305" s="173">
        <f t="shared" si="290"/>
        <v>96.5</v>
      </c>
      <c r="X305" s="173">
        <f t="shared" si="290"/>
        <v>431.5</v>
      </c>
      <c r="Y305" s="180">
        <f t="shared" si="290"/>
        <v>18</v>
      </c>
      <c r="AA305" s="185">
        <f t="shared" si="291"/>
        <v>45</v>
      </c>
      <c r="AB305" s="173">
        <f t="shared" si="291"/>
        <v>96.5</v>
      </c>
      <c r="AC305" s="173">
        <f t="shared" si="291"/>
        <v>324</v>
      </c>
      <c r="AD305" s="180">
        <f t="shared" si="291"/>
        <v>18</v>
      </c>
      <c r="AF305" s="185">
        <f t="shared" si="292"/>
        <v>45</v>
      </c>
      <c r="AG305" s="173">
        <f t="shared" si="292"/>
        <v>96.5</v>
      </c>
      <c r="AH305" s="173">
        <f t="shared" si="292"/>
        <v>88</v>
      </c>
      <c r="AI305" s="180">
        <f t="shared" si="292"/>
        <v>18</v>
      </c>
      <c r="AK305" s="185">
        <f t="shared" si="293"/>
        <v>45</v>
      </c>
      <c r="AL305" s="173">
        <f t="shared" si="293"/>
        <v>10.5</v>
      </c>
      <c r="AM305" s="173">
        <f t="shared" si="293"/>
        <v>176</v>
      </c>
      <c r="AN305" s="180">
        <f t="shared" si="293"/>
        <v>18</v>
      </c>
      <c r="AP305" s="185">
        <f t="shared" si="294"/>
        <v>45</v>
      </c>
      <c r="AQ305" s="173">
        <f t="shared" si="294"/>
        <v>139.5</v>
      </c>
      <c r="AR305" s="173">
        <f t="shared" si="294"/>
        <v>211</v>
      </c>
      <c r="AS305" s="180">
        <f t="shared" si="294"/>
        <v>18</v>
      </c>
      <c r="AT305" s="288"/>
      <c r="AU305" s="185">
        <f t="shared" si="295"/>
        <v>45</v>
      </c>
      <c r="AV305" s="173">
        <f t="shared" si="295"/>
        <v>50</v>
      </c>
      <c r="AW305" s="173">
        <f t="shared" si="295"/>
        <v>324</v>
      </c>
      <c r="AX305" s="180">
        <f t="shared" si="295"/>
        <v>17.5</v>
      </c>
      <c r="AZ305" s="185">
        <f t="shared" si="296"/>
        <v>45</v>
      </c>
      <c r="BA305" s="173">
        <f t="shared" si="296"/>
        <v>50</v>
      </c>
      <c r="BB305" s="173">
        <f t="shared" si="296"/>
        <v>88</v>
      </c>
      <c r="BC305" s="180">
        <f t="shared" si="296"/>
        <v>17.5</v>
      </c>
      <c r="BE305" s="185" t="str">
        <f t="shared" si="297"/>
        <v/>
      </c>
      <c r="BF305" s="173" t="str">
        <f t="shared" si="297"/>
        <v/>
      </c>
      <c r="BG305" s="173" t="str">
        <f t="shared" si="297"/>
        <v/>
      </c>
      <c r="BH305" s="180" t="str">
        <f t="shared" si="297"/>
        <v/>
      </c>
      <c r="BI305" s="288"/>
      <c r="BJ305" s="185">
        <f t="shared" si="298"/>
        <v>45</v>
      </c>
      <c r="BK305" s="173">
        <f t="shared" si="298"/>
        <v>9.75</v>
      </c>
      <c r="BL305" s="173">
        <f t="shared" si="298"/>
        <v>354</v>
      </c>
      <c r="BM305" s="180">
        <f t="shared" si="298"/>
        <v>17.5</v>
      </c>
      <c r="BO305" s="185">
        <f t="shared" si="299"/>
        <v>45</v>
      </c>
      <c r="BP305" s="173">
        <f t="shared" si="299"/>
        <v>9.75</v>
      </c>
      <c r="BQ305" s="173">
        <f t="shared" si="299"/>
        <v>118</v>
      </c>
      <c r="BR305" s="180">
        <f t="shared" si="299"/>
        <v>17.5</v>
      </c>
      <c r="BT305" s="185" t="str">
        <f t="shared" si="300"/>
        <v/>
      </c>
      <c r="BU305" s="173" t="str">
        <f t="shared" si="300"/>
        <v/>
      </c>
      <c r="BV305" s="173" t="str">
        <f t="shared" si="300"/>
        <v/>
      </c>
      <c r="BW305" s="180" t="str">
        <f t="shared" si="300"/>
        <v/>
      </c>
      <c r="BX305" s="288"/>
      <c r="CM305" s="96"/>
    </row>
    <row r="306" spans="1:91">
      <c r="A306" s="284" t="str">
        <f t="shared" si="301"/>
        <v/>
      </c>
      <c r="B306" s="185">
        <f t="shared" si="301"/>
        <v>45</v>
      </c>
      <c r="C306" s="173">
        <f t="shared" si="301"/>
        <v>139.5</v>
      </c>
      <c r="D306" s="173">
        <f t="shared" si="301"/>
        <v>370</v>
      </c>
      <c r="E306" s="180">
        <f t="shared" si="301"/>
        <v>18</v>
      </c>
      <c r="G306" s="185">
        <f t="shared" si="287"/>
        <v>45</v>
      </c>
      <c r="H306" s="173">
        <f t="shared" si="287"/>
        <v>139.5</v>
      </c>
      <c r="I306" s="173">
        <f t="shared" si="287"/>
        <v>130</v>
      </c>
      <c r="J306" s="180">
        <f t="shared" si="287"/>
        <v>18</v>
      </c>
      <c r="L306" s="185">
        <f t="shared" si="288"/>
        <v>45</v>
      </c>
      <c r="M306" s="173">
        <f t="shared" si="288"/>
        <v>139.5</v>
      </c>
      <c r="N306" s="173">
        <f t="shared" si="288"/>
        <v>61</v>
      </c>
      <c r="O306" s="180">
        <f t="shared" si="288"/>
        <v>18</v>
      </c>
      <c r="Q306" s="185">
        <f t="shared" si="289"/>
        <v>45</v>
      </c>
      <c r="R306" s="173">
        <f t="shared" si="289"/>
        <v>96.5</v>
      </c>
      <c r="S306" s="173">
        <f t="shared" si="289"/>
        <v>603</v>
      </c>
      <c r="T306" s="180">
        <f t="shared" si="289"/>
        <v>18</v>
      </c>
      <c r="V306" s="185">
        <f t="shared" si="290"/>
        <v>45</v>
      </c>
      <c r="W306" s="173">
        <f t="shared" si="290"/>
        <v>96.5</v>
      </c>
      <c r="X306" s="173">
        <f t="shared" si="290"/>
        <v>374.5</v>
      </c>
      <c r="Y306" s="180">
        <f t="shared" si="290"/>
        <v>18</v>
      </c>
      <c r="AA306" s="185">
        <f t="shared" si="291"/>
        <v>45</v>
      </c>
      <c r="AB306" s="173">
        <f t="shared" si="291"/>
        <v>96.5</v>
      </c>
      <c r="AC306" s="173">
        <f t="shared" si="291"/>
        <v>266</v>
      </c>
      <c r="AD306" s="180">
        <f t="shared" si="291"/>
        <v>18</v>
      </c>
      <c r="AF306" s="185">
        <f t="shared" si="292"/>
        <v>45</v>
      </c>
      <c r="AG306" s="173">
        <f t="shared" si="292"/>
        <v>53.5</v>
      </c>
      <c r="AH306" s="173">
        <f t="shared" si="292"/>
        <v>320</v>
      </c>
      <c r="AI306" s="180">
        <f t="shared" si="292"/>
        <v>18</v>
      </c>
      <c r="AK306" s="185">
        <f t="shared" si="293"/>
        <v>45</v>
      </c>
      <c r="AL306" s="173">
        <f t="shared" si="293"/>
        <v>10.5</v>
      </c>
      <c r="AM306" s="173">
        <f t="shared" si="293"/>
        <v>118</v>
      </c>
      <c r="AN306" s="180">
        <f t="shared" si="293"/>
        <v>18</v>
      </c>
      <c r="AP306" s="185">
        <f t="shared" si="294"/>
        <v>45</v>
      </c>
      <c r="AQ306" s="173">
        <f t="shared" si="294"/>
        <v>96.5</v>
      </c>
      <c r="AR306" s="173">
        <f t="shared" si="294"/>
        <v>753</v>
      </c>
      <c r="AS306" s="180">
        <f t="shared" si="294"/>
        <v>18</v>
      </c>
      <c r="AT306" s="288"/>
      <c r="AU306" s="185">
        <f t="shared" si="295"/>
        <v>45</v>
      </c>
      <c r="AV306" s="173">
        <f t="shared" si="295"/>
        <v>50</v>
      </c>
      <c r="AW306" s="173">
        <f t="shared" si="295"/>
        <v>266</v>
      </c>
      <c r="AX306" s="180">
        <f t="shared" si="295"/>
        <v>17.5</v>
      </c>
      <c r="AZ306" s="185">
        <f t="shared" si="296"/>
        <v>45</v>
      </c>
      <c r="BA306" s="173">
        <f t="shared" si="296"/>
        <v>10.799999999999997</v>
      </c>
      <c r="BB306" s="173">
        <f t="shared" si="296"/>
        <v>292</v>
      </c>
      <c r="BC306" s="180">
        <f t="shared" si="296"/>
        <v>17.5</v>
      </c>
      <c r="BE306" s="185" t="str">
        <f t="shared" si="297"/>
        <v/>
      </c>
      <c r="BF306" s="173" t="str">
        <f t="shared" si="297"/>
        <v/>
      </c>
      <c r="BG306" s="173" t="str">
        <f t="shared" si="297"/>
        <v/>
      </c>
      <c r="BH306" s="180" t="str">
        <f t="shared" si="297"/>
        <v/>
      </c>
      <c r="BI306" s="288"/>
      <c r="BJ306" s="185">
        <f t="shared" si="298"/>
        <v>45</v>
      </c>
      <c r="BK306" s="173">
        <f t="shared" si="298"/>
        <v>9.75</v>
      </c>
      <c r="BL306" s="173">
        <f t="shared" si="298"/>
        <v>296</v>
      </c>
      <c r="BM306" s="180">
        <f t="shared" si="298"/>
        <v>17.5</v>
      </c>
      <c r="BO306" s="185">
        <f t="shared" si="299"/>
        <v>45</v>
      </c>
      <c r="BP306" s="173">
        <f t="shared" si="299"/>
        <v>9.75</v>
      </c>
      <c r="BQ306" s="173">
        <f t="shared" si="299"/>
        <v>60</v>
      </c>
      <c r="BR306" s="180">
        <f t="shared" si="299"/>
        <v>17.5</v>
      </c>
      <c r="BT306" s="185" t="str">
        <f t="shared" si="300"/>
        <v/>
      </c>
      <c r="BU306" s="173" t="str">
        <f t="shared" si="300"/>
        <v/>
      </c>
      <c r="BV306" s="173" t="str">
        <f t="shared" si="300"/>
        <v/>
      </c>
      <c r="BW306" s="180" t="str">
        <f t="shared" si="300"/>
        <v/>
      </c>
      <c r="BX306" s="288"/>
      <c r="CM306" s="96"/>
    </row>
    <row r="307" spans="1:91">
      <c r="A307" s="284" t="str">
        <f t="shared" si="301"/>
        <v/>
      </c>
      <c r="B307" s="185">
        <f t="shared" si="301"/>
        <v>45</v>
      </c>
      <c r="C307" s="173">
        <f t="shared" si="301"/>
        <v>139.5</v>
      </c>
      <c r="D307" s="173">
        <f t="shared" si="301"/>
        <v>313</v>
      </c>
      <c r="E307" s="180">
        <f t="shared" si="301"/>
        <v>18</v>
      </c>
      <c r="G307" s="185">
        <f t="shared" si="287"/>
        <v>45</v>
      </c>
      <c r="H307" s="173">
        <f t="shared" si="287"/>
        <v>139.5</v>
      </c>
      <c r="I307" s="173">
        <f t="shared" si="287"/>
        <v>73</v>
      </c>
      <c r="J307" s="180">
        <f t="shared" si="287"/>
        <v>18</v>
      </c>
      <c r="L307" s="185">
        <f t="shared" si="288"/>
        <v>45</v>
      </c>
      <c r="M307" s="173">
        <f t="shared" si="288"/>
        <v>96.5</v>
      </c>
      <c r="N307" s="173">
        <f t="shared" si="288"/>
        <v>660</v>
      </c>
      <c r="O307" s="180">
        <f t="shared" si="288"/>
        <v>18</v>
      </c>
      <c r="Q307" s="185">
        <f t="shared" si="289"/>
        <v>45</v>
      </c>
      <c r="R307" s="173">
        <f t="shared" si="289"/>
        <v>96.5</v>
      </c>
      <c r="S307" s="173">
        <f t="shared" si="289"/>
        <v>546</v>
      </c>
      <c r="T307" s="180">
        <f t="shared" si="289"/>
        <v>18</v>
      </c>
      <c r="V307" s="185">
        <f t="shared" si="290"/>
        <v>45</v>
      </c>
      <c r="W307" s="173">
        <f t="shared" si="290"/>
        <v>96.5</v>
      </c>
      <c r="X307" s="173">
        <f t="shared" si="290"/>
        <v>317.5</v>
      </c>
      <c r="Y307" s="180">
        <f t="shared" si="290"/>
        <v>18</v>
      </c>
      <c r="AA307" s="185">
        <f t="shared" si="291"/>
        <v>45</v>
      </c>
      <c r="AB307" s="173">
        <f t="shared" si="291"/>
        <v>96.5</v>
      </c>
      <c r="AC307" s="173">
        <f t="shared" si="291"/>
        <v>208</v>
      </c>
      <c r="AD307" s="180">
        <f t="shared" si="291"/>
        <v>18</v>
      </c>
      <c r="AF307" s="185">
        <f t="shared" si="292"/>
        <v>45</v>
      </c>
      <c r="AG307" s="173">
        <f t="shared" si="292"/>
        <v>53.5</v>
      </c>
      <c r="AH307" s="173">
        <f t="shared" si="292"/>
        <v>262</v>
      </c>
      <c r="AI307" s="180">
        <f t="shared" si="292"/>
        <v>18</v>
      </c>
      <c r="AK307" s="185">
        <f t="shared" si="293"/>
        <v>45</v>
      </c>
      <c r="AL307" s="173">
        <f t="shared" si="293"/>
        <v>10.5</v>
      </c>
      <c r="AM307" s="173">
        <f t="shared" si="293"/>
        <v>60</v>
      </c>
      <c r="AN307" s="180">
        <f t="shared" si="293"/>
        <v>18</v>
      </c>
      <c r="AP307" s="185">
        <f t="shared" si="294"/>
        <v>45</v>
      </c>
      <c r="AQ307" s="173">
        <f t="shared" si="294"/>
        <v>96.5</v>
      </c>
      <c r="AR307" s="173">
        <f t="shared" si="294"/>
        <v>696</v>
      </c>
      <c r="AS307" s="180">
        <f t="shared" si="294"/>
        <v>18</v>
      </c>
      <c r="AT307" s="288"/>
      <c r="AU307" s="185">
        <f t="shared" si="295"/>
        <v>45</v>
      </c>
      <c r="AV307" s="173">
        <f t="shared" si="295"/>
        <v>50</v>
      </c>
      <c r="AW307" s="173">
        <f t="shared" si="295"/>
        <v>208</v>
      </c>
      <c r="AX307" s="180">
        <f t="shared" si="295"/>
        <v>17.5</v>
      </c>
      <c r="AZ307" s="185">
        <f t="shared" si="296"/>
        <v>45</v>
      </c>
      <c r="BA307" s="173">
        <f t="shared" si="296"/>
        <v>10.799999999999997</v>
      </c>
      <c r="BB307" s="173">
        <f t="shared" si="296"/>
        <v>234</v>
      </c>
      <c r="BC307" s="180">
        <f t="shared" si="296"/>
        <v>17.5</v>
      </c>
      <c r="BE307" s="185" t="str">
        <f t="shared" si="297"/>
        <v/>
      </c>
      <c r="BF307" s="173" t="str">
        <f t="shared" si="297"/>
        <v/>
      </c>
      <c r="BG307" s="173" t="str">
        <f t="shared" si="297"/>
        <v/>
      </c>
      <c r="BH307" s="180" t="str">
        <f t="shared" si="297"/>
        <v/>
      </c>
      <c r="BI307" s="288"/>
      <c r="BJ307" s="185">
        <f t="shared" si="298"/>
        <v>45</v>
      </c>
      <c r="BK307" s="173">
        <f t="shared" si="298"/>
        <v>9.75</v>
      </c>
      <c r="BL307" s="173">
        <f t="shared" si="298"/>
        <v>238</v>
      </c>
      <c r="BM307" s="180">
        <f t="shared" si="298"/>
        <v>17.5</v>
      </c>
      <c r="BO307" s="185" t="str">
        <f t="shared" si="299"/>
        <v/>
      </c>
      <c r="BP307" s="173" t="str">
        <f t="shared" si="299"/>
        <v/>
      </c>
      <c r="BQ307" s="173" t="str">
        <f t="shared" si="299"/>
        <v/>
      </c>
      <c r="BR307" s="180" t="str">
        <f t="shared" si="299"/>
        <v/>
      </c>
      <c r="BT307" s="185" t="str">
        <f t="shared" si="300"/>
        <v/>
      </c>
      <c r="BU307" s="173" t="str">
        <f t="shared" si="300"/>
        <v/>
      </c>
      <c r="BV307" s="173" t="str">
        <f t="shared" si="300"/>
        <v/>
      </c>
      <c r="BW307" s="180" t="str">
        <f t="shared" si="300"/>
        <v/>
      </c>
      <c r="BX307" s="288"/>
      <c r="CM307" s="96"/>
    </row>
    <row r="308" spans="1:91">
      <c r="A308" s="284" t="str">
        <f t="shared" si="301"/>
        <v/>
      </c>
      <c r="B308" s="185">
        <f t="shared" si="301"/>
        <v>45</v>
      </c>
      <c r="C308" s="173">
        <f t="shared" si="301"/>
        <v>96.5</v>
      </c>
      <c r="D308" s="173">
        <f t="shared" si="301"/>
        <v>969</v>
      </c>
      <c r="E308" s="180">
        <f t="shared" si="301"/>
        <v>18</v>
      </c>
      <c r="G308" s="185">
        <f t="shared" si="287"/>
        <v>45</v>
      </c>
      <c r="H308" s="173">
        <f t="shared" si="287"/>
        <v>96.5</v>
      </c>
      <c r="I308" s="173">
        <f t="shared" si="287"/>
        <v>729</v>
      </c>
      <c r="J308" s="180">
        <f t="shared" si="287"/>
        <v>18</v>
      </c>
      <c r="L308" s="185">
        <f t="shared" si="288"/>
        <v>45</v>
      </c>
      <c r="M308" s="173">
        <f t="shared" si="288"/>
        <v>96.5</v>
      </c>
      <c r="N308" s="173">
        <f t="shared" si="288"/>
        <v>603</v>
      </c>
      <c r="O308" s="180">
        <f t="shared" si="288"/>
        <v>18</v>
      </c>
      <c r="Q308" s="185">
        <f t="shared" si="289"/>
        <v>45</v>
      </c>
      <c r="R308" s="173">
        <f t="shared" si="289"/>
        <v>96.5</v>
      </c>
      <c r="S308" s="173">
        <f t="shared" si="289"/>
        <v>489</v>
      </c>
      <c r="T308" s="180">
        <f t="shared" si="289"/>
        <v>18</v>
      </c>
      <c r="V308" s="185">
        <f t="shared" si="290"/>
        <v>45</v>
      </c>
      <c r="W308" s="173">
        <f t="shared" si="290"/>
        <v>96.5</v>
      </c>
      <c r="X308" s="173">
        <f t="shared" si="290"/>
        <v>260.5</v>
      </c>
      <c r="Y308" s="180">
        <f t="shared" si="290"/>
        <v>18</v>
      </c>
      <c r="AA308" s="185">
        <f t="shared" si="291"/>
        <v>45</v>
      </c>
      <c r="AB308" s="173">
        <f t="shared" si="291"/>
        <v>96.5</v>
      </c>
      <c r="AC308" s="173">
        <f t="shared" si="291"/>
        <v>150</v>
      </c>
      <c r="AD308" s="180">
        <f t="shared" si="291"/>
        <v>18</v>
      </c>
      <c r="AF308" s="185">
        <f t="shared" si="292"/>
        <v>45</v>
      </c>
      <c r="AG308" s="173">
        <f t="shared" si="292"/>
        <v>53.5</v>
      </c>
      <c r="AH308" s="173">
        <f t="shared" si="292"/>
        <v>204</v>
      </c>
      <c r="AI308" s="180">
        <f t="shared" si="292"/>
        <v>18</v>
      </c>
      <c r="AK308" s="185" t="str">
        <f t="shared" si="293"/>
        <v/>
      </c>
      <c r="AL308" s="173" t="str">
        <f t="shared" si="293"/>
        <v/>
      </c>
      <c r="AM308" s="173" t="str">
        <f t="shared" si="293"/>
        <v/>
      </c>
      <c r="AN308" s="180" t="str">
        <f t="shared" si="293"/>
        <v/>
      </c>
      <c r="AP308" s="185">
        <f t="shared" si="294"/>
        <v>45</v>
      </c>
      <c r="AQ308" s="173">
        <f t="shared" si="294"/>
        <v>96.5</v>
      </c>
      <c r="AR308" s="173">
        <f t="shared" si="294"/>
        <v>639</v>
      </c>
      <c r="AS308" s="180">
        <f t="shared" si="294"/>
        <v>18</v>
      </c>
      <c r="AT308" s="288"/>
      <c r="AU308" s="185">
        <f t="shared" si="295"/>
        <v>45</v>
      </c>
      <c r="AV308" s="173">
        <f t="shared" si="295"/>
        <v>50</v>
      </c>
      <c r="AW308" s="173">
        <f t="shared" si="295"/>
        <v>150</v>
      </c>
      <c r="AX308" s="180">
        <f t="shared" si="295"/>
        <v>17.5</v>
      </c>
      <c r="AZ308" s="185">
        <f t="shared" si="296"/>
        <v>45</v>
      </c>
      <c r="BA308" s="173">
        <f t="shared" si="296"/>
        <v>10.799999999999997</v>
      </c>
      <c r="BB308" s="173">
        <f t="shared" si="296"/>
        <v>176</v>
      </c>
      <c r="BC308" s="180">
        <f t="shared" si="296"/>
        <v>17.5</v>
      </c>
      <c r="BE308" s="185" t="str">
        <f t="shared" si="297"/>
        <v/>
      </c>
      <c r="BF308" s="173" t="str">
        <f t="shared" si="297"/>
        <v/>
      </c>
      <c r="BG308" s="173" t="str">
        <f t="shared" si="297"/>
        <v/>
      </c>
      <c r="BH308" s="180" t="str">
        <f t="shared" si="297"/>
        <v/>
      </c>
      <c r="BI308" s="288"/>
      <c r="BJ308" s="185">
        <f t="shared" si="298"/>
        <v>45</v>
      </c>
      <c r="BK308" s="173">
        <f t="shared" si="298"/>
        <v>9.75</v>
      </c>
      <c r="BL308" s="173">
        <f t="shared" si="298"/>
        <v>180</v>
      </c>
      <c r="BM308" s="180">
        <f t="shared" si="298"/>
        <v>17.5</v>
      </c>
      <c r="BO308" s="185" t="str">
        <f t="shared" si="299"/>
        <v/>
      </c>
      <c r="BP308" s="173" t="str">
        <f t="shared" si="299"/>
        <v/>
      </c>
      <c r="BQ308" s="173" t="str">
        <f t="shared" si="299"/>
        <v/>
      </c>
      <c r="BR308" s="180" t="str">
        <f t="shared" si="299"/>
        <v/>
      </c>
      <c r="BT308" s="185" t="str">
        <f t="shared" si="300"/>
        <v/>
      </c>
      <c r="BU308" s="173" t="str">
        <f t="shared" si="300"/>
        <v/>
      </c>
      <c r="BV308" s="173" t="str">
        <f t="shared" si="300"/>
        <v/>
      </c>
      <c r="BW308" s="180" t="str">
        <f t="shared" si="300"/>
        <v/>
      </c>
      <c r="BX308" s="288"/>
      <c r="CM308" s="96"/>
    </row>
    <row r="309" spans="1:91">
      <c r="A309" s="284" t="str">
        <f t="shared" si="301"/>
        <v/>
      </c>
      <c r="B309" s="185">
        <f t="shared" si="301"/>
        <v>45</v>
      </c>
      <c r="C309" s="173">
        <f t="shared" si="301"/>
        <v>96.5</v>
      </c>
      <c r="D309" s="173">
        <f t="shared" si="301"/>
        <v>912</v>
      </c>
      <c r="E309" s="180">
        <f t="shared" si="301"/>
        <v>18</v>
      </c>
      <c r="G309" s="185">
        <f t="shared" si="287"/>
        <v>45</v>
      </c>
      <c r="H309" s="173">
        <f t="shared" si="287"/>
        <v>96.5</v>
      </c>
      <c r="I309" s="173">
        <f t="shared" si="287"/>
        <v>672</v>
      </c>
      <c r="J309" s="180">
        <f t="shared" si="287"/>
        <v>18</v>
      </c>
      <c r="L309" s="185">
        <f t="shared" si="288"/>
        <v>45</v>
      </c>
      <c r="M309" s="173">
        <f t="shared" si="288"/>
        <v>96.5</v>
      </c>
      <c r="N309" s="173">
        <f t="shared" si="288"/>
        <v>546</v>
      </c>
      <c r="O309" s="180">
        <f t="shared" si="288"/>
        <v>18</v>
      </c>
      <c r="Q309" s="185">
        <f t="shared" si="289"/>
        <v>45</v>
      </c>
      <c r="R309" s="173">
        <f t="shared" si="289"/>
        <v>96.5</v>
      </c>
      <c r="S309" s="173">
        <f t="shared" si="289"/>
        <v>432</v>
      </c>
      <c r="T309" s="180">
        <f t="shared" si="289"/>
        <v>18</v>
      </c>
      <c r="V309" s="185">
        <f t="shared" si="290"/>
        <v>45</v>
      </c>
      <c r="W309" s="173">
        <f t="shared" si="290"/>
        <v>96.5</v>
      </c>
      <c r="X309" s="173">
        <f t="shared" si="290"/>
        <v>203.5</v>
      </c>
      <c r="Y309" s="180">
        <f t="shared" si="290"/>
        <v>18</v>
      </c>
      <c r="AA309" s="185">
        <f t="shared" si="291"/>
        <v>45</v>
      </c>
      <c r="AB309" s="173">
        <f t="shared" si="291"/>
        <v>96.5</v>
      </c>
      <c r="AC309" s="173">
        <f t="shared" si="291"/>
        <v>92</v>
      </c>
      <c r="AD309" s="180">
        <f t="shared" si="291"/>
        <v>18</v>
      </c>
      <c r="AF309" s="185">
        <f t="shared" si="292"/>
        <v>45</v>
      </c>
      <c r="AG309" s="173">
        <f t="shared" si="292"/>
        <v>53.5</v>
      </c>
      <c r="AH309" s="173">
        <f t="shared" si="292"/>
        <v>146</v>
      </c>
      <c r="AI309" s="180">
        <f t="shared" si="292"/>
        <v>18</v>
      </c>
      <c r="AK309" s="185" t="str">
        <f t="shared" si="293"/>
        <v/>
      </c>
      <c r="AL309" s="173" t="str">
        <f t="shared" si="293"/>
        <v/>
      </c>
      <c r="AM309" s="173" t="str">
        <f t="shared" si="293"/>
        <v/>
      </c>
      <c r="AN309" s="180" t="str">
        <f t="shared" si="293"/>
        <v/>
      </c>
      <c r="AP309" s="185">
        <f t="shared" si="294"/>
        <v>45</v>
      </c>
      <c r="AQ309" s="173">
        <f t="shared" si="294"/>
        <v>96.5</v>
      </c>
      <c r="AR309" s="173">
        <f t="shared" si="294"/>
        <v>582</v>
      </c>
      <c r="AS309" s="180">
        <f t="shared" si="294"/>
        <v>18</v>
      </c>
      <c r="AT309" s="288"/>
      <c r="AU309" s="185">
        <f t="shared" si="295"/>
        <v>45</v>
      </c>
      <c r="AV309" s="173">
        <f t="shared" si="295"/>
        <v>50</v>
      </c>
      <c r="AW309" s="173">
        <f t="shared" si="295"/>
        <v>92</v>
      </c>
      <c r="AX309" s="180">
        <f t="shared" si="295"/>
        <v>17.5</v>
      </c>
      <c r="AZ309" s="185">
        <f t="shared" si="296"/>
        <v>45</v>
      </c>
      <c r="BA309" s="173">
        <f t="shared" si="296"/>
        <v>10.799999999999997</v>
      </c>
      <c r="BB309" s="173">
        <f t="shared" si="296"/>
        <v>118</v>
      </c>
      <c r="BC309" s="180">
        <f t="shared" si="296"/>
        <v>17.5</v>
      </c>
      <c r="BE309" s="185" t="str">
        <f t="shared" si="297"/>
        <v/>
      </c>
      <c r="BF309" s="173" t="str">
        <f t="shared" si="297"/>
        <v/>
      </c>
      <c r="BG309" s="173" t="str">
        <f t="shared" si="297"/>
        <v/>
      </c>
      <c r="BH309" s="180" t="str">
        <f t="shared" si="297"/>
        <v/>
      </c>
      <c r="BI309" s="288"/>
      <c r="BJ309" s="185">
        <f t="shared" si="298"/>
        <v>45</v>
      </c>
      <c r="BK309" s="173">
        <f t="shared" si="298"/>
        <v>9.75</v>
      </c>
      <c r="BL309" s="173">
        <f t="shared" si="298"/>
        <v>122</v>
      </c>
      <c r="BM309" s="180">
        <f t="shared" si="298"/>
        <v>17.5</v>
      </c>
      <c r="BO309" s="185" t="str">
        <f t="shared" si="299"/>
        <v/>
      </c>
      <c r="BP309" s="173" t="str">
        <f t="shared" si="299"/>
        <v/>
      </c>
      <c r="BQ309" s="173" t="str">
        <f t="shared" si="299"/>
        <v/>
      </c>
      <c r="BR309" s="180" t="str">
        <f t="shared" si="299"/>
        <v/>
      </c>
      <c r="BT309" s="185" t="str">
        <f t="shared" si="300"/>
        <v/>
      </c>
      <c r="BU309" s="173" t="str">
        <f t="shared" si="300"/>
        <v/>
      </c>
      <c r="BV309" s="173" t="str">
        <f t="shared" si="300"/>
        <v/>
      </c>
      <c r="BW309" s="180" t="str">
        <f t="shared" si="300"/>
        <v/>
      </c>
      <c r="BX309" s="288"/>
      <c r="CM309" s="96"/>
    </row>
    <row r="310" spans="1:91">
      <c r="A310" s="284" t="str">
        <f t="shared" si="301"/>
        <v/>
      </c>
      <c r="B310" s="185">
        <f t="shared" si="301"/>
        <v>45</v>
      </c>
      <c r="C310" s="173">
        <f t="shared" si="301"/>
        <v>96.5</v>
      </c>
      <c r="D310" s="173">
        <f t="shared" si="301"/>
        <v>855</v>
      </c>
      <c r="E310" s="180">
        <f t="shared" si="301"/>
        <v>18</v>
      </c>
      <c r="G310" s="185">
        <f t="shared" si="287"/>
        <v>45</v>
      </c>
      <c r="H310" s="173">
        <f t="shared" si="287"/>
        <v>96.5</v>
      </c>
      <c r="I310" s="173">
        <f t="shared" si="287"/>
        <v>615</v>
      </c>
      <c r="J310" s="180">
        <f t="shared" si="287"/>
        <v>18</v>
      </c>
      <c r="L310" s="185">
        <f t="shared" si="288"/>
        <v>45</v>
      </c>
      <c r="M310" s="173">
        <f t="shared" si="288"/>
        <v>96.5</v>
      </c>
      <c r="N310" s="173">
        <f t="shared" si="288"/>
        <v>489</v>
      </c>
      <c r="O310" s="180">
        <f t="shared" si="288"/>
        <v>18</v>
      </c>
      <c r="Q310" s="185">
        <f t="shared" si="289"/>
        <v>45</v>
      </c>
      <c r="R310" s="173">
        <f t="shared" si="289"/>
        <v>96.5</v>
      </c>
      <c r="S310" s="173">
        <f t="shared" si="289"/>
        <v>375</v>
      </c>
      <c r="T310" s="180">
        <f t="shared" si="289"/>
        <v>18</v>
      </c>
      <c r="V310" s="185">
        <f t="shared" si="290"/>
        <v>45</v>
      </c>
      <c r="W310" s="173">
        <f t="shared" si="290"/>
        <v>96.5</v>
      </c>
      <c r="X310" s="173">
        <f t="shared" si="290"/>
        <v>146.5</v>
      </c>
      <c r="Y310" s="180">
        <f t="shared" si="290"/>
        <v>18</v>
      </c>
      <c r="AA310" s="185">
        <f t="shared" si="291"/>
        <v>45</v>
      </c>
      <c r="AB310" s="173">
        <f t="shared" si="291"/>
        <v>53.5</v>
      </c>
      <c r="AC310" s="173">
        <f t="shared" si="291"/>
        <v>440</v>
      </c>
      <c r="AD310" s="180">
        <f t="shared" si="291"/>
        <v>18</v>
      </c>
      <c r="AF310" s="185">
        <f t="shared" si="292"/>
        <v>45</v>
      </c>
      <c r="AG310" s="173">
        <f t="shared" si="292"/>
        <v>53.5</v>
      </c>
      <c r="AH310" s="173">
        <f t="shared" si="292"/>
        <v>88</v>
      </c>
      <c r="AI310" s="180">
        <f t="shared" si="292"/>
        <v>18</v>
      </c>
      <c r="AK310" s="185" t="str">
        <f t="shared" si="293"/>
        <v/>
      </c>
      <c r="AL310" s="173" t="str">
        <f t="shared" si="293"/>
        <v/>
      </c>
      <c r="AM310" s="173" t="str">
        <f t="shared" si="293"/>
        <v/>
      </c>
      <c r="AN310" s="180" t="str">
        <f t="shared" si="293"/>
        <v/>
      </c>
      <c r="AP310" s="185">
        <f t="shared" si="294"/>
        <v>45</v>
      </c>
      <c r="AQ310" s="173">
        <f t="shared" si="294"/>
        <v>96.5</v>
      </c>
      <c r="AR310" s="173">
        <f t="shared" si="294"/>
        <v>525</v>
      </c>
      <c r="AS310" s="180">
        <f t="shared" si="294"/>
        <v>18</v>
      </c>
      <c r="AT310" s="288"/>
      <c r="AU310" s="185">
        <f t="shared" si="295"/>
        <v>45</v>
      </c>
      <c r="AV310" s="173">
        <f t="shared" si="295"/>
        <v>10.799999999999997</v>
      </c>
      <c r="AW310" s="173">
        <f t="shared" si="295"/>
        <v>412</v>
      </c>
      <c r="AX310" s="180">
        <f t="shared" si="295"/>
        <v>17.5</v>
      </c>
      <c r="AZ310" s="185">
        <f t="shared" si="296"/>
        <v>45</v>
      </c>
      <c r="BA310" s="173">
        <f t="shared" si="296"/>
        <v>10.799999999999997</v>
      </c>
      <c r="BB310" s="173">
        <f t="shared" si="296"/>
        <v>60</v>
      </c>
      <c r="BC310" s="180">
        <f t="shared" si="296"/>
        <v>17.5</v>
      </c>
      <c r="BE310" s="185" t="str">
        <f t="shared" si="297"/>
        <v/>
      </c>
      <c r="BF310" s="173" t="str">
        <f t="shared" si="297"/>
        <v/>
      </c>
      <c r="BG310" s="173" t="str">
        <f t="shared" si="297"/>
        <v/>
      </c>
      <c r="BH310" s="180" t="str">
        <f t="shared" si="297"/>
        <v/>
      </c>
      <c r="BI310" s="288"/>
      <c r="BJ310" s="185">
        <f t="shared" si="298"/>
        <v>45</v>
      </c>
      <c r="BK310" s="173">
        <f t="shared" si="298"/>
        <v>9.75</v>
      </c>
      <c r="BL310" s="173">
        <f t="shared" si="298"/>
        <v>64</v>
      </c>
      <c r="BM310" s="180">
        <f t="shared" si="298"/>
        <v>17.5</v>
      </c>
      <c r="BO310" s="185" t="str">
        <f t="shared" si="299"/>
        <v/>
      </c>
      <c r="BP310" s="173" t="str">
        <f t="shared" si="299"/>
        <v/>
      </c>
      <c r="BQ310" s="173" t="str">
        <f t="shared" si="299"/>
        <v/>
      </c>
      <c r="BR310" s="180" t="str">
        <f t="shared" si="299"/>
        <v/>
      </c>
      <c r="BT310" s="185" t="str">
        <f t="shared" si="300"/>
        <v/>
      </c>
      <c r="BU310" s="173" t="str">
        <f t="shared" si="300"/>
        <v/>
      </c>
      <c r="BV310" s="173" t="str">
        <f t="shared" si="300"/>
        <v/>
      </c>
      <c r="BW310" s="180" t="str">
        <f t="shared" si="300"/>
        <v/>
      </c>
      <c r="BX310" s="288"/>
      <c r="CM310" s="96"/>
    </row>
    <row r="311" spans="1:91">
      <c r="A311" s="284" t="str">
        <f t="shared" si="301"/>
        <v/>
      </c>
      <c r="B311" s="185">
        <f t="shared" si="301"/>
        <v>45</v>
      </c>
      <c r="C311" s="173">
        <f t="shared" si="301"/>
        <v>96.5</v>
      </c>
      <c r="D311" s="173">
        <f t="shared" si="301"/>
        <v>798</v>
      </c>
      <c r="E311" s="180">
        <f t="shared" si="301"/>
        <v>18</v>
      </c>
      <c r="G311" s="185">
        <f t="shared" si="287"/>
        <v>45</v>
      </c>
      <c r="H311" s="173">
        <f t="shared" si="287"/>
        <v>96.5</v>
      </c>
      <c r="I311" s="173">
        <f t="shared" si="287"/>
        <v>558</v>
      </c>
      <c r="J311" s="180">
        <f t="shared" si="287"/>
        <v>18</v>
      </c>
      <c r="L311" s="185">
        <f t="shared" si="288"/>
        <v>45</v>
      </c>
      <c r="M311" s="173">
        <f t="shared" si="288"/>
        <v>96.5</v>
      </c>
      <c r="N311" s="173">
        <f t="shared" si="288"/>
        <v>432</v>
      </c>
      <c r="O311" s="180">
        <f t="shared" si="288"/>
        <v>18</v>
      </c>
      <c r="Q311" s="185">
        <f t="shared" si="289"/>
        <v>45</v>
      </c>
      <c r="R311" s="173">
        <f t="shared" si="289"/>
        <v>96.5</v>
      </c>
      <c r="S311" s="173">
        <f t="shared" si="289"/>
        <v>318</v>
      </c>
      <c r="T311" s="180">
        <f t="shared" si="289"/>
        <v>18</v>
      </c>
      <c r="V311" s="185">
        <f t="shared" si="290"/>
        <v>45</v>
      </c>
      <c r="W311" s="173">
        <f t="shared" si="290"/>
        <v>96.5</v>
      </c>
      <c r="X311" s="173">
        <f t="shared" si="290"/>
        <v>89.5</v>
      </c>
      <c r="Y311" s="180">
        <f t="shared" si="290"/>
        <v>18</v>
      </c>
      <c r="AA311" s="185">
        <f t="shared" si="291"/>
        <v>45</v>
      </c>
      <c r="AB311" s="173">
        <f t="shared" si="291"/>
        <v>53.5</v>
      </c>
      <c r="AC311" s="173">
        <f t="shared" si="291"/>
        <v>382</v>
      </c>
      <c r="AD311" s="180">
        <f t="shared" si="291"/>
        <v>18</v>
      </c>
      <c r="AF311" s="185">
        <f t="shared" si="292"/>
        <v>45</v>
      </c>
      <c r="AG311" s="173">
        <f t="shared" si="292"/>
        <v>10.5</v>
      </c>
      <c r="AH311" s="173">
        <f t="shared" si="292"/>
        <v>292</v>
      </c>
      <c r="AI311" s="180">
        <f t="shared" si="292"/>
        <v>18</v>
      </c>
      <c r="AK311" s="185" t="str">
        <f t="shared" si="293"/>
        <v/>
      </c>
      <c r="AL311" s="173" t="str">
        <f t="shared" si="293"/>
        <v/>
      </c>
      <c r="AM311" s="173" t="str">
        <f t="shared" si="293"/>
        <v/>
      </c>
      <c r="AN311" s="180" t="str">
        <f t="shared" si="293"/>
        <v/>
      </c>
      <c r="AP311" s="185">
        <f t="shared" si="294"/>
        <v>45</v>
      </c>
      <c r="AQ311" s="173">
        <f t="shared" si="294"/>
        <v>96.5</v>
      </c>
      <c r="AR311" s="173">
        <f t="shared" si="294"/>
        <v>468</v>
      </c>
      <c r="AS311" s="180">
        <f t="shared" si="294"/>
        <v>18</v>
      </c>
      <c r="AT311" s="288"/>
      <c r="AU311" s="185">
        <f t="shared" si="295"/>
        <v>45</v>
      </c>
      <c r="AV311" s="173">
        <f t="shared" si="295"/>
        <v>10.799999999999997</v>
      </c>
      <c r="AW311" s="173">
        <f t="shared" si="295"/>
        <v>354</v>
      </c>
      <c r="AX311" s="180">
        <f t="shared" si="295"/>
        <v>17.5</v>
      </c>
      <c r="AZ311" s="185" t="str">
        <f t="shared" si="296"/>
        <v/>
      </c>
      <c r="BA311" s="173" t="str">
        <f t="shared" si="296"/>
        <v/>
      </c>
      <c r="BB311" s="173" t="str">
        <f t="shared" si="296"/>
        <v/>
      </c>
      <c r="BC311" s="180" t="str">
        <f t="shared" si="296"/>
        <v/>
      </c>
      <c r="BE311" s="185" t="str">
        <f t="shared" si="297"/>
        <v/>
      </c>
      <c r="BF311" s="173" t="str">
        <f t="shared" si="297"/>
        <v/>
      </c>
      <c r="BG311" s="173" t="str">
        <f t="shared" si="297"/>
        <v/>
      </c>
      <c r="BH311" s="180" t="str">
        <f t="shared" si="297"/>
        <v/>
      </c>
      <c r="BI311" s="288"/>
      <c r="BJ311" s="185" t="str">
        <f t="shared" si="298"/>
        <v/>
      </c>
      <c r="BK311" s="173" t="str">
        <f t="shared" si="298"/>
        <v/>
      </c>
      <c r="BL311" s="173" t="str">
        <f t="shared" si="298"/>
        <v/>
      </c>
      <c r="BM311" s="180" t="str">
        <f t="shared" si="298"/>
        <v/>
      </c>
      <c r="BO311" s="185" t="str">
        <f t="shared" si="299"/>
        <v/>
      </c>
      <c r="BP311" s="173" t="str">
        <f t="shared" si="299"/>
        <v/>
      </c>
      <c r="BQ311" s="173" t="str">
        <f t="shared" si="299"/>
        <v/>
      </c>
      <c r="BR311" s="180" t="str">
        <f t="shared" si="299"/>
        <v/>
      </c>
      <c r="BT311" s="185" t="str">
        <f t="shared" si="300"/>
        <v/>
      </c>
      <c r="BU311" s="173" t="str">
        <f t="shared" si="300"/>
        <v/>
      </c>
      <c r="BV311" s="173" t="str">
        <f t="shared" si="300"/>
        <v/>
      </c>
      <c r="BW311" s="180" t="str">
        <f t="shared" si="300"/>
        <v/>
      </c>
      <c r="BX311" s="288"/>
      <c r="CM311" s="96"/>
    </row>
    <row r="312" spans="1:91">
      <c r="A312" s="284" t="str">
        <f t="shared" si="301"/>
        <v/>
      </c>
      <c r="B312" s="185">
        <f t="shared" si="301"/>
        <v>45</v>
      </c>
      <c r="C312" s="173">
        <f t="shared" si="301"/>
        <v>96.5</v>
      </c>
      <c r="D312" s="173">
        <f t="shared" si="301"/>
        <v>741</v>
      </c>
      <c r="E312" s="180">
        <f t="shared" si="301"/>
        <v>18</v>
      </c>
      <c r="G312" s="185">
        <f t="shared" si="287"/>
        <v>45</v>
      </c>
      <c r="H312" s="173">
        <f t="shared" si="287"/>
        <v>96.5</v>
      </c>
      <c r="I312" s="173">
        <f t="shared" si="287"/>
        <v>501</v>
      </c>
      <c r="J312" s="180">
        <f t="shared" si="287"/>
        <v>18</v>
      </c>
      <c r="L312" s="185">
        <f t="shared" si="288"/>
        <v>45</v>
      </c>
      <c r="M312" s="173">
        <f t="shared" si="288"/>
        <v>96.5</v>
      </c>
      <c r="N312" s="173">
        <f t="shared" si="288"/>
        <v>375</v>
      </c>
      <c r="O312" s="180">
        <f t="shared" si="288"/>
        <v>18</v>
      </c>
      <c r="Q312" s="185">
        <f t="shared" si="289"/>
        <v>45</v>
      </c>
      <c r="R312" s="173">
        <f t="shared" si="289"/>
        <v>96.5</v>
      </c>
      <c r="S312" s="173">
        <f t="shared" si="289"/>
        <v>261</v>
      </c>
      <c r="T312" s="180">
        <f t="shared" si="289"/>
        <v>18</v>
      </c>
      <c r="V312" s="185">
        <f t="shared" si="290"/>
        <v>45</v>
      </c>
      <c r="W312" s="173">
        <f t="shared" si="290"/>
        <v>53.5</v>
      </c>
      <c r="X312" s="173">
        <f t="shared" si="290"/>
        <v>488.5</v>
      </c>
      <c r="Y312" s="180">
        <f t="shared" si="290"/>
        <v>18</v>
      </c>
      <c r="AA312" s="185">
        <f t="shared" si="291"/>
        <v>45</v>
      </c>
      <c r="AB312" s="173">
        <f t="shared" si="291"/>
        <v>53.5</v>
      </c>
      <c r="AC312" s="173">
        <f t="shared" si="291"/>
        <v>324</v>
      </c>
      <c r="AD312" s="180">
        <f t="shared" si="291"/>
        <v>18</v>
      </c>
      <c r="AF312" s="185">
        <f t="shared" si="292"/>
        <v>45</v>
      </c>
      <c r="AG312" s="173">
        <f t="shared" si="292"/>
        <v>10.5</v>
      </c>
      <c r="AH312" s="173">
        <f t="shared" si="292"/>
        <v>234</v>
      </c>
      <c r="AI312" s="180">
        <f t="shared" si="292"/>
        <v>18</v>
      </c>
      <c r="AK312" s="185" t="str">
        <f t="shared" si="293"/>
        <v/>
      </c>
      <c r="AL312" s="173" t="str">
        <f t="shared" si="293"/>
        <v/>
      </c>
      <c r="AM312" s="173" t="str">
        <f t="shared" si="293"/>
        <v/>
      </c>
      <c r="AN312" s="180" t="str">
        <f t="shared" si="293"/>
        <v/>
      </c>
      <c r="AP312" s="185">
        <f t="shared" si="294"/>
        <v>45</v>
      </c>
      <c r="AQ312" s="173">
        <f t="shared" si="294"/>
        <v>96.5</v>
      </c>
      <c r="AR312" s="173">
        <f t="shared" si="294"/>
        <v>411</v>
      </c>
      <c r="AS312" s="180">
        <f t="shared" si="294"/>
        <v>18</v>
      </c>
      <c r="AT312" s="288"/>
      <c r="AU312" s="185">
        <f t="shared" si="295"/>
        <v>45</v>
      </c>
      <c r="AV312" s="173">
        <f t="shared" si="295"/>
        <v>10.799999999999997</v>
      </c>
      <c r="AW312" s="173">
        <f t="shared" si="295"/>
        <v>296</v>
      </c>
      <c r="AX312" s="180">
        <f t="shared" si="295"/>
        <v>17.5</v>
      </c>
      <c r="AZ312" s="185" t="str">
        <f t="shared" si="296"/>
        <v/>
      </c>
      <c r="BA312" s="173" t="str">
        <f t="shared" si="296"/>
        <v/>
      </c>
      <c r="BB312" s="173" t="str">
        <f t="shared" si="296"/>
        <v/>
      </c>
      <c r="BC312" s="180" t="str">
        <f t="shared" si="296"/>
        <v/>
      </c>
      <c r="BE312" s="185" t="str">
        <f t="shared" si="297"/>
        <v/>
      </c>
      <c r="BF312" s="173" t="str">
        <f t="shared" si="297"/>
        <v/>
      </c>
      <c r="BG312" s="173" t="str">
        <f t="shared" si="297"/>
        <v/>
      </c>
      <c r="BH312" s="180" t="str">
        <f t="shared" si="297"/>
        <v/>
      </c>
      <c r="BI312" s="288"/>
      <c r="BJ312" s="185" t="str">
        <f t="shared" si="298"/>
        <v/>
      </c>
      <c r="BK312" s="173" t="str">
        <f t="shared" si="298"/>
        <v/>
      </c>
      <c r="BL312" s="173" t="str">
        <f t="shared" si="298"/>
        <v/>
      </c>
      <c r="BM312" s="180" t="str">
        <f t="shared" si="298"/>
        <v/>
      </c>
      <c r="BO312" s="185" t="str">
        <f t="shared" si="299"/>
        <v/>
      </c>
      <c r="BP312" s="173" t="str">
        <f t="shared" si="299"/>
        <v/>
      </c>
      <c r="BQ312" s="173" t="str">
        <f t="shared" si="299"/>
        <v/>
      </c>
      <c r="BR312" s="180" t="str">
        <f t="shared" si="299"/>
        <v/>
      </c>
      <c r="BT312" s="185" t="str">
        <f t="shared" si="300"/>
        <v/>
      </c>
      <c r="BU312" s="173" t="str">
        <f t="shared" si="300"/>
        <v/>
      </c>
      <c r="BV312" s="173" t="str">
        <f t="shared" si="300"/>
        <v/>
      </c>
      <c r="BW312" s="180" t="str">
        <f t="shared" si="300"/>
        <v/>
      </c>
      <c r="BX312" s="288"/>
      <c r="CM312" s="96"/>
    </row>
    <row r="313" spans="1:91">
      <c r="A313" s="284" t="str">
        <f t="shared" si="301"/>
        <v/>
      </c>
      <c r="B313" s="185">
        <f t="shared" si="301"/>
        <v>45</v>
      </c>
      <c r="C313" s="173">
        <f t="shared" si="301"/>
        <v>96.5</v>
      </c>
      <c r="D313" s="173">
        <f t="shared" si="301"/>
        <v>684</v>
      </c>
      <c r="E313" s="180">
        <f t="shared" si="301"/>
        <v>18</v>
      </c>
      <c r="G313" s="185">
        <f t="shared" ref="G313:J328" si="302">IF(G159="","",G159)</f>
        <v>45</v>
      </c>
      <c r="H313" s="173">
        <f t="shared" si="302"/>
        <v>96.5</v>
      </c>
      <c r="I313" s="173">
        <f t="shared" si="302"/>
        <v>444</v>
      </c>
      <c r="J313" s="180">
        <f t="shared" si="302"/>
        <v>18</v>
      </c>
      <c r="L313" s="185">
        <f t="shared" ref="L313:O328" si="303">IF(L159="","",L159)</f>
        <v>45</v>
      </c>
      <c r="M313" s="173">
        <f t="shared" si="303"/>
        <v>96.5</v>
      </c>
      <c r="N313" s="173">
        <f t="shared" si="303"/>
        <v>318</v>
      </c>
      <c r="O313" s="180">
        <f t="shared" si="303"/>
        <v>18</v>
      </c>
      <c r="Q313" s="185">
        <f t="shared" ref="Q313:T328" si="304">IF(Q159="","",Q159)</f>
        <v>45</v>
      </c>
      <c r="R313" s="173">
        <f t="shared" si="304"/>
        <v>96.5</v>
      </c>
      <c r="S313" s="173">
        <f t="shared" si="304"/>
        <v>204</v>
      </c>
      <c r="T313" s="180">
        <f t="shared" si="304"/>
        <v>18</v>
      </c>
      <c r="V313" s="185">
        <f t="shared" ref="V313:Y328" si="305">IF(V159="","",V159)</f>
        <v>45</v>
      </c>
      <c r="W313" s="173">
        <f t="shared" si="305"/>
        <v>53.5</v>
      </c>
      <c r="X313" s="173">
        <f t="shared" si="305"/>
        <v>431.5</v>
      </c>
      <c r="Y313" s="180">
        <f t="shared" si="305"/>
        <v>18</v>
      </c>
      <c r="AA313" s="185">
        <f t="shared" ref="AA313:AD328" si="306">IF(AA159="","",AA159)</f>
        <v>45</v>
      </c>
      <c r="AB313" s="173">
        <f t="shared" si="306"/>
        <v>53.5</v>
      </c>
      <c r="AC313" s="173">
        <f t="shared" si="306"/>
        <v>266</v>
      </c>
      <c r="AD313" s="180">
        <f t="shared" si="306"/>
        <v>18</v>
      </c>
      <c r="AF313" s="185">
        <f t="shared" ref="AF313:AI328" si="307">IF(AF159="","",AF159)</f>
        <v>45</v>
      </c>
      <c r="AG313" s="173">
        <f t="shared" si="307"/>
        <v>10.5</v>
      </c>
      <c r="AH313" s="173">
        <f t="shared" si="307"/>
        <v>176</v>
      </c>
      <c r="AI313" s="180">
        <f t="shared" si="307"/>
        <v>18</v>
      </c>
      <c r="AK313" s="185" t="str">
        <f t="shared" ref="AK313:AN328" si="308">IF(AK159="","",AK159)</f>
        <v/>
      </c>
      <c r="AL313" s="173" t="str">
        <f t="shared" si="308"/>
        <v/>
      </c>
      <c r="AM313" s="173" t="str">
        <f t="shared" si="308"/>
        <v/>
      </c>
      <c r="AN313" s="180" t="str">
        <f t="shared" si="308"/>
        <v/>
      </c>
      <c r="AP313" s="185">
        <f t="shared" ref="AP313:AS328" si="309">IF(AP159="","",AP159)</f>
        <v>45</v>
      </c>
      <c r="AQ313" s="173">
        <f t="shared" si="309"/>
        <v>96.5</v>
      </c>
      <c r="AR313" s="173">
        <f t="shared" si="309"/>
        <v>354</v>
      </c>
      <c r="AS313" s="180">
        <f t="shared" si="309"/>
        <v>18</v>
      </c>
      <c r="AT313" s="288"/>
      <c r="AU313" s="185">
        <f t="shared" ref="AU313:AX328" si="310">IF(AU159="","",AU159)</f>
        <v>45</v>
      </c>
      <c r="AV313" s="173">
        <f t="shared" si="310"/>
        <v>10.799999999999997</v>
      </c>
      <c r="AW313" s="173">
        <f t="shared" si="310"/>
        <v>238</v>
      </c>
      <c r="AX313" s="180">
        <f t="shared" si="310"/>
        <v>17.5</v>
      </c>
      <c r="AZ313" s="185" t="str">
        <f t="shared" ref="AZ313:BC328" si="311">IF(AZ159="","",AZ159)</f>
        <v/>
      </c>
      <c r="BA313" s="173" t="str">
        <f t="shared" si="311"/>
        <v/>
      </c>
      <c r="BB313" s="173" t="str">
        <f t="shared" si="311"/>
        <v/>
      </c>
      <c r="BC313" s="180" t="str">
        <f t="shared" si="311"/>
        <v/>
      </c>
      <c r="BE313" s="185" t="str">
        <f t="shared" ref="BE313:BH328" si="312">IF(BE159="","",BE159)</f>
        <v/>
      </c>
      <c r="BF313" s="173" t="str">
        <f t="shared" si="312"/>
        <v/>
      </c>
      <c r="BG313" s="173" t="str">
        <f t="shared" si="312"/>
        <v/>
      </c>
      <c r="BH313" s="180" t="str">
        <f t="shared" si="312"/>
        <v/>
      </c>
      <c r="BI313" s="288"/>
      <c r="BJ313" s="185" t="str">
        <f t="shared" ref="BJ313:BM328" si="313">IF(BJ159="","",BJ159)</f>
        <v/>
      </c>
      <c r="BK313" s="173" t="str">
        <f t="shared" si="313"/>
        <v/>
      </c>
      <c r="BL313" s="173" t="str">
        <f t="shared" si="313"/>
        <v/>
      </c>
      <c r="BM313" s="180" t="str">
        <f t="shared" si="313"/>
        <v/>
      </c>
      <c r="BO313" s="185" t="str">
        <f t="shared" ref="BO313:BR328" si="314">IF(BO159="","",BO159)</f>
        <v/>
      </c>
      <c r="BP313" s="173" t="str">
        <f t="shared" si="314"/>
        <v/>
      </c>
      <c r="BQ313" s="173" t="str">
        <f t="shared" si="314"/>
        <v/>
      </c>
      <c r="BR313" s="180" t="str">
        <f t="shared" si="314"/>
        <v/>
      </c>
      <c r="BT313" s="185" t="str">
        <f t="shared" ref="BT313:BW328" si="315">IF(BT159="","",BT159)</f>
        <v/>
      </c>
      <c r="BU313" s="173" t="str">
        <f t="shared" si="315"/>
        <v/>
      </c>
      <c r="BV313" s="173" t="str">
        <f t="shared" si="315"/>
        <v/>
      </c>
      <c r="BW313" s="180" t="str">
        <f t="shared" si="315"/>
        <v/>
      </c>
      <c r="BX313" s="288"/>
      <c r="CM313" s="96"/>
    </row>
    <row r="314" spans="1:91">
      <c r="A314" s="284" t="str">
        <f t="shared" si="301"/>
        <v/>
      </c>
      <c r="B314" s="185">
        <f t="shared" si="301"/>
        <v>45</v>
      </c>
      <c r="C314" s="173">
        <f t="shared" si="301"/>
        <v>96.5</v>
      </c>
      <c r="D314" s="173">
        <f t="shared" si="301"/>
        <v>627</v>
      </c>
      <c r="E314" s="180">
        <f t="shared" si="301"/>
        <v>18</v>
      </c>
      <c r="G314" s="185">
        <f t="shared" si="302"/>
        <v>45</v>
      </c>
      <c r="H314" s="173">
        <f t="shared" si="302"/>
        <v>96.5</v>
      </c>
      <c r="I314" s="173">
        <f t="shared" si="302"/>
        <v>387</v>
      </c>
      <c r="J314" s="180">
        <f t="shared" si="302"/>
        <v>18</v>
      </c>
      <c r="L314" s="185">
        <f t="shared" si="303"/>
        <v>45</v>
      </c>
      <c r="M314" s="173">
        <f t="shared" si="303"/>
        <v>96.5</v>
      </c>
      <c r="N314" s="173">
        <f t="shared" si="303"/>
        <v>261</v>
      </c>
      <c r="O314" s="180">
        <f t="shared" si="303"/>
        <v>18</v>
      </c>
      <c r="Q314" s="185">
        <f t="shared" si="304"/>
        <v>45</v>
      </c>
      <c r="R314" s="173">
        <f t="shared" si="304"/>
        <v>96.5</v>
      </c>
      <c r="S314" s="173">
        <f t="shared" si="304"/>
        <v>147</v>
      </c>
      <c r="T314" s="180">
        <f t="shared" si="304"/>
        <v>18</v>
      </c>
      <c r="V314" s="185">
        <f t="shared" si="305"/>
        <v>45</v>
      </c>
      <c r="W314" s="173">
        <f t="shared" si="305"/>
        <v>53.5</v>
      </c>
      <c r="X314" s="173">
        <f t="shared" si="305"/>
        <v>374.5</v>
      </c>
      <c r="Y314" s="180">
        <f t="shared" si="305"/>
        <v>18</v>
      </c>
      <c r="AA314" s="185">
        <f t="shared" si="306"/>
        <v>45</v>
      </c>
      <c r="AB314" s="173">
        <f t="shared" si="306"/>
        <v>53.5</v>
      </c>
      <c r="AC314" s="173">
        <f t="shared" si="306"/>
        <v>208</v>
      </c>
      <c r="AD314" s="180">
        <f t="shared" si="306"/>
        <v>18</v>
      </c>
      <c r="AF314" s="185">
        <f t="shared" si="307"/>
        <v>45</v>
      </c>
      <c r="AG314" s="173">
        <f t="shared" si="307"/>
        <v>10.5</v>
      </c>
      <c r="AH314" s="173">
        <f t="shared" si="307"/>
        <v>118</v>
      </c>
      <c r="AI314" s="180">
        <f t="shared" si="307"/>
        <v>18</v>
      </c>
      <c r="AK314" s="185" t="str">
        <f t="shared" si="308"/>
        <v/>
      </c>
      <c r="AL314" s="173" t="str">
        <f t="shared" si="308"/>
        <v/>
      </c>
      <c r="AM314" s="173" t="str">
        <f t="shared" si="308"/>
        <v/>
      </c>
      <c r="AN314" s="180" t="str">
        <f t="shared" si="308"/>
        <v/>
      </c>
      <c r="AP314" s="185">
        <f t="shared" si="309"/>
        <v>45</v>
      </c>
      <c r="AQ314" s="173">
        <f t="shared" si="309"/>
        <v>96.5</v>
      </c>
      <c r="AR314" s="173">
        <f t="shared" si="309"/>
        <v>297</v>
      </c>
      <c r="AS314" s="180">
        <f t="shared" si="309"/>
        <v>18</v>
      </c>
      <c r="AT314" s="288"/>
      <c r="AU314" s="185">
        <f t="shared" si="310"/>
        <v>45</v>
      </c>
      <c r="AV314" s="173">
        <f t="shared" si="310"/>
        <v>10.799999999999997</v>
      </c>
      <c r="AW314" s="173">
        <f t="shared" si="310"/>
        <v>180</v>
      </c>
      <c r="AX314" s="180">
        <f t="shared" si="310"/>
        <v>17.5</v>
      </c>
      <c r="AZ314" s="185" t="str">
        <f t="shared" si="311"/>
        <v/>
      </c>
      <c r="BA314" s="173" t="str">
        <f t="shared" si="311"/>
        <v/>
      </c>
      <c r="BB314" s="173" t="str">
        <f t="shared" si="311"/>
        <v/>
      </c>
      <c r="BC314" s="180" t="str">
        <f t="shared" si="311"/>
        <v/>
      </c>
      <c r="BE314" s="185" t="str">
        <f t="shared" si="312"/>
        <v/>
      </c>
      <c r="BF314" s="173" t="str">
        <f t="shared" si="312"/>
        <v/>
      </c>
      <c r="BG314" s="173" t="str">
        <f t="shared" si="312"/>
        <v/>
      </c>
      <c r="BH314" s="180" t="str">
        <f t="shared" si="312"/>
        <v/>
      </c>
      <c r="BI314" s="288"/>
      <c r="BJ314" s="185" t="str">
        <f t="shared" si="313"/>
        <v/>
      </c>
      <c r="BK314" s="173" t="str">
        <f t="shared" si="313"/>
        <v/>
      </c>
      <c r="BL314" s="173" t="str">
        <f t="shared" si="313"/>
        <v/>
      </c>
      <c r="BM314" s="180" t="str">
        <f t="shared" si="313"/>
        <v/>
      </c>
      <c r="BO314" s="185" t="str">
        <f t="shared" si="314"/>
        <v/>
      </c>
      <c r="BP314" s="173" t="str">
        <f t="shared" si="314"/>
        <v/>
      </c>
      <c r="BQ314" s="173" t="str">
        <f t="shared" si="314"/>
        <v/>
      </c>
      <c r="BR314" s="180" t="str">
        <f t="shared" si="314"/>
        <v/>
      </c>
      <c r="BT314" s="185" t="str">
        <f t="shared" si="315"/>
        <v/>
      </c>
      <c r="BU314" s="173" t="str">
        <f t="shared" si="315"/>
        <v/>
      </c>
      <c r="BV314" s="173" t="str">
        <f t="shared" si="315"/>
        <v/>
      </c>
      <c r="BW314" s="180" t="str">
        <f t="shared" si="315"/>
        <v/>
      </c>
      <c r="BX314" s="288"/>
      <c r="CM314" s="96"/>
    </row>
    <row r="315" spans="1:91">
      <c r="A315" s="284" t="str">
        <f t="shared" si="301"/>
        <v/>
      </c>
      <c r="B315" s="185">
        <f t="shared" si="301"/>
        <v>45</v>
      </c>
      <c r="C315" s="173">
        <f t="shared" si="301"/>
        <v>96.5</v>
      </c>
      <c r="D315" s="173">
        <f t="shared" si="301"/>
        <v>570</v>
      </c>
      <c r="E315" s="180">
        <f t="shared" si="301"/>
        <v>18</v>
      </c>
      <c r="G315" s="185">
        <f t="shared" si="302"/>
        <v>45</v>
      </c>
      <c r="H315" s="173">
        <f t="shared" si="302"/>
        <v>96.5</v>
      </c>
      <c r="I315" s="173">
        <f t="shared" si="302"/>
        <v>330</v>
      </c>
      <c r="J315" s="180">
        <f t="shared" si="302"/>
        <v>18</v>
      </c>
      <c r="L315" s="185">
        <f t="shared" si="303"/>
        <v>45</v>
      </c>
      <c r="M315" s="173">
        <f t="shared" si="303"/>
        <v>96.5</v>
      </c>
      <c r="N315" s="173">
        <f t="shared" si="303"/>
        <v>204</v>
      </c>
      <c r="O315" s="180">
        <f t="shared" si="303"/>
        <v>18</v>
      </c>
      <c r="Q315" s="185">
        <f t="shared" si="304"/>
        <v>45</v>
      </c>
      <c r="R315" s="173">
        <f t="shared" si="304"/>
        <v>96.5</v>
      </c>
      <c r="S315" s="173">
        <f t="shared" si="304"/>
        <v>90</v>
      </c>
      <c r="T315" s="180">
        <f t="shared" si="304"/>
        <v>18</v>
      </c>
      <c r="V315" s="185">
        <f t="shared" si="305"/>
        <v>45</v>
      </c>
      <c r="W315" s="173">
        <f t="shared" si="305"/>
        <v>53.5</v>
      </c>
      <c r="X315" s="173">
        <f t="shared" si="305"/>
        <v>317.5</v>
      </c>
      <c r="Y315" s="180">
        <f t="shared" si="305"/>
        <v>18</v>
      </c>
      <c r="AA315" s="185">
        <f t="shared" si="306"/>
        <v>45</v>
      </c>
      <c r="AB315" s="173">
        <f t="shared" si="306"/>
        <v>53.5</v>
      </c>
      <c r="AC315" s="173">
        <f t="shared" si="306"/>
        <v>150</v>
      </c>
      <c r="AD315" s="180">
        <f t="shared" si="306"/>
        <v>18</v>
      </c>
      <c r="AF315" s="185">
        <f t="shared" si="307"/>
        <v>45</v>
      </c>
      <c r="AG315" s="173">
        <f t="shared" si="307"/>
        <v>10.5</v>
      </c>
      <c r="AH315" s="173">
        <f t="shared" si="307"/>
        <v>60</v>
      </c>
      <c r="AI315" s="180">
        <f t="shared" si="307"/>
        <v>18</v>
      </c>
      <c r="AK315" s="185" t="str">
        <f t="shared" si="308"/>
        <v/>
      </c>
      <c r="AL315" s="173" t="str">
        <f t="shared" si="308"/>
        <v/>
      </c>
      <c r="AM315" s="173" t="str">
        <f t="shared" si="308"/>
        <v/>
      </c>
      <c r="AN315" s="180" t="str">
        <f t="shared" si="308"/>
        <v/>
      </c>
      <c r="AP315" s="185">
        <f t="shared" si="309"/>
        <v>45</v>
      </c>
      <c r="AQ315" s="173">
        <f t="shared" si="309"/>
        <v>96.5</v>
      </c>
      <c r="AR315" s="173">
        <f t="shared" si="309"/>
        <v>240</v>
      </c>
      <c r="AS315" s="180">
        <f t="shared" si="309"/>
        <v>18</v>
      </c>
      <c r="AT315" s="288"/>
      <c r="AU315" s="185">
        <f t="shared" si="310"/>
        <v>45</v>
      </c>
      <c r="AV315" s="173">
        <f t="shared" si="310"/>
        <v>10.799999999999997</v>
      </c>
      <c r="AW315" s="173">
        <f t="shared" si="310"/>
        <v>122</v>
      </c>
      <c r="AX315" s="180">
        <f t="shared" si="310"/>
        <v>17.5</v>
      </c>
      <c r="AZ315" s="185" t="str">
        <f t="shared" si="311"/>
        <v/>
      </c>
      <c r="BA315" s="173" t="str">
        <f t="shared" si="311"/>
        <v/>
      </c>
      <c r="BB315" s="173" t="str">
        <f t="shared" si="311"/>
        <v/>
      </c>
      <c r="BC315" s="180" t="str">
        <f t="shared" si="311"/>
        <v/>
      </c>
      <c r="BE315" s="185" t="str">
        <f t="shared" si="312"/>
        <v/>
      </c>
      <c r="BF315" s="173" t="str">
        <f t="shared" si="312"/>
        <v/>
      </c>
      <c r="BG315" s="173" t="str">
        <f t="shared" si="312"/>
        <v/>
      </c>
      <c r="BH315" s="180" t="str">
        <f t="shared" si="312"/>
        <v/>
      </c>
      <c r="BI315" s="288"/>
      <c r="BJ315" s="185" t="str">
        <f t="shared" si="313"/>
        <v/>
      </c>
      <c r="BK315" s="173" t="str">
        <f t="shared" si="313"/>
        <v/>
      </c>
      <c r="BL315" s="173" t="str">
        <f t="shared" si="313"/>
        <v/>
      </c>
      <c r="BM315" s="180" t="str">
        <f t="shared" si="313"/>
        <v/>
      </c>
      <c r="BO315" s="185" t="str">
        <f t="shared" si="314"/>
        <v/>
      </c>
      <c r="BP315" s="173" t="str">
        <f t="shared" si="314"/>
        <v/>
      </c>
      <c r="BQ315" s="173" t="str">
        <f t="shared" si="314"/>
        <v/>
      </c>
      <c r="BR315" s="180" t="str">
        <f t="shared" si="314"/>
        <v/>
      </c>
      <c r="BT315" s="185" t="str">
        <f t="shared" si="315"/>
        <v/>
      </c>
      <c r="BU315" s="173" t="str">
        <f t="shared" si="315"/>
        <v/>
      </c>
      <c r="BV315" s="173" t="str">
        <f t="shared" si="315"/>
        <v/>
      </c>
      <c r="BW315" s="180" t="str">
        <f t="shared" si="315"/>
        <v/>
      </c>
      <c r="BX315" s="288"/>
      <c r="CM315" s="96"/>
    </row>
    <row r="316" spans="1:91">
      <c r="A316" s="284" t="str">
        <f t="shared" si="301"/>
        <v/>
      </c>
      <c r="B316" s="185">
        <f t="shared" si="301"/>
        <v>45</v>
      </c>
      <c r="C316" s="173">
        <f t="shared" si="301"/>
        <v>96.5</v>
      </c>
      <c r="D316" s="173">
        <f t="shared" si="301"/>
        <v>513</v>
      </c>
      <c r="E316" s="180">
        <f t="shared" si="301"/>
        <v>18</v>
      </c>
      <c r="G316" s="185">
        <f t="shared" si="302"/>
        <v>45</v>
      </c>
      <c r="H316" s="173">
        <f t="shared" si="302"/>
        <v>96.5</v>
      </c>
      <c r="I316" s="173">
        <f t="shared" si="302"/>
        <v>273</v>
      </c>
      <c r="J316" s="180">
        <f t="shared" si="302"/>
        <v>18</v>
      </c>
      <c r="L316" s="185">
        <f t="shared" si="303"/>
        <v>45</v>
      </c>
      <c r="M316" s="173">
        <f t="shared" si="303"/>
        <v>96.5</v>
      </c>
      <c r="N316" s="173">
        <f t="shared" si="303"/>
        <v>147</v>
      </c>
      <c r="O316" s="180">
        <f t="shared" si="303"/>
        <v>18</v>
      </c>
      <c r="Q316" s="185">
        <f t="shared" si="304"/>
        <v>45</v>
      </c>
      <c r="R316" s="173">
        <f t="shared" si="304"/>
        <v>53.5</v>
      </c>
      <c r="S316" s="173">
        <f t="shared" si="304"/>
        <v>603</v>
      </c>
      <c r="T316" s="180">
        <f t="shared" si="304"/>
        <v>18</v>
      </c>
      <c r="V316" s="185">
        <f t="shared" si="305"/>
        <v>45</v>
      </c>
      <c r="W316" s="173">
        <f t="shared" si="305"/>
        <v>53.5</v>
      </c>
      <c r="X316" s="173">
        <f t="shared" si="305"/>
        <v>260.5</v>
      </c>
      <c r="Y316" s="180">
        <f t="shared" si="305"/>
        <v>18</v>
      </c>
      <c r="AA316" s="185">
        <f t="shared" si="306"/>
        <v>45</v>
      </c>
      <c r="AB316" s="173">
        <f t="shared" si="306"/>
        <v>53.5</v>
      </c>
      <c r="AC316" s="173">
        <f t="shared" si="306"/>
        <v>92</v>
      </c>
      <c r="AD316" s="180">
        <f t="shared" si="306"/>
        <v>18</v>
      </c>
      <c r="AF316" s="185" t="str">
        <f t="shared" si="307"/>
        <v/>
      </c>
      <c r="AG316" s="173" t="str">
        <f t="shared" si="307"/>
        <v/>
      </c>
      <c r="AH316" s="173" t="str">
        <f t="shared" si="307"/>
        <v/>
      </c>
      <c r="AI316" s="180" t="str">
        <f t="shared" si="307"/>
        <v/>
      </c>
      <c r="AK316" s="185" t="str">
        <f t="shared" si="308"/>
        <v/>
      </c>
      <c r="AL316" s="173" t="str">
        <f t="shared" si="308"/>
        <v/>
      </c>
      <c r="AM316" s="173" t="str">
        <f t="shared" si="308"/>
        <v/>
      </c>
      <c r="AN316" s="180" t="str">
        <f t="shared" si="308"/>
        <v/>
      </c>
      <c r="AP316" s="185">
        <f t="shared" si="309"/>
        <v>45</v>
      </c>
      <c r="AQ316" s="173">
        <f t="shared" si="309"/>
        <v>53.5</v>
      </c>
      <c r="AR316" s="173">
        <f t="shared" si="309"/>
        <v>753</v>
      </c>
      <c r="AS316" s="180">
        <f t="shared" si="309"/>
        <v>18</v>
      </c>
      <c r="AT316" s="288"/>
      <c r="AU316" s="185">
        <f t="shared" si="310"/>
        <v>45</v>
      </c>
      <c r="AV316" s="173">
        <f t="shared" si="310"/>
        <v>10.799999999999997</v>
      </c>
      <c r="AW316" s="173">
        <f t="shared" si="310"/>
        <v>64</v>
      </c>
      <c r="AX316" s="180">
        <f t="shared" si="310"/>
        <v>17.5</v>
      </c>
      <c r="AZ316" s="185" t="str">
        <f t="shared" si="311"/>
        <v/>
      </c>
      <c r="BA316" s="173" t="str">
        <f t="shared" si="311"/>
        <v/>
      </c>
      <c r="BB316" s="173" t="str">
        <f t="shared" si="311"/>
        <v/>
      </c>
      <c r="BC316" s="180" t="str">
        <f t="shared" si="311"/>
        <v/>
      </c>
      <c r="BE316" s="185" t="str">
        <f t="shared" si="312"/>
        <v/>
      </c>
      <c r="BF316" s="173" t="str">
        <f t="shared" si="312"/>
        <v/>
      </c>
      <c r="BG316" s="173" t="str">
        <f t="shared" si="312"/>
        <v/>
      </c>
      <c r="BH316" s="180" t="str">
        <f t="shared" si="312"/>
        <v/>
      </c>
      <c r="BI316" s="288"/>
      <c r="BJ316" s="185" t="str">
        <f t="shared" si="313"/>
        <v/>
      </c>
      <c r="BK316" s="173" t="str">
        <f t="shared" si="313"/>
        <v/>
      </c>
      <c r="BL316" s="173" t="str">
        <f t="shared" si="313"/>
        <v/>
      </c>
      <c r="BM316" s="180" t="str">
        <f t="shared" si="313"/>
        <v/>
      </c>
      <c r="BO316" s="185" t="str">
        <f t="shared" si="314"/>
        <v/>
      </c>
      <c r="BP316" s="173" t="str">
        <f t="shared" si="314"/>
        <v/>
      </c>
      <c r="BQ316" s="173" t="str">
        <f t="shared" si="314"/>
        <v/>
      </c>
      <c r="BR316" s="180" t="str">
        <f t="shared" si="314"/>
        <v/>
      </c>
      <c r="BT316" s="185" t="str">
        <f t="shared" si="315"/>
        <v/>
      </c>
      <c r="BU316" s="173" t="str">
        <f t="shared" si="315"/>
        <v/>
      </c>
      <c r="BV316" s="173" t="str">
        <f t="shared" si="315"/>
        <v/>
      </c>
      <c r="BW316" s="180" t="str">
        <f t="shared" si="315"/>
        <v/>
      </c>
      <c r="BX316" s="288"/>
      <c r="CM316" s="96"/>
    </row>
    <row r="317" spans="1:91">
      <c r="A317" s="284" t="str">
        <f t="shared" si="301"/>
        <v/>
      </c>
      <c r="B317" s="185">
        <f t="shared" si="301"/>
        <v>45</v>
      </c>
      <c r="C317" s="173">
        <f t="shared" si="301"/>
        <v>96.5</v>
      </c>
      <c r="D317" s="173">
        <f t="shared" si="301"/>
        <v>456</v>
      </c>
      <c r="E317" s="180">
        <f t="shared" si="301"/>
        <v>18</v>
      </c>
      <c r="G317" s="185">
        <f t="shared" si="302"/>
        <v>45</v>
      </c>
      <c r="H317" s="173">
        <f t="shared" si="302"/>
        <v>96.5</v>
      </c>
      <c r="I317" s="173">
        <f t="shared" si="302"/>
        <v>216</v>
      </c>
      <c r="J317" s="180">
        <f t="shared" si="302"/>
        <v>18</v>
      </c>
      <c r="L317" s="185">
        <f t="shared" si="303"/>
        <v>45</v>
      </c>
      <c r="M317" s="173">
        <f t="shared" si="303"/>
        <v>96.5</v>
      </c>
      <c r="N317" s="173">
        <f t="shared" si="303"/>
        <v>90</v>
      </c>
      <c r="O317" s="180">
        <f t="shared" si="303"/>
        <v>18</v>
      </c>
      <c r="Q317" s="185">
        <f t="shared" si="304"/>
        <v>45</v>
      </c>
      <c r="R317" s="173">
        <f t="shared" si="304"/>
        <v>53.5</v>
      </c>
      <c r="S317" s="173">
        <f t="shared" si="304"/>
        <v>546</v>
      </c>
      <c r="T317" s="180">
        <f t="shared" si="304"/>
        <v>18</v>
      </c>
      <c r="V317" s="185">
        <f t="shared" si="305"/>
        <v>45</v>
      </c>
      <c r="W317" s="173">
        <f t="shared" si="305"/>
        <v>53.5</v>
      </c>
      <c r="X317" s="173">
        <f t="shared" si="305"/>
        <v>203.5</v>
      </c>
      <c r="Y317" s="180">
        <f t="shared" si="305"/>
        <v>18</v>
      </c>
      <c r="AA317" s="185">
        <f t="shared" si="306"/>
        <v>45</v>
      </c>
      <c r="AB317" s="173">
        <f t="shared" si="306"/>
        <v>10.5</v>
      </c>
      <c r="AC317" s="173">
        <f t="shared" si="306"/>
        <v>412</v>
      </c>
      <c r="AD317" s="180">
        <f t="shared" si="306"/>
        <v>18</v>
      </c>
      <c r="AF317" s="185" t="str">
        <f t="shared" si="307"/>
        <v/>
      </c>
      <c r="AG317" s="173" t="str">
        <f t="shared" si="307"/>
        <v/>
      </c>
      <c r="AH317" s="173" t="str">
        <f t="shared" si="307"/>
        <v/>
      </c>
      <c r="AI317" s="180" t="str">
        <f t="shared" si="307"/>
        <v/>
      </c>
      <c r="AK317" s="185" t="str">
        <f t="shared" si="308"/>
        <v/>
      </c>
      <c r="AL317" s="173" t="str">
        <f t="shared" si="308"/>
        <v/>
      </c>
      <c r="AM317" s="173" t="str">
        <f t="shared" si="308"/>
        <v/>
      </c>
      <c r="AN317" s="180" t="str">
        <f t="shared" si="308"/>
        <v/>
      </c>
      <c r="AP317" s="185">
        <f t="shared" si="309"/>
        <v>45</v>
      </c>
      <c r="AQ317" s="173">
        <f t="shared" si="309"/>
        <v>53.5</v>
      </c>
      <c r="AR317" s="173">
        <f t="shared" si="309"/>
        <v>696</v>
      </c>
      <c r="AS317" s="180">
        <f t="shared" si="309"/>
        <v>18</v>
      </c>
      <c r="AT317" s="288"/>
      <c r="AU317" s="185" t="str">
        <f t="shared" si="310"/>
        <v/>
      </c>
      <c r="AV317" s="173" t="str">
        <f t="shared" si="310"/>
        <v/>
      </c>
      <c r="AW317" s="173" t="str">
        <f t="shared" si="310"/>
        <v/>
      </c>
      <c r="AX317" s="180" t="str">
        <f t="shared" si="310"/>
        <v/>
      </c>
      <c r="AZ317" s="185" t="str">
        <f t="shared" si="311"/>
        <v/>
      </c>
      <c r="BA317" s="173" t="str">
        <f t="shared" si="311"/>
        <v/>
      </c>
      <c r="BB317" s="173" t="str">
        <f t="shared" si="311"/>
        <v/>
      </c>
      <c r="BC317" s="180" t="str">
        <f t="shared" si="311"/>
        <v/>
      </c>
      <c r="BE317" s="185" t="str">
        <f t="shared" si="312"/>
        <v/>
      </c>
      <c r="BF317" s="173" t="str">
        <f t="shared" si="312"/>
        <v/>
      </c>
      <c r="BG317" s="173" t="str">
        <f t="shared" si="312"/>
        <v/>
      </c>
      <c r="BH317" s="180" t="str">
        <f t="shared" si="312"/>
        <v/>
      </c>
      <c r="BI317" s="288"/>
      <c r="BJ317" s="185" t="str">
        <f t="shared" si="313"/>
        <v/>
      </c>
      <c r="BK317" s="173" t="str">
        <f t="shared" si="313"/>
        <v/>
      </c>
      <c r="BL317" s="173" t="str">
        <f t="shared" si="313"/>
        <v/>
      </c>
      <c r="BM317" s="180" t="str">
        <f t="shared" si="313"/>
        <v/>
      </c>
      <c r="BO317" s="185" t="str">
        <f t="shared" si="314"/>
        <v/>
      </c>
      <c r="BP317" s="173" t="str">
        <f t="shared" si="314"/>
        <v/>
      </c>
      <c r="BQ317" s="173" t="str">
        <f t="shared" si="314"/>
        <v/>
      </c>
      <c r="BR317" s="180" t="str">
        <f t="shared" si="314"/>
        <v/>
      </c>
      <c r="BT317" s="185" t="str">
        <f t="shared" si="315"/>
        <v/>
      </c>
      <c r="BU317" s="173" t="str">
        <f t="shared" si="315"/>
        <v/>
      </c>
      <c r="BV317" s="173" t="str">
        <f t="shared" si="315"/>
        <v/>
      </c>
      <c r="BW317" s="180" t="str">
        <f t="shared" si="315"/>
        <v/>
      </c>
      <c r="BX317" s="288"/>
      <c r="CM317" s="96"/>
    </row>
    <row r="318" spans="1:91">
      <c r="A318" s="284" t="str">
        <f t="shared" si="301"/>
        <v/>
      </c>
      <c r="B318" s="185">
        <f t="shared" si="301"/>
        <v>45</v>
      </c>
      <c r="C318" s="173">
        <f t="shared" si="301"/>
        <v>96.5</v>
      </c>
      <c r="D318" s="173">
        <f t="shared" si="301"/>
        <v>399</v>
      </c>
      <c r="E318" s="180">
        <f t="shared" si="301"/>
        <v>18</v>
      </c>
      <c r="G318" s="185">
        <f t="shared" si="302"/>
        <v>45</v>
      </c>
      <c r="H318" s="173">
        <f t="shared" si="302"/>
        <v>96.5</v>
      </c>
      <c r="I318" s="173">
        <f t="shared" si="302"/>
        <v>159</v>
      </c>
      <c r="J318" s="180">
        <f t="shared" si="302"/>
        <v>18</v>
      </c>
      <c r="L318" s="185">
        <f t="shared" si="303"/>
        <v>45</v>
      </c>
      <c r="M318" s="173">
        <f t="shared" si="303"/>
        <v>53.5</v>
      </c>
      <c r="N318" s="173">
        <f t="shared" si="303"/>
        <v>660</v>
      </c>
      <c r="O318" s="180">
        <f t="shared" si="303"/>
        <v>18</v>
      </c>
      <c r="Q318" s="185">
        <f t="shared" si="304"/>
        <v>45</v>
      </c>
      <c r="R318" s="173">
        <f t="shared" si="304"/>
        <v>53.5</v>
      </c>
      <c r="S318" s="173">
        <f t="shared" si="304"/>
        <v>489</v>
      </c>
      <c r="T318" s="180">
        <f t="shared" si="304"/>
        <v>18</v>
      </c>
      <c r="V318" s="185">
        <f t="shared" si="305"/>
        <v>45</v>
      </c>
      <c r="W318" s="173">
        <f t="shared" si="305"/>
        <v>53.5</v>
      </c>
      <c r="X318" s="173">
        <f t="shared" si="305"/>
        <v>146.5</v>
      </c>
      <c r="Y318" s="180">
        <f t="shared" si="305"/>
        <v>18</v>
      </c>
      <c r="AA318" s="185">
        <f t="shared" si="306"/>
        <v>45</v>
      </c>
      <c r="AB318" s="173">
        <f t="shared" si="306"/>
        <v>10.5</v>
      </c>
      <c r="AC318" s="173">
        <f t="shared" si="306"/>
        <v>354</v>
      </c>
      <c r="AD318" s="180">
        <f t="shared" si="306"/>
        <v>18</v>
      </c>
      <c r="AF318" s="185" t="str">
        <f t="shared" si="307"/>
        <v/>
      </c>
      <c r="AG318" s="173" t="str">
        <f t="shared" si="307"/>
        <v/>
      </c>
      <c r="AH318" s="173" t="str">
        <f t="shared" si="307"/>
        <v/>
      </c>
      <c r="AI318" s="180" t="str">
        <f t="shared" si="307"/>
        <v/>
      </c>
      <c r="AK318" s="185" t="str">
        <f t="shared" si="308"/>
        <v/>
      </c>
      <c r="AL318" s="173" t="str">
        <f t="shared" si="308"/>
        <v/>
      </c>
      <c r="AM318" s="173" t="str">
        <f t="shared" si="308"/>
        <v/>
      </c>
      <c r="AN318" s="180" t="str">
        <f t="shared" si="308"/>
        <v/>
      </c>
      <c r="AP318" s="185">
        <f t="shared" si="309"/>
        <v>45</v>
      </c>
      <c r="AQ318" s="173">
        <f t="shared" si="309"/>
        <v>53.5</v>
      </c>
      <c r="AR318" s="173">
        <f t="shared" si="309"/>
        <v>639</v>
      </c>
      <c r="AS318" s="180">
        <f t="shared" si="309"/>
        <v>18</v>
      </c>
      <c r="AT318" s="288"/>
      <c r="AU318" s="185" t="str">
        <f t="shared" si="310"/>
        <v/>
      </c>
      <c r="AV318" s="173" t="str">
        <f t="shared" si="310"/>
        <v/>
      </c>
      <c r="AW318" s="173" t="str">
        <f t="shared" si="310"/>
        <v/>
      </c>
      <c r="AX318" s="180" t="str">
        <f t="shared" si="310"/>
        <v/>
      </c>
      <c r="AZ318" s="185" t="str">
        <f t="shared" si="311"/>
        <v/>
      </c>
      <c r="BA318" s="173" t="str">
        <f t="shared" si="311"/>
        <v/>
      </c>
      <c r="BB318" s="173" t="str">
        <f t="shared" si="311"/>
        <v/>
      </c>
      <c r="BC318" s="180" t="str">
        <f t="shared" si="311"/>
        <v/>
      </c>
      <c r="BE318" s="185" t="str">
        <f t="shared" si="312"/>
        <v/>
      </c>
      <c r="BF318" s="173" t="str">
        <f t="shared" si="312"/>
        <v/>
      </c>
      <c r="BG318" s="173" t="str">
        <f t="shared" si="312"/>
        <v/>
      </c>
      <c r="BH318" s="180" t="str">
        <f t="shared" si="312"/>
        <v/>
      </c>
      <c r="BI318" s="288"/>
      <c r="BJ318" s="185" t="str">
        <f t="shared" si="313"/>
        <v/>
      </c>
      <c r="BK318" s="173" t="str">
        <f t="shared" si="313"/>
        <v/>
      </c>
      <c r="BL318" s="173" t="str">
        <f t="shared" si="313"/>
        <v/>
      </c>
      <c r="BM318" s="180" t="str">
        <f t="shared" si="313"/>
        <v/>
      </c>
      <c r="BO318" s="185" t="str">
        <f t="shared" si="314"/>
        <v/>
      </c>
      <c r="BP318" s="173" t="str">
        <f t="shared" si="314"/>
        <v/>
      </c>
      <c r="BQ318" s="173" t="str">
        <f t="shared" si="314"/>
        <v/>
      </c>
      <c r="BR318" s="180" t="str">
        <f t="shared" si="314"/>
        <v/>
      </c>
      <c r="BT318" s="185" t="str">
        <f t="shared" si="315"/>
        <v/>
      </c>
      <c r="BU318" s="173" t="str">
        <f t="shared" si="315"/>
        <v/>
      </c>
      <c r="BV318" s="173" t="str">
        <f t="shared" si="315"/>
        <v/>
      </c>
      <c r="BW318" s="180" t="str">
        <f t="shared" si="315"/>
        <v/>
      </c>
      <c r="BX318" s="288"/>
      <c r="CM318" s="96"/>
    </row>
    <row r="319" spans="1:91">
      <c r="A319" s="284" t="str">
        <f t="shared" ref="A319:E334" si="316">IF(A165="","",A165)</f>
        <v/>
      </c>
      <c r="B319" s="185">
        <f t="shared" si="316"/>
        <v>45</v>
      </c>
      <c r="C319" s="173">
        <f t="shared" si="316"/>
        <v>96.5</v>
      </c>
      <c r="D319" s="173">
        <f t="shared" si="316"/>
        <v>342</v>
      </c>
      <c r="E319" s="180">
        <f t="shared" si="316"/>
        <v>18</v>
      </c>
      <c r="G319" s="185">
        <f t="shared" si="302"/>
        <v>45</v>
      </c>
      <c r="H319" s="173">
        <f t="shared" si="302"/>
        <v>96.5</v>
      </c>
      <c r="I319" s="173">
        <f t="shared" si="302"/>
        <v>102</v>
      </c>
      <c r="J319" s="180">
        <f t="shared" si="302"/>
        <v>18</v>
      </c>
      <c r="L319" s="185">
        <f t="shared" si="303"/>
        <v>45</v>
      </c>
      <c r="M319" s="173">
        <f t="shared" si="303"/>
        <v>53.5</v>
      </c>
      <c r="N319" s="173">
        <f t="shared" si="303"/>
        <v>603</v>
      </c>
      <c r="O319" s="180">
        <f t="shared" si="303"/>
        <v>18</v>
      </c>
      <c r="Q319" s="185">
        <f t="shared" si="304"/>
        <v>45</v>
      </c>
      <c r="R319" s="173">
        <f t="shared" si="304"/>
        <v>53.5</v>
      </c>
      <c r="S319" s="173">
        <f t="shared" si="304"/>
        <v>432</v>
      </c>
      <c r="T319" s="180">
        <f t="shared" si="304"/>
        <v>18</v>
      </c>
      <c r="V319" s="185">
        <f t="shared" si="305"/>
        <v>45</v>
      </c>
      <c r="W319" s="173">
        <f t="shared" si="305"/>
        <v>53.5</v>
      </c>
      <c r="X319" s="173">
        <f t="shared" si="305"/>
        <v>89.5</v>
      </c>
      <c r="Y319" s="180">
        <f t="shared" si="305"/>
        <v>18</v>
      </c>
      <c r="AA319" s="185">
        <f t="shared" si="306"/>
        <v>45</v>
      </c>
      <c r="AB319" s="173">
        <f t="shared" si="306"/>
        <v>10.5</v>
      </c>
      <c r="AC319" s="173">
        <f t="shared" si="306"/>
        <v>296</v>
      </c>
      <c r="AD319" s="180">
        <f t="shared" si="306"/>
        <v>18</v>
      </c>
      <c r="AF319" s="185" t="str">
        <f t="shared" si="307"/>
        <v/>
      </c>
      <c r="AG319" s="173" t="str">
        <f t="shared" si="307"/>
        <v/>
      </c>
      <c r="AH319" s="173" t="str">
        <f t="shared" si="307"/>
        <v/>
      </c>
      <c r="AI319" s="180" t="str">
        <f t="shared" si="307"/>
        <v/>
      </c>
      <c r="AK319" s="185" t="str">
        <f t="shared" si="308"/>
        <v/>
      </c>
      <c r="AL319" s="173" t="str">
        <f t="shared" si="308"/>
        <v/>
      </c>
      <c r="AM319" s="173" t="str">
        <f t="shared" si="308"/>
        <v/>
      </c>
      <c r="AN319" s="180" t="str">
        <f t="shared" si="308"/>
        <v/>
      </c>
      <c r="AP319" s="185">
        <f t="shared" si="309"/>
        <v>45</v>
      </c>
      <c r="AQ319" s="173">
        <f t="shared" si="309"/>
        <v>53.5</v>
      </c>
      <c r="AR319" s="173">
        <f t="shared" si="309"/>
        <v>582</v>
      </c>
      <c r="AS319" s="180">
        <f t="shared" si="309"/>
        <v>18</v>
      </c>
      <c r="AT319" s="288"/>
      <c r="AU319" s="185" t="str">
        <f t="shared" si="310"/>
        <v/>
      </c>
      <c r="AV319" s="173" t="str">
        <f t="shared" si="310"/>
        <v/>
      </c>
      <c r="AW319" s="173" t="str">
        <f t="shared" si="310"/>
        <v/>
      </c>
      <c r="AX319" s="180" t="str">
        <f t="shared" si="310"/>
        <v/>
      </c>
      <c r="AZ319" s="185" t="str">
        <f t="shared" si="311"/>
        <v/>
      </c>
      <c r="BA319" s="173" t="str">
        <f t="shared" si="311"/>
        <v/>
      </c>
      <c r="BB319" s="173" t="str">
        <f t="shared" si="311"/>
        <v/>
      </c>
      <c r="BC319" s="180" t="str">
        <f t="shared" si="311"/>
        <v/>
      </c>
      <c r="BE319" s="185" t="str">
        <f t="shared" si="312"/>
        <v/>
      </c>
      <c r="BF319" s="173" t="str">
        <f t="shared" si="312"/>
        <v/>
      </c>
      <c r="BG319" s="173" t="str">
        <f t="shared" si="312"/>
        <v/>
      </c>
      <c r="BH319" s="180" t="str">
        <f t="shared" si="312"/>
        <v/>
      </c>
      <c r="BI319" s="288"/>
      <c r="BJ319" s="185" t="str">
        <f t="shared" si="313"/>
        <v/>
      </c>
      <c r="BK319" s="173" t="str">
        <f t="shared" si="313"/>
        <v/>
      </c>
      <c r="BL319" s="173" t="str">
        <f t="shared" si="313"/>
        <v/>
      </c>
      <c r="BM319" s="180" t="str">
        <f t="shared" si="313"/>
        <v/>
      </c>
      <c r="BO319" s="185" t="str">
        <f t="shared" si="314"/>
        <v/>
      </c>
      <c r="BP319" s="173" t="str">
        <f t="shared" si="314"/>
        <v/>
      </c>
      <c r="BQ319" s="173" t="str">
        <f t="shared" si="314"/>
        <v/>
      </c>
      <c r="BR319" s="180" t="str">
        <f t="shared" si="314"/>
        <v/>
      </c>
      <c r="BT319" s="185" t="str">
        <f t="shared" si="315"/>
        <v/>
      </c>
      <c r="BU319" s="173" t="str">
        <f t="shared" si="315"/>
        <v/>
      </c>
      <c r="BV319" s="173" t="str">
        <f t="shared" si="315"/>
        <v/>
      </c>
      <c r="BW319" s="180" t="str">
        <f t="shared" si="315"/>
        <v/>
      </c>
      <c r="BX319" s="288"/>
      <c r="CM319" s="96"/>
    </row>
    <row r="320" spans="1:91">
      <c r="A320" s="284" t="str">
        <f t="shared" si="316"/>
        <v/>
      </c>
      <c r="B320" s="185">
        <f t="shared" si="316"/>
        <v>45</v>
      </c>
      <c r="C320" s="173">
        <f t="shared" si="316"/>
        <v>53.5</v>
      </c>
      <c r="D320" s="173">
        <f t="shared" si="316"/>
        <v>969</v>
      </c>
      <c r="E320" s="180">
        <f t="shared" si="316"/>
        <v>18</v>
      </c>
      <c r="G320" s="185">
        <f t="shared" si="302"/>
        <v>45</v>
      </c>
      <c r="H320" s="173">
        <f t="shared" si="302"/>
        <v>53.5</v>
      </c>
      <c r="I320" s="173">
        <f t="shared" si="302"/>
        <v>729</v>
      </c>
      <c r="J320" s="180">
        <f t="shared" si="302"/>
        <v>18</v>
      </c>
      <c r="L320" s="185">
        <f t="shared" si="303"/>
        <v>45</v>
      </c>
      <c r="M320" s="173">
        <f t="shared" si="303"/>
        <v>53.5</v>
      </c>
      <c r="N320" s="173">
        <f t="shared" si="303"/>
        <v>546</v>
      </c>
      <c r="O320" s="180">
        <f t="shared" si="303"/>
        <v>18</v>
      </c>
      <c r="Q320" s="185">
        <f t="shared" si="304"/>
        <v>45</v>
      </c>
      <c r="R320" s="173">
        <f t="shared" si="304"/>
        <v>53.5</v>
      </c>
      <c r="S320" s="173">
        <f t="shared" si="304"/>
        <v>375</v>
      </c>
      <c r="T320" s="180">
        <f t="shared" si="304"/>
        <v>18</v>
      </c>
      <c r="V320" s="185">
        <f t="shared" si="305"/>
        <v>45</v>
      </c>
      <c r="W320" s="173">
        <f t="shared" si="305"/>
        <v>10.5</v>
      </c>
      <c r="X320" s="173">
        <f t="shared" si="305"/>
        <v>460</v>
      </c>
      <c r="Y320" s="180">
        <f t="shared" si="305"/>
        <v>18</v>
      </c>
      <c r="AA320" s="185">
        <f t="shared" si="306"/>
        <v>45</v>
      </c>
      <c r="AB320" s="173">
        <f t="shared" si="306"/>
        <v>10.5</v>
      </c>
      <c r="AC320" s="173">
        <f t="shared" si="306"/>
        <v>238</v>
      </c>
      <c r="AD320" s="180">
        <f t="shared" si="306"/>
        <v>18</v>
      </c>
      <c r="AF320" s="185" t="str">
        <f t="shared" si="307"/>
        <v/>
      </c>
      <c r="AG320" s="173" t="str">
        <f t="shared" si="307"/>
        <v/>
      </c>
      <c r="AH320" s="173" t="str">
        <f t="shared" si="307"/>
        <v/>
      </c>
      <c r="AI320" s="180" t="str">
        <f t="shared" si="307"/>
        <v/>
      </c>
      <c r="AK320" s="185" t="str">
        <f t="shared" si="308"/>
        <v/>
      </c>
      <c r="AL320" s="173" t="str">
        <f t="shared" si="308"/>
        <v/>
      </c>
      <c r="AM320" s="173" t="str">
        <f t="shared" si="308"/>
        <v/>
      </c>
      <c r="AN320" s="180" t="str">
        <f t="shared" si="308"/>
        <v/>
      </c>
      <c r="AP320" s="185">
        <f t="shared" si="309"/>
        <v>45</v>
      </c>
      <c r="AQ320" s="173">
        <f t="shared" si="309"/>
        <v>53.5</v>
      </c>
      <c r="AR320" s="173">
        <f t="shared" si="309"/>
        <v>525</v>
      </c>
      <c r="AS320" s="180">
        <f t="shared" si="309"/>
        <v>18</v>
      </c>
      <c r="AT320" s="288"/>
      <c r="AU320" s="185" t="str">
        <f t="shared" si="310"/>
        <v/>
      </c>
      <c r="AV320" s="173" t="str">
        <f t="shared" si="310"/>
        <v/>
      </c>
      <c r="AW320" s="173" t="str">
        <f t="shared" si="310"/>
        <v/>
      </c>
      <c r="AX320" s="180" t="str">
        <f t="shared" si="310"/>
        <v/>
      </c>
      <c r="AZ320" s="185" t="str">
        <f t="shared" si="311"/>
        <v/>
      </c>
      <c r="BA320" s="173" t="str">
        <f t="shared" si="311"/>
        <v/>
      </c>
      <c r="BB320" s="173" t="str">
        <f t="shared" si="311"/>
        <v/>
      </c>
      <c r="BC320" s="180" t="str">
        <f t="shared" si="311"/>
        <v/>
      </c>
      <c r="BE320" s="185" t="str">
        <f t="shared" si="312"/>
        <v/>
      </c>
      <c r="BF320" s="173" t="str">
        <f t="shared" si="312"/>
        <v/>
      </c>
      <c r="BG320" s="173" t="str">
        <f t="shared" si="312"/>
        <v/>
      </c>
      <c r="BH320" s="180" t="str">
        <f t="shared" si="312"/>
        <v/>
      </c>
      <c r="BI320" s="288"/>
      <c r="BJ320" s="185" t="str">
        <f t="shared" si="313"/>
        <v/>
      </c>
      <c r="BK320" s="173" t="str">
        <f t="shared" si="313"/>
        <v/>
      </c>
      <c r="BL320" s="173" t="str">
        <f t="shared" si="313"/>
        <v/>
      </c>
      <c r="BM320" s="180" t="str">
        <f t="shared" si="313"/>
        <v/>
      </c>
      <c r="BO320" s="185" t="str">
        <f t="shared" si="314"/>
        <v/>
      </c>
      <c r="BP320" s="173" t="str">
        <f t="shared" si="314"/>
        <v/>
      </c>
      <c r="BQ320" s="173" t="str">
        <f t="shared" si="314"/>
        <v/>
      </c>
      <c r="BR320" s="180" t="str">
        <f t="shared" si="314"/>
        <v/>
      </c>
      <c r="BT320" s="185" t="str">
        <f t="shared" si="315"/>
        <v/>
      </c>
      <c r="BU320" s="173" t="str">
        <f t="shared" si="315"/>
        <v/>
      </c>
      <c r="BV320" s="173" t="str">
        <f t="shared" si="315"/>
        <v/>
      </c>
      <c r="BW320" s="180" t="str">
        <f t="shared" si="315"/>
        <v/>
      </c>
      <c r="BX320" s="288"/>
      <c r="CM320" s="96"/>
    </row>
    <row r="321" spans="1:91">
      <c r="A321" s="284" t="str">
        <f t="shared" si="316"/>
        <v/>
      </c>
      <c r="B321" s="185">
        <f t="shared" si="316"/>
        <v>45</v>
      </c>
      <c r="C321" s="173">
        <f t="shared" si="316"/>
        <v>53.5</v>
      </c>
      <c r="D321" s="173">
        <f t="shared" si="316"/>
        <v>912</v>
      </c>
      <c r="E321" s="180">
        <f t="shared" si="316"/>
        <v>18</v>
      </c>
      <c r="G321" s="185">
        <f t="shared" si="302"/>
        <v>45</v>
      </c>
      <c r="H321" s="173">
        <f t="shared" si="302"/>
        <v>53.5</v>
      </c>
      <c r="I321" s="173">
        <f t="shared" si="302"/>
        <v>672</v>
      </c>
      <c r="J321" s="180">
        <f t="shared" si="302"/>
        <v>18</v>
      </c>
      <c r="L321" s="185">
        <f t="shared" si="303"/>
        <v>45</v>
      </c>
      <c r="M321" s="173">
        <f t="shared" si="303"/>
        <v>53.5</v>
      </c>
      <c r="N321" s="173">
        <f t="shared" si="303"/>
        <v>489</v>
      </c>
      <c r="O321" s="180">
        <f t="shared" si="303"/>
        <v>18</v>
      </c>
      <c r="Q321" s="185">
        <f t="shared" si="304"/>
        <v>45</v>
      </c>
      <c r="R321" s="173">
        <f t="shared" si="304"/>
        <v>53.5</v>
      </c>
      <c r="S321" s="173">
        <f t="shared" si="304"/>
        <v>318</v>
      </c>
      <c r="T321" s="180">
        <f t="shared" si="304"/>
        <v>18</v>
      </c>
      <c r="V321" s="185">
        <f t="shared" si="305"/>
        <v>45</v>
      </c>
      <c r="W321" s="173">
        <f t="shared" si="305"/>
        <v>10.5</v>
      </c>
      <c r="X321" s="173">
        <f t="shared" si="305"/>
        <v>403</v>
      </c>
      <c r="Y321" s="180">
        <f t="shared" si="305"/>
        <v>18</v>
      </c>
      <c r="AA321" s="185">
        <f t="shared" si="306"/>
        <v>45</v>
      </c>
      <c r="AB321" s="173">
        <f t="shared" si="306"/>
        <v>10.5</v>
      </c>
      <c r="AC321" s="173">
        <f t="shared" si="306"/>
        <v>180</v>
      </c>
      <c r="AD321" s="180">
        <f t="shared" si="306"/>
        <v>18</v>
      </c>
      <c r="AF321" s="185" t="str">
        <f t="shared" si="307"/>
        <v/>
      </c>
      <c r="AG321" s="173" t="str">
        <f t="shared" si="307"/>
        <v/>
      </c>
      <c r="AH321" s="173" t="str">
        <f t="shared" si="307"/>
        <v/>
      </c>
      <c r="AI321" s="180" t="str">
        <f t="shared" si="307"/>
        <v/>
      </c>
      <c r="AK321" s="185" t="str">
        <f t="shared" si="308"/>
        <v/>
      </c>
      <c r="AL321" s="173" t="str">
        <f t="shared" si="308"/>
        <v/>
      </c>
      <c r="AM321" s="173" t="str">
        <f t="shared" si="308"/>
        <v/>
      </c>
      <c r="AN321" s="180" t="str">
        <f t="shared" si="308"/>
        <v/>
      </c>
      <c r="AP321" s="185">
        <f t="shared" si="309"/>
        <v>45</v>
      </c>
      <c r="AQ321" s="173">
        <f t="shared" si="309"/>
        <v>53.5</v>
      </c>
      <c r="AR321" s="173">
        <f t="shared" si="309"/>
        <v>468</v>
      </c>
      <c r="AS321" s="180">
        <f t="shared" si="309"/>
        <v>18</v>
      </c>
      <c r="AT321" s="288"/>
      <c r="AU321" s="185" t="str">
        <f t="shared" si="310"/>
        <v/>
      </c>
      <c r="AV321" s="173" t="str">
        <f t="shared" si="310"/>
        <v/>
      </c>
      <c r="AW321" s="173" t="str">
        <f t="shared" si="310"/>
        <v/>
      </c>
      <c r="AX321" s="180" t="str">
        <f t="shared" si="310"/>
        <v/>
      </c>
      <c r="AZ321" s="185" t="str">
        <f t="shared" si="311"/>
        <v/>
      </c>
      <c r="BA321" s="173" t="str">
        <f t="shared" si="311"/>
        <v/>
      </c>
      <c r="BB321" s="173" t="str">
        <f t="shared" si="311"/>
        <v/>
      </c>
      <c r="BC321" s="180" t="str">
        <f t="shared" si="311"/>
        <v/>
      </c>
      <c r="BE321" s="185" t="str">
        <f t="shared" si="312"/>
        <v/>
      </c>
      <c r="BF321" s="173" t="str">
        <f t="shared" si="312"/>
        <v/>
      </c>
      <c r="BG321" s="173" t="str">
        <f t="shared" si="312"/>
        <v/>
      </c>
      <c r="BH321" s="180" t="str">
        <f t="shared" si="312"/>
        <v/>
      </c>
      <c r="BI321" s="288"/>
      <c r="BJ321" s="185" t="str">
        <f t="shared" si="313"/>
        <v/>
      </c>
      <c r="BK321" s="173" t="str">
        <f t="shared" si="313"/>
        <v/>
      </c>
      <c r="BL321" s="173" t="str">
        <f t="shared" si="313"/>
        <v/>
      </c>
      <c r="BM321" s="180" t="str">
        <f t="shared" si="313"/>
        <v/>
      </c>
      <c r="BO321" s="185" t="str">
        <f t="shared" si="314"/>
        <v/>
      </c>
      <c r="BP321" s="173" t="str">
        <f t="shared" si="314"/>
        <v/>
      </c>
      <c r="BQ321" s="173" t="str">
        <f t="shared" si="314"/>
        <v/>
      </c>
      <c r="BR321" s="180" t="str">
        <f t="shared" si="314"/>
        <v/>
      </c>
      <c r="BT321" s="185" t="str">
        <f t="shared" si="315"/>
        <v/>
      </c>
      <c r="BU321" s="173" t="str">
        <f t="shared" si="315"/>
        <v/>
      </c>
      <c r="BV321" s="173" t="str">
        <f t="shared" si="315"/>
        <v/>
      </c>
      <c r="BW321" s="180" t="str">
        <f t="shared" si="315"/>
        <v/>
      </c>
      <c r="BX321" s="288"/>
      <c r="CM321" s="96"/>
    </row>
    <row r="322" spans="1:91">
      <c r="A322" s="284" t="str">
        <f t="shared" si="316"/>
        <v/>
      </c>
      <c r="B322" s="185">
        <f t="shared" si="316"/>
        <v>45</v>
      </c>
      <c r="C322" s="173">
        <f t="shared" si="316"/>
        <v>53.5</v>
      </c>
      <c r="D322" s="173">
        <f t="shared" si="316"/>
        <v>855</v>
      </c>
      <c r="E322" s="180">
        <f t="shared" si="316"/>
        <v>18</v>
      </c>
      <c r="G322" s="185">
        <f t="shared" si="302"/>
        <v>45</v>
      </c>
      <c r="H322" s="173">
        <f t="shared" si="302"/>
        <v>53.5</v>
      </c>
      <c r="I322" s="173">
        <f t="shared" si="302"/>
        <v>615</v>
      </c>
      <c r="J322" s="180">
        <f t="shared" si="302"/>
        <v>18</v>
      </c>
      <c r="L322" s="185">
        <f t="shared" si="303"/>
        <v>45</v>
      </c>
      <c r="M322" s="173">
        <f t="shared" si="303"/>
        <v>53.5</v>
      </c>
      <c r="N322" s="173">
        <f t="shared" si="303"/>
        <v>432</v>
      </c>
      <c r="O322" s="180">
        <f t="shared" si="303"/>
        <v>18</v>
      </c>
      <c r="Q322" s="185">
        <f t="shared" si="304"/>
        <v>45</v>
      </c>
      <c r="R322" s="173">
        <f t="shared" si="304"/>
        <v>53.5</v>
      </c>
      <c r="S322" s="173">
        <f t="shared" si="304"/>
        <v>261</v>
      </c>
      <c r="T322" s="180">
        <f t="shared" si="304"/>
        <v>18</v>
      </c>
      <c r="V322" s="185">
        <f t="shared" si="305"/>
        <v>45</v>
      </c>
      <c r="W322" s="173">
        <f t="shared" si="305"/>
        <v>10.5</v>
      </c>
      <c r="X322" s="173">
        <f t="shared" si="305"/>
        <v>346</v>
      </c>
      <c r="Y322" s="180">
        <f t="shared" si="305"/>
        <v>18</v>
      </c>
      <c r="AA322" s="185">
        <f t="shared" si="306"/>
        <v>45</v>
      </c>
      <c r="AB322" s="173">
        <f t="shared" si="306"/>
        <v>10.5</v>
      </c>
      <c r="AC322" s="173">
        <f t="shared" si="306"/>
        <v>122</v>
      </c>
      <c r="AD322" s="180">
        <f t="shared" si="306"/>
        <v>18</v>
      </c>
      <c r="AF322" s="185" t="str">
        <f t="shared" si="307"/>
        <v/>
      </c>
      <c r="AG322" s="173" t="str">
        <f t="shared" si="307"/>
        <v/>
      </c>
      <c r="AH322" s="173" t="str">
        <f t="shared" si="307"/>
        <v/>
      </c>
      <c r="AI322" s="180" t="str">
        <f t="shared" si="307"/>
        <v/>
      </c>
      <c r="AK322" s="185" t="str">
        <f t="shared" si="308"/>
        <v/>
      </c>
      <c r="AL322" s="173" t="str">
        <f t="shared" si="308"/>
        <v/>
      </c>
      <c r="AM322" s="173" t="str">
        <f t="shared" si="308"/>
        <v/>
      </c>
      <c r="AN322" s="180" t="str">
        <f t="shared" si="308"/>
        <v/>
      </c>
      <c r="AP322" s="185">
        <f t="shared" si="309"/>
        <v>45</v>
      </c>
      <c r="AQ322" s="173">
        <f t="shared" si="309"/>
        <v>53.5</v>
      </c>
      <c r="AR322" s="173">
        <f t="shared" si="309"/>
        <v>411</v>
      </c>
      <c r="AS322" s="180">
        <f t="shared" si="309"/>
        <v>18</v>
      </c>
      <c r="AT322" s="288"/>
      <c r="AU322" s="185" t="str">
        <f t="shared" si="310"/>
        <v/>
      </c>
      <c r="AV322" s="173" t="str">
        <f t="shared" si="310"/>
        <v/>
      </c>
      <c r="AW322" s="173" t="str">
        <f t="shared" si="310"/>
        <v/>
      </c>
      <c r="AX322" s="180" t="str">
        <f t="shared" si="310"/>
        <v/>
      </c>
      <c r="AZ322" s="185" t="str">
        <f t="shared" si="311"/>
        <v/>
      </c>
      <c r="BA322" s="173" t="str">
        <f t="shared" si="311"/>
        <v/>
      </c>
      <c r="BB322" s="173" t="str">
        <f t="shared" si="311"/>
        <v/>
      </c>
      <c r="BC322" s="180" t="str">
        <f t="shared" si="311"/>
        <v/>
      </c>
      <c r="BE322" s="185" t="str">
        <f t="shared" si="312"/>
        <v/>
      </c>
      <c r="BF322" s="173" t="str">
        <f t="shared" si="312"/>
        <v/>
      </c>
      <c r="BG322" s="173" t="str">
        <f t="shared" si="312"/>
        <v/>
      </c>
      <c r="BH322" s="180" t="str">
        <f t="shared" si="312"/>
        <v/>
      </c>
      <c r="BI322" s="288"/>
      <c r="BJ322" s="185" t="str">
        <f t="shared" si="313"/>
        <v/>
      </c>
      <c r="BK322" s="173" t="str">
        <f t="shared" si="313"/>
        <v/>
      </c>
      <c r="BL322" s="173" t="str">
        <f t="shared" si="313"/>
        <v/>
      </c>
      <c r="BM322" s="180" t="str">
        <f t="shared" si="313"/>
        <v/>
      </c>
      <c r="BO322" s="185" t="str">
        <f t="shared" si="314"/>
        <v/>
      </c>
      <c r="BP322" s="173" t="str">
        <f t="shared" si="314"/>
        <v/>
      </c>
      <c r="BQ322" s="173" t="str">
        <f t="shared" si="314"/>
        <v/>
      </c>
      <c r="BR322" s="180" t="str">
        <f t="shared" si="314"/>
        <v/>
      </c>
      <c r="BT322" s="185" t="str">
        <f t="shared" si="315"/>
        <v/>
      </c>
      <c r="BU322" s="173" t="str">
        <f t="shared" si="315"/>
        <v/>
      </c>
      <c r="BV322" s="173" t="str">
        <f t="shared" si="315"/>
        <v/>
      </c>
      <c r="BW322" s="180" t="str">
        <f t="shared" si="315"/>
        <v/>
      </c>
      <c r="BX322" s="288"/>
      <c r="CM322" s="96"/>
    </row>
    <row r="323" spans="1:91">
      <c r="A323" s="284" t="str">
        <f t="shared" si="316"/>
        <v/>
      </c>
      <c r="B323" s="185">
        <f t="shared" si="316"/>
        <v>45</v>
      </c>
      <c r="C323" s="173">
        <f t="shared" si="316"/>
        <v>53.5</v>
      </c>
      <c r="D323" s="173">
        <f t="shared" si="316"/>
        <v>798</v>
      </c>
      <c r="E323" s="180">
        <f t="shared" si="316"/>
        <v>18</v>
      </c>
      <c r="G323" s="185">
        <f t="shared" si="302"/>
        <v>45</v>
      </c>
      <c r="H323" s="173">
        <f t="shared" si="302"/>
        <v>53.5</v>
      </c>
      <c r="I323" s="173">
        <f t="shared" si="302"/>
        <v>558</v>
      </c>
      <c r="J323" s="180">
        <f t="shared" si="302"/>
        <v>18</v>
      </c>
      <c r="L323" s="185">
        <f t="shared" si="303"/>
        <v>45</v>
      </c>
      <c r="M323" s="173">
        <f t="shared" si="303"/>
        <v>53.5</v>
      </c>
      <c r="N323" s="173">
        <f t="shared" si="303"/>
        <v>375</v>
      </c>
      <c r="O323" s="180">
        <f t="shared" si="303"/>
        <v>18</v>
      </c>
      <c r="Q323" s="185">
        <f t="shared" si="304"/>
        <v>45</v>
      </c>
      <c r="R323" s="173">
        <f t="shared" si="304"/>
        <v>53.5</v>
      </c>
      <c r="S323" s="173">
        <f t="shared" si="304"/>
        <v>204</v>
      </c>
      <c r="T323" s="180">
        <f t="shared" si="304"/>
        <v>18</v>
      </c>
      <c r="V323" s="185">
        <f t="shared" si="305"/>
        <v>45</v>
      </c>
      <c r="W323" s="173">
        <f t="shared" si="305"/>
        <v>10.5</v>
      </c>
      <c r="X323" s="173">
        <f t="shared" si="305"/>
        <v>289</v>
      </c>
      <c r="Y323" s="180">
        <f t="shared" si="305"/>
        <v>18</v>
      </c>
      <c r="AA323" s="185">
        <f t="shared" si="306"/>
        <v>45</v>
      </c>
      <c r="AB323" s="173">
        <f t="shared" si="306"/>
        <v>10.5</v>
      </c>
      <c r="AC323" s="173">
        <f t="shared" si="306"/>
        <v>64</v>
      </c>
      <c r="AD323" s="180">
        <f t="shared" si="306"/>
        <v>18</v>
      </c>
      <c r="AF323" s="185" t="str">
        <f t="shared" si="307"/>
        <v/>
      </c>
      <c r="AG323" s="173" t="str">
        <f t="shared" si="307"/>
        <v/>
      </c>
      <c r="AH323" s="173" t="str">
        <f t="shared" si="307"/>
        <v/>
      </c>
      <c r="AI323" s="180" t="str">
        <f t="shared" si="307"/>
        <v/>
      </c>
      <c r="AK323" s="185" t="str">
        <f t="shared" si="308"/>
        <v/>
      </c>
      <c r="AL323" s="173" t="str">
        <f t="shared" si="308"/>
        <v/>
      </c>
      <c r="AM323" s="173" t="str">
        <f t="shared" si="308"/>
        <v/>
      </c>
      <c r="AN323" s="180" t="str">
        <f t="shared" si="308"/>
        <v/>
      </c>
      <c r="AP323" s="185">
        <f t="shared" si="309"/>
        <v>45</v>
      </c>
      <c r="AQ323" s="173">
        <f t="shared" si="309"/>
        <v>53.5</v>
      </c>
      <c r="AR323" s="173">
        <f t="shared" si="309"/>
        <v>354</v>
      </c>
      <c r="AS323" s="180">
        <f t="shared" si="309"/>
        <v>18</v>
      </c>
      <c r="AT323" s="288"/>
      <c r="AU323" s="185" t="str">
        <f t="shared" si="310"/>
        <v/>
      </c>
      <c r="AV323" s="173" t="str">
        <f t="shared" si="310"/>
        <v/>
      </c>
      <c r="AW323" s="173" t="str">
        <f t="shared" si="310"/>
        <v/>
      </c>
      <c r="AX323" s="180" t="str">
        <f t="shared" si="310"/>
        <v/>
      </c>
      <c r="AZ323" s="185" t="str">
        <f t="shared" si="311"/>
        <v/>
      </c>
      <c r="BA323" s="173" t="str">
        <f t="shared" si="311"/>
        <v/>
      </c>
      <c r="BB323" s="173" t="str">
        <f t="shared" si="311"/>
        <v/>
      </c>
      <c r="BC323" s="180" t="str">
        <f t="shared" si="311"/>
        <v/>
      </c>
      <c r="BE323" s="185" t="str">
        <f t="shared" si="312"/>
        <v/>
      </c>
      <c r="BF323" s="173" t="str">
        <f t="shared" si="312"/>
        <v/>
      </c>
      <c r="BG323" s="173" t="str">
        <f t="shared" si="312"/>
        <v/>
      </c>
      <c r="BH323" s="180" t="str">
        <f t="shared" si="312"/>
        <v/>
      </c>
      <c r="BI323" s="288"/>
      <c r="BJ323" s="185" t="str">
        <f t="shared" si="313"/>
        <v/>
      </c>
      <c r="BK323" s="173" t="str">
        <f t="shared" si="313"/>
        <v/>
      </c>
      <c r="BL323" s="173" t="str">
        <f t="shared" si="313"/>
        <v/>
      </c>
      <c r="BM323" s="180" t="str">
        <f t="shared" si="313"/>
        <v/>
      </c>
      <c r="BO323" s="185" t="str">
        <f t="shared" si="314"/>
        <v/>
      </c>
      <c r="BP323" s="173" t="str">
        <f t="shared" si="314"/>
        <v/>
      </c>
      <c r="BQ323" s="173" t="str">
        <f t="shared" si="314"/>
        <v/>
      </c>
      <c r="BR323" s="180" t="str">
        <f t="shared" si="314"/>
        <v/>
      </c>
      <c r="BT323" s="185" t="str">
        <f t="shared" si="315"/>
        <v/>
      </c>
      <c r="BU323" s="173" t="str">
        <f t="shared" si="315"/>
        <v/>
      </c>
      <c r="BV323" s="173" t="str">
        <f t="shared" si="315"/>
        <v/>
      </c>
      <c r="BW323" s="180" t="str">
        <f t="shared" si="315"/>
        <v/>
      </c>
      <c r="BX323" s="288"/>
      <c r="CM323" s="96"/>
    </row>
    <row r="324" spans="1:91">
      <c r="A324" s="284" t="str">
        <f t="shared" si="316"/>
        <v/>
      </c>
      <c r="B324" s="185">
        <f t="shared" si="316"/>
        <v>45</v>
      </c>
      <c r="C324" s="173">
        <f t="shared" si="316"/>
        <v>53.5</v>
      </c>
      <c r="D324" s="173">
        <f t="shared" si="316"/>
        <v>741</v>
      </c>
      <c r="E324" s="180">
        <f t="shared" si="316"/>
        <v>18</v>
      </c>
      <c r="G324" s="185">
        <f t="shared" si="302"/>
        <v>45</v>
      </c>
      <c r="H324" s="173">
        <f t="shared" si="302"/>
        <v>53.5</v>
      </c>
      <c r="I324" s="173">
        <f t="shared" si="302"/>
        <v>501</v>
      </c>
      <c r="J324" s="180">
        <f t="shared" si="302"/>
        <v>18</v>
      </c>
      <c r="L324" s="185">
        <f t="shared" si="303"/>
        <v>45</v>
      </c>
      <c r="M324" s="173">
        <f t="shared" si="303"/>
        <v>53.5</v>
      </c>
      <c r="N324" s="173">
        <f t="shared" si="303"/>
        <v>318</v>
      </c>
      <c r="O324" s="180">
        <f t="shared" si="303"/>
        <v>18</v>
      </c>
      <c r="Q324" s="185">
        <f t="shared" si="304"/>
        <v>45</v>
      </c>
      <c r="R324" s="173">
        <f t="shared" si="304"/>
        <v>53.5</v>
      </c>
      <c r="S324" s="173">
        <f t="shared" si="304"/>
        <v>147</v>
      </c>
      <c r="T324" s="180">
        <f t="shared" si="304"/>
        <v>18</v>
      </c>
      <c r="V324" s="185">
        <f t="shared" si="305"/>
        <v>45</v>
      </c>
      <c r="W324" s="173">
        <f t="shared" si="305"/>
        <v>10.5</v>
      </c>
      <c r="X324" s="173">
        <f t="shared" si="305"/>
        <v>232</v>
      </c>
      <c r="Y324" s="180">
        <f t="shared" si="305"/>
        <v>18</v>
      </c>
      <c r="AA324" s="185" t="str">
        <f t="shared" si="306"/>
        <v/>
      </c>
      <c r="AB324" s="173" t="str">
        <f t="shared" si="306"/>
        <v/>
      </c>
      <c r="AC324" s="173" t="str">
        <f t="shared" si="306"/>
        <v/>
      </c>
      <c r="AD324" s="180" t="str">
        <f t="shared" si="306"/>
        <v/>
      </c>
      <c r="AF324" s="185" t="str">
        <f t="shared" si="307"/>
        <v/>
      </c>
      <c r="AG324" s="173" t="str">
        <f t="shared" si="307"/>
        <v/>
      </c>
      <c r="AH324" s="173" t="str">
        <f t="shared" si="307"/>
        <v/>
      </c>
      <c r="AI324" s="180" t="str">
        <f t="shared" si="307"/>
        <v/>
      </c>
      <c r="AK324" s="185" t="str">
        <f t="shared" si="308"/>
        <v/>
      </c>
      <c r="AL324" s="173" t="str">
        <f t="shared" si="308"/>
        <v/>
      </c>
      <c r="AM324" s="173" t="str">
        <f t="shared" si="308"/>
        <v/>
      </c>
      <c r="AN324" s="180" t="str">
        <f t="shared" si="308"/>
        <v/>
      </c>
      <c r="AP324" s="185">
        <f t="shared" si="309"/>
        <v>45</v>
      </c>
      <c r="AQ324" s="173">
        <f t="shared" si="309"/>
        <v>53.5</v>
      </c>
      <c r="AR324" s="173">
        <f t="shared" si="309"/>
        <v>297</v>
      </c>
      <c r="AS324" s="180">
        <f t="shared" si="309"/>
        <v>18</v>
      </c>
      <c r="AT324" s="288"/>
      <c r="AU324" s="185" t="str">
        <f t="shared" si="310"/>
        <v/>
      </c>
      <c r="AV324" s="173" t="str">
        <f t="shared" si="310"/>
        <v/>
      </c>
      <c r="AW324" s="173" t="str">
        <f t="shared" si="310"/>
        <v/>
      </c>
      <c r="AX324" s="180" t="str">
        <f t="shared" si="310"/>
        <v/>
      </c>
      <c r="AZ324" s="185" t="str">
        <f t="shared" si="311"/>
        <v/>
      </c>
      <c r="BA324" s="173" t="str">
        <f t="shared" si="311"/>
        <v/>
      </c>
      <c r="BB324" s="173" t="str">
        <f t="shared" si="311"/>
        <v/>
      </c>
      <c r="BC324" s="180" t="str">
        <f t="shared" si="311"/>
        <v/>
      </c>
      <c r="BE324" s="185" t="str">
        <f t="shared" si="312"/>
        <v/>
      </c>
      <c r="BF324" s="173" t="str">
        <f t="shared" si="312"/>
        <v/>
      </c>
      <c r="BG324" s="173" t="str">
        <f t="shared" si="312"/>
        <v/>
      </c>
      <c r="BH324" s="180" t="str">
        <f t="shared" si="312"/>
        <v/>
      </c>
      <c r="BI324" s="288"/>
      <c r="BJ324" s="185" t="str">
        <f t="shared" si="313"/>
        <v/>
      </c>
      <c r="BK324" s="173" t="str">
        <f t="shared" si="313"/>
        <v/>
      </c>
      <c r="BL324" s="173" t="str">
        <f t="shared" si="313"/>
        <v/>
      </c>
      <c r="BM324" s="180" t="str">
        <f t="shared" si="313"/>
        <v/>
      </c>
      <c r="BO324" s="185" t="str">
        <f t="shared" si="314"/>
        <v/>
      </c>
      <c r="BP324" s="173" t="str">
        <f t="shared" si="314"/>
        <v/>
      </c>
      <c r="BQ324" s="173" t="str">
        <f t="shared" si="314"/>
        <v/>
      </c>
      <c r="BR324" s="180" t="str">
        <f t="shared" si="314"/>
        <v/>
      </c>
      <c r="BT324" s="185" t="str">
        <f t="shared" si="315"/>
        <v/>
      </c>
      <c r="BU324" s="173" t="str">
        <f t="shared" si="315"/>
        <v/>
      </c>
      <c r="BV324" s="173" t="str">
        <f t="shared" si="315"/>
        <v/>
      </c>
      <c r="BW324" s="180" t="str">
        <f t="shared" si="315"/>
        <v/>
      </c>
      <c r="BX324" s="288"/>
      <c r="CM324" s="96"/>
    </row>
    <row r="325" spans="1:91">
      <c r="A325" s="284" t="str">
        <f t="shared" si="316"/>
        <v/>
      </c>
      <c r="B325" s="185">
        <f t="shared" si="316"/>
        <v>45</v>
      </c>
      <c r="C325" s="173">
        <f t="shared" si="316"/>
        <v>53.5</v>
      </c>
      <c r="D325" s="173">
        <f t="shared" si="316"/>
        <v>684</v>
      </c>
      <c r="E325" s="180">
        <f t="shared" si="316"/>
        <v>18</v>
      </c>
      <c r="G325" s="185">
        <f t="shared" si="302"/>
        <v>45</v>
      </c>
      <c r="H325" s="173">
        <f t="shared" si="302"/>
        <v>53.5</v>
      </c>
      <c r="I325" s="173">
        <f t="shared" si="302"/>
        <v>444</v>
      </c>
      <c r="J325" s="180">
        <f t="shared" si="302"/>
        <v>18</v>
      </c>
      <c r="L325" s="185">
        <f t="shared" si="303"/>
        <v>45</v>
      </c>
      <c r="M325" s="173">
        <f t="shared" si="303"/>
        <v>53.5</v>
      </c>
      <c r="N325" s="173">
        <f t="shared" si="303"/>
        <v>261</v>
      </c>
      <c r="O325" s="180">
        <f t="shared" si="303"/>
        <v>18</v>
      </c>
      <c r="Q325" s="185">
        <f t="shared" si="304"/>
        <v>45</v>
      </c>
      <c r="R325" s="173">
        <f t="shared" si="304"/>
        <v>53.5</v>
      </c>
      <c r="S325" s="173">
        <f t="shared" si="304"/>
        <v>90</v>
      </c>
      <c r="T325" s="180">
        <f t="shared" si="304"/>
        <v>18</v>
      </c>
      <c r="V325" s="185">
        <f t="shared" si="305"/>
        <v>45</v>
      </c>
      <c r="W325" s="173">
        <f t="shared" si="305"/>
        <v>10.5</v>
      </c>
      <c r="X325" s="173">
        <f t="shared" si="305"/>
        <v>175</v>
      </c>
      <c r="Y325" s="180">
        <f t="shared" si="305"/>
        <v>18</v>
      </c>
      <c r="AA325" s="185" t="str">
        <f t="shared" si="306"/>
        <v/>
      </c>
      <c r="AB325" s="173" t="str">
        <f t="shared" si="306"/>
        <v/>
      </c>
      <c r="AC325" s="173" t="str">
        <f t="shared" si="306"/>
        <v/>
      </c>
      <c r="AD325" s="180" t="str">
        <f t="shared" si="306"/>
        <v/>
      </c>
      <c r="AF325" s="185" t="str">
        <f t="shared" si="307"/>
        <v/>
      </c>
      <c r="AG325" s="173" t="str">
        <f t="shared" si="307"/>
        <v/>
      </c>
      <c r="AH325" s="173" t="str">
        <f t="shared" si="307"/>
        <v/>
      </c>
      <c r="AI325" s="180" t="str">
        <f t="shared" si="307"/>
        <v/>
      </c>
      <c r="AK325" s="185" t="str">
        <f t="shared" si="308"/>
        <v/>
      </c>
      <c r="AL325" s="173" t="str">
        <f t="shared" si="308"/>
        <v/>
      </c>
      <c r="AM325" s="173" t="str">
        <f t="shared" si="308"/>
        <v/>
      </c>
      <c r="AN325" s="180" t="str">
        <f t="shared" si="308"/>
        <v/>
      </c>
      <c r="AP325" s="185">
        <f t="shared" si="309"/>
        <v>45</v>
      </c>
      <c r="AQ325" s="173">
        <f t="shared" si="309"/>
        <v>53.5</v>
      </c>
      <c r="AR325" s="173">
        <f t="shared" si="309"/>
        <v>240</v>
      </c>
      <c r="AS325" s="180">
        <f t="shared" si="309"/>
        <v>18</v>
      </c>
      <c r="AT325" s="288"/>
      <c r="AU325" s="185" t="str">
        <f t="shared" si="310"/>
        <v/>
      </c>
      <c r="AV325" s="173" t="str">
        <f t="shared" si="310"/>
        <v/>
      </c>
      <c r="AW325" s="173" t="str">
        <f t="shared" si="310"/>
        <v/>
      </c>
      <c r="AX325" s="180" t="str">
        <f t="shared" si="310"/>
        <v/>
      </c>
      <c r="AZ325" s="185" t="str">
        <f t="shared" si="311"/>
        <v/>
      </c>
      <c r="BA325" s="173" t="str">
        <f t="shared" si="311"/>
        <v/>
      </c>
      <c r="BB325" s="173" t="str">
        <f t="shared" si="311"/>
        <v/>
      </c>
      <c r="BC325" s="180" t="str">
        <f t="shared" si="311"/>
        <v/>
      </c>
      <c r="BE325" s="185" t="str">
        <f t="shared" si="312"/>
        <v/>
      </c>
      <c r="BF325" s="173" t="str">
        <f t="shared" si="312"/>
        <v/>
      </c>
      <c r="BG325" s="173" t="str">
        <f t="shared" si="312"/>
        <v/>
      </c>
      <c r="BH325" s="180" t="str">
        <f t="shared" si="312"/>
        <v/>
      </c>
      <c r="BI325" s="288"/>
      <c r="BJ325" s="185" t="str">
        <f t="shared" si="313"/>
        <v/>
      </c>
      <c r="BK325" s="173" t="str">
        <f t="shared" si="313"/>
        <v/>
      </c>
      <c r="BL325" s="173" t="str">
        <f t="shared" si="313"/>
        <v/>
      </c>
      <c r="BM325" s="180" t="str">
        <f t="shared" si="313"/>
        <v/>
      </c>
      <c r="BO325" s="185" t="str">
        <f t="shared" si="314"/>
        <v/>
      </c>
      <c r="BP325" s="173" t="str">
        <f t="shared" si="314"/>
        <v/>
      </c>
      <c r="BQ325" s="173" t="str">
        <f t="shared" si="314"/>
        <v/>
      </c>
      <c r="BR325" s="180" t="str">
        <f t="shared" si="314"/>
        <v/>
      </c>
      <c r="BT325" s="185" t="str">
        <f t="shared" si="315"/>
        <v/>
      </c>
      <c r="BU325" s="173" t="str">
        <f t="shared" si="315"/>
        <v/>
      </c>
      <c r="BV325" s="173" t="str">
        <f t="shared" si="315"/>
        <v/>
      </c>
      <c r="BW325" s="180" t="str">
        <f t="shared" si="315"/>
        <v/>
      </c>
      <c r="BX325" s="288"/>
      <c r="CM325" s="96"/>
    </row>
    <row r="326" spans="1:91">
      <c r="A326" s="284" t="str">
        <f t="shared" si="316"/>
        <v/>
      </c>
      <c r="B326" s="185">
        <f t="shared" si="316"/>
        <v>45</v>
      </c>
      <c r="C326" s="173">
        <f t="shared" si="316"/>
        <v>53.5</v>
      </c>
      <c r="D326" s="173">
        <f t="shared" si="316"/>
        <v>627</v>
      </c>
      <c r="E326" s="180">
        <f t="shared" si="316"/>
        <v>18</v>
      </c>
      <c r="G326" s="185">
        <f t="shared" si="302"/>
        <v>45</v>
      </c>
      <c r="H326" s="173">
        <f t="shared" si="302"/>
        <v>53.5</v>
      </c>
      <c r="I326" s="173">
        <f t="shared" si="302"/>
        <v>387</v>
      </c>
      <c r="J326" s="180">
        <f t="shared" si="302"/>
        <v>18</v>
      </c>
      <c r="L326" s="185">
        <f t="shared" si="303"/>
        <v>45</v>
      </c>
      <c r="M326" s="173">
        <f t="shared" si="303"/>
        <v>53.5</v>
      </c>
      <c r="N326" s="173">
        <f t="shared" si="303"/>
        <v>204</v>
      </c>
      <c r="O326" s="180">
        <f t="shared" si="303"/>
        <v>18</v>
      </c>
      <c r="Q326" s="185">
        <f t="shared" si="304"/>
        <v>45</v>
      </c>
      <c r="R326" s="173">
        <f t="shared" si="304"/>
        <v>10.5</v>
      </c>
      <c r="S326" s="173">
        <f t="shared" si="304"/>
        <v>574</v>
      </c>
      <c r="T326" s="180">
        <f t="shared" si="304"/>
        <v>18</v>
      </c>
      <c r="V326" s="185">
        <f t="shared" si="305"/>
        <v>45</v>
      </c>
      <c r="W326" s="173">
        <f t="shared" si="305"/>
        <v>10.5</v>
      </c>
      <c r="X326" s="173">
        <f t="shared" si="305"/>
        <v>118</v>
      </c>
      <c r="Y326" s="180">
        <f t="shared" si="305"/>
        <v>18</v>
      </c>
      <c r="AA326" s="185" t="str">
        <f t="shared" si="306"/>
        <v/>
      </c>
      <c r="AB326" s="173" t="str">
        <f t="shared" si="306"/>
        <v/>
      </c>
      <c r="AC326" s="173" t="str">
        <f t="shared" si="306"/>
        <v/>
      </c>
      <c r="AD326" s="180" t="str">
        <f t="shared" si="306"/>
        <v/>
      </c>
      <c r="AF326" s="185" t="str">
        <f t="shared" si="307"/>
        <v/>
      </c>
      <c r="AG326" s="173" t="str">
        <f t="shared" si="307"/>
        <v/>
      </c>
      <c r="AH326" s="173" t="str">
        <f t="shared" si="307"/>
        <v/>
      </c>
      <c r="AI326" s="180" t="str">
        <f t="shared" si="307"/>
        <v/>
      </c>
      <c r="AK326" s="185" t="str">
        <f t="shared" si="308"/>
        <v/>
      </c>
      <c r="AL326" s="173" t="str">
        <f t="shared" si="308"/>
        <v/>
      </c>
      <c r="AM326" s="173" t="str">
        <f t="shared" si="308"/>
        <v/>
      </c>
      <c r="AN326" s="180" t="str">
        <f t="shared" si="308"/>
        <v/>
      </c>
      <c r="AP326" s="185">
        <f t="shared" si="309"/>
        <v>45</v>
      </c>
      <c r="AQ326" s="173">
        <f t="shared" si="309"/>
        <v>10.5</v>
      </c>
      <c r="AR326" s="173">
        <f t="shared" si="309"/>
        <v>724</v>
      </c>
      <c r="AS326" s="180">
        <f t="shared" si="309"/>
        <v>18</v>
      </c>
      <c r="AT326" s="288"/>
      <c r="AU326" s="185" t="str">
        <f t="shared" si="310"/>
        <v/>
      </c>
      <c r="AV326" s="173" t="str">
        <f t="shared" si="310"/>
        <v/>
      </c>
      <c r="AW326" s="173" t="str">
        <f t="shared" si="310"/>
        <v/>
      </c>
      <c r="AX326" s="180" t="str">
        <f t="shared" si="310"/>
        <v/>
      </c>
      <c r="AZ326" s="185" t="str">
        <f t="shared" si="311"/>
        <v/>
      </c>
      <c r="BA326" s="173" t="str">
        <f t="shared" si="311"/>
        <v/>
      </c>
      <c r="BB326" s="173" t="str">
        <f t="shared" si="311"/>
        <v/>
      </c>
      <c r="BC326" s="180" t="str">
        <f t="shared" si="311"/>
        <v/>
      </c>
      <c r="BE326" s="185" t="str">
        <f t="shared" si="312"/>
        <v/>
      </c>
      <c r="BF326" s="173" t="str">
        <f t="shared" si="312"/>
        <v/>
      </c>
      <c r="BG326" s="173" t="str">
        <f t="shared" si="312"/>
        <v/>
      </c>
      <c r="BH326" s="180" t="str">
        <f t="shared" si="312"/>
        <v/>
      </c>
      <c r="BI326" s="288"/>
      <c r="BJ326" s="185" t="str">
        <f t="shared" si="313"/>
        <v/>
      </c>
      <c r="BK326" s="173" t="str">
        <f t="shared" si="313"/>
        <v/>
      </c>
      <c r="BL326" s="173" t="str">
        <f t="shared" si="313"/>
        <v/>
      </c>
      <c r="BM326" s="180" t="str">
        <f t="shared" si="313"/>
        <v/>
      </c>
      <c r="BO326" s="185" t="str">
        <f t="shared" si="314"/>
        <v/>
      </c>
      <c r="BP326" s="173" t="str">
        <f t="shared" si="314"/>
        <v/>
      </c>
      <c r="BQ326" s="173" t="str">
        <f t="shared" si="314"/>
        <v/>
      </c>
      <c r="BR326" s="180" t="str">
        <f t="shared" si="314"/>
        <v/>
      </c>
      <c r="BT326" s="185" t="str">
        <f t="shared" si="315"/>
        <v/>
      </c>
      <c r="BU326" s="173" t="str">
        <f t="shared" si="315"/>
        <v/>
      </c>
      <c r="BV326" s="173" t="str">
        <f t="shared" si="315"/>
        <v/>
      </c>
      <c r="BW326" s="180" t="str">
        <f t="shared" si="315"/>
        <v/>
      </c>
      <c r="BX326" s="288"/>
      <c r="CM326" s="96"/>
    </row>
    <row r="327" spans="1:91">
      <c r="A327" s="284" t="str">
        <f t="shared" si="316"/>
        <v/>
      </c>
      <c r="B327" s="185">
        <f t="shared" si="316"/>
        <v>45</v>
      </c>
      <c r="C327" s="173">
        <f t="shared" si="316"/>
        <v>53.5</v>
      </c>
      <c r="D327" s="173">
        <f t="shared" si="316"/>
        <v>570</v>
      </c>
      <c r="E327" s="180">
        <f t="shared" si="316"/>
        <v>18</v>
      </c>
      <c r="G327" s="185">
        <f t="shared" si="302"/>
        <v>45</v>
      </c>
      <c r="H327" s="173">
        <f t="shared" si="302"/>
        <v>53.5</v>
      </c>
      <c r="I327" s="173">
        <f t="shared" si="302"/>
        <v>330</v>
      </c>
      <c r="J327" s="180">
        <f t="shared" si="302"/>
        <v>18</v>
      </c>
      <c r="L327" s="185">
        <f t="shared" si="303"/>
        <v>45</v>
      </c>
      <c r="M327" s="173">
        <f t="shared" si="303"/>
        <v>53.5</v>
      </c>
      <c r="N327" s="173">
        <f t="shared" si="303"/>
        <v>147</v>
      </c>
      <c r="O327" s="180">
        <f t="shared" si="303"/>
        <v>18</v>
      </c>
      <c r="Q327" s="185">
        <f t="shared" si="304"/>
        <v>45</v>
      </c>
      <c r="R327" s="173">
        <f t="shared" si="304"/>
        <v>10.5</v>
      </c>
      <c r="S327" s="173">
        <f t="shared" si="304"/>
        <v>517</v>
      </c>
      <c r="T327" s="180">
        <f t="shared" si="304"/>
        <v>18</v>
      </c>
      <c r="V327" s="185">
        <f t="shared" si="305"/>
        <v>45</v>
      </c>
      <c r="W327" s="173">
        <f t="shared" si="305"/>
        <v>10.5</v>
      </c>
      <c r="X327" s="173">
        <f t="shared" si="305"/>
        <v>61</v>
      </c>
      <c r="Y327" s="180">
        <f t="shared" si="305"/>
        <v>18</v>
      </c>
      <c r="AA327" s="185" t="str">
        <f t="shared" si="306"/>
        <v/>
      </c>
      <c r="AB327" s="173" t="str">
        <f t="shared" si="306"/>
        <v/>
      </c>
      <c r="AC327" s="173" t="str">
        <f t="shared" si="306"/>
        <v/>
      </c>
      <c r="AD327" s="180" t="str">
        <f t="shared" si="306"/>
        <v/>
      </c>
      <c r="AF327" s="185" t="str">
        <f t="shared" si="307"/>
        <v/>
      </c>
      <c r="AG327" s="173" t="str">
        <f t="shared" si="307"/>
        <v/>
      </c>
      <c r="AH327" s="173" t="str">
        <f t="shared" si="307"/>
        <v/>
      </c>
      <c r="AI327" s="180" t="str">
        <f t="shared" si="307"/>
        <v/>
      </c>
      <c r="AK327" s="185" t="str">
        <f t="shared" si="308"/>
        <v/>
      </c>
      <c r="AL327" s="173" t="str">
        <f t="shared" si="308"/>
        <v/>
      </c>
      <c r="AM327" s="173" t="str">
        <f t="shared" si="308"/>
        <v/>
      </c>
      <c r="AN327" s="180" t="str">
        <f t="shared" si="308"/>
        <v/>
      </c>
      <c r="AP327" s="185">
        <f t="shared" si="309"/>
        <v>45</v>
      </c>
      <c r="AQ327" s="173">
        <f t="shared" si="309"/>
        <v>10.5</v>
      </c>
      <c r="AR327" s="173">
        <f t="shared" si="309"/>
        <v>667</v>
      </c>
      <c r="AS327" s="180">
        <f t="shared" si="309"/>
        <v>18</v>
      </c>
      <c r="AT327" s="288"/>
      <c r="AU327" s="185" t="str">
        <f t="shared" si="310"/>
        <v/>
      </c>
      <c r="AV327" s="173" t="str">
        <f t="shared" si="310"/>
        <v/>
      </c>
      <c r="AW327" s="173" t="str">
        <f t="shared" si="310"/>
        <v/>
      </c>
      <c r="AX327" s="180" t="str">
        <f t="shared" si="310"/>
        <v/>
      </c>
      <c r="AZ327" s="185" t="str">
        <f t="shared" si="311"/>
        <v/>
      </c>
      <c r="BA327" s="173" t="str">
        <f t="shared" si="311"/>
        <v/>
      </c>
      <c r="BB327" s="173" t="str">
        <f t="shared" si="311"/>
        <v/>
      </c>
      <c r="BC327" s="180" t="str">
        <f t="shared" si="311"/>
        <v/>
      </c>
      <c r="BE327" s="185" t="str">
        <f t="shared" si="312"/>
        <v/>
      </c>
      <c r="BF327" s="173" t="str">
        <f t="shared" si="312"/>
        <v/>
      </c>
      <c r="BG327" s="173" t="str">
        <f t="shared" si="312"/>
        <v/>
      </c>
      <c r="BH327" s="180" t="str">
        <f t="shared" si="312"/>
        <v/>
      </c>
      <c r="BI327" s="288"/>
      <c r="BJ327" s="185" t="str">
        <f t="shared" si="313"/>
        <v/>
      </c>
      <c r="BK327" s="173" t="str">
        <f t="shared" si="313"/>
        <v/>
      </c>
      <c r="BL327" s="173" t="str">
        <f t="shared" si="313"/>
        <v/>
      </c>
      <c r="BM327" s="180" t="str">
        <f t="shared" si="313"/>
        <v/>
      </c>
      <c r="BO327" s="185" t="str">
        <f t="shared" si="314"/>
        <v/>
      </c>
      <c r="BP327" s="173" t="str">
        <f t="shared" si="314"/>
        <v/>
      </c>
      <c r="BQ327" s="173" t="str">
        <f t="shared" si="314"/>
        <v/>
      </c>
      <c r="BR327" s="180" t="str">
        <f t="shared" si="314"/>
        <v/>
      </c>
      <c r="BT327" s="185" t="str">
        <f t="shared" si="315"/>
        <v/>
      </c>
      <c r="BU327" s="173" t="str">
        <f t="shared" si="315"/>
        <v/>
      </c>
      <c r="BV327" s="173" t="str">
        <f t="shared" si="315"/>
        <v/>
      </c>
      <c r="BW327" s="180" t="str">
        <f t="shared" si="315"/>
        <v/>
      </c>
      <c r="BX327" s="288"/>
      <c r="CM327" s="96"/>
    </row>
    <row r="328" spans="1:91">
      <c r="A328" s="284" t="str">
        <f t="shared" si="316"/>
        <v/>
      </c>
      <c r="B328" s="185">
        <f t="shared" si="316"/>
        <v>45</v>
      </c>
      <c r="C328" s="173">
        <f t="shared" si="316"/>
        <v>53.5</v>
      </c>
      <c r="D328" s="173">
        <f t="shared" si="316"/>
        <v>513</v>
      </c>
      <c r="E328" s="180">
        <f t="shared" si="316"/>
        <v>18</v>
      </c>
      <c r="G328" s="185">
        <f t="shared" si="302"/>
        <v>45</v>
      </c>
      <c r="H328" s="173">
        <f t="shared" si="302"/>
        <v>53.5</v>
      </c>
      <c r="I328" s="173">
        <f t="shared" si="302"/>
        <v>273</v>
      </c>
      <c r="J328" s="180">
        <f t="shared" si="302"/>
        <v>18</v>
      </c>
      <c r="L328" s="185">
        <f t="shared" si="303"/>
        <v>45</v>
      </c>
      <c r="M328" s="173">
        <f t="shared" si="303"/>
        <v>53.5</v>
      </c>
      <c r="N328" s="173">
        <f t="shared" si="303"/>
        <v>90</v>
      </c>
      <c r="O328" s="180">
        <f t="shared" si="303"/>
        <v>18</v>
      </c>
      <c r="Q328" s="185">
        <f t="shared" si="304"/>
        <v>45</v>
      </c>
      <c r="R328" s="173">
        <f t="shared" si="304"/>
        <v>10.5</v>
      </c>
      <c r="S328" s="173">
        <f t="shared" si="304"/>
        <v>460</v>
      </c>
      <c r="T328" s="180">
        <f t="shared" si="304"/>
        <v>18</v>
      </c>
      <c r="V328" s="185" t="str">
        <f t="shared" si="305"/>
        <v/>
      </c>
      <c r="W328" s="173" t="str">
        <f t="shared" si="305"/>
        <v/>
      </c>
      <c r="X328" s="173" t="str">
        <f t="shared" si="305"/>
        <v/>
      </c>
      <c r="Y328" s="180" t="str">
        <f t="shared" si="305"/>
        <v/>
      </c>
      <c r="AA328" s="185" t="str">
        <f t="shared" si="306"/>
        <v/>
      </c>
      <c r="AB328" s="173" t="str">
        <f t="shared" si="306"/>
        <v/>
      </c>
      <c r="AC328" s="173" t="str">
        <f t="shared" si="306"/>
        <v/>
      </c>
      <c r="AD328" s="180" t="str">
        <f t="shared" si="306"/>
        <v/>
      </c>
      <c r="AF328" s="185" t="str">
        <f t="shared" si="307"/>
        <v/>
      </c>
      <c r="AG328" s="173" t="str">
        <f t="shared" si="307"/>
        <v/>
      </c>
      <c r="AH328" s="173" t="str">
        <f t="shared" si="307"/>
        <v/>
      </c>
      <c r="AI328" s="180" t="str">
        <f t="shared" si="307"/>
        <v/>
      </c>
      <c r="AK328" s="185" t="str">
        <f t="shared" si="308"/>
        <v/>
      </c>
      <c r="AL328" s="173" t="str">
        <f t="shared" si="308"/>
        <v/>
      </c>
      <c r="AM328" s="173" t="str">
        <f t="shared" si="308"/>
        <v/>
      </c>
      <c r="AN328" s="180" t="str">
        <f t="shared" si="308"/>
        <v/>
      </c>
      <c r="AP328" s="185">
        <f t="shared" si="309"/>
        <v>45</v>
      </c>
      <c r="AQ328" s="173">
        <f t="shared" si="309"/>
        <v>10.5</v>
      </c>
      <c r="AR328" s="173">
        <f t="shared" si="309"/>
        <v>610</v>
      </c>
      <c r="AS328" s="180">
        <f t="shared" si="309"/>
        <v>18</v>
      </c>
      <c r="AT328" s="288"/>
      <c r="AU328" s="185" t="str">
        <f t="shared" si="310"/>
        <v/>
      </c>
      <c r="AV328" s="173" t="str">
        <f t="shared" si="310"/>
        <v/>
      </c>
      <c r="AW328" s="173" t="str">
        <f t="shared" si="310"/>
        <v/>
      </c>
      <c r="AX328" s="180" t="str">
        <f t="shared" si="310"/>
        <v/>
      </c>
      <c r="AZ328" s="185" t="str">
        <f t="shared" si="311"/>
        <v/>
      </c>
      <c r="BA328" s="173" t="str">
        <f t="shared" si="311"/>
        <v/>
      </c>
      <c r="BB328" s="173" t="str">
        <f t="shared" si="311"/>
        <v/>
      </c>
      <c r="BC328" s="180" t="str">
        <f t="shared" si="311"/>
        <v/>
      </c>
      <c r="BE328" s="185" t="str">
        <f t="shared" si="312"/>
        <v/>
      </c>
      <c r="BF328" s="173" t="str">
        <f t="shared" si="312"/>
        <v/>
      </c>
      <c r="BG328" s="173" t="str">
        <f t="shared" si="312"/>
        <v/>
      </c>
      <c r="BH328" s="180" t="str">
        <f t="shared" si="312"/>
        <v/>
      </c>
      <c r="BI328" s="288"/>
      <c r="BJ328" s="185" t="str">
        <f t="shared" si="313"/>
        <v/>
      </c>
      <c r="BK328" s="173" t="str">
        <f t="shared" si="313"/>
        <v/>
      </c>
      <c r="BL328" s="173" t="str">
        <f t="shared" si="313"/>
        <v/>
      </c>
      <c r="BM328" s="180" t="str">
        <f t="shared" si="313"/>
        <v/>
      </c>
      <c r="BO328" s="185" t="str">
        <f t="shared" si="314"/>
        <v/>
      </c>
      <c r="BP328" s="173" t="str">
        <f t="shared" si="314"/>
        <v/>
      </c>
      <c r="BQ328" s="173" t="str">
        <f t="shared" si="314"/>
        <v/>
      </c>
      <c r="BR328" s="180" t="str">
        <f t="shared" si="314"/>
        <v/>
      </c>
      <c r="BT328" s="185" t="str">
        <f t="shared" si="315"/>
        <v/>
      </c>
      <c r="BU328" s="173" t="str">
        <f t="shared" si="315"/>
        <v/>
      </c>
      <c r="BV328" s="173" t="str">
        <f t="shared" si="315"/>
        <v/>
      </c>
      <c r="BW328" s="180" t="str">
        <f t="shared" si="315"/>
        <v/>
      </c>
      <c r="BX328" s="288"/>
      <c r="CM328" s="96"/>
    </row>
    <row r="329" spans="1:91">
      <c r="A329" s="284" t="str">
        <f t="shared" si="316"/>
        <v/>
      </c>
      <c r="B329" s="185">
        <f t="shared" si="316"/>
        <v>45</v>
      </c>
      <c r="C329" s="173">
        <f t="shared" si="316"/>
        <v>53.5</v>
      </c>
      <c r="D329" s="173">
        <f t="shared" si="316"/>
        <v>456</v>
      </c>
      <c r="E329" s="180">
        <f t="shared" si="316"/>
        <v>18</v>
      </c>
      <c r="G329" s="185">
        <f t="shared" ref="G329:J344" si="317">IF(G175="","",G175)</f>
        <v>45</v>
      </c>
      <c r="H329" s="173">
        <f t="shared" si="317"/>
        <v>53.5</v>
      </c>
      <c r="I329" s="173">
        <f t="shared" si="317"/>
        <v>216</v>
      </c>
      <c r="J329" s="180">
        <f t="shared" si="317"/>
        <v>18</v>
      </c>
      <c r="L329" s="185">
        <f t="shared" ref="L329:O344" si="318">IF(L175="","",L175)</f>
        <v>45</v>
      </c>
      <c r="M329" s="173">
        <f t="shared" si="318"/>
        <v>10.5</v>
      </c>
      <c r="N329" s="173">
        <f t="shared" si="318"/>
        <v>631</v>
      </c>
      <c r="O329" s="180">
        <f t="shared" si="318"/>
        <v>18</v>
      </c>
      <c r="Q329" s="185">
        <f t="shared" ref="Q329:T344" si="319">IF(Q175="","",Q175)</f>
        <v>45</v>
      </c>
      <c r="R329" s="173">
        <f t="shared" si="319"/>
        <v>10.5</v>
      </c>
      <c r="S329" s="173">
        <f t="shared" si="319"/>
        <v>403</v>
      </c>
      <c r="T329" s="180">
        <f t="shared" si="319"/>
        <v>18</v>
      </c>
      <c r="V329" s="185" t="str">
        <f t="shared" ref="V329:Y344" si="320">IF(V175="","",V175)</f>
        <v/>
      </c>
      <c r="W329" s="173" t="str">
        <f t="shared" si="320"/>
        <v/>
      </c>
      <c r="X329" s="173" t="str">
        <f t="shared" si="320"/>
        <v/>
      </c>
      <c r="Y329" s="180" t="str">
        <f t="shared" si="320"/>
        <v/>
      </c>
      <c r="AA329" s="185" t="str">
        <f t="shared" ref="AA329:AD344" si="321">IF(AA175="","",AA175)</f>
        <v/>
      </c>
      <c r="AB329" s="173" t="str">
        <f t="shared" si="321"/>
        <v/>
      </c>
      <c r="AC329" s="173" t="str">
        <f t="shared" si="321"/>
        <v/>
      </c>
      <c r="AD329" s="180" t="str">
        <f t="shared" si="321"/>
        <v/>
      </c>
      <c r="AF329" s="185" t="str">
        <f t="shared" ref="AF329:AI344" si="322">IF(AF175="","",AF175)</f>
        <v/>
      </c>
      <c r="AG329" s="173" t="str">
        <f t="shared" si="322"/>
        <v/>
      </c>
      <c r="AH329" s="173" t="str">
        <f t="shared" si="322"/>
        <v/>
      </c>
      <c r="AI329" s="180" t="str">
        <f t="shared" si="322"/>
        <v/>
      </c>
      <c r="AK329" s="185" t="str">
        <f t="shared" ref="AK329:AN344" si="323">IF(AK175="","",AK175)</f>
        <v/>
      </c>
      <c r="AL329" s="173" t="str">
        <f t="shared" si="323"/>
        <v/>
      </c>
      <c r="AM329" s="173" t="str">
        <f t="shared" si="323"/>
        <v/>
      </c>
      <c r="AN329" s="180" t="str">
        <f t="shared" si="323"/>
        <v/>
      </c>
      <c r="AP329" s="185">
        <f t="shared" ref="AP329:AS335" si="324">IF(AP175="","",AP175)</f>
        <v>45</v>
      </c>
      <c r="AQ329" s="173">
        <f t="shared" si="324"/>
        <v>10.5</v>
      </c>
      <c r="AR329" s="173">
        <f t="shared" si="324"/>
        <v>553</v>
      </c>
      <c r="AS329" s="180">
        <f t="shared" si="324"/>
        <v>18</v>
      </c>
      <c r="AT329" s="288"/>
      <c r="AU329" s="185" t="str">
        <f t="shared" ref="AU329:AX344" si="325">IF(AU175="","",AU175)</f>
        <v/>
      </c>
      <c r="AV329" s="173" t="str">
        <f t="shared" si="325"/>
        <v/>
      </c>
      <c r="AW329" s="173" t="str">
        <f t="shared" si="325"/>
        <v/>
      </c>
      <c r="AX329" s="180" t="str">
        <f t="shared" si="325"/>
        <v/>
      </c>
      <c r="AZ329" s="185" t="str">
        <f t="shared" ref="AZ329:BC344" si="326">IF(AZ175="","",AZ175)</f>
        <v/>
      </c>
      <c r="BA329" s="173" t="str">
        <f t="shared" si="326"/>
        <v/>
      </c>
      <c r="BB329" s="173" t="str">
        <f t="shared" si="326"/>
        <v/>
      </c>
      <c r="BC329" s="180" t="str">
        <f t="shared" si="326"/>
        <v/>
      </c>
      <c r="BE329" s="185" t="str">
        <f t="shared" ref="BE329:BH344" si="327">IF(BE175="","",BE175)</f>
        <v/>
      </c>
      <c r="BF329" s="173" t="str">
        <f t="shared" si="327"/>
        <v/>
      </c>
      <c r="BG329" s="173" t="str">
        <f t="shared" si="327"/>
        <v/>
      </c>
      <c r="BH329" s="180" t="str">
        <f t="shared" si="327"/>
        <v/>
      </c>
      <c r="BI329" s="288"/>
      <c r="BJ329" s="185" t="str">
        <f t="shared" ref="BJ329:BM344" si="328">IF(BJ175="","",BJ175)</f>
        <v/>
      </c>
      <c r="BK329" s="173" t="str">
        <f t="shared" si="328"/>
        <v/>
      </c>
      <c r="BL329" s="173" t="str">
        <f t="shared" si="328"/>
        <v/>
      </c>
      <c r="BM329" s="180" t="str">
        <f t="shared" si="328"/>
        <v/>
      </c>
      <c r="BO329" s="185" t="str">
        <f t="shared" ref="BO329:BR344" si="329">IF(BO175="","",BO175)</f>
        <v/>
      </c>
      <c r="BP329" s="173" t="str">
        <f t="shared" si="329"/>
        <v/>
      </c>
      <c r="BQ329" s="173" t="str">
        <f t="shared" si="329"/>
        <v/>
      </c>
      <c r="BR329" s="180" t="str">
        <f t="shared" si="329"/>
        <v/>
      </c>
      <c r="BT329" s="185" t="str">
        <f t="shared" ref="BT329:BW344" si="330">IF(BT175="","",BT175)</f>
        <v/>
      </c>
      <c r="BU329" s="173" t="str">
        <f t="shared" si="330"/>
        <v/>
      </c>
      <c r="BV329" s="173" t="str">
        <f t="shared" si="330"/>
        <v/>
      </c>
      <c r="BW329" s="180" t="str">
        <f t="shared" si="330"/>
        <v/>
      </c>
      <c r="BX329" s="288"/>
      <c r="CM329" s="96"/>
    </row>
    <row r="330" spans="1:91">
      <c r="A330" s="284" t="str">
        <f t="shared" si="316"/>
        <v/>
      </c>
      <c r="B330" s="185">
        <f t="shared" si="316"/>
        <v>45</v>
      </c>
      <c r="C330" s="173">
        <f t="shared" si="316"/>
        <v>53.5</v>
      </c>
      <c r="D330" s="173">
        <f t="shared" si="316"/>
        <v>399</v>
      </c>
      <c r="E330" s="180">
        <f t="shared" si="316"/>
        <v>18</v>
      </c>
      <c r="G330" s="185">
        <f t="shared" si="317"/>
        <v>45</v>
      </c>
      <c r="H330" s="173">
        <f t="shared" si="317"/>
        <v>53.5</v>
      </c>
      <c r="I330" s="173">
        <f t="shared" si="317"/>
        <v>159</v>
      </c>
      <c r="J330" s="180">
        <f t="shared" si="317"/>
        <v>18</v>
      </c>
      <c r="L330" s="185">
        <f t="shared" si="318"/>
        <v>45</v>
      </c>
      <c r="M330" s="173">
        <f t="shared" si="318"/>
        <v>10.5</v>
      </c>
      <c r="N330" s="173">
        <f t="shared" si="318"/>
        <v>574</v>
      </c>
      <c r="O330" s="180">
        <f t="shared" si="318"/>
        <v>18</v>
      </c>
      <c r="Q330" s="185">
        <f t="shared" si="319"/>
        <v>45</v>
      </c>
      <c r="R330" s="173">
        <f t="shared" si="319"/>
        <v>10.5</v>
      </c>
      <c r="S330" s="173">
        <f t="shared" si="319"/>
        <v>346</v>
      </c>
      <c r="T330" s="180">
        <f t="shared" si="319"/>
        <v>18</v>
      </c>
      <c r="V330" s="185" t="str">
        <f t="shared" si="320"/>
        <v/>
      </c>
      <c r="W330" s="173" t="str">
        <f t="shared" si="320"/>
        <v/>
      </c>
      <c r="X330" s="173" t="str">
        <f t="shared" si="320"/>
        <v/>
      </c>
      <c r="Y330" s="180" t="str">
        <f t="shared" si="320"/>
        <v/>
      </c>
      <c r="AA330" s="185" t="str">
        <f t="shared" si="321"/>
        <v/>
      </c>
      <c r="AB330" s="173" t="str">
        <f t="shared" si="321"/>
        <v/>
      </c>
      <c r="AC330" s="173" t="str">
        <f t="shared" si="321"/>
        <v/>
      </c>
      <c r="AD330" s="180" t="str">
        <f t="shared" si="321"/>
        <v/>
      </c>
      <c r="AF330" s="185" t="str">
        <f t="shared" si="322"/>
        <v/>
      </c>
      <c r="AG330" s="173" t="str">
        <f t="shared" si="322"/>
        <v/>
      </c>
      <c r="AH330" s="173" t="str">
        <f t="shared" si="322"/>
        <v/>
      </c>
      <c r="AI330" s="180" t="str">
        <f t="shared" si="322"/>
        <v/>
      </c>
      <c r="AK330" s="185" t="str">
        <f t="shared" si="323"/>
        <v/>
      </c>
      <c r="AL330" s="173" t="str">
        <f t="shared" si="323"/>
        <v/>
      </c>
      <c r="AM330" s="173" t="str">
        <f t="shared" si="323"/>
        <v/>
      </c>
      <c r="AN330" s="180" t="str">
        <f t="shared" si="323"/>
        <v/>
      </c>
      <c r="AP330" s="185">
        <f t="shared" si="324"/>
        <v>45</v>
      </c>
      <c r="AQ330" s="173">
        <f t="shared" si="324"/>
        <v>10.5</v>
      </c>
      <c r="AR330" s="173">
        <f t="shared" si="324"/>
        <v>496</v>
      </c>
      <c r="AS330" s="180">
        <f t="shared" si="324"/>
        <v>18</v>
      </c>
      <c r="AT330" s="288"/>
      <c r="AU330" s="185" t="str">
        <f t="shared" si="325"/>
        <v/>
      </c>
      <c r="AV330" s="173" t="str">
        <f t="shared" si="325"/>
        <v/>
      </c>
      <c r="AW330" s="173" t="str">
        <f t="shared" si="325"/>
        <v/>
      </c>
      <c r="AX330" s="180" t="str">
        <f t="shared" si="325"/>
        <v/>
      </c>
      <c r="AZ330" s="185" t="str">
        <f t="shared" si="326"/>
        <v/>
      </c>
      <c r="BA330" s="173" t="str">
        <f t="shared" si="326"/>
        <v/>
      </c>
      <c r="BB330" s="173" t="str">
        <f t="shared" si="326"/>
        <v/>
      </c>
      <c r="BC330" s="180" t="str">
        <f t="shared" si="326"/>
        <v/>
      </c>
      <c r="BE330" s="185" t="str">
        <f t="shared" si="327"/>
        <v/>
      </c>
      <c r="BF330" s="173" t="str">
        <f t="shared" si="327"/>
        <v/>
      </c>
      <c r="BG330" s="173" t="str">
        <f t="shared" si="327"/>
        <v/>
      </c>
      <c r="BH330" s="180" t="str">
        <f t="shared" si="327"/>
        <v/>
      </c>
      <c r="BI330" s="288"/>
      <c r="BJ330" s="185" t="str">
        <f t="shared" si="328"/>
        <v/>
      </c>
      <c r="BK330" s="173" t="str">
        <f t="shared" si="328"/>
        <v/>
      </c>
      <c r="BL330" s="173" t="str">
        <f t="shared" si="328"/>
        <v/>
      </c>
      <c r="BM330" s="180" t="str">
        <f t="shared" si="328"/>
        <v/>
      </c>
      <c r="BO330" s="185" t="str">
        <f t="shared" si="329"/>
        <v/>
      </c>
      <c r="BP330" s="173" t="str">
        <f t="shared" si="329"/>
        <v/>
      </c>
      <c r="BQ330" s="173" t="str">
        <f t="shared" si="329"/>
        <v/>
      </c>
      <c r="BR330" s="180" t="str">
        <f t="shared" si="329"/>
        <v/>
      </c>
      <c r="BT330" s="185" t="str">
        <f t="shared" si="330"/>
        <v/>
      </c>
      <c r="BU330" s="173" t="str">
        <f t="shared" si="330"/>
        <v/>
      </c>
      <c r="BV330" s="173" t="str">
        <f t="shared" si="330"/>
        <v/>
      </c>
      <c r="BW330" s="180" t="str">
        <f t="shared" si="330"/>
        <v/>
      </c>
      <c r="BX330" s="288"/>
      <c r="CM330" s="96"/>
    </row>
    <row r="331" spans="1:91">
      <c r="A331" s="284" t="str">
        <f t="shared" si="316"/>
        <v/>
      </c>
      <c r="B331" s="185">
        <f t="shared" si="316"/>
        <v>45</v>
      </c>
      <c r="C331" s="173">
        <f t="shared" si="316"/>
        <v>53.5</v>
      </c>
      <c r="D331" s="173">
        <f t="shared" si="316"/>
        <v>342</v>
      </c>
      <c r="E331" s="180">
        <f t="shared" si="316"/>
        <v>18</v>
      </c>
      <c r="G331" s="185">
        <f t="shared" si="317"/>
        <v>45</v>
      </c>
      <c r="H331" s="173">
        <f t="shared" si="317"/>
        <v>53.5</v>
      </c>
      <c r="I331" s="173">
        <f t="shared" si="317"/>
        <v>102</v>
      </c>
      <c r="J331" s="180">
        <f t="shared" si="317"/>
        <v>18</v>
      </c>
      <c r="L331" s="185">
        <f t="shared" si="318"/>
        <v>45</v>
      </c>
      <c r="M331" s="173">
        <f t="shared" si="318"/>
        <v>10.5</v>
      </c>
      <c r="N331" s="173">
        <f t="shared" si="318"/>
        <v>517</v>
      </c>
      <c r="O331" s="180">
        <f t="shared" si="318"/>
        <v>18</v>
      </c>
      <c r="Q331" s="185">
        <f t="shared" si="319"/>
        <v>45</v>
      </c>
      <c r="R331" s="173">
        <f t="shared" si="319"/>
        <v>10.5</v>
      </c>
      <c r="S331" s="173">
        <f t="shared" si="319"/>
        <v>289</v>
      </c>
      <c r="T331" s="180">
        <f t="shared" si="319"/>
        <v>18</v>
      </c>
      <c r="V331" s="185" t="str">
        <f t="shared" si="320"/>
        <v/>
      </c>
      <c r="W331" s="173" t="str">
        <f t="shared" si="320"/>
        <v/>
      </c>
      <c r="X331" s="173" t="str">
        <f t="shared" si="320"/>
        <v/>
      </c>
      <c r="Y331" s="180" t="str">
        <f t="shared" si="320"/>
        <v/>
      </c>
      <c r="AA331" s="185" t="str">
        <f t="shared" si="321"/>
        <v/>
      </c>
      <c r="AB331" s="173" t="str">
        <f t="shared" si="321"/>
        <v/>
      </c>
      <c r="AC331" s="173" t="str">
        <f t="shared" si="321"/>
        <v/>
      </c>
      <c r="AD331" s="180" t="str">
        <f t="shared" si="321"/>
        <v/>
      </c>
      <c r="AF331" s="185" t="str">
        <f t="shared" si="322"/>
        <v/>
      </c>
      <c r="AG331" s="173" t="str">
        <f t="shared" si="322"/>
        <v/>
      </c>
      <c r="AH331" s="173" t="str">
        <f t="shared" si="322"/>
        <v/>
      </c>
      <c r="AI331" s="180" t="str">
        <f t="shared" si="322"/>
        <v/>
      </c>
      <c r="AK331" s="185" t="str">
        <f t="shared" si="323"/>
        <v/>
      </c>
      <c r="AL331" s="173" t="str">
        <f t="shared" si="323"/>
        <v/>
      </c>
      <c r="AM331" s="173" t="str">
        <f t="shared" si="323"/>
        <v/>
      </c>
      <c r="AN331" s="180" t="str">
        <f t="shared" si="323"/>
        <v/>
      </c>
      <c r="AP331" s="185">
        <f t="shared" si="324"/>
        <v>45</v>
      </c>
      <c r="AQ331" s="173">
        <f t="shared" si="324"/>
        <v>10.5</v>
      </c>
      <c r="AR331" s="173">
        <f t="shared" si="324"/>
        <v>439</v>
      </c>
      <c r="AS331" s="180">
        <f t="shared" si="324"/>
        <v>18</v>
      </c>
      <c r="AT331" s="288"/>
      <c r="AU331" s="185" t="str">
        <f t="shared" si="325"/>
        <v/>
      </c>
      <c r="AV331" s="173" t="str">
        <f t="shared" si="325"/>
        <v/>
      </c>
      <c r="AW331" s="173" t="str">
        <f t="shared" si="325"/>
        <v/>
      </c>
      <c r="AX331" s="180" t="str">
        <f t="shared" si="325"/>
        <v/>
      </c>
      <c r="AZ331" s="185" t="str">
        <f t="shared" si="326"/>
        <v/>
      </c>
      <c r="BA331" s="173" t="str">
        <f t="shared" si="326"/>
        <v/>
      </c>
      <c r="BB331" s="173" t="str">
        <f t="shared" si="326"/>
        <v/>
      </c>
      <c r="BC331" s="180" t="str">
        <f t="shared" si="326"/>
        <v/>
      </c>
      <c r="BE331" s="185" t="str">
        <f t="shared" si="327"/>
        <v/>
      </c>
      <c r="BF331" s="173" t="str">
        <f t="shared" si="327"/>
        <v/>
      </c>
      <c r="BG331" s="173" t="str">
        <f t="shared" si="327"/>
        <v/>
      </c>
      <c r="BH331" s="180" t="str">
        <f t="shared" si="327"/>
        <v/>
      </c>
      <c r="BI331" s="288"/>
      <c r="BJ331" s="185" t="str">
        <f t="shared" si="328"/>
        <v/>
      </c>
      <c r="BK331" s="173" t="str">
        <f t="shared" si="328"/>
        <v/>
      </c>
      <c r="BL331" s="173" t="str">
        <f t="shared" si="328"/>
        <v/>
      </c>
      <c r="BM331" s="180" t="str">
        <f t="shared" si="328"/>
        <v/>
      </c>
      <c r="BO331" s="185" t="str">
        <f t="shared" si="329"/>
        <v/>
      </c>
      <c r="BP331" s="173" t="str">
        <f t="shared" si="329"/>
        <v/>
      </c>
      <c r="BQ331" s="173" t="str">
        <f t="shared" si="329"/>
        <v/>
      </c>
      <c r="BR331" s="180" t="str">
        <f t="shared" si="329"/>
        <v/>
      </c>
      <c r="BT331" s="185" t="str">
        <f t="shared" si="330"/>
        <v/>
      </c>
      <c r="BU331" s="173" t="str">
        <f t="shared" si="330"/>
        <v/>
      </c>
      <c r="BV331" s="173" t="str">
        <f t="shared" si="330"/>
        <v/>
      </c>
      <c r="BW331" s="180" t="str">
        <f t="shared" si="330"/>
        <v/>
      </c>
      <c r="BX331" s="288"/>
      <c r="CM331" s="96"/>
    </row>
    <row r="332" spans="1:91">
      <c r="A332" s="284" t="str">
        <f t="shared" si="316"/>
        <v/>
      </c>
      <c r="B332" s="185">
        <f t="shared" si="316"/>
        <v>45</v>
      </c>
      <c r="C332" s="173">
        <f t="shared" si="316"/>
        <v>10.5</v>
      </c>
      <c r="D332" s="173">
        <f t="shared" si="316"/>
        <v>940</v>
      </c>
      <c r="E332" s="180">
        <f t="shared" si="316"/>
        <v>18</v>
      </c>
      <c r="G332" s="185">
        <f t="shared" si="317"/>
        <v>45</v>
      </c>
      <c r="H332" s="173">
        <f t="shared" si="317"/>
        <v>10.5</v>
      </c>
      <c r="I332" s="173">
        <f t="shared" si="317"/>
        <v>700</v>
      </c>
      <c r="J332" s="180">
        <f t="shared" si="317"/>
        <v>18</v>
      </c>
      <c r="L332" s="185">
        <f t="shared" si="318"/>
        <v>45</v>
      </c>
      <c r="M332" s="173">
        <f t="shared" si="318"/>
        <v>10.5</v>
      </c>
      <c r="N332" s="173">
        <f t="shared" si="318"/>
        <v>460</v>
      </c>
      <c r="O332" s="180">
        <f t="shared" si="318"/>
        <v>18</v>
      </c>
      <c r="Q332" s="185">
        <f t="shared" si="319"/>
        <v>45</v>
      </c>
      <c r="R332" s="173">
        <f t="shared" si="319"/>
        <v>10.5</v>
      </c>
      <c r="S332" s="173">
        <f t="shared" si="319"/>
        <v>232</v>
      </c>
      <c r="T332" s="180">
        <f t="shared" si="319"/>
        <v>18</v>
      </c>
      <c r="V332" s="185" t="str">
        <f t="shared" si="320"/>
        <v/>
      </c>
      <c r="W332" s="173" t="str">
        <f t="shared" si="320"/>
        <v/>
      </c>
      <c r="X332" s="173" t="str">
        <f t="shared" si="320"/>
        <v/>
      </c>
      <c r="Y332" s="180" t="str">
        <f t="shared" si="320"/>
        <v/>
      </c>
      <c r="AA332" s="185" t="str">
        <f t="shared" si="321"/>
        <v/>
      </c>
      <c r="AB332" s="173" t="str">
        <f t="shared" si="321"/>
        <v/>
      </c>
      <c r="AC332" s="173" t="str">
        <f t="shared" si="321"/>
        <v/>
      </c>
      <c r="AD332" s="180" t="str">
        <f t="shared" si="321"/>
        <v/>
      </c>
      <c r="AF332" s="185" t="str">
        <f t="shared" si="322"/>
        <v/>
      </c>
      <c r="AG332" s="173" t="str">
        <f t="shared" si="322"/>
        <v/>
      </c>
      <c r="AH332" s="173" t="str">
        <f t="shared" si="322"/>
        <v/>
      </c>
      <c r="AI332" s="180" t="str">
        <f t="shared" si="322"/>
        <v/>
      </c>
      <c r="AK332" s="185" t="str">
        <f t="shared" si="323"/>
        <v/>
      </c>
      <c r="AL332" s="173" t="str">
        <f t="shared" si="323"/>
        <v/>
      </c>
      <c r="AM332" s="173" t="str">
        <f t="shared" si="323"/>
        <v/>
      </c>
      <c r="AN332" s="180" t="str">
        <f t="shared" si="323"/>
        <v/>
      </c>
      <c r="AP332" s="185">
        <f t="shared" si="324"/>
        <v>45</v>
      </c>
      <c r="AQ332" s="173">
        <f t="shared" si="324"/>
        <v>10.5</v>
      </c>
      <c r="AR332" s="173">
        <f t="shared" si="324"/>
        <v>382</v>
      </c>
      <c r="AS332" s="180">
        <f t="shared" si="324"/>
        <v>18</v>
      </c>
      <c r="AT332" s="288"/>
      <c r="AU332" s="185" t="str">
        <f t="shared" si="325"/>
        <v/>
      </c>
      <c r="AV332" s="173" t="str">
        <f t="shared" si="325"/>
        <v/>
      </c>
      <c r="AW332" s="173" t="str">
        <f t="shared" si="325"/>
        <v/>
      </c>
      <c r="AX332" s="180" t="str">
        <f t="shared" si="325"/>
        <v/>
      </c>
      <c r="AZ332" s="185" t="str">
        <f t="shared" si="326"/>
        <v/>
      </c>
      <c r="BA332" s="173" t="str">
        <f t="shared" si="326"/>
        <v/>
      </c>
      <c r="BB332" s="173" t="str">
        <f t="shared" si="326"/>
        <v/>
      </c>
      <c r="BC332" s="180" t="str">
        <f t="shared" si="326"/>
        <v/>
      </c>
      <c r="BE332" s="185" t="str">
        <f t="shared" si="327"/>
        <v/>
      </c>
      <c r="BF332" s="173" t="str">
        <f t="shared" si="327"/>
        <v/>
      </c>
      <c r="BG332" s="173" t="str">
        <f t="shared" si="327"/>
        <v/>
      </c>
      <c r="BH332" s="180" t="str">
        <f t="shared" si="327"/>
        <v/>
      </c>
      <c r="BI332" s="288"/>
      <c r="BJ332" s="185" t="str">
        <f t="shared" si="328"/>
        <v/>
      </c>
      <c r="BK332" s="173" t="str">
        <f t="shared" si="328"/>
        <v/>
      </c>
      <c r="BL332" s="173" t="str">
        <f t="shared" si="328"/>
        <v/>
      </c>
      <c r="BM332" s="180" t="str">
        <f t="shared" si="328"/>
        <v/>
      </c>
      <c r="BO332" s="185" t="str">
        <f t="shared" si="329"/>
        <v/>
      </c>
      <c r="BP332" s="173" t="str">
        <f t="shared" si="329"/>
        <v/>
      </c>
      <c r="BQ332" s="173" t="str">
        <f t="shared" si="329"/>
        <v/>
      </c>
      <c r="BR332" s="180" t="str">
        <f t="shared" si="329"/>
        <v/>
      </c>
      <c r="BT332" s="185" t="str">
        <f t="shared" si="330"/>
        <v/>
      </c>
      <c r="BU332" s="173" t="str">
        <f t="shared" si="330"/>
        <v/>
      </c>
      <c r="BV332" s="173" t="str">
        <f t="shared" si="330"/>
        <v/>
      </c>
      <c r="BW332" s="180" t="str">
        <f t="shared" si="330"/>
        <v/>
      </c>
      <c r="BX332" s="288"/>
      <c r="CM332" s="96"/>
    </row>
    <row r="333" spans="1:91">
      <c r="A333" s="284" t="str">
        <f t="shared" si="316"/>
        <v/>
      </c>
      <c r="B333" s="185">
        <f t="shared" si="316"/>
        <v>45</v>
      </c>
      <c r="C333" s="173">
        <f t="shared" si="316"/>
        <v>10.5</v>
      </c>
      <c r="D333" s="173">
        <f t="shared" si="316"/>
        <v>883</v>
      </c>
      <c r="E333" s="180">
        <f t="shared" si="316"/>
        <v>18</v>
      </c>
      <c r="G333" s="185">
        <f t="shared" si="317"/>
        <v>45</v>
      </c>
      <c r="H333" s="173">
        <f t="shared" si="317"/>
        <v>10.5</v>
      </c>
      <c r="I333" s="173">
        <f t="shared" si="317"/>
        <v>643</v>
      </c>
      <c r="J333" s="180">
        <f t="shared" si="317"/>
        <v>18</v>
      </c>
      <c r="L333" s="185">
        <f t="shared" si="318"/>
        <v>45</v>
      </c>
      <c r="M333" s="173">
        <f t="shared" si="318"/>
        <v>10.5</v>
      </c>
      <c r="N333" s="173">
        <f t="shared" si="318"/>
        <v>403</v>
      </c>
      <c r="O333" s="180">
        <f t="shared" si="318"/>
        <v>18</v>
      </c>
      <c r="Q333" s="185">
        <f t="shared" si="319"/>
        <v>45</v>
      </c>
      <c r="R333" s="173">
        <f t="shared" si="319"/>
        <v>10.5</v>
      </c>
      <c r="S333" s="173">
        <f t="shared" si="319"/>
        <v>175</v>
      </c>
      <c r="T333" s="180">
        <f t="shared" si="319"/>
        <v>18</v>
      </c>
      <c r="V333" s="185" t="str">
        <f t="shared" si="320"/>
        <v/>
      </c>
      <c r="W333" s="173" t="str">
        <f t="shared" si="320"/>
        <v/>
      </c>
      <c r="X333" s="173" t="str">
        <f t="shared" si="320"/>
        <v/>
      </c>
      <c r="Y333" s="180" t="str">
        <f t="shared" si="320"/>
        <v/>
      </c>
      <c r="AA333" s="185" t="str">
        <f t="shared" si="321"/>
        <v/>
      </c>
      <c r="AB333" s="173" t="str">
        <f t="shared" si="321"/>
        <v/>
      </c>
      <c r="AC333" s="173" t="str">
        <f t="shared" si="321"/>
        <v/>
      </c>
      <c r="AD333" s="180" t="str">
        <f t="shared" si="321"/>
        <v/>
      </c>
      <c r="AF333" s="185" t="str">
        <f t="shared" si="322"/>
        <v/>
      </c>
      <c r="AG333" s="173" t="str">
        <f t="shared" si="322"/>
        <v/>
      </c>
      <c r="AH333" s="173" t="str">
        <f t="shared" si="322"/>
        <v/>
      </c>
      <c r="AI333" s="180" t="str">
        <f t="shared" si="322"/>
        <v/>
      </c>
      <c r="AK333" s="185" t="str">
        <f t="shared" si="323"/>
        <v/>
      </c>
      <c r="AL333" s="173" t="str">
        <f t="shared" si="323"/>
        <v/>
      </c>
      <c r="AM333" s="173" t="str">
        <f t="shared" si="323"/>
        <v/>
      </c>
      <c r="AN333" s="180" t="str">
        <f t="shared" si="323"/>
        <v/>
      </c>
      <c r="AP333" s="185">
        <f t="shared" si="324"/>
        <v>45</v>
      </c>
      <c r="AQ333" s="173">
        <f t="shared" si="324"/>
        <v>10.5</v>
      </c>
      <c r="AR333" s="173">
        <f t="shared" si="324"/>
        <v>325</v>
      </c>
      <c r="AS333" s="180">
        <f t="shared" si="324"/>
        <v>18</v>
      </c>
      <c r="AT333" s="288"/>
      <c r="AU333" s="185" t="str">
        <f t="shared" si="325"/>
        <v/>
      </c>
      <c r="AV333" s="173" t="str">
        <f t="shared" si="325"/>
        <v/>
      </c>
      <c r="AW333" s="173" t="str">
        <f t="shared" si="325"/>
        <v/>
      </c>
      <c r="AX333" s="180" t="str">
        <f t="shared" si="325"/>
        <v/>
      </c>
      <c r="AZ333" s="185" t="str">
        <f t="shared" si="326"/>
        <v/>
      </c>
      <c r="BA333" s="173" t="str">
        <f t="shared" si="326"/>
        <v/>
      </c>
      <c r="BB333" s="173" t="str">
        <f t="shared" si="326"/>
        <v/>
      </c>
      <c r="BC333" s="180" t="str">
        <f t="shared" si="326"/>
        <v/>
      </c>
      <c r="BE333" s="185" t="str">
        <f t="shared" si="327"/>
        <v/>
      </c>
      <c r="BF333" s="173" t="str">
        <f t="shared" si="327"/>
        <v/>
      </c>
      <c r="BG333" s="173" t="str">
        <f t="shared" si="327"/>
        <v/>
      </c>
      <c r="BH333" s="180" t="str">
        <f t="shared" si="327"/>
        <v/>
      </c>
      <c r="BI333" s="288"/>
      <c r="BJ333" s="185" t="str">
        <f t="shared" si="328"/>
        <v/>
      </c>
      <c r="BK333" s="173" t="str">
        <f t="shared" si="328"/>
        <v/>
      </c>
      <c r="BL333" s="173" t="str">
        <f t="shared" si="328"/>
        <v/>
      </c>
      <c r="BM333" s="180" t="str">
        <f t="shared" si="328"/>
        <v/>
      </c>
      <c r="BO333" s="185" t="str">
        <f t="shared" si="329"/>
        <v/>
      </c>
      <c r="BP333" s="173" t="str">
        <f t="shared" si="329"/>
        <v/>
      </c>
      <c r="BQ333" s="173" t="str">
        <f t="shared" si="329"/>
        <v/>
      </c>
      <c r="BR333" s="180" t="str">
        <f t="shared" si="329"/>
        <v/>
      </c>
      <c r="BT333" s="185" t="str">
        <f t="shared" si="330"/>
        <v/>
      </c>
      <c r="BU333" s="173" t="str">
        <f t="shared" si="330"/>
        <v/>
      </c>
      <c r="BV333" s="173" t="str">
        <f t="shared" si="330"/>
        <v/>
      </c>
      <c r="BW333" s="180" t="str">
        <f t="shared" si="330"/>
        <v/>
      </c>
      <c r="BX333" s="288"/>
      <c r="CM333" s="96"/>
    </row>
    <row r="334" spans="1:91">
      <c r="A334" s="284" t="str">
        <f t="shared" si="316"/>
        <v/>
      </c>
      <c r="B334" s="185">
        <f t="shared" si="316"/>
        <v>45</v>
      </c>
      <c r="C334" s="173">
        <f t="shared" si="316"/>
        <v>10.5</v>
      </c>
      <c r="D334" s="173">
        <f t="shared" si="316"/>
        <v>826</v>
      </c>
      <c r="E334" s="180">
        <f t="shared" si="316"/>
        <v>18</v>
      </c>
      <c r="G334" s="185">
        <f t="shared" si="317"/>
        <v>45</v>
      </c>
      <c r="H334" s="173">
        <f t="shared" si="317"/>
        <v>10.5</v>
      </c>
      <c r="I334" s="173">
        <f t="shared" si="317"/>
        <v>586</v>
      </c>
      <c r="J334" s="180">
        <f t="shared" si="317"/>
        <v>18</v>
      </c>
      <c r="L334" s="185">
        <f t="shared" si="318"/>
        <v>45</v>
      </c>
      <c r="M334" s="173">
        <f t="shared" si="318"/>
        <v>10.5</v>
      </c>
      <c r="N334" s="173">
        <f t="shared" si="318"/>
        <v>346</v>
      </c>
      <c r="O334" s="180">
        <f t="shared" si="318"/>
        <v>18</v>
      </c>
      <c r="Q334" s="185">
        <f t="shared" si="319"/>
        <v>45</v>
      </c>
      <c r="R334" s="173">
        <f t="shared" si="319"/>
        <v>10.5</v>
      </c>
      <c r="S334" s="173">
        <f t="shared" si="319"/>
        <v>118</v>
      </c>
      <c r="T334" s="180">
        <f t="shared" si="319"/>
        <v>18</v>
      </c>
      <c r="V334" s="185" t="str">
        <f t="shared" si="320"/>
        <v/>
      </c>
      <c r="W334" s="173" t="str">
        <f t="shared" si="320"/>
        <v/>
      </c>
      <c r="X334" s="173" t="str">
        <f t="shared" si="320"/>
        <v/>
      </c>
      <c r="Y334" s="180" t="str">
        <f t="shared" si="320"/>
        <v/>
      </c>
      <c r="AA334" s="185" t="str">
        <f t="shared" si="321"/>
        <v/>
      </c>
      <c r="AB334" s="173" t="str">
        <f t="shared" si="321"/>
        <v/>
      </c>
      <c r="AC334" s="173" t="str">
        <f t="shared" si="321"/>
        <v/>
      </c>
      <c r="AD334" s="180" t="str">
        <f t="shared" si="321"/>
        <v/>
      </c>
      <c r="AF334" s="185" t="str">
        <f t="shared" si="322"/>
        <v/>
      </c>
      <c r="AG334" s="173" t="str">
        <f t="shared" si="322"/>
        <v/>
      </c>
      <c r="AH334" s="173" t="str">
        <f t="shared" si="322"/>
        <v/>
      </c>
      <c r="AI334" s="180" t="str">
        <f t="shared" si="322"/>
        <v/>
      </c>
      <c r="AK334" s="185" t="str">
        <f t="shared" si="323"/>
        <v/>
      </c>
      <c r="AL334" s="173" t="str">
        <f t="shared" si="323"/>
        <v/>
      </c>
      <c r="AM334" s="173" t="str">
        <f t="shared" si="323"/>
        <v/>
      </c>
      <c r="AN334" s="180" t="str">
        <f t="shared" si="323"/>
        <v/>
      </c>
      <c r="AP334" s="185">
        <f t="shared" si="324"/>
        <v>45</v>
      </c>
      <c r="AQ334" s="173">
        <f t="shared" si="324"/>
        <v>10.5</v>
      </c>
      <c r="AR334" s="173">
        <f t="shared" si="324"/>
        <v>268</v>
      </c>
      <c r="AS334" s="180">
        <f t="shared" si="324"/>
        <v>18</v>
      </c>
      <c r="AT334" s="288"/>
      <c r="AU334" s="185" t="str">
        <f t="shared" si="325"/>
        <v/>
      </c>
      <c r="AV334" s="173" t="str">
        <f t="shared" si="325"/>
        <v/>
      </c>
      <c r="AW334" s="173" t="str">
        <f t="shared" si="325"/>
        <v/>
      </c>
      <c r="AX334" s="180" t="str">
        <f t="shared" si="325"/>
        <v/>
      </c>
      <c r="AZ334" s="185" t="str">
        <f t="shared" si="326"/>
        <v/>
      </c>
      <c r="BA334" s="173" t="str">
        <f t="shared" si="326"/>
        <v/>
      </c>
      <c r="BB334" s="173" t="str">
        <f t="shared" si="326"/>
        <v/>
      </c>
      <c r="BC334" s="180" t="str">
        <f t="shared" si="326"/>
        <v/>
      </c>
      <c r="BE334" s="185" t="str">
        <f t="shared" si="327"/>
        <v/>
      </c>
      <c r="BF334" s="173" t="str">
        <f t="shared" si="327"/>
        <v/>
      </c>
      <c r="BG334" s="173" t="str">
        <f t="shared" si="327"/>
        <v/>
      </c>
      <c r="BH334" s="180" t="str">
        <f t="shared" si="327"/>
        <v/>
      </c>
      <c r="BI334" s="288"/>
      <c r="BJ334" s="185" t="str">
        <f t="shared" si="328"/>
        <v/>
      </c>
      <c r="BK334" s="173" t="str">
        <f t="shared" si="328"/>
        <v/>
      </c>
      <c r="BL334" s="173" t="str">
        <f t="shared" si="328"/>
        <v/>
      </c>
      <c r="BM334" s="180" t="str">
        <f t="shared" si="328"/>
        <v/>
      </c>
      <c r="BO334" s="185" t="str">
        <f t="shared" si="329"/>
        <v/>
      </c>
      <c r="BP334" s="173" t="str">
        <f t="shared" si="329"/>
        <v/>
      </c>
      <c r="BQ334" s="173" t="str">
        <f t="shared" si="329"/>
        <v/>
      </c>
      <c r="BR334" s="180" t="str">
        <f t="shared" si="329"/>
        <v/>
      </c>
      <c r="BT334" s="185" t="str">
        <f t="shared" si="330"/>
        <v/>
      </c>
      <c r="BU334" s="173" t="str">
        <f t="shared" si="330"/>
        <v/>
      </c>
      <c r="BV334" s="173" t="str">
        <f t="shared" si="330"/>
        <v/>
      </c>
      <c r="BW334" s="180" t="str">
        <f t="shared" si="330"/>
        <v/>
      </c>
      <c r="BX334" s="288"/>
      <c r="CM334" s="96"/>
    </row>
    <row r="335" spans="1:91">
      <c r="A335" s="284" t="str">
        <f t="shared" ref="A335:E350" si="331">IF(A181="","",A181)</f>
        <v/>
      </c>
      <c r="B335" s="185">
        <f t="shared" si="331"/>
        <v>45</v>
      </c>
      <c r="C335" s="173">
        <f t="shared" si="331"/>
        <v>10.5</v>
      </c>
      <c r="D335" s="173">
        <f t="shared" si="331"/>
        <v>769</v>
      </c>
      <c r="E335" s="180">
        <f t="shared" si="331"/>
        <v>18</v>
      </c>
      <c r="G335" s="185">
        <f t="shared" si="317"/>
        <v>45</v>
      </c>
      <c r="H335" s="173">
        <f t="shared" si="317"/>
        <v>10.5</v>
      </c>
      <c r="I335" s="173">
        <f t="shared" si="317"/>
        <v>529</v>
      </c>
      <c r="J335" s="180">
        <f t="shared" si="317"/>
        <v>18</v>
      </c>
      <c r="L335" s="185">
        <f t="shared" si="318"/>
        <v>45</v>
      </c>
      <c r="M335" s="173">
        <f t="shared" si="318"/>
        <v>10.5</v>
      </c>
      <c r="N335" s="173">
        <f t="shared" si="318"/>
        <v>289</v>
      </c>
      <c r="O335" s="180">
        <f t="shared" si="318"/>
        <v>18</v>
      </c>
      <c r="Q335" s="185">
        <f t="shared" si="319"/>
        <v>45</v>
      </c>
      <c r="R335" s="173">
        <f t="shared" si="319"/>
        <v>10.5</v>
      </c>
      <c r="S335" s="173">
        <f t="shared" si="319"/>
        <v>61</v>
      </c>
      <c r="T335" s="180">
        <f t="shared" si="319"/>
        <v>18</v>
      </c>
      <c r="V335" s="185" t="str">
        <f t="shared" si="320"/>
        <v/>
      </c>
      <c r="W335" s="173" t="str">
        <f t="shared" si="320"/>
        <v/>
      </c>
      <c r="X335" s="173" t="str">
        <f t="shared" si="320"/>
        <v/>
      </c>
      <c r="Y335" s="180" t="str">
        <f t="shared" si="320"/>
        <v/>
      </c>
      <c r="AA335" s="185" t="str">
        <f t="shared" si="321"/>
        <v/>
      </c>
      <c r="AB335" s="173" t="str">
        <f t="shared" si="321"/>
        <v/>
      </c>
      <c r="AC335" s="173" t="str">
        <f t="shared" si="321"/>
        <v/>
      </c>
      <c r="AD335" s="180" t="str">
        <f t="shared" si="321"/>
        <v/>
      </c>
      <c r="AF335" s="185" t="str">
        <f t="shared" si="322"/>
        <v/>
      </c>
      <c r="AG335" s="173" t="str">
        <f t="shared" si="322"/>
        <v/>
      </c>
      <c r="AH335" s="173" t="str">
        <f t="shared" si="322"/>
        <v/>
      </c>
      <c r="AI335" s="180" t="str">
        <f t="shared" si="322"/>
        <v/>
      </c>
      <c r="AK335" s="185" t="str">
        <f t="shared" si="323"/>
        <v/>
      </c>
      <c r="AL335" s="173" t="str">
        <f t="shared" si="323"/>
        <v/>
      </c>
      <c r="AM335" s="173" t="str">
        <f t="shared" si="323"/>
        <v/>
      </c>
      <c r="AN335" s="180" t="str">
        <f t="shared" si="323"/>
        <v/>
      </c>
      <c r="AP335" s="185">
        <f t="shared" si="324"/>
        <v>45</v>
      </c>
      <c r="AQ335" s="173">
        <f t="shared" si="324"/>
        <v>10.5</v>
      </c>
      <c r="AR335" s="173">
        <f t="shared" si="324"/>
        <v>211</v>
      </c>
      <c r="AS335" s="180">
        <f t="shared" si="324"/>
        <v>18</v>
      </c>
      <c r="AT335" s="288"/>
      <c r="AU335" s="185" t="str">
        <f t="shared" si="325"/>
        <v/>
      </c>
      <c r="AV335" s="173" t="str">
        <f t="shared" si="325"/>
        <v/>
      </c>
      <c r="AW335" s="173" t="str">
        <f t="shared" si="325"/>
        <v/>
      </c>
      <c r="AX335" s="180" t="str">
        <f t="shared" si="325"/>
        <v/>
      </c>
      <c r="AZ335" s="185" t="str">
        <f t="shared" si="326"/>
        <v/>
      </c>
      <c r="BA335" s="173" t="str">
        <f t="shared" si="326"/>
        <v/>
      </c>
      <c r="BB335" s="173" t="str">
        <f t="shared" si="326"/>
        <v/>
      </c>
      <c r="BC335" s="180" t="str">
        <f t="shared" si="326"/>
        <v/>
      </c>
      <c r="BE335" s="185" t="str">
        <f t="shared" si="327"/>
        <v/>
      </c>
      <c r="BF335" s="173" t="str">
        <f t="shared" si="327"/>
        <v/>
      </c>
      <c r="BG335" s="173" t="str">
        <f t="shared" si="327"/>
        <v/>
      </c>
      <c r="BH335" s="180" t="str">
        <f t="shared" si="327"/>
        <v/>
      </c>
      <c r="BI335" s="288"/>
      <c r="BJ335" s="185" t="str">
        <f t="shared" si="328"/>
        <v/>
      </c>
      <c r="BK335" s="173" t="str">
        <f t="shared" si="328"/>
        <v/>
      </c>
      <c r="BL335" s="173" t="str">
        <f t="shared" si="328"/>
        <v/>
      </c>
      <c r="BM335" s="180" t="str">
        <f t="shared" si="328"/>
        <v/>
      </c>
      <c r="BO335" s="185" t="str">
        <f t="shared" si="329"/>
        <v/>
      </c>
      <c r="BP335" s="173" t="str">
        <f t="shared" si="329"/>
        <v/>
      </c>
      <c r="BQ335" s="173" t="str">
        <f t="shared" si="329"/>
        <v/>
      </c>
      <c r="BR335" s="180" t="str">
        <f t="shared" si="329"/>
        <v/>
      </c>
      <c r="BT335" s="185" t="str">
        <f t="shared" si="330"/>
        <v/>
      </c>
      <c r="BU335" s="173" t="str">
        <f t="shared" si="330"/>
        <v/>
      </c>
      <c r="BV335" s="173" t="str">
        <f t="shared" si="330"/>
        <v/>
      </c>
      <c r="BW335" s="180" t="str">
        <f t="shared" si="330"/>
        <v/>
      </c>
      <c r="BX335" s="288"/>
      <c r="CM335" s="96"/>
    </row>
    <row r="336" spans="1:91">
      <c r="A336" s="284" t="str">
        <f t="shared" si="331"/>
        <v/>
      </c>
      <c r="B336" s="185">
        <f t="shared" si="331"/>
        <v>45</v>
      </c>
      <c r="C336" s="173">
        <f t="shared" si="331"/>
        <v>10.5</v>
      </c>
      <c r="D336" s="173">
        <f t="shared" si="331"/>
        <v>712</v>
      </c>
      <c r="E336" s="180">
        <f t="shared" si="331"/>
        <v>18</v>
      </c>
      <c r="G336" s="185">
        <f t="shared" si="317"/>
        <v>45</v>
      </c>
      <c r="H336" s="173">
        <f t="shared" si="317"/>
        <v>10.5</v>
      </c>
      <c r="I336" s="173">
        <f t="shared" si="317"/>
        <v>472</v>
      </c>
      <c r="J336" s="180">
        <f t="shared" si="317"/>
        <v>18</v>
      </c>
      <c r="L336" s="185">
        <f t="shared" si="318"/>
        <v>45</v>
      </c>
      <c r="M336" s="173">
        <f t="shared" si="318"/>
        <v>10.5</v>
      </c>
      <c r="N336" s="173">
        <f t="shared" si="318"/>
        <v>232</v>
      </c>
      <c r="O336" s="180">
        <f t="shared" si="318"/>
        <v>18</v>
      </c>
      <c r="Q336" s="185" t="str">
        <f t="shared" si="319"/>
        <v/>
      </c>
      <c r="R336" s="173" t="str">
        <f t="shared" si="319"/>
        <v/>
      </c>
      <c r="S336" s="173" t="str">
        <f t="shared" si="319"/>
        <v/>
      </c>
      <c r="T336" s="180" t="str">
        <f t="shared" si="319"/>
        <v/>
      </c>
      <c r="V336" s="185" t="str">
        <f t="shared" si="320"/>
        <v/>
      </c>
      <c r="W336" s="173" t="str">
        <f t="shared" si="320"/>
        <v/>
      </c>
      <c r="X336" s="173" t="str">
        <f t="shared" si="320"/>
        <v/>
      </c>
      <c r="Y336" s="180" t="str">
        <f t="shared" si="320"/>
        <v/>
      </c>
      <c r="AA336" s="185" t="str">
        <f t="shared" si="321"/>
        <v/>
      </c>
      <c r="AB336" s="173" t="str">
        <f t="shared" si="321"/>
        <v/>
      </c>
      <c r="AC336" s="173" t="str">
        <f t="shared" si="321"/>
        <v/>
      </c>
      <c r="AD336" s="180" t="str">
        <f t="shared" si="321"/>
        <v/>
      </c>
      <c r="AF336" s="185" t="str">
        <f t="shared" si="322"/>
        <v/>
      </c>
      <c r="AG336" s="173" t="str">
        <f t="shared" si="322"/>
        <v/>
      </c>
      <c r="AH336" s="173" t="str">
        <f t="shared" si="322"/>
        <v/>
      </c>
      <c r="AI336" s="180" t="str">
        <f t="shared" si="322"/>
        <v/>
      </c>
      <c r="AK336" s="185" t="str">
        <f t="shared" si="323"/>
        <v/>
      </c>
      <c r="AL336" s="173" t="str">
        <f t="shared" si="323"/>
        <v/>
      </c>
      <c r="AM336" s="173" t="str">
        <f t="shared" si="323"/>
        <v/>
      </c>
      <c r="AN336" s="180" t="str">
        <f t="shared" si="323"/>
        <v/>
      </c>
      <c r="AP336" s="185" t="str">
        <f>""</f>
        <v/>
      </c>
      <c r="AQ336" s="173" t="str">
        <f>""</f>
        <v/>
      </c>
      <c r="AR336" s="173" t="str">
        <f>""</f>
        <v/>
      </c>
      <c r="AS336" s="180" t="str">
        <f>""</f>
        <v/>
      </c>
      <c r="AT336" s="288"/>
      <c r="AU336" s="185" t="str">
        <f t="shared" si="325"/>
        <v/>
      </c>
      <c r="AV336" s="173" t="str">
        <f t="shared" si="325"/>
        <v/>
      </c>
      <c r="AW336" s="173" t="str">
        <f t="shared" si="325"/>
        <v/>
      </c>
      <c r="AX336" s="180" t="str">
        <f t="shared" si="325"/>
        <v/>
      </c>
      <c r="AZ336" s="185" t="str">
        <f t="shared" si="326"/>
        <v/>
      </c>
      <c r="BA336" s="173" t="str">
        <f t="shared" si="326"/>
        <v/>
      </c>
      <c r="BB336" s="173" t="str">
        <f t="shared" si="326"/>
        <v/>
      </c>
      <c r="BC336" s="180" t="str">
        <f t="shared" si="326"/>
        <v/>
      </c>
      <c r="BE336" s="185" t="str">
        <f t="shared" si="327"/>
        <v/>
      </c>
      <c r="BF336" s="173" t="str">
        <f t="shared" si="327"/>
        <v/>
      </c>
      <c r="BG336" s="173" t="str">
        <f t="shared" si="327"/>
        <v/>
      </c>
      <c r="BH336" s="180" t="str">
        <f t="shared" si="327"/>
        <v/>
      </c>
      <c r="BI336" s="288"/>
      <c r="BJ336" s="185" t="str">
        <f t="shared" si="328"/>
        <v/>
      </c>
      <c r="BK336" s="173" t="str">
        <f t="shared" si="328"/>
        <v/>
      </c>
      <c r="BL336" s="173" t="str">
        <f t="shared" si="328"/>
        <v/>
      </c>
      <c r="BM336" s="180" t="str">
        <f t="shared" si="328"/>
        <v/>
      </c>
      <c r="BO336" s="185" t="str">
        <f t="shared" si="329"/>
        <v/>
      </c>
      <c r="BP336" s="173" t="str">
        <f t="shared" si="329"/>
        <v/>
      </c>
      <c r="BQ336" s="173" t="str">
        <f t="shared" si="329"/>
        <v/>
      </c>
      <c r="BR336" s="180" t="str">
        <f t="shared" si="329"/>
        <v/>
      </c>
      <c r="BT336" s="185" t="str">
        <f t="shared" si="330"/>
        <v/>
      </c>
      <c r="BU336" s="173" t="str">
        <f t="shared" si="330"/>
        <v/>
      </c>
      <c r="BV336" s="173" t="str">
        <f t="shared" si="330"/>
        <v/>
      </c>
      <c r="BW336" s="180" t="str">
        <f t="shared" si="330"/>
        <v/>
      </c>
      <c r="BX336" s="288"/>
      <c r="CM336" s="96"/>
    </row>
    <row r="337" spans="1:91">
      <c r="A337" s="284" t="str">
        <f t="shared" si="331"/>
        <v/>
      </c>
      <c r="B337" s="185">
        <f t="shared" si="331"/>
        <v>45</v>
      </c>
      <c r="C337" s="173">
        <f t="shared" si="331"/>
        <v>10.5</v>
      </c>
      <c r="D337" s="173">
        <f t="shared" si="331"/>
        <v>655</v>
      </c>
      <c r="E337" s="180">
        <f t="shared" si="331"/>
        <v>18</v>
      </c>
      <c r="G337" s="185">
        <f t="shared" si="317"/>
        <v>45</v>
      </c>
      <c r="H337" s="173">
        <f t="shared" si="317"/>
        <v>10.5</v>
      </c>
      <c r="I337" s="173">
        <f t="shared" si="317"/>
        <v>415</v>
      </c>
      <c r="J337" s="180">
        <f t="shared" si="317"/>
        <v>18</v>
      </c>
      <c r="L337" s="185">
        <f t="shared" si="318"/>
        <v>45</v>
      </c>
      <c r="M337" s="173">
        <f t="shared" si="318"/>
        <v>10.5</v>
      </c>
      <c r="N337" s="173">
        <f t="shared" si="318"/>
        <v>175</v>
      </c>
      <c r="O337" s="180">
        <f t="shared" si="318"/>
        <v>18</v>
      </c>
      <c r="Q337" s="185" t="str">
        <f t="shared" si="319"/>
        <v/>
      </c>
      <c r="R337" s="173" t="str">
        <f t="shared" si="319"/>
        <v/>
      </c>
      <c r="S337" s="173" t="str">
        <f t="shared" si="319"/>
        <v/>
      </c>
      <c r="T337" s="180" t="str">
        <f t="shared" si="319"/>
        <v/>
      </c>
      <c r="V337" s="185" t="str">
        <f t="shared" si="320"/>
        <v/>
      </c>
      <c r="W337" s="173" t="str">
        <f t="shared" si="320"/>
        <v/>
      </c>
      <c r="X337" s="173" t="str">
        <f t="shared" si="320"/>
        <v/>
      </c>
      <c r="Y337" s="180" t="str">
        <f t="shared" si="320"/>
        <v/>
      </c>
      <c r="AA337" s="185" t="str">
        <f t="shared" si="321"/>
        <v/>
      </c>
      <c r="AB337" s="173" t="str">
        <f t="shared" si="321"/>
        <v/>
      </c>
      <c r="AC337" s="173" t="str">
        <f t="shared" si="321"/>
        <v/>
      </c>
      <c r="AD337" s="180" t="str">
        <f t="shared" si="321"/>
        <v/>
      </c>
      <c r="AF337" s="185" t="str">
        <f t="shared" si="322"/>
        <v/>
      </c>
      <c r="AG337" s="173" t="str">
        <f t="shared" si="322"/>
        <v/>
      </c>
      <c r="AH337" s="173" t="str">
        <f t="shared" si="322"/>
        <v/>
      </c>
      <c r="AI337" s="180" t="str">
        <f t="shared" si="322"/>
        <v/>
      </c>
      <c r="AK337" s="185" t="str">
        <f t="shared" si="323"/>
        <v/>
      </c>
      <c r="AL337" s="173" t="str">
        <f t="shared" si="323"/>
        <v/>
      </c>
      <c r="AM337" s="173" t="str">
        <f t="shared" si="323"/>
        <v/>
      </c>
      <c r="AN337" s="180" t="str">
        <f t="shared" si="323"/>
        <v/>
      </c>
      <c r="AP337" s="185" t="str">
        <f>""</f>
        <v/>
      </c>
      <c r="AQ337" s="173" t="str">
        <f>""</f>
        <v/>
      </c>
      <c r="AR337" s="173" t="str">
        <f>""</f>
        <v/>
      </c>
      <c r="AS337" s="180" t="str">
        <f>""</f>
        <v/>
      </c>
      <c r="AT337" s="288"/>
      <c r="AU337" s="185" t="str">
        <f t="shared" si="325"/>
        <v/>
      </c>
      <c r="AV337" s="173" t="str">
        <f t="shared" si="325"/>
        <v/>
      </c>
      <c r="AW337" s="173" t="str">
        <f t="shared" si="325"/>
        <v/>
      </c>
      <c r="AX337" s="180" t="str">
        <f t="shared" si="325"/>
        <v/>
      </c>
      <c r="AZ337" s="185" t="str">
        <f t="shared" si="326"/>
        <v/>
      </c>
      <c r="BA337" s="173" t="str">
        <f t="shared" si="326"/>
        <v/>
      </c>
      <c r="BB337" s="173" t="str">
        <f t="shared" si="326"/>
        <v/>
      </c>
      <c r="BC337" s="180" t="str">
        <f t="shared" si="326"/>
        <v/>
      </c>
      <c r="BE337" s="185" t="str">
        <f t="shared" si="327"/>
        <v/>
      </c>
      <c r="BF337" s="173" t="str">
        <f t="shared" si="327"/>
        <v/>
      </c>
      <c r="BG337" s="173" t="str">
        <f t="shared" si="327"/>
        <v/>
      </c>
      <c r="BH337" s="180" t="str">
        <f t="shared" si="327"/>
        <v/>
      </c>
      <c r="BI337" s="288"/>
      <c r="BJ337" s="185" t="str">
        <f t="shared" si="328"/>
        <v/>
      </c>
      <c r="BK337" s="173" t="str">
        <f t="shared" si="328"/>
        <v/>
      </c>
      <c r="BL337" s="173" t="str">
        <f t="shared" si="328"/>
        <v/>
      </c>
      <c r="BM337" s="180" t="str">
        <f t="shared" si="328"/>
        <v/>
      </c>
      <c r="BO337" s="185" t="str">
        <f t="shared" si="329"/>
        <v/>
      </c>
      <c r="BP337" s="173" t="str">
        <f t="shared" si="329"/>
        <v/>
      </c>
      <c r="BQ337" s="173" t="str">
        <f t="shared" si="329"/>
        <v/>
      </c>
      <c r="BR337" s="180" t="str">
        <f t="shared" si="329"/>
        <v/>
      </c>
      <c r="BT337" s="185" t="str">
        <f t="shared" si="330"/>
        <v/>
      </c>
      <c r="BU337" s="173" t="str">
        <f t="shared" si="330"/>
        <v/>
      </c>
      <c r="BV337" s="173" t="str">
        <f t="shared" si="330"/>
        <v/>
      </c>
      <c r="BW337" s="180" t="str">
        <f t="shared" si="330"/>
        <v/>
      </c>
      <c r="BX337" s="288"/>
      <c r="CM337" s="96"/>
    </row>
    <row r="338" spans="1:91">
      <c r="A338" s="284" t="str">
        <f t="shared" si="331"/>
        <v/>
      </c>
      <c r="B338" s="185">
        <f t="shared" si="331"/>
        <v>45</v>
      </c>
      <c r="C338" s="173">
        <f t="shared" si="331"/>
        <v>10.5</v>
      </c>
      <c r="D338" s="173">
        <f t="shared" si="331"/>
        <v>598</v>
      </c>
      <c r="E338" s="180">
        <f t="shared" si="331"/>
        <v>18</v>
      </c>
      <c r="G338" s="185">
        <f t="shared" si="317"/>
        <v>45</v>
      </c>
      <c r="H338" s="173">
        <f t="shared" si="317"/>
        <v>10.5</v>
      </c>
      <c r="I338" s="173">
        <f t="shared" si="317"/>
        <v>358</v>
      </c>
      <c r="J338" s="180">
        <f t="shared" si="317"/>
        <v>18</v>
      </c>
      <c r="L338" s="185">
        <f t="shared" si="318"/>
        <v>45</v>
      </c>
      <c r="M338" s="173">
        <f t="shared" si="318"/>
        <v>10.5</v>
      </c>
      <c r="N338" s="173">
        <f t="shared" si="318"/>
        <v>118</v>
      </c>
      <c r="O338" s="180">
        <f t="shared" si="318"/>
        <v>18</v>
      </c>
      <c r="Q338" s="185" t="str">
        <f t="shared" si="319"/>
        <v/>
      </c>
      <c r="R338" s="173" t="str">
        <f t="shared" si="319"/>
        <v/>
      </c>
      <c r="S338" s="173" t="str">
        <f t="shared" si="319"/>
        <v/>
      </c>
      <c r="T338" s="180" t="str">
        <f t="shared" si="319"/>
        <v/>
      </c>
      <c r="V338" s="185" t="str">
        <f t="shared" si="320"/>
        <v/>
      </c>
      <c r="W338" s="173" t="str">
        <f t="shared" si="320"/>
        <v/>
      </c>
      <c r="X338" s="173" t="str">
        <f t="shared" si="320"/>
        <v/>
      </c>
      <c r="Y338" s="180" t="str">
        <f t="shared" si="320"/>
        <v/>
      </c>
      <c r="AA338" s="185" t="str">
        <f t="shared" si="321"/>
        <v/>
      </c>
      <c r="AB338" s="173" t="str">
        <f t="shared" si="321"/>
        <v/>
      </c>
      <c r="AC338" s="173" t="str">
        <f t="shared" si="321"/>
        <v/>
      </c>
      <c r="AD338" s="180" t="str">
        <f t="shared" si="321"/>
        <v/>
      </c>
      <c r="AF338" s="185" t="str">
        <f t="shared" si="322"/>
        <v/>
      </c>
      <c r="AG338" s="173" t="str">
        <f t="shared" si="322"/>
        <v/>
      </c>
      <c r="AH338" s="173" t="str">
        <f t="shared" si="322"/>
        <v/>
      </c>
      <c r="AI338" s="180" t="str">
        <f t="shared" si="322"/>
        <v/>
      </c>
      <c r="AK338" s="185" t="str">
        <f t="shared" si="323"/>
        <v/>
      </c>
      <c r="AL338" s="173" t="str">
        <f t="shared" si="323"/>
        <v/>
      </c>
      <c r="AM338" s="173" t="str">
        <f t="shared" si="323"/>
        <v/>
      </c>
      <c r="AN338" s="180" t="str">
        <f t="shared" si="323"/>
        <v/>
      </c>
      <c r="AP338" s="185" t="str">
        <f>""</f>
        <v/>
      </c>
      <c r="AQ338" s="173" t="str">
        <f>""</f>
        <v/>
      </c>
      <c r="AR338" s="173" t="str">
        <f>""</f>
        <v/>
      </c>
      <c r="AS338" s="180" t="str">
        <f>""</f>
        <v/>
      </c>
      <c r="AT338" s="288"/>
      <c r="AU338" s="185" t="str">
        <f t="shared" si="325"/>
        <v/>
      </c>
      <c r="AV338" s="173" t="str">
        <f t="shared" si="325"/>
        <v/>
      </c>
      <c r="AW338" s="173" t="str">
        <f t="shared" si="325"/>
        <v/>
      </c>
      <c r="AX338" s="180" t="str">
        <f t="shared" si="325"/>
        <v/>
      </c>
      <c r="AZ338" s="185" t="str">
        <f t="shared" si="326"/>
        <v/>
      </c>
      <c r="BA338" s="173" t="str">
        <f t="shared" si="326"/>
        <v/>
      </c>
      <c r="BB338" s="173" t="str">
        <f t="shared" si="326"/>
        <v/>
      </c>
      <c r="BC338" s="180" t="str">
        <f t="shared" si="326"/>
        <v/>
      </c>
      <c r="BE338" s="185" t="str">
        <f t="shared" si="327"/>
        <v/>
      </c>
      <c r="BF338" s="173" t="str">
        <f t="shared" si="327"/>
        <v/>
      </c>
      <c r="BG338" s="173" t="str">
        <f t="shared" si="327"/>
        <v/>
      </c>
      <c r="BH338" s="180" t="str">
        <f t="shared" si="327"/>
        <v/>
      </c>
      <c r="BI338" s="288"/>
      <c r="BJ338" s="185" t="str">
        <f t="shared" si="328"/>
        <v/>
      </c>
      <c r="BK338" s="173" t="str">
        <f t="shared" si="328"/>
        <v/>
      </c>
      <c r="BL338" s="173" t="str">
        <f t="shared" si="328"/>
        <v/>
      </c>
      <c r="BM338" s="180" t="str">
        <f t="shared" si="328"/>
        <v/>
      </c>
      <c r="BO338" s="185" t="str">
        <f t="shared" si="329"/>
        <v/>
      </c>
      <c r="BP338" s="173" t="str">
        <f t="shared" si="329"/>
        <v/>
      </c>
      <c r="BQ338" s="173" t="str">
        <f t="shared" si="329"/>
        <v/>
      </c>
      <c r="BR338" s="180" t="str">
        <f t="shared" si="329"/>
        <v/>
      </c>
      <c r="BT338" s="185" t="str">
        <f t="shared" si="330"/>
        <v/>
      </c>
      <c r="BU338" s="173" t="str">
        <f t="shared" si="330"/>
        <v/>
      </c>
      <c r="BV338" s="173" t="str">
        <f t="shared" si="330"/>
        <v/>
      </c>
      <c r="BW338" s="180" t="str">
        <f t="shared" si="330"/>
        <v/>
      </c>
      <c r="BX338" s="288"/>
      <c r="CM338" s="96"/>
    </row>
    <row r="339" spans="1:91">
      <c r="A339" s="284" t="str">
        <f t="shared" si="331"/>
        <v/>
      </c>
      <c r="B339" s="185">
        <f t="shared" si="331"/>
        <v>45</v>
      </c>
      <c r="C339" s="173">
        <f t="shared" si="331"/>
        <v>10.5</v>
      </c>
      <c r="D339" s="173">
        <f t="shared" si="331"/>
        <v>541</v>
      </c>
      <c r="E339" s="180">
        <f t="shared" si="331"/>
        <v>18</v>
      </c>
      <c r="G339" s="185">
        <f t="shared" si="317"/>
        <v>45</v>
      </c>
      <c r="H339" s="173">
        <f t="shared" si="317"/>
        <v>10.5</v>
      </c>
      <c r="I339" s="173">
        <f t="shared" si="317"/>
        <v>301</v>
      </c>
      <c r="J339" s="180">
        <f t="shared" si="317"/>
        <v>18</v>
      </c>
      <c r="L339" s="185">
        <f t="shared" si="318"/>
        <v>45</v>
      </c>
      <c r="M339" s="173">
        <f t="shared" si="318"/>
        <v>10.5</v>
      </c>
      <c r="N339" s="173">
        <f t="shared" si="318"/>
        <v>61</v>
      </c>
      <c r="O339" s="180">
        <f t="shared" si="318"/>
        <v>18</v>
      </c>
      <c r="Q339" s="185" t="str">
        <f t="shared" si="319"/>
        <v/>
      </c>
      <c r="R339" s="173" t="str">
        <f t="shared" si="319"/>
        <v/>
      </c>
      <c r="S339" s="173" t="str">
        <f t="shared" si="319"/>
        <v/>
      </c>
      <c r="T339" s="180" t="str">
        <f t="shared" si="319"/>
        <v/>
      </c>
      <c r="V339" s="185" t="str">
        <f t="shared" si="320"/>
        <v/>
      </c>
      <c r="W339" s="173" t="str">
        <f t="shared" si="320"/>
        <v/>
      </c>
      <c r="X339" s="173" t="str">
        <f t="shared" si="320"/>
        <v/>
      </c>
      <c r="Y339" s="180" t="str">
        <f t="shared" si="320"/>
        <v/>
      </c>
      <c r="AA339" s="185" t="str">
        <f t="shared" si="321"/>
        <v/>
      </c>
      <c r="AB339" s="173" t="str">
        <f t="shared" si="321"/>
        <v/>
      </c>
      <c r="AC339" s="173" t="str">
        <f t="shared" si="321"/>
        <v/>
      </c>
      <c r="AD339" s="180" t="str">
        <f t="shared" si="321"/>
        <v/>
      </c>
      <c r="AF339" s="185" t="str">
        <f t="shared" si="322"/>
        <v/>
      </c>
      <c r="AG339" s="173" t="str">
        <f t="shared" si="322"/>
        <v/>
      </c>
      <c r="AH339" s="173" t="str">
        <f t="shared" si="322"/>
        <v/>
      </c>
      <c r="AI339" s="180" t="str">
        <f t="shared" si="322"/>
        <v/>
      </c>
      <c r="AK339" s="185" t="str">
        <f t="shared" si="323"/>
        <v/>
      </c>
      <c r="AL339" s="173" t="str">
        <f t="shared" si="323"/>
        <v/>
      </c>
      <c r="AM339" s="173" t="str">
        <f t="shared" si="323"/>
        <v/>
      </c>
      <c r="AN339" s="180" t="str">
        <f t="shared" si="323"/>
        <v/>
      </c>
      <c r="AP339" s="185" t="str">
        <f>""</f>
        <v/>
      </c>
      <c r="AQ339" s="173" t="str">
        <f>""</f>
        <v/>
      </c>
      <c r="AR339" s="173" t="str">
        <f>""</f>
        <v/>
      </c>
      <c r="AS339" s="180" t="str">
        <f>""</f>
        <v/>
      </c>
      <c r="AT339" s="288"/>
      <c r="AU339" s="185" t="str">
        <f t="shared" si="325"/>
        <v/>
      </c>
      <c r="AV339" s="173" t="str">
        <f t="shared" si="325"/>
        <v/>
      </c>
      <c r="AW339" s="173" t="str">
        <f t="shared" si="325"/>
        <v/>
      </c>
      <c r="AX339" s="180" t="str">
        <f t="shared" si="325"/>
        <v/>
      </c>
      <c r="AZ339" s="185" t="str">
        <f t="shared" si="326"/>
        <v/>
      </c>
      <c r="BA339" s="173" t="str">
        <f t="shared" si="326"/>
        <v/>
      </c>
      <c r="BB339" s="173" t="str">
        <f t="shared" si="326"/>
        <v/>
      </c>
      <c r="BC339" s="180" t="str">
        <f t="shared" si="326"/>
        <v/>
      </c>
      <c r="BE339" s="185" t="str">
        <f t="shared" si="327"/>
        <v/>
      </c>
      <c r="BF339" s="173" t="str">
        <f t="shared" si="327"/>
        <v/>
      </c>
      <c r="BG339" s="173" t="str">
        <f t="shared" si="327"/>
        <v/>
      </c>
      <c r="BH339" s="180" t="str">
        <f t="shared" si="327"/>
        <v/>
      </c>
      <c r="BI339" s="288"/>
      <c r="BJ339" s="185" t="str">
        <f t="shared" si="328"/>
        <v/>
      </c>
      <c r="BK339" s="173" t="str">
        <f t="shared" si="328"/>
        <v/>
      </c>
      <c r="BL339" s="173" t="str">
        <f t="shared" si="328"/>
        <v/>
      </c>
      <c r="BM339" s="180" t="str">
        <f t="shared" si="328"/>
        <v/>
      </c>
      <c r="BO339" s="185" t="str">
        <f t="shared" si="329"/>
        <v/>
      </c>
      <c r="BP339" s="173" t="str">
        <f t="shared" si="329"/>
        <v/>
      </c>
      <c r="BQ339" s="173" t="str">
        <f t="shared" si="329"/>
        <v/>
      </c>
      <c r="BR339" s="180" t="str">
        <f t="shared" si="329"/>
        <v/>
      </c>
      <c r="BT339" s="185" t="str">
        <f t="shared" si="330"/>
        <v/>
      </c>
      <c r="BU339" s="173" t="str">
        <f t="shared" si="330"/>
        <v/>
      </c>
      <c r="BV339" s="173" t="str">
        <f t="shared" si="330"/>
        <v/>
      </c>
      <c r="BW339" s="180" t="str">
        <f t="shared" si="330"/>
        <v/>
      </c>
      <c r="BX339" s="288"/>
      <c r="CM339" s="96"/>
    </row>
    <row r="340" spans="1:91">
      <c r="A340" s="284" t="str">
        <f t="shared" si="331"/>
        <v/>
      </c>
      <c r="B340" s="185">
        <f t="shared" si="331"/>
        <v>45</v>
      </c>
      <c r="C340" s="173">
        <f t="shared" si="331"/>
        <v>10.5</v>
      </c>
      <c r="D340" s="173">
        <f t="shared" si="331"/>
        <v>484</v>
      </c>
      <c r="E340" s="180">
        <f t="shared" si="331"/>
        <v>18</v>
      </c>
      <c r="G340" s="185">
        <f t="shared" si="317"/>
        <v>45</v>
      </c>
      <c r="H340" s="173">
        <f t="shared" si="317"/>
        <v>10.5</v>
      </c>
      <c r="I340" s="173">
        <f t="shared" si="317"/>
        <v>244</v>
      </c>
      <c r="J340" s="180">
        <f t="shared" si="317"/>
        <v>18</v>
      </c>
      <c r="L340" s="185" t="str">
        <f t="shared" si="318"/>
        <v/>
      </c>
      <c r="M340" s="173" t="str">
        <f t="shared" si="318"/>
        <v/>
      </c>
      <c r="N340" s="173" t="str">
        <f t="shared" si="318"/>
        <v/>
      </c>
      <c r="O340" s="180" t="str">
        <f t="shared" si="318"/>
        <v/>
      </c>
      <c r="Q340" s="185" t="str">
        <f t="shared" si="319"/>
        <v/>
      </c>
      <c r="R340" s="173" t="str">
        <f t="shared" si="319"/>
        <v/>
      </c>
      <c r="S340" s="173" t="str">
        <f t="shared" si="319"/>
        <v/>
      </c>
      <c r="T340" s="180" t="str">
        <f t="shared" si="319"/>
        <v/>
      </c>
      <c r="V340" s="185" t="str">
        <f t="shared" si="320"/>
        <v/>
      </c>
      <c r="W340" s="173" t="str">
        <f t="shared" si="320"/>
        <v/>
      </c>
      <c r="X340" s="173" t="str">
        <f t="shared" si="320"/>
        <v/>
      </c>
      <c r="Y340" s="180" t="str">
        <f t="shared" si="320"/>
        <v/>
      </c>
      <c r="AA340" s="185" t="str">
        <f t="shared" si="321"/>
        <v/>
      </c>
      <c r="AB340" s="173" t="str">
        <f t="shared" si="321"/>
        <v/>
      </c>
      <c r="AC340" s="173" t="str">
        <f t="shared" si="321"/>
        <v/>
      </c>
      <c r="AD340" s="180" t="str">
        <f t="shared" si="321"/>
        <v/>
      </c>
      <c r="AF340" s="185" t="str">
        <f t="shared" si="322"/>
        <v/>
      </c>
      <c r="AG340" s="173" t="str">
        <f t="shared" si="322"/>
        <v/>
      </c>
      <c r="AH340" s="173" t="str">
        <f t="shared" si="322"/>
        <v/>
      </c>
      <c r="AI340" s="180" t="str">
        <f t="shared" si="322"/>
        <v/>
      </c>
      <c r="AK340" s="185" t="str">
        <f t="shared" si="323"/>
        <v/>
      </c>
      <c r="AL340" s="173" t="str">
        <f t="shared" si="323"/>
        <v/>
      </c>
      <c r="AM340" s="173" t="str">
        <f t="shared" si="323"/>
        <v/>
      </c>
      <c r="AN340" s="180" t="str">
        <f t="shared" si="323"/>
        <v/>
      </c>
      <c r="AP340" s="185" t="str">
        <f>""</f>
        <v/>
      </c>
      <c r="AQ340" s="173" t="str">
        <f>""</f>
        <v/>
      </c>
      <c r="AR340" s="173" t="str">
        <f>""</f>
        <v/>
      </c>
      <c r="AS340" s="180" t="str">
        <f>""</f>
        <v/>
      </c>
      <c r="AT340" s="288"/>
      <c r="AU340" s="185" t="str">
        <f t="shared" si="325"/>
        <v/>
      </c>
      <c r="AV340" s="173" t="str">
        <f t="shared" si="325"/>
        <v/>
      </c>
      <c r="AW340" s="173" t="str">
        <f t="shared" si="325"/>
        <v/>
      </c>
      <c r="AX340" s="180" t="str">
        <f t="shared" si="325"/>
        <v/>
      </c>
      <c r="AZ340" s="185" t="str">
        <f t="shared" si="326"/>
        <v/>
      </c>
      <c r="BA340" s="173" t="str">
        <f t="shared" si="326"/>
        <v/>
      </c>
      <c r="BB340" s="173" t="str">
        <f t="shared" si="326"/>
        <v/>
      </c>
      <c r="BC340" s="180" t="str">
        <f t="shared" si="326"/>
        <v/>
      </c>
      <c r="BE340" s="185" t="str">
        <f t="shared" si="327"/>
        <v/>
      </c>
      <c r="BF340" s="173" t="str">
        <f t="shared" si="327"/>
        <v/>
      </c>
      <c r="BG340" s="173" t="str">
        <f t="shared" si="327"/>
        <v/>
      </c>
      <c r="BH340" s="180" t="str">
        <f t="shared" si="327"/>
        <v/>
      </c>
      <c r="BI340" s="288"/>
      <c r="BJ340" s="185" t="str">
        <f t="shared" si="328"/>
        <v/>
      </c>
      <c r="BK340" s="173" t="str">
        <f t="shared" si="328"/>
        <v/>
      </c>
      <c r="BL340" s="173" t="str">
        <f t="shared" si="328"/>
        <v/>
      </c>
      <c r="BM340" s="180" t="str">
        <f t="shared" si="328"/>
        <v/>
      </c>
      <c r="BO340" s="185" t="str">
        <f t="shared" si="329"/>
        <v/>
      </c>
      <c r="BP340" s="173" t="str">
        <f t="shared" si="329"/>
        <v/>
      </c>
      <c r="BQ340" s="173" t="str">
        <f t="shared" si="329"/>
        <v/>
      </c>
      <c r="BR340" s="180" t="str">
        <f t="shared" si="329"/>
        <v/>
      </c>
      <c r="BT340" s="185" t="str">
        <f t="shared" si="330"/>
        <v/>
      </c>
      <c r="BU340" s="173" t="str">
        <f t="shared" si="330"/>
        <v/>
      </c>
      <c r="BV340" s="173" t="str">
        <f t="shared" si="330"/>
        <v/>
      </c>
      <c r="BW340" s="180" t="str">
        <f t="shared" si="330"/>
        <v/>
      </c>
      <c r="BX340" s="288"/>
      <c r="CM340" s="96"/>
    </row>
    <row r="341" spans="1:91">
      <c r="A341" s="284" t="str">
        <f t="shared" si="331"/>
        <v/>
      </c>
      <c r="B341" s="185">
        <f t="shared" si="331"/>
        <v>45</v>
      </c>
      <c r="C341" s="173">
        <f t="shared" si="331"/>
        <v>10.5</v>
      </c>
      <c r="D341" s="173">
        <f t="shared" si="331"/>
        <v>427</v>
      </c>
      <c r="E341" s="180">
        <f t="shared" si="331"/>
        <v>18</v>
      </c>
      <c r="G341" s="185">
        <f t="shared" si="317"/>
        <v>45</v>
      </c>
      <c r="H341" s="173">
        <f t="shared" si="317"/>
        <v>10.5</v>
      </c>
      <c r="I341" s="173">
        <f t="shared" si="317"/>
        <v>187</v>
      </c>
      <c r="J341" s="180">
        <f t="shared" si="317"/>
        <v>18</v>
      </c>
      <c r="L341" s="185" t="str">
        <f t="shared" si="318"/>
        <v/>
      </c>
      <c r="M341" s="173" t="str">
        <f t="shared" si="318"/>
        <v/>
      </c>
      <c r="N341" s="173" t="str">
        <f t="shared" si="318"/>
        <v/>
      </c>
      <c r="O341" s="180" t="str">
        <f t="shared" si="318"/>
        <v/>
      </c>
      <c r="Q341" s="185" t="str">
        <f t="shared" si="319"/>
        <v/>
      </c>
      <c r="R341" s="173" t="str">
        <f t="shared" si="319"/>
        <v/>
      </c>
      <c r="S341" s="173" t="str">
        <f t="shared" si="319"/>
        <v/>
      </c>
      <c r="T341" s="180" t="str">
        <f t="shared" si="319"/>
        <v/>
      </c>
      <c r="V341" s="185" t="str">
        <f t="shared" si="320"/>
        <v/>
      </c>
      <c r="W341" s="173" t="str">
        <f t="shared" si="320"/>
        <v/>
      </c>
      <c r="X341" s="173" t="str">
        <f t="shared" si="320"/>
        <v/>
      </c>
      <c r="Y341" s="180" t="str">
        <f t="shared" si="320"/>
        <v/>
      </c>
      <c r="AA341" s="185" t="str">
        <f t="shared" si="321"/>
        <v/>
      </c>
      <c r="AB341" s="173" t="str">
        <f t="shared" si="321"/>
        <v/>
      </c>
      <c r="AC341" s="173" t="str">
        <f t="shared" si="321"/>
        <v/>
      </c>
      <c r="AD341" s="180" t="str">
        <f t="shared" si="321"/>
        <v/>
      </c>
      <c r="AF341" s="185" t="str">
        <f t="shared" si="322"/>
        <v/>
      </c>
      <c r="AG341" s="173" t="str">
        <f t="shared" si="322"/>
        <v/>
      </c>
      <c r="AH341" s="173" t="str">
        <f t="shared" si="322"/>
        <v/>
      </c>
      <c r="AI341" s="180" t="str">
        <f t="shared" si="322"/>
        <v/>
      </c>
      <c r="AK341" s="185" t="str">
        <f t="shared" si="323"/>
        <v/>
      </c>
      <c r="AL341" s="173" t="str">
        <f t="shared" si="323"/>
        <v/>
      </c>
      <c r="AM341" s="173" t="str">
        <f t="shared" si="323"/>
        <v/>
      </c>
      <c r="AN341" s="180" t="str">
        <f t="shared" si="323"/>
        <v/>
      </c>
      <c r="AP341" s="185" t="str">
        <f>""</f>
        <v/>
      </c>
      <c r="AQ341" s="173" t="str">
        <f>""</f>
        <v/>
      </c>
      <c r="AR341" s="173" t="str">
        <f>""</f>
        <v/>
      </c>
      <c r="AS341" s="180" t="str">
        <f>""</f>
        <v/>
      </c>
      <c r="AT341" s="288"/>
      <c r="AU341" s="185" t="str">
        <f t="shared" si="325"/>
        <v/>
      </c>
      <c r="AV341" s="173" t="str">
        <f t="shared" si="325"/>
        <v/>
      </c>
      <c r="AW341" s="173" t="str">
        <f t="shared" si="325"/>
        <v/>
      </c>
      <c r="AX341" s="180" t="str">
        <f t="shared" si="325"/>
        <v/>
      </c>
      <c r="AZ341" s="185" t="str">
        <f t="shared" si="326"/>
        <v/>
      </c>
      <c r="BA341" s="173" t="str">
        <f t="shared" si="326"/>
        <v/>
      </c>
      <c r="BB341" s="173" t="str">
        <f t="shared" si="326"/>
        <v/>
      </c>
      <c r="BC341" s="180" t="str">
        <f t="shared" si="326"/>
        <v/>
      </c>
      <c r="BE341" s="185" t="str">
        <f t="shared" si="327"/>
        <v/>
      </c>
      <c r="BF341" s="173" t="str">
        <f t="shared" si="327"/>
        <v/>
      </c>
      <c r="BG341" s="173" t="str">
        <f t="shared" si="327"/>
        <v/>
      </c>
      <c r="BH341" s="180" t="str">
        <f t="shared" si="327"/>
        <v/>
      </c>
      <c r="BI341" s="288"/>
      <c r="BJ341" s="185" t="str">
        <f t="shared" si="328"/>
        <v/>
      </c>
      <c r="BK341" s="173" t="str">
        <f t="shared" si="328"/>
        <v/>
      </c>
      <c r="BL341" s="173" t="str">
        <f t="shared" si="328"/>
        <v/>
      </c>
      <c r="BM341" s="180" t="str">
        <f t="shared" si="328"/>
        <v/>
      </c>
      <c r="BO341" s="185" t="str">
        <f t="shared" si="329"/>
        <v/>
      </c>
      <c r="BP341" s="173" t="str">
        <f t="shared" si="329"/>
        <v/>
      </c>
      <c r="BQ341" s="173" t="str">
        <f t="shared" si="329"/>
        <v/>
      </c>
      <c r="BR341" s="180" t="str">
        <f t="shared" si="329"/>
        <v/>
      </c>
      <c r="BT341" s="185" t="str">
        <f t="shared" si="330"/>
        <v/>
      </c>
      <c r="BU341" s="173" t="str">
        <f t="shared" si="330"/>
        <v/>
      </c>
      <c r="BV341" s="173" t="str">
        <f t="shared" si="330"/>
        <v/>
      </c>
      <c r="BW341" s="180" t="str">
        <f t="shared" si="330"/>
        <v/>
      </c>
      <c r="BX341" s="288"/>
      <c r="CM341" s="96"/>
    </row>
    <row r="342" spans="1:91">
      <c r="A342" s="284" t="str">
        <f t="shared" si="331"/>
        <v/>
      </c>
      <c r="B342" s="185">
        <f t="shared" si="331"/>
        <v>45</v>
      </c>
      <c r="C342" s="173">
        <f t="shared" si="331"/>
        <v>10.5</v>
      </c>
      <c r="D342" s="173">
        <f t="shared" si="331"/>
        <v>370</v>
      </c>
      <c r="E342" s="180">
        <f t="shared" si="331"/>
        <v>18</v>
      </c>
      <c r="G342" s="185">
        <f t="shared" si="317"/>
        <v>45</v>
      </c>
      <c r="H342" s="173">
        <f t="shared" si="317"/>
        <v>10.5</v>
      </c>
      <c r="I342" s="173">
        <f t="shared" si="317"/>
        <v>130</v>
      </c>
      <c r="J342" s="180">
        <f t="shared" si="317"/>
        <v>18</v>
      </c>
      <c r="L342" s="185" t="str">
        <f t="shared" si="318"/>
        <v/>
      </c>
      <c r="M342" s="173" t="str">
        <f t="shared" si="318"/>
        <v/>
      </c>
      <c r="N342" s="173" t="str">
        <f t="shared" si="318"/>
        <v/>
      </c>
      <c r="O342" s="180" t="str">
        <f t="shared" si="318"/>
        <v/>
      </c>
      <c r="Q342" s="185" t="str">
        <f t="shared" si="319"/>
        <v/>
      </c>
      <c r="R342" s="173" t="str">
        <f t="shared" si="319"/>
        <v/>
      </c>
      <c r="S342" s="173" t="str">
        <f t="shared" si="319"/>
        <v/>
      </c>
      <c r="T342" s="180" t="str">
        <f t="shared" si="319"/>
        <v/>
      </c>
      <c r="V342" s="185" t="str">
        <f t="shared" si="320"/>
        <v/>
      </c>
      <c r="W342" s="173" t="str">
        <f t="shared" si="320"/>
        <v/>
      </c>
      <c r="X342" s="173" t="str">
        <f t="shared" si="320"/>
        <v/>
      </c>
      <c r="Y342" s="180" t="str">
        <f t="shared" si="320"/>
        <v/>
      </c>
      <c r="AA342" s="185" t="str">
        <f t="shared" si="321"/>
        <v/>
      </c>
      <c r="AB342" s="173" t="str">
        <f t="shared" si="321"/>
        <v/>
      </c>
      <c r="AC342" s="173" t="str">
        <f t="shared" si="321"/>
        <v/>
      </c>
      <c r="AD342" s="180" t="str">
        <f t="shared" si="321"/>
        <v/>
      </c>
      <c r="AF342" s="185" t="str">
        <f t="shared" si="322"/>
        <v/>
      </c>
      <c r="AG342" s="173" t="str">
        <f t="shared" si="322"/>
        <v/>
      </c>
      <c r="AH342" s="173" t="str">
        <f t="shared" si="322"/>
        <v/>
      </c>
      <c r="AI342" s="180" t="str">
        <f t="shared" si="322"/>
        <v/>
      </c>
      <c r="AK342" s="185" t="str">
        <f t="shared" si="323"/>
        <v/>
      </c>
      <c r="AL342" s="173" t="str">
        <f t="shared" si="323"/>
        <v/>
      </c>
      <c r="AM342" s="173" t="str">
        <f t="shared" si="323"/>
        <v/>
      </c>
      <c r="AN342" s="180" t="str">
        <f t="shared" si="323"/>
        <v/>
      </c>
      <c r="AP342" s="185" t="str">
        <f>""</f>
        <v/>
      </c>
      <c r="AQ342" s="173" t="str">
        <f>""</f>
        <v/>
      </c>
      <c r="AR342" s="173" t="str">
        <f>""</f>
        <v/>
      </c>
      <c r="AS342" s="180" t="str">
        <f>""</f>
        <v/>
      </c>
      <c r="AT342" s="288"/>
      <c r="AU342" s="185" t="str">
        <f t="shared" si="325"/>
        <v/>
      </c>
      <c r="AV342" s="173" t="str">
        <f t="shared" si="325"/>
        <v/>
      </c>
      <c r="AW342" s="173" t="str">
        <f t="shared" si="325"/>
        <v/>
      </c>
      <c r="AX342" s="180" t="str">
        <f t="shared" si="325"/>
        <v/>
      </c>
      <c r="AZ342" s="185" t="str">
        <f t="shared" si="326"/>
        <v/>
      </c>
      <c r="BA342" s="173" t="str">
        <f t="shared" si="326"/>
        <v/>
      </c>
      <c r="BB342" s="173" t="str">
        <f t="shared" si="326"/>
        <v/>
      </c>
      <c r="BC342" s="180" t="str">
        <f t="shared" si="326"/>
        <v/>
      </c>
      <c r="BE342" s="185" t="str">
        <f t="shared" si="327"/>
        <v/>
      </c>
      <c r="BF342" s="173" t="str">
        <f t="shared" si="327"/>
        <v/>
      </c>
      <c r="BG342" s="173" t="str">
        <f t="shared" si="327"/>
        <v/>
      </c>
      <c r="BH342" s="180" t="str">
        <f t="shared" si="327"/>
        <v/>
      </c>
      <c r="BI342" s="288"/>
      <c r="BJ342" s="185" t="str">
        <f t="shared" si="328"/>
        <v/>
      </c>
      <c r="BK342" s="173" t="str">
        <f t="shared" si="328"/>
        <v/>
      </c>
      <c r="BL342" s="173" t="str">
        <f t="shared" si="328"/>
        <v/>
      </c>
      <c r="BM342" s="180" t="str">
        <f t="shared" si="328"/>
        <v/>
      </c>
      <c r="BO342" s="185" t="str">
        <f t="shared" si="329"/>
        <v/>
      </c>
      <c r="BP342" s="173" t="str">
        <f t="shared" si="329"/>
        <v/>
      </c>
      <c r="BQ342" s="173" t="str">
        <f t="shared" si="329"/>
        <v/>
      </c>
      <c r="BR342" s="180" t="str">
        <f t="shared" si="329"/>
        <v/>
      </c>
      <c r="BT342" s="185" t="str">
        <f t="shared" si="330"/>
        <v/>
      </c>
      <c r="BU342" s="173" t="str">
        <f t="shared" si="330"/>
        <v/>
      </c>
      <c r="BV342" s="173" t="str">
        <f t="shared" si="330"/>
        <v/>
      </c>
      <c r="BW342" s="180" t="str">
        <f t="shared" si="330"/>
        <v/>
      </c>
      <c r="BX342" s="288"/>
      <c r="CM342" s="96"/>
    </row>
    <row r="343" spans="1:91">
      <c r="A343" s="284" t="str">
        <f t="shared" si="331"/>
        <v/>
      </c>
      <c r="B343" s="185">
        <f t="shared" si="331"/>
        <v>45</v>
      </c>
      <c r="C343" s="173">
        <f t="shared" si="331"/>
        <v>10.5</v>
      </c>
      <c r="D343" s="173">
        <f t="shared" si="331"/>
        <v>313</v>
      </c>
      <c r="E343" s="180">
        <f t="shared" si="331"/>
        <v>18</v>
      </c>
      <c r="G343" s="185">
        <f t="shared" si="317"/>
        <v>45</v>
      </c>
      <c r="H343" s="173">
        <f t="shared" si="317"/>
        <v>10.5</v>
      </c>
      <c r="I343" s="173">
        <f t="shared" si="317"/>
        <v>73</v>
      </c>
      <c r="J343" s="180">
        <f t="shared" si="317"/>
        <v>18</v>
      </c>
      <c r="L343" s="185" t="str">
        <f t="shared" si="318"/>
        <v/>
      </c>
      <c r="M343" s="173" t="str">
        <f t="shared" si="318"/>
        <v/>
      </c>
      <c r="N343" s="173" t="str">
        <f t="shared" si="318"/>
        <v/>
      </c>
      <c r="O343" s="180" t="str">
        <f t="shared" si="318"/>
        <v/>
      </c>
      <c r="Q343" s="185" t="str">
        <f t="shared" si="319"/>
        <v/>
      </c>
      <c r="R343" s="173" t="str">
        <f t="shared" si="319"/>
        <v/>
      </c>
      <c r="S343" s="173" t="str">
        <f t="shared" si="319"/>
        <v/>
      </c>
      <c r="T343" s="180" t="str">
        <f t="shared" si="319"/>
        <v/>
      </c>
      <c r="V343" s="185" t="str">
        <f t="shared" si="320"/>
        <v/>
      </c>
      <c r="W343" s="173" t="str">
        <f t="shared" si="320"/>
        <v/>
      </c>
      <c r="X343" s="173" t="str">
        <f t="shared" si="320"/>
        <v/>
      </c>
      <c r="Y343" s="180" t="str">
        <f t="shared" si="320"/>
        <v/>
      </c>
      <c r="AA343" s="185" t="str">
        <f t="shared" si="321"/>
        <v/>
      </c>
      <c r="AB343" s="173" t="str">
        <f t="shared" si="321"/>
        <v/>
      </c>
      <c r="AC343" s="173" t="str">
        <f t="shared" si="321"/>
        <v/>
      </c>
      <c r="AD343" s="180" t="str">
        <f t="shared" si="321"/>
        <v/>
      </c>
      <c r="AF343" s="185" t="str">
        <f t="shared" si="322"/>
        <v/>
      </c>
      <c r="AG343" s="173" t="str">
        <f t="shared" si="322"/>
        <v/>
      </c>
      <c r="AH343" s="173" t="str">
        <f t="shared" si="322"/>
        <v/>
      </c>
      <c r="AI343" s="180" t="str">
        <f t="shared" si="322"/>
        <v/>
      </c>
      <c r="AK343" s="185" t="str">
        <f t="shared" si="323"/>
        <v/>
      </c>
      <c r="AL343" s="173" t="str">
        <f t="shared" si="323"/>
        <v/>
      </c>
      <c r="AM343" s="173" t="str">
        <f t="shared" si="323"/>
        <v/>
      </c>
      <c r="AN343" s="180" t="str">
        <f t="shared" si="323"/>
        <v/>
      </c>
      <c r="AP343" s="185" t="str">
        <f>""</f>
        <v/>
      </c>
      <c r="AQ343" s="173" t="str">
        <f>""</f>
        <v/>
      </c>
      <c r="AR343" s="173" t="str">
        <f>""</f>
        <v/>
      </c>
      <c r="AS343" s="180" t="str">
        <f>""</f>
        <v/>
      </c>
      <c r="AT343" s="288"/>
      <c r="AU343" s="185" t="str">
        <f t="shared" si="325"/>
        <v/>
      </c>
      <c r="AV343" s="173" t="str">
        <f t="shared" si="325"/>
        <v/>
      </c>
      <c r="AW343" s="173" t="str">
        <f t="shared" si="325"/>
        <v/>
      </c>
      <c r="AX343" s="180" t="str">
        <f t="shared" si="325"/>
        <v/>
      </c>
      <c r="AZ343" s="185" t="str">
        <f t="shared" si="326"/>
        <v/>
      </c>
      <c r="BA343" s="173" t="str">
        <f t="shared" si="326"/>
        <v/>
      </c>
      <c r="BB343" s="173" t="str">
        <f t="shared" si="326"/>
        <v/>
      </c>
      <c r="BC343" s="180" t="str">
        <f t="shared" si="326"/>
        <v/>
      </c>
      <c r="BE343" s="185" t="str">
        <f t="shared" si="327"/>
        <v/>
      </c>
      <c r="BF343" s="173" t="str">
        <f t="shared" si="327"/>
        <v/>
      </c>
      <c r="BG343" s="173" t="str">
        <f t="shared" si="327"/>
        <v/>
      </c>
      <c r="BH343" s="180" t="str">
        <f t="shared" si="327"/>
        <v/>
      </c>
      <c r="BI343" s="288"/>
      <c r="BJ343" s="185" t="str">
        <f t="shared" si="328"/>
        <v/>
      </c>
      <c r="BK343" s="173" t="str">
        <f t="shared" si="328"/>
        <v/>
      </c>
      <c r="BL343" s="173" t="str">
        <f t="shared" si="328"/>
        <v/>
      </c>
      <c r="BM343" s="180" t="str">
        <f t="shared" si="328"/>
        <v/>
      </c>
      <c r="BO343" s="185" t="str">
        <f t="shared" si="329"/>
        <v/>
      </c>
      <c r="BP343" s="173" t="str">
        <f t="shared" si="329"/>
        <v/>
      </c>
      <c r="BQ343" s="173" t="str">
        <f t="shared" si="329"/>
        <v/>
      </c>
      <c r="BR343" s="180" t="str">
        <f t="shared" si="329"/>
        <v/>
      </c>
      <c r="BT343" s="185" t="str">
        <f t="shared" si="330"/>
        <v/>
      </c>
      <c r="BU343" s="173" t="str">
        <f t="shared" si="330"/>
        <v/>
      </c>
      <c r="BV343" s="173" t="str">
        <f t="shared" si="330"/>
        <v/>
      </c>
      <c r="BW343" s="180" t="str">
        <f t="shared" si="330"/>
        <v/>
      </c>
      <c r="BX343" s="288"/>
      <c r="CM343" s="96"/>
    </row>
    <row r="344" spans="1:91">
      <c r="A344" s="284" t="str">
        <f t="shared" si="331"/>
        <v/>
      </c>
      <c r="B344" s="185" t="str">
        <f t="shared" si="331"/>
        <v/>
      </c>
      <c r="C344" s="173" t="str">
        <f t="shared" si="331"/>
        <v/>
      </c>
      <c r="D344" s="173" t="str">
        <f t="shared" si="331"/>
        <v/>
      </c>
      <c r="E344" s="180" t="str">
        <f t="shared" si="331"/>
        <v/>
      </c>
      <c r="G344" s="185" t="str">
        <f t="shared" si="317"/>
        <v/>
      </c>
      <c r="H344" s="173" t="str">
        <f t="shared" si="317"/>
        <v/>
      </c>
      <c r="I344" s="173" t="str">
        <f t="shared" si="317"/>
        <v/>
      </c>
      <c r="J344" s="180" t="str">
        <f t="shared" si="317"/>
        <v/>
      </c>
      <c r="L344" s="185" t="str">
        <f t="shared" si="318"/>
        <v/>
      </c>
      <c r="M344" s="173" t="str">
        <f t="shared" si="318"/>
        <v/>
      </c>
      <c r="N344" s="173" t="str">
        <f t="shared" si="318"/>
        <v/>
      </c>
      <c r="O344" s="180" t="str">
        <f t="shared" si="318"/>
        <v/>
      </c>
      <c r="Q344" s="185" t="str">
        <f t="shared" si="319"/>
        <v/>
      </c>
      <c r="R344" s="173" t="str">
        <f t="shared" si="319"/>
        <v/>
      </c>
      <c r="S344" s="173" t="str">
        <f t="shared" si="319"/>
        <v/>
      </c>
      <c r="T344" s="180" t="str">
        <f t="shared" si="319"/>
        <v/>
      </c>
      <c r="V344" s="185" t="str">
        <f t="shared" si="320"/>
        <v/>
      </c>
      <c r="W344" s="173" t="str">
        <f t="shared" si="320"/>
        <v/>
      </c>
      <c r="X344" s="173" t="str">
        <f t="shared" si="320"/>
        <v/>
      </c>
      <c r="Y344" s="180" t="str">
        <f t="shared" si="320"/>
        <v/>
      </c>
      <c r="AA344" s="185" t="str">
        <f t="shared" si="321"/>
        <v/>
      </c>
      <c r="AB344" s="173" t="str">
        <f t="shared" si="321"/>
        <v/>
      </c>
      <c r="AC344" s="173" t="str">
        <f t="shared" si="321"/>
        <v/>
      </c>
      <c r="AD344" s="180" t="str">
        <f t="shared" si="321"/>
        <v/>
      </c>
      <c r="AF344" s="185" t="str">
        <f t="shared" si="322"/>
        <v/>
      </c>
      <c r="AG344" s="173" t="str">
        <f t="shared" si="322"/>
        <v/>
      </c>
      <c r="AH344" s="173" t="str">
        <f t="shared" si="322"/>
        <v/>
      </c>
      <c r="AI344" s="180" t="str">
        <f t="shared" si="322"/>
        <v/>
      </c>
      <c r="AK344" s="185" t="str">
        <f t="shared" si="323"/>
        <v/>
      </c>
      <c r="AL344" s="173" t="str">
        <f t="shared" si="323"/>
        <v/>
      </c>
      <c r="AM344" s="173" t="str">
        <f t="shared" si="323"/>
        <v/>
      </c>
      <c r="AN344" s="180" t="str">
        <f t="shared" si="323"/>
        <v/>
      </c>
      <c r="AP344" s="185" t="str">
        <f>""</f>
        <v/>
      </c>
      <c r="AQ344" s="173" t="str">
        <f>""</f>
        <v/>
      </c>
      <c r="AR344" s="173" t="str">
        <f>""</f>
        <v/>
      </c>
      <c r="AS344" s="180" t="str">
        <f>""</f>
        <v/>
      </c>
      <c r="AT344" s="288"/>
      <c r="AU344" s="185" t="str">
        <f t="shared" si="325"/>
        <v/>
      </c>
      <c r="AV344" s="173" t="str">
        <f t="shared" si="325"/>
        <v/>
      </c>
      <c r="AW344" s="173" t="str">
        <f t="shared" si="325"/>
        <v/>
      </c>
      <c r="AX344" s="180" t="str">
        <f t="shared" si="325"/>
        <v/>
      </c>
      <c r="AZ344" s="185" t="str">
        <f t="shared" si="326"/>
        <v/>
      </c>
      <c r="BA344" s="173" t="str">
        <f t="shared" si="326"/>
        <v/>
      </c>
      <c r="BB344" s="173" t="str">
        <f t="shared" si="326"/>
        <v/>
      </c>
      <c r="BC344" s="180" t="str">
        <f t="shared" si="326"/>
        <v/>
      </c>
      <c r="BE344" s="185" t="str">
        <f t="shared" si="327"/>
        <v/>
      </c>
      <c r="BF344" s="173" t="str">
        <f t="shared" si="327"/>
        <v/>
      </c>
      <c r="BG344" s="173" t="str">
        <f t="shared" si="327"/>
        <v/>
      </c>
      <c r="BH344" s="180" t="str">
        <f t="shared" si="327"/>
        <v/>
      </c>
      <c r="BI344" s="288"/>
      <c r="BJ344" s="185" t="str">
        <f t="shared" si="328"/>
        <v/>
      </c>
      <c r="BK344" s="173" t="str">
        <f t="shared" si="328"/>
        <v/>
      </c>
      <c r="BL344" s="173" t="str">
        <f t="shared" si="328"/>
        <v/>
      </c>
      <c r="BM344" s="180" t="str">
        <f t="shared" si="328"/>
        <v/>
      </c>
      <c r="BO344" s="185" t="str">
        <f t="shared" si="329"/>
        <v/>
      </c>
      <c r="BP344" s="173" t="str">
        <f t="shared" si="329"/>
        <v/>
      </c>
      <c r="BQ344" s="173" t="str">
        <f t="shared" si="329"/>
        <v/>
      </c>
      <c r="BR344" s="180" t="str">
        <f t="shared" si="329"/>
        <v/>
      </c>
      <c r="BT344" s="185" t="str">
        <f t="shared" si="330"/>
        <v/>
      </c>
      <c r="BU344" s="173" t="str">
        <f t="shared" si="330"/>
        <v/>
      </c>
      <c r="BV344" s="173" t="str">
        <f t="shared" si="330"/>
        <v/>
      </c>
      <c r="BW344" s="180" t="str">
        <f t="shared" si="330"/>
        <v/>
      </c>
      <c r="BX344" s="288"/>
      <c r="CM344" s="96"/>
    </row>
    <row r="345" spans="1:91">
      <c r="A345" s="284" t="str">
        <f t="shared" si="331"/>
        <v/>
      </c>
      <c r="B345" s="185" t="str">
        <f t="shared" si="331"/>
        <v/>
      </c>
      <c r="C345" s="173" t="str">
        <f t="shared" si="331"/>
        <v/>
      </c>
      <c r="D345" s="173" t="str">
        <f t="shared" si="331"/>
        <v/>
      </c>
      <c r="E345" s="180" t="str">
        <f t="shared" si="331"/>
        <v/>
      </c>
      <c r="G345" s="185" t="str">
        <f t="shared" ref="G345:J354" si="332">IF(G191="","",G191)</f>
        <v/>
      </c>
      <c r="H345" s="173" t="str">
        <f t="shared" si="332"/>
        <v/>
      </c>
      <c r="I345" s="173" t="str">
        <f t="shared" si="332"/>
        <v/>
      </c>
      <c r="J345" s="180" t="str">
        <f t="shared" si="332"/>
        <v/>
      </c>
      <c r="L345" s="185" t="str">
        <f t="shared" ref="L345:O354" si="333">IF(L191="","",L191)</f>
        <v/>
      </c>
      <c r="M345" s="173" t="str">
        <f t="shared" si="333"/>
        <v/>
      </c>
      <c r="N345" s="173" t="str">
        <f t="shared" si="333"/>
        <v/>
      </c>
      <c r="O345" s="180" t="str">
        <f t="shared" si="333"/>
        <v/>
      </c>
      <c r="Q345" s="185" t="str">
        <f t="shared" ref="Q345:T354" si="334">IF(Q191="","",Q191)</f>
        <v/>
      </c>
      <c r="R345" s="173" t="str">
        <f t="shared" si="334"/>
        <v/>
      </c>
      <c r="S345" s="173" t="str">
        <f t="shared" si="334"/>
        <v/>
      </c>
      <c r="T345" s="180" t="str">
        <f t="shared" si="334"/>
        <v/>
      </c>
      <c r="V345" s="185" t="str">
        <f t="shared" ref="V345:Y354" si="335">IF(V191="","",V191)</f>
        <v/>
      </c>
      <c r="W345" s="173" t="str">
        <f t="shared" si="335"/>
        <v/>
      </c>
      <c r="X345" s="173" t="str">
        <f t="shared" si="335"/>
        <v/>
      </c>
      <c r="Y345" s="180" t="str">
        <f t="shared" si="335"/>
        <v/>
      </c>
      <c r="AA345" s="185" t="str">
        <f t="shared" ref="AA345:AD354" si="336">IF(AA191="","",AA191)</f>
        <v/>
      </c>
      <c r="AB345" s="173" t="str">
        <f t="shared" si="336"/>
        <v/>
      </c>
      <c r="AC345" s="173" t="str">
        <f t="shared" si="336"/>
        <v/>
      </c>
      <c r="AD345" s="180" t="str">
        <f t="shared" si="336"/>
        <v/>
      </c>
      <c r="AF345" s="185" t="str">
        <f t="shared" ref="AF345:AI354" si="337">IF(AF191="","",AF191)</f>
        <v/>
      </c>
      <c r="AG345" s="173" t="str">
        <f t="shared" si="337"/>
        <v/>
      </c>
      <c r="AH345" s="173" t="str">
        <f t="shared" si="337"/>
        <v/>
      </c>
      <c r="AI345" s="180" t="str">
        <f t="shared" si="337"/>
        <v/>
      </c>
      <c r="AK345" s="185" t="str">
        <f t="shared" ref="AK345:AN354" si="338">IF(AK191="","",AK191)</f>
        <v/>
      </c>
      <c r="AL345" s="173" t="str">
        <f t="shared" si="338"/>
        <v/>
      </c>
      <c r="AM345" s="173" t="str">
        <f t="shared" si="338"/>
        <v/>
      </c>
      <c r="AN345" s="180" t="str">
        <f t="shared" si="338"/>
        <v/>
      </c>
      <c r="AP345" s="185" t="str">
        <f>""</f>
        <v/>
      </c>
      <c r="AQ345" s="173" t="str">
        <f>""</f>
        <v/>
      </c>
      <c r="AR345" s="173" t="str">
        <f>""</f>
        <v/>
      </c>
      <c r="AS345" s="180" t="str">
        <f>""</f>
        <v/>
      </c>
      <c r="AT345" s="288"/>
      <c r="AU345" s="185" t="str">
        <f t="shared" ref="AU345:AX354" si="339">IF(AU191="","",AU191)</f>
        <v/>
      </c>
      <c r="AV345" s="173" t="str">
        <f t="shared" si="339"/>
        <v/>
      </c>
      <c r="AW345" s="173" t="str">
        <f t="shared" si="339"/>
        <v/>
      </c>
      <c r="AX345" s="180" t="str">
        <f t="shared" si="339"/>
        <v/>
      </c>
      <c r="AZ345" s="185" t="str">
        <f t="shared" ref="AZ345:BC354" si="340">IF(AZ191="","",AZ191)</f>
        <v/>
      </c>
      <c r="BA345" s="173" t="str">
        <f t="shared" si="340"/>
        <v/>
      </c>
      <c r="BB345" s="173" t="str">
        <f t="shared" si="340"/>
        <v/>
      </c>
      <c r="BC345" s="180" t="str">
        <f t="shared" si="340"/>
        <v/>
      </c>
      <c r="BE345" s="185" t="str">
        <f t="shared" ref="BE345:BH354" si="341">IF(BE191="","",BE191)</f>
        <v/>
      </c>
      <c r="BF345" s="173" t="str">
        <f t="shared" si="341"/>
        <v/>
      </c>
      <c r="BG345" s="173" t="str">
        <f t="shared" si="341"/>
        <v/>
      </c>
      <c r="BH345" s="180" t="str">
        <f t="shared" si="341"/>
        <v/>
      </c>
      <c r="BI345" s="288"/>
      <c r="BJ345" s="185" t="str">
        <f t="shared" ref="BJ345:BM354" si="342">IF(BJ191="","",BJ191)</f>
        <v/>
      </c>
      <c r="BK345" s="173" t="str">
        <f t="shared" si="342"/>
        <v/>
      </c>
      <c r="BL345" s="173" t="str">
        <f t="shared" si="342"/>
        <v/>
      </c>
      <c r="BM345" s="180" t="str">
        <f t="shared" si="342"/>
        <v/>
      </c>
      <c r="BO345" s="185" t="str">
        <f t="shared" ref="BO345:BR354" si="343">IF(BO191="","",BO191)</f>
        <v/>
      </c>
      <c r="BP345" s="173" t="str">
        <f t="shared" si="343"/>
        <v/>
      </c>
      <c r="BQ345" s="173" t="str">
        <f t="shared" si="343"/>
        <v/>
      </c>
      <c r="BR345" s="180" t="str">
        <f t="shared" si="343"/>
        <v/>
      </c>
      <c r="BT345" s="185" t="str">
        <f t="shared" ref="BT345:BW354" si="344">IF(BT191="","",BT191)</f>
        <v/>
      </c>
      <c r="BU345" s="173" t="str">
        <f t="shared" si="344"/>
        <v/>
      </c>
      <c r="BV345" s="173" t="str">
        <f t="shared" si="344"/>
        <v/>
      </c>
      <c r="BW345" s="180" t="str">
        <f t="shared" si="344"/>
        <v/>
      </c>
      <c r="BX345" s="288"/>
      <c r="CM345" s="96"/>
    </row>
    <row r="346" spans="1:91">
      <c r="A346" s="284" t="str">
        <f t="shared" si="331"/>
        <v/>
      </c>
      <c r="B346" s="185" t="str">
        <f t="shared" si="331"/>
        <v/>
      </c>
      <c r="C346" s="173" t="str">
        <f t="shared" si="331"/>
        <v/>
      </c>
      <c r="D346" s="173" t="str">
        <f t="shared" si="331"/>
        <v/>
      </c>
      <c r="E346" s="180" t="str">
        <f t="shared" si="331"/>
        <v/>
      </c>
      <c r="G346" s="185" t="str">
        <f t="shared" si="332"/>
        <v/>
      </c>
      <c r="H346" s="173" t="str">
        <f t="shared" si="332"/>
        <v/>
      </c>
      <c r="I346" s="173" t="str">
        <f t="shared" si="332"/>
        <v/>
      </c>
      <c r="J346" s="180" t="str">
        <f t="shared" si="332"/>
        <v/>
      </c>
      <c r="L346" s="185" t="str">
        <f t="shared" si="333"/>
        <v/>
      </c>
      <c r="M346" s="173" t="str">
        <f t="shared" si="333"/>
        <v/>
      </c>
      <c r="N346" s="173" t="str">
        <f t="shared" si="333"/>
        <v/>
      </c>
      <c r="O346" s="180" t="str">
        <f t="shared" si="333"/>
        <v/>
      </c>
      <c r="Q346" s="185" t="str">
        <f t="shared" si="334"/>
        <v/>
      </c>
      <c r="R346" s="173" t="str">
        <f t="shared" si="334"/>
        <v/>
      </c>
      <c r="S346" s="173" t="str">
        <f t="shared" si="334"/>
        <v/>
      </c>
      <c r="T346" s="180" t="str">
        <f t="shared" si="334"/>
        <v/>
      </c>
      <c r="V346" s="185" t="str">
        <f t="shared" si="335"/>
        <v/>
      </c>
      <c r="W346" s="173" t="str">
        <f t="shared" si="335"/>
        <v/>
      </c>
      <c r="X346" s="173" t="str">
        <f t="shared" si="335"/>
        <v/>
      </c>
      <c r="Y346" s="180" t="str">
        <f t="shared" si="335"/>
        <v/>
      </c>
      <c r="AA346" s="185" t="str">
        <f t="shared" si="336"/>
        <v/>
      </c>
      <c r="AB346" s="173" t="str">
        <f t="shared" si="336"/>
        <v/>
      </c>
      <c r="AC346" s="173" t="str">
        <f t="shared" si="336"/>
        <v/>
      </c>
      <c r="AD346" s="180" t="str">
        <f t="shared" si="336"/>
        <v/>
      </c>
      <c r="AF346" s="185" t="str">
        <f t="shared" si="337"/>
        <v/>
      </c>
      <c r="AG346" s="173" t="str">
        <f t="shared" si="337"/>
        <v/>
      </c>
      <c r="AH346" s="173" t="str">
        <f t="shared" si="337"/>
        <v/>
      </c>
      <c r="AI346" s="180" t="str">
        <f t="shared" si="337"/>
        <v/>
      </c>
      <c r="AK346" s="185" t="str">
        <f t="shared" si="338"/>
        <v/>
      </c>
      <c r="AL346" s="173" t="str">
        <f t="shared" si="338"/>
        <v/>
      </c>
      <c r="AM346" s="173" t="str">
        <f t="shared" si="338"/>
        <v/>
      </c>
      <c r="AN346" s="180" t="str">
        <f t="shared" si="338"/>
        <v/>
      </c>
      <c r="AP346" s="185" t="str">
        <f>""</f>
        <v/>
      </c>
      <c r="AQ346" s="173" t="str">
        <f>""</f>
        <v/>
      </c>
      <c r="AR346" s="173" t="str">
        <f>""</f>
        <v/>
      </c>
      <c r="AS346" s="180" t="str">
        <f>""</f>
        <v/>
      </c>
      <c r="AT346" s="288"/>
      <c r="AU346" s="185" t="str">
        <f t="shared" si="339"/>
        <v/>
      </c>
      <c r="AV346" s="173" t="str">
        <f t="shared" si="339"/>
        <v/>
      </c>
      <c r="AW346" s="173" t="str">
        <f t="shared" si="339"/>
        <v/>
      </c>
      <c r="AX346" s="180" t="str">
        <f t="shared" si="339"/>
        <v/>
      </c>
      <c r="AZ346" s="185" t="str">
        <f t="shared" si="340"/>
        <v/>
      </c>
      <c r="BA346" s="173" t="str">
        <f t="shared" si="340"/>
        <v/>
      </c>
      <c r="BB346" s="173" t="str">
        <f t="shared" si="340"/>
        <v/>
      </c>
      <c r="BC346" s="180" t="str">
        <f t="shared" si="340"/>
        <v/>
      </c>
      <c r="BE346" s="185" t="str">
        <f t="shared" si="341"/>
        <v/>
      </c>
      <c r="BF346" s="173" t="str">
        <f t="shared" si="341"/>
        <v/>
      </c>
      <c r="BG346" s="173" t="str">
        <f t="shared" si="341"/>
        <v/>
      </c>
      <c r="BH346" s="180" t="str">
        <f t="shared" si="341"/>
        <v/>
      </c>
      <c r="BI346" s="288"/>
      <c r="BJ346" s="185" t="str">
        <f t="shared" si="342"/>
        <v/>
      </c>
      <c r="BK346" s="173" t="str">
        <f t="shared" si="342"/>
        <v/>
      </c>
      <c r="BL346" s="173" t="str">
        <f t="shared" si="342"/>
        <v/>
      </c>
      <c r="BM346" s="180" t="str">
        <f t="shared" si="342"/>
        <v/>
      </c>
      <c r="BO346" s="185" t="str">
        <f t="shared" si="343"/>
        <v/>
      </c>
      <c r="BP346" s="173" t="str">
        <f t="shared" si="343"/>
        <v/>
      </c>
      <c r="BQ346" s="173" t="str">
        <f t="shared" si="343"/>
        <v/>
      </c>
      <c r="BR346" s="180" t="str">
        <f t="shared" si="343"/>
        <v/>
      </c>
      <c r="BT346" s="185" t="str">
        <f t="shared" si="344"/>
        <v/>
      </c>
      <c r="BU346" s="173" t="str">
        <f t="shared" si="344"/>
        <v/>
      </c>
      <c r="BV346" s="173" t="str">
        <f t="shared" si="344"/>
        <v/>
      </c>
      <c r="BW346" s="180" t="str">
        <f t="shared" si="344"/>
        <v/>
      </c>
      <c r="BX346" s="288"/>
      <c r="CM346" s="96"/>
    </row>
    <row r="347" spans="1:91">
      <c r="A347" s="284" t="str">
        <f t="shared" si="331"/>
        <v/>
      </c>
      <c r="B347" s="185" t="str">
        <f t="shared" si="331"/>
        <v/>
      </c>
      <c r="C347" s="173" t="str">
        <f t="shared" si="331"/>
        <v/>
      </c>
      <c r="D347" s="173" t="str">
        <f t="shared" si="331"/>
        <v/>
      </c>
      <c r="E347" s="180" t="str">
        <f t="shared" si="331"/>
        <v/>
      </c>
      <c r="G347" s="185" t="str">
        <f t="shared" si="332"/>
        <v/>
      </c>
      <c r="H347" s="173" t="str">
        <f t="shared" si="332"/>
        <v/>
      </c>
      <c r="I347" s="173" t="str">
        <f t="shared" si="332"/>
        <v/>
      </c>
      <c r="J347" s="180" t="str">
        <f t="shared" si="332"/>
        <v/>
      </c>
      <c r="L347" s="185" t="str">
        <f t="shared" si="333"/>
        <v/>
      </c>
      <c r="M347" s="173" t="str">
        <f t="shared" si="333"/>
        <v/>
      </c>
      <c r="N347" s="173" t="str">
        <f t="shared" si="333"/>
        <v/>
      </c>
      <c r="O347" s="180" t="str">
        <f t="shared" si="333"/>
        <v/>
      </c>
      <c r="Q347" s="185" t="str">
        <f t="shared" si="334"/>
        <v/>
      </c>
      <c r="R347" s="173" t="str">
        <f t="shared" si="334"/>
        <v/>
      </c>
      <c r="S347" s="173" t="str">
        <f t="shared" si="334"/>
        <v/>
      </c>
      <c r="T347" s="180" t="str">
        <f t="shared" si="334"/>
        <v/>
      </c>
      <c r="V347" s="185" t="str">
        <f t="shared" si="335"/>
        <v/>
      </c>
      <c r="W347" s="173" t="str">
        <f t="shared" si="335"/>
        <v/>
      </c>
      <c r="X347" s="173" t="str">
        <f t="shared" si="335"/>
        <v/>
      </c>
      <c r="Y347" s="180" t="str">
        <f t="shared" si="335"/>
        <v/>
      </c>
      <c r="AA347" s="185" t="str">
        <f t="shared" si="336"/>
        <v/>
      </c>
      <c r="AB347" s="173" t="str">
        <f t="shared" si="336"/>
        <v/>
      </c>
      <c r="AC347" s="173" t="str">
        <f t="shared" si="336"/>
        <v/>
      </c>
      <c r="AD347" s="180" t="str">
        <f t="shared" si="336"/>
        <v/>
      </c>
      <c r="AF347" s="185" t="str">
        <f t="shared" si="337"/>
        <v/>
      </c>
      <c r="AG347" s="173" t="str">
        <f t="shared" si="337"/>
        <v/>
      </c>
      <c r="AH347" s="173" t="str">
        <f t="shared" si="337"/>
        <v/>
      </c>
      <c r="AI347" s="180" t="str">
        <f t="shared" si="337"/>
        <v/>
      </c>
      <c r="AK347" s="185" t="str">
        <f t="shared" si="338"/>
        <v/>
      </c>
      <c r="AL347" s="173" t="str">
        <f t="shared" si="338"/>
        <v/>
      </c>
      <c r="AM347" s="173" t="str">
        <f t="shared" si="338"/>
        <v/>
      </c>
      <c r="AN347" s="180" t="str">
        <f t="shared" si="338"/>
        <v/>
      </c>
      <c r="AO347" s="96" t="s">
        <v>220</v>
      </c>
      <c r="AP347" s="241">
        <f t="shared" ref="AP347:AS354" si="345">IF(AP193="","",AP193)</f>
        <v>45</v>
      </c>
      <c r="AQ347" s="242">
        <f t="shared" si="345"/>
        <v>140</v>
      </c>
      <c r="AR347" s="242">
        <f t="shared" si="345"/>
        <v>50</v>
      </c>
      <c r="AS347" s="243">
        <f t="shared" si="345"/>
        <v>18</v>
      </c>
      <c r="AT347" s="288"/>
      <c r="AU347" s="185" t="str">
        <f t="shared" si="339"/>
        <v/>
      </c>
      <c r="AV347" s="173" t="str">
        <f t="shared" si="339"/>
        <v/>
      </c>
      <c r="AW347" s="173" t="str">
        <f t="shared" si="339"/>
        <v/>
      </c>
      <c r="AX347" s="180" t="str">
        <f t="shared" si="339"/>
        <v/>
      </c>
      <c r="AZ347" s="185" t="str">
        <f t="shared" si="340"/>
        <v/>
      </c>
      <c r="BA347" s="173" t="str">
        <f t="shared" si="340"/>
        <v/>
      </c>
      <c r="BB347" s="173" t="str">
        <f t="shared" si="340"/>
        <v/>
      </c>
      <c r="BC347" s="180" t="str">
        <f t="shared" si="340"/>
        <v/>
      </c>
      <c r="BE347" s="185" t="str">
        <f t="shared" si="341"/>
        <v/>
      </c>
      <c r="BF347" s="173" t="str">
        <f t="shared" si="341"/>
        <v/>
      </c>
      <c r="BG347" s="173" t="str">
        <f t="shared" si="341"/>
        <v/>
      </c>
      <c r="BH347" s="180" t="str">
        <f t="shared" si="341"/>
        <v/>
      </c>
      <c r="BI347" s="288"/>
      <c r="BJ347" s="185" t="str">
        <f t="shared" si="342"/>
        <v/>
      </c>
      <c r="BK347" s="173" t="str">
        <f t="shared" si="342"/>
        <v/>
      </c>
      <c r="BL347" s="173" t="str">
        <f t="shared" si="342"/>
        <v/>
      </c>
      <c r="BM347" s="180" t="str">
        <f t="shared" si="342"/>
        <v/>
      </c>
      <c r="BO347" s="185" t="str">
        <f t="shared" si="343"/>
        <v/>
      </c>
      <c r="BP347" s="173" t="str">
        <f t="shared" si="343"/>
        <v/>
      </c>
      <c r="BQ347" s="173" t="str">
        <f t="shared" si="343"/>
        <v/>
      </c>
      <c r="BR347" s="180" t="str">
        <f t="shared" si="343"/>
        <v/>
      </c>
      <c r="BT347" s="185" t="str">
        <f t="shared" si="344"/>
        <v/>
      </c>
      <c r="BU347" s="173" t="str">
        <f t="shared" si="344"/>
        <v/>
      </c>
      <c r="BV347" s="173" t="str">
        <f t="shared" si="344"/>
        <v/>
      </c>
      <c r="BW347" s="180" t="str">
        <f t="shared" si="344"/>
        <v/>
      </c>
      <c r="BX347" s="288"/>
      <c r="CM347" s="96"/>
    </row>
    <row r="348" spans="1:91">
      <c r="A348" s="284" t="str">
        <f t="shared" si="331"/>
        <v/>
      </c>
      <c r="B348" s="185" t="str">
        <f t="shared" si="331"/>
        <v/>
      </c>
      <c r="C348" s="173" t="str">
        <f t="shared" si="331"/>
        <v/>
      </c>
      <c r="D348" s="173" t="str">
        <f t="shared" si="331"/>
        <v/>
      </c>
      <c r="E348" s="180" t="str">
        <f t="shared" si="331"/>
        <v/>
      </c>
      <c r="G348" s="185" t="str">
        <f t="shared" si="332"/>
        <v/>
      </c>
      <c r="H348" s="173" t="str">
        <f t="shared" si="332"/>
        <v/>
      </c>
      <c r="I348" s="173" t="str">
        <f t="shared" si="332"/>
        <v/>
      </c>
      <c r="J348" s="180" t="str">
        <f t="shared" si="332"/>
        <v/>
      </c>
      <c r="L348" s="185" t="str">
        <f t="shared" si="333"/>
        <v/>
      </c>
      <c r="M348" s="173" t="str">
        <f t="shared" si="333"/>
        <v/>
      </c>
      <c r="N348" s="173" t="str">
        <f t="shared" si="333"/>
        <v/>
      </c>
      <c r="O348" s="180" t="str">
        <f t="shared" si="333"/>
        <v/>
      </c>
      <c r="Q348" s="185" t="str">
        <f t="shared" si="334"/>
        <v/>
      </c>
      <c r="R348" s="173" t="str">
        <f t="shared" si="334"/>
        <v/>
      </c>
      <c r="S348" s="173" t="str">
        <f t="shared" si="334"/>
        <v/>
      </c>
      <c r="T348" s="180" t="str">
        <f t="shared" si="334"/>
        <v/>
      </c>
      <c r="V348" s="185" t="str">
        <f t="shared" si="335"/>
        <v/>
      </c>
      <c r="W348" s="173" t="str">
        <f t="shared" si="335"/>
        <v/>
      </c>
      <c r="X348" s="173" t="str">
        <f t="shared" si="335"/>
        <v/>
      </c>
      <c r="Y348" s="180" t="str">
        <f t="shared" si="335"/>
        <v/>
      </c>
      <c r="AA348" s="185" t="str">
        <f t="shared" si="336"/>
        <v/>
      </c>
      <c r="AB348" s="173" t="str">
        <f t="shared" si="336"/>
        <v/>
      </c>
      <c r="AC348" s="173" t="str">
        <f t="shared" si="336"/>
        <v/>
      </c>
      <c r="AD348" s="180" t="str">
        <f t="shared" si="336"/>
        <v/>
      </c>
      <c r="AF348" s="185" t="str">
        <f t="shared" si="337"/>
        <v/>
      </c>
      <c r="AG348" s="173" t="str">
        <f t="shared" si="337"/>
        <v/>
      </c>
      <c r="AH348" s="173" t="str">
        <f t="shared" si="337"/>
        <v/>
      </c>
      <c r="AI348" s="180" t="str">
        <f t="shared" si="337"/>
        <v/>
      </c>
      <c r="AK348" s="185" t="str">
        <f t="shared" si="338"/>
        <v/>
      </c>
      <c r="AL348" s="173" t="str">
        <f t="shared" si="338"/>
        <v/>
      </c>
      <c r="AM348" s="173" t="str">
        <f t="shared" si="338"/>
        <v/>
      </c>
      <c r="AN348" s="180" t="str">
        <f t="shared" si="338"/>
        <v/>
      </c>
      <c r="AP348" s="244">
        <f t="shared" si="345"/>
        <v>45</v>
      </c>
      <c r="AQ348" s="245">
        <f t="shared" si="345"/>
        <v>140</v>
      </c>
      <c r="AR348" s="245">
        <f t="shared" si="345"/>
        <v>107</v>
      </c>
      <c r="AS348" s="246">
        <f t="shared" si="345"/>
        <v>18</v>
      </c>
      <c r="AT348" s="288"/>
      <c r="AU348" s="185" t="str">
        <f t="shared" si="339"/>
        <v/>
      </c>
      <c r="AV348" s="173" t="str">
        <f t="shared" si="339"/>
        <v/>
      </c>
      <c r="AW348" s="173" t="str">
        <f t="shared" si="339"/>
        <v/>
      </c>
      <c r="AX348" s="180" t="str">
        <f t="shared" si="339"/>
        <v/>
      </c>
      <c r="AZ348" s="185" t="str">
        <f t="shared" si="340"/>
        <v/>
      </c>
      <c r="BA348" s="173" t="str">
        <f t="shared" si="340"/>
        <v/>
      </c>
      <c r="BB348" s="173" t="str">
        <f t="shared" si="340"/>
        <v/>
      </c>
      <c r="BC348" s="180" t="str">
        <f t="shared" si="340"/>
        <v/>
      </c>
      <c r="BE348" s="185" t="str">
        <f t="shared" si="341"/>
        <v/>
      </c>
      <c r="BF348" s="173" t="str">
        <f t="shared" si="341"/>
        <v/>
      </c>
      <c r="BG348" s="173" t="str">
        <f t="shared" si="341"/>
        <v/>
      </c>
      <c r="BH348" s="180" t="str">
        <f t="shared" si="341"/>
        <v/>
      </c>
      <c r="BI348" s="288"/>
      <c r="BJ348" s="185" t="str">
        <f t="shared" si="342"/>
        <v/>
      </c>
      <c r="BK348" s="173" t="str">
        <f t="shared" si="342"/>
        <v/>
      </c>
      <c r="BL348" s="173" t="str">
        <f t="shared" si="342"/>
        <v/>
      </c>
      <c r="BM348" s="180" t="str">
        <f t="shared" si="342"/>
        <v/>
      </c>
      <c r="BO348" s="185" t="str">
        <f t="shared" si="343"/>
        <v/>
      </c>
      <c r="BP348" s="173" t="str">
        <f t="shared" si="343"/>
        <v/>
      </c>
      <c r="BQ348" s="173" t="str">
        <f t="shared" si="343"/>
        <v/>
      </c>
      <c r="BR348" s="180" t="str">
        <f t="shared" si="343"/>
        <v/>
      </c>
      <c r="BT348" s="185" t="str">
        <f t="shared" si="344"/>
        <v/>
      </c>
      <c r="BU348" s="173" t="str">
        <f t="shared" si="344"/>
        <v/>
      </c>
      <c r="BV348" s="173" t="str">
        <f t="shared" si="344"/>
        <v/>
      </c>
      <c r="BW348" s="180" t="str">
        <f t="shared" si="344"/>
        <v/>
      </c>
      <c r="BX348" s="288"/>
      <c r="CM348" s="96"/>
    </row>
    <row r="349" spans="1:91">
      <c r="A349" s="284" t="str">
        <f t="shared" si="331"/>
        <v/>
      </c>
      <c r="B349" s="185" t="str">
        <f t="shared" si="331"/>
        <v/>
      </c>
      <c r="C349" s="173" t="str">
        <f t="shared" si="331"/>
        <v/>
      </c>
      <c r="D349" s="173" t="str">
        <f t="shared" si="331"/>
        <v/>
      </c>
      <c r="E349" s="180" t="str">
        <f t="shared" si="331"/>
        <v/>
      </c>
      <c r="G349" s="185" t="str">
        <f t="shared" si="332"/>
        <v/>
      </c>
      <c r="H349" s="173" t="str">
        <f t="shared" si="332"/>
        <v/>
      </c>
      <c r="I349" s="173" t="str">
        <f t="shared" si="332"/>
        <v/>
      </c>
      <c r="J349" s="180" t="str">
        <f t="shared" si="332"/>
        <v/>
      </c>
      <c r="L349" s="185" t="str">
        <f t="shared" si="333"/>
        <v/>
      </c>
      <c r="M349" s="173" t="str">
        <f t="shared" si="333"/>
        <v/>
      </c>
      <c r="N349" s="173" t="str">
        <f t="shared" si="333"/>
        <v/>
      </c>
      <c r="O349" s="180" t="str">
        <f t="shared" si="333"/>
        <v/>
      </c>
      <c r="Q349" s="185" t="str">
        <f t="shared" si="334"/>
        <v/>
      </c>
      <c r="R349" s="173" t="str">
        <f t="shared" si="334"/>
        <v/>
      </c>
      <c r="S349" s="173" t="str">
        <f t="shared" si="334"/>
        <v/>
      </c>
      <c r="T349" s="180" t="str">
        <f t="shared" si="334"/>
        <v/>
      </c>
      <c r="V349" s="185" t="str">
        <f t="shared" si="335"/>
        <v/>
      </c>
      <c r="W349" s="173" t="str">
        <f t="shared" si="335"/>
        <v/>
      </c>
      <c r="X349" s="173" t="str">
        <f t="shared" si="335"/>
        <v/>
      </c>
      <c r="Y349" s="180" t="str">
        <f t="shared" si="335"/>
        <v/>
      </c>
      <c r="AA349" s="185" t="str">
        <f t="shared" si="336"/>
        <v/>
      </c>
      <c r="AB349" s="173" t="str">
        <f t="shared" si="336"/>
        <v/>
      </c>
      <c r="AC349" s="173" t="str">
        <f t="shared" si="336"/>
        <v/>
      </c>
      <c r="AD349" s="180" t="str">
        <f t="shared" si="336"/>
        <v/>
      </c>
      <c r="AF349" s="185" t="str">
        <f t="shared" si="337"/>
        <v/>
      </c>
      <c r="AG349" s="173" t="str">
        <f t="shared" si="337"/>
        <v/>
      </c>
      <c r="AH349" s="173" t="str">
        <f t="shared" si="337"/>
        <v/>
      </c>
      <c r="AI349" s="180" t="str">
        <f t="shared" si="337"/>
        <v/>
      </c>
      <c r="AK349" s="185" t="str">
        <f t="shared" si="338"/>
        <v/>
      </c>
      <c r="AL349" s="173" t="str">
        <f t="shared" si="338"/>
        <v/>
      </c>
      <c r="AM349" s="173" t="str">
        <f t="shared" si="338"/>
        <v/>
      </c>
      <c r="AN349" s="180" t="str">
        <f t="shared" si="338"/>
        <v/>
      </c>
      <c r="AP349" s="244">
        <f t="shared" si="345"/>
        <v>45</v>
      </c>
      <c r="AQ349" s="245">
        <f t="shared" si="345"/>
        <v>96</v>
      </c>
      <c r="AR349" s="245">
        <f t="shared" si="345"/>
        <v>50</v>
      </c>
      <c r="AS349" s="246">
        <f t="shared" si="345"/>
        <v>18</v>
      </c>
      <c r="AT349" s="288"/>
      <c r="AU349" s="185" t="str">
        <f t="shared" si="339"/>
        <v/>
      </c>
      <c r="AV349" s="173" t="str">
        <f t="shared" si="339"/>
        <v/>
      </c>
      <c r="AW349" s="173" t="str">
        <f t="shared" si="339"/>
        <v/>
      </c>
      <c r="AX349" s="180" t="str">
        <f t="shared" si="339"/>
        <v/>
      </c>
      <c r="AZ349" s="185" t="str">
        <f t="shared" si="340"/>
        <v/>
      </c>
      <c r="BA349" s="173" t="str">
        <f t="shared" si="340"/>
        <v/>
      </c>
      <c r="BB349" s="173" t="str">
        <f t="shared" si="340"/>
        <v/>
      </c>
      <c r="BC349" s="180" t="str">
        <f t="shared" si="340"/>
        <v/>
      </c>
      <c r="BE349" s="185" t="str">
        <f t="shared" si="341"/>
        <v/>
      </c>
      <c r="BF349" s="173" t="str">
        <f t="shared" si="341"/>
        <v/>
      </c>
      <c r="BG349" s="173" t="str">
        <f t="shared" si="341"/>
        <v/>
      </c>
      <c r="BH349" s="180" t="str">
        <f t="shared" si="341"/>
        <v/>
      </c>
      <c r="BI349" s="288"/>
      <c r="BJ349" s="185" t="str">
        <f t="shared" si="342"/>
        <v/>
      </c>
      <c r="BK349" s="173" t="str">
        <f t="shared" si="342"/>
        <v/>
      </c>
      <c r="BL349" s="173" t="str">
        <f t="shared" si="342"/>
        <v/>
      </c>
      <c r="BM349" s="180" t="str">
        <f t="shared" si="342"/>
        <v/>
      </c>
      <c r="BO349" s="185" t="str">
        <f t="shared" si="343"/>
        <v/>
      </c>
      <c r="BP349" s="173" t="str">
        <f t="shared" si="343"/>
        <v/>
      </c>
      <c r="BQ349" s="173" t="str">
        <f t="shared" si="343"/>
        <v/>
      </c>
      <c r="BR349" s="180" t="str">
        <f t="shared" si="343"/>
        <v/>
      </c>
      <c r="BT349" s="185" t="str">
        <f t="shared" si="344"/>
        <v/>
      </c>
      <c r="BU349" s="173" t="str">
        <f t="shared" si="344"/>
        <v/>
      </c>
      <c r="BV349" s="173" t="str">
        <f t="shared" si="344"/>
        <v/>
      </c>
      <c r="BW349" s="180" t="str">
        <f t="shared" si="344"/>
        <v/>
      </c>
      <c r="BX349" s="288"/>
      <c r="CM349" s="96"/>
    </row>
    <row r="350" spans="1:91">
      <c r="A350" s="284" t="str">
        <f t="shared" si="331"/>
        <v/>
      </c>
      <c r="B350" s="185" t="str">
        <f t="shared" si="331"/>
        <v/>
      </c>
      <c r="C350" s="173" t="str">
        <f t="shared" si="331"/>
        <v/>
      </c>
      <c r="D350" s="173" t="str">
        <f t="shared" si="331"/>
        <v/>
      </c>
      <c r="E350" s="180" t="str">
        <f t="shared" si="331"/>
        <v/>
      </c>
      <c r="G350" s="185" t="str">
        <f t="shared" si="332"/>
        <v/>
      </c>
      <c r="H350" s="173" t="str">
        <f t="shared" si="332"/>
        <v/>
      </c>
      <c r="I350" s="173" t="str">
        <f t="shared" si="332"/>
        <v/>
      </c>
      <c r="J350" s="180" t="str">
        <f t="shared" si="332"/>
        <v/>
      </c>
      <c r="L350" s="185" t="str">
        <f t="shared" si="333"/>
        <v/>
      </c>
      <c r="M350" s="173" t="str">
        <f t="shared" si="333"/>
        <v/>
      </c>
      <c r="N350" s="173" t="str">
        <f t="shared" si="333"/>
        <v/>
      </c>
      <c r="O350" s="180" t="str">
        <f t="shared" si="333"/>
        <v/>
      </c>
      <c r="Q350" s="185" t="str">
        <f t="shared" si="334"/>
        <v/>
      </c>
      <c r="R350" s="173" t="str">
        <f t="shared" si="334"/>
        <v/>
      </c>
      <c r="S350" s="173" t="str">
        <f t="shared" si="334"/>
        <v/>
      </c>
      <c r="T350" s="180" t="str">
        <f t="shared" si="334"/>
        <v/>
      </c>
      <c r="V350" s="185" t="str">
        <f t="shared" si="335"/>
        <v/>
      </c>
      <c r="W350" s="173" t="str">
        <f t="shared" si="335"/>
        <v/>
      </c>
      <c r="X350" s="173" t="str">
        <f t="shared" si="335"/>
        <v/>
      </c>
      <c r="Y350" s="180" t="str">
        <f t="shared" si="335"/>
        <v/>
      </c>
      <c r="AA350" s="185" t="str">
        <f t="shared" si="336"/>
        <v/>
      </c>
      <c r="AB350" s="173" t="str">
        <f t="shared" si="336"/>
        <v/>
      </c>
      <c r="AC350" s="173" t="str">
        <f t="shared" si="336"/>
        <v/>
      </c>
      <c r="AD350" s="180" t="str">
        <f t="shared" si="336"/>
        <v/>
      </c>
      <c r="AF350" s="185" t="str">
        <f t="shared" si="337"/>
        <v/>
      </c>
      <c r="AG350" s="173" t="str">
        <f t="shared" si="337"/>
        <v/>
      </c>
      <c r="AH350" s="173" t="str">
        <f t="shared" si="337"/>
        <v/>
      </c>
      <c r="AI350" s="180" t="str">
        <f t="shared" si="337"/>
        <v/>
      </c>
      <c r="AK350" s="185" t="str">
        <f t="shared" si="338"/>
        <v/>
      </c>
      <c r="AL350" s="173" t="str">
        <f t="shared" si="338"/>
        <v/>
      </c>
      <c r="AM350" s="173" t="str">
        <f t="shared" si="338"/>
        <v/>
      </c>
      <c r="AN350" s="180" t="str">
        <f t="shared" si="338"/>
        <v/>
      </c>
      <c r="AP350" s="244">
        <f t="shared" si="345"/>
        <v>45</v>
      </c>
      <c r="AQ350" s="245">
        <f t="shared" si="345"/>
        <v>96</v>
      </c>
      <c r="AR350" s="245">
        <f t="shared" si="345"/>
        <v>107</v>
      </c>
      <c r="AS350" s="246">
        <f t="shared" si="345"/>
        <v>18</v>
      </c>
      <c r="AT350" s="288"/>
      <c r="AU350" s="185" t="str">
        <f t="shared" si="339"/>
        <v/>
      </c>
      <c r="AV350" s="173" t="str">
        <f t="shared" si="339"/>
        <v/>
      </c>
      <c r="AW350" s="173" t="str">
        <f t="shared" si="339"/>
        <v/>
      </c>
      <c r="AX350" s="180" t="str">
        <f t="shared" si="339"/>
        <v/>
      </c>
      <c r="AZ350" s="185" t="str">
        <f t="shared" si="340"/>
        <v/>
      </c>
      <c r="BA350" s="173" t="str">
        <f t="shared" si="340"/>
        <v/>
      </c>
      <c r="BB350" s="173" t="str">
        <f t="shared" si="340"/>
        <v/>
      </c>
      <c r="BC350" s="180" t="str">
        <f t="shared" si="340"/>
        <v/>
      </c>
      <c r="BE350" s="185" t="str">
        <f t="shared" si="341"/>
        <v/>
      </c>
      <c r="BF350" s="173" t="str">
        <f t="shared" si="341"/>
        <v/>
      </c>
      <c r="BG350" s="173" t="str">
        <f t="shared" si="341"/>
        <v/>
      </c>
      <c r="BH350" s="180" t="str">
        <f t="shared" si="341"/>
        <v/>
      </c>
      <c r="BI350" s="288"/>
      <c r="BJ350" s="185" t="str">
        <f t="shared" si="342"/>
        <v/>
      </c>
      <c r="BK350" s="173" t="str">
        <f t="shared" si="342"/>
        <v/>
      </c>
      <c r="BL350" s="173" t="str">
        <f t="shared" si="342"/>
        <v/>
      </c>
      <c r="BM350" s="180" t="str">
        <f t="shared" si="342"/>
        <v/>
      </c>
      <c r="BO350" s="185" t="str">
        <f t="shared" si="343"/>
        <v/>
      </c>
      <c r="BP350" s="173" t="str">
        <f t="shared" si="343"/>
        <v/>
      </c>
      <c r="BQ350" s="173" t="str">
        <f t="shared" si="343"/>
        <v/>
      </c>
      <c r="BR350" s="180" t="str">
        <f t="shared" si="343"/>
        <v/>
      </c>
      <c r="BT350" s="185" t="str">
        <f t="shared" si="344"/>
        <v/>
      </c>
      <c r="BU350" s="173" t="str">
        <f t="shared" si="344"/>
        <v/>
      </c>
      <c r="BV350" s="173" t="str">
        <f t="shared" si="344"/>
        <v/>
      </c>
      <c r="BW350" s="180" t="str">
        <f t="shared" si="344"/>
        <v/>
      </c>
      <c r="BX350" s="288"/>
      <c r="CM350" s="96"/>
    </row>
    <row r="351" spans="1:91">
      <c r="A351" s="284" t="str">
        <f t="shared" ref="A351:E354" si="346">IF(A197="","",A197)</f>
        <v/>
      </c>
      <c r="B351" s="185" t="str">
        <f t="shared" si="346"/>
        <v/>
      </c>
      <c r="C351" s="173" t="str">
        <f t="shared" si="346"/>
        <v/>
      </c>
      <c r="D351" s="173" t="str">
        <f t="shared" si="346"/>
        <v/>
      </c>
      <c r="E351" s="180" t="str">
        <f t="shared" si="346"/>
        <v/>
      </c>
      <c r="G351" s="185" t="str">
        <f t="shared" si="332"/>
        <v/>
      </c>
      <c r="H351" s="173" t="str">
        <f t="shared" si="332"/>
        <v/>
      </c>
      <c r="I351" s="173" t="str">
        <f t="shared" si="332"/>
        <v/>
      </c>
      <c r="J351" s="180" t="str">
        <f t="shared" si="332"/>
        <v/>
      </c>
      <c r="L351" s="185" t="str">
        <f t="shared" si="333"/>
        <v/>
      </c>
      <c r="M351" s="173" t="str">
        <f t="shared" si="333"/>
        <v/>
      </c>
      <c r="N351" s="173" t="str">
        <f t="shared" si="333"/>
        <v/>
      </c>
      <c r="O351" s="180" t="str">
        <f t="shared" si="333"/>
        <v/>
      </c>
      <c r="Q351" s="185" t="str">
        <f t="shared" si="334"/>
        <v/>
      </c>
      <c r="R351" s="173" t="str">
        <f t="shared" si="334"/>
        <v/>
      </c>
      <c r="S351" s="173" t="str">
        <f t="shared" si="334"/>
        <v/>
      </c>
      <c r="T351" s="180" t="str">
        <f t="shared" si="334"/>
        <v/>
      </c>
      <c r="V351" s="185" t="str">
        <f t="shared" si="335"/>
        <v/>
      </c>
      <c r="W351" s="173" t="str">
        <f t="shared" si="335"/>
        <v/>
      </c>
      <c r="X351" s="173" t="str">
        <f t="shared" si="335"/>
        <v/>
      </c>
      <c r="Y351" s="180" t="str">
        <f t="shared" si="335"/>
        <v/>
      </c>
      <c r="AA351" s="185" t="str">
        <f t="shared" si="336"/>
        <v/>
      </c>
      <c r="AB351" s="173" t="str">
        <f t="shared" si="336"/>
        <v/>
      </c>
      <c r="AC351" s="173" t="str">
        <f t="shared" si="336"/>
        <v/>
      </c>
      <c r="AD351" s="180" t="str">
        <f t="shared" si="336"/>
        <v/>
      </c>
      <c r="AF351" s="185" t="str">
        <f t="shared" si="337"/>
        <v/>
      </c>
      <c r="AG351" s="173" t="str">
        <f t="shared" si="337"/>
        <v/>
      </c>
      <c r="AH351" s="173" t="str">
        <f t="shared" si="337"/>
        <v/>
      </c>
      <c r="AI351" s="180" t="str">
        <f t="shared" si="337"/>
        <v/>
      </c>
      <c r="AK351" s="185" t="str">
        <f t="shared" si="338"/>
        <v/>
      </c>
      <c r="AL351" s="173" t="str">
        <f t="shared" si="338"/>
        <v/>
      </c>
      <c r="AM351" s="173" t="str">
        <f t="shared" si="338"/>
        <v/>
      </c>
      <c r="AN351" s="180" t="str">
        <f t="shared" si="338"/>
        <v/>
      </c>
      <c r="AP351" s="244">
        <f t="shared" si="345"/>
        <v>45</v>
      </c>
      <c r="AQ351" s="245">
        <f t="shared" si="345"/>
        <v>54</v>
      </c>
      <c r="AR351" s="245">
        <f t="shared" si="345"/>
        <v>50</v>
      </c>
      <c r="AS351" s="246">
        <f t="shared" si="345"/>
        <v>18</v>
      </c>
      <c r="AT351" s="288"/>
      <c r="AU351" s="185" t="str">
        <f t="shared" si="339"/>
        <v/>
      </c>
      <c r="AV351" s="173" t="str">
        <f t="shared" si="339"/>
        <v/>
      </c>
      <c r="AW351" s="173" t="str">
        <f t="shared" si="339"/>
        <v/>
      </c>
      <c r="AX351" s="180" t="str">
        <f t="shared" si="339"/>
        <v/>
      </c>
      <c r="AZ351" s="185" t="str">
        <f t="shared" si="340"/>
        <v/>
      </c>
      <c r="BA351" s="173" t="str">
        <f t="shared" si="340"/>
        <v/>
      </c>
      <c r="BB351" s="173" t="str">
        <f t="shared" si="340"/>
        <v/>
      </c>
      <c r="BC351" s="180" t="str">
        <f t="shared" si="340"/>
        <v/>
      </c>
      <c r="BE351" s="185" t="str">
        <f t="shared" si="341"/>
        <v/>
      </c>
      <c r="BF351" s="173" t="str">
        <f t="shared" si="341"/>
        <v/>
      </c>
      <c r="BG351" s="173" t="str">
        <f t="shared" si="341"/>
        <v/>
      </c>
      <c r="BH351" s="180" t="str">
        <f t="shared" si="341"/>
        <v/>
      </c>
      <c r="BI351" s="288"/>
      <c r="BJ351" s="185" t="str">
        <f t="shared" si="342"/>
        <v/>
      </c>
      <c r="BK351" s="173" t="str">
        <f t="shared" si="342"/>
        <v/>
      </c>
      <c r="BL351" s="173" t="str">
        <f t="shared" si="342"/>
        <v/>
      </c>
      <c r="BM351" s="180" t="str">
        <f t="shared" si="342"/>
        <v/>
      </c>
      <c r="BO351" s="185" t="str">
        <f t="shared" si="343"/>
        <v/>
      </c>
      <c r="BP351" s="173" t="str">
        <f t="shared" si="343"/>
        <v/>
      </c>
      <c r="BQ351" s="173" t="str">
        <f t="shared" si="343"/>
        <v/>
      </c>
      <c r="BR351" s="180" t="str">
        <f t="shared" si="343"/>
        <v/>
      </c>
      <c r="BT351" s="185" t="str">
        <f t="shared" si="344"/>
        <v/>
      </c>
      <c r="BU351" s="173" t="str">
        <f t="shared" si="344"/>
        <v/>
      </c>
      <c r="BV351" s="173" t="str">
        <f t="shared" si="344"/>
        <v/>
      </c>
      <c r="BW351" s="180" t="str">
        <f t="shared" si="344"/>
        <v/>
      </c>
      <c r="BX351" s="288"/>
      <c r="CM351" s="96"/>
    </row>
    <row r="352" spans="1:91">
      <c r="A352" s="284" t="str">
        <f t="shared" si="346"/>
        <v/>
      </c>
      <c r="B352" s="185" t="str">
        <f t="shared" si="346"/>
        <v/>
      </c>
      <c r="C352" s="173" t="str">
        <f t="shared" si="346"/>
        <v/>
      </c>
      <c r="D352" s="173" t="str">
        <f t="shared" si="346"/>
        <v/>
      </c>
      <c r="E352" s="180" t="str">
        <f t="shared" si="346"/>
        <v/>
      </c>
      <c r="G352" s="185" t="str">
        <f t="shared" si="332"/>
        <v/>
      </c>
      <c r="H352" s="173" t="str">
        <f t="shared" si="332"/>
        <v/>
      </c>
      <c r="I352" s="173" t="str">
        <f t="shared" si="332"/>
        <v/>
      </c>
      <c r="J352" s="180" t="str">
        <f t="shared" si="332"/>
        <v/>
      </c>
      <c r="L352" s="185" t="str">
        <f t="shared" si="333"/>
        <v/>
      </c>
      <c r="M352" s="173" t="str">
        <f t="shared" si="333"/>
        <v/>
      </c>
      <c r="N352" s="173" t="str">
        <f t="shared" si="333"/>
        <v/>
      </c>
      <c r="O352" s="180" t="str">
        <f t="shared" si="333"/>
        <v/>
      </c>
      <c r="Q352" s="185" t="str">
        <f t="shared" si="334"/>
        <v/>
      </c>
      <c r="R352" s="173" t="str">
        <f t="shared" si="334"/>
        <v/>
      </c>
      <c r="S352" s="173" t="str">
        <f t="shared" si="334"/>
        <v/>
      </c>
      <c r="T352" s="180" t="str">
        <f t="shared" si="334"/>
        <v/>
      </c>
      <c r="V352" s="185" t="str">
        <f t="shared" si="335"/>
        <v/>
      </c>
      <c r="W352" s="173" t="str">
        <f t="shared" si="335"/>
        <v/>
      </c>
      <c r="X352" s="173" t="str">
        <f t="shared" si="335"/>
        <v/>
      </c>
      <c r="Y352" s="180" t="str">
        <f t="shared" si="335"/>
        <v/>
      </c>
      <c r="AA352" s="185" t="str">
        <f t="shared" si="336"/>
        <v/>
      </c>
      <c r="AB352" s="173" t="str">
        <f t="shared" si="336"/>
        <v/>
      </c>
      <c r="AC352" s="173" t="str">
        <f t="shared" si="336"/>
        <v/>
      </c>
      <c r="AD352" s="180" t="str">
        <f t="shared" si="336"/>
        <v/>
      </c>
      <c r="AF352" s="185" t="str">
        <f t="shared" si="337"/>
        <v/>
      </c>
      <c r="AG352" s="173" t="str">
        <f t="shared" si="337"/>
        <v/>
      </c>
      <c r="AH352" s="173" t="str">
        <f t="shared" si="337"/>
        <v/>
      </c>
      <c r="AI352" s="180" t="str">
        <f t="shared" si="337"/>
        <v/>
      </c>
      <c r="AK352" s="185" t="str">
        <f t="shared" si="338"/>
        <v/>
      </c>
      <c r="AL352" s="173" t="str">
        <f t="shared" si="338"/>
        <v/>
      </c>
      <c r="AM352" s="173" t="str">
        <f t="shared" si="338"/>
        <v/>
      </c>
      <c r="AN352" s="180" t="str">
        <f t="shared" si="338"/>
        <v/>
      </c>
      <c r="AP352" s="244">
        <f t="shared" si="345"/>
        <v>45</v>
      </c>
      <c r="AQ352" s="245">
        <f t="shared" si="345"/>
        <v>54</v>
      </c>
      <c r="AR352" s="245">
        <f t="shared" si="345"/>
        <v>107</v>
      </c>
      <c r="AS352" s="246">
        <f t="shared" si="345"/>
        <v>18</v>
      </c>
      <c r="AT352" s="288"/>
      <c r="AU352" s="185" t="str">
        <f t="shared" si="339"/>
        <v/>
      </c>
      <c r="AV352" s="173" t="str">
        <f t="shared" si="339"/>
        <v/>
      </c>
      <c r="AW352" s="173" t="str">
        <f t="shared" si="339"/>
        <v/>
      </c>
      <c r="AX352" s="180" t="str">
        <f t="shared" si="339"/>
        <v/>
      </c>
      <c r="AZ352" s="185" t="str">
        <f t="shared" si="340"/>
        <v/>
      </c>
      <c r="BA352" s="173" t="str">
        <f t="shared" si="340"/>
        <v/>
      </c>
      <c r="BB352" s="173" t="str">
        <f t="shared" si="340"/>
        <v/>
      </c>
      <c r="BC352" s="180" t="str">
        <f t="shared" si="340"/>
        <v/>
      </c>
      <c r="BE352" s="185" t="str">
        <f t="shared" si="341"/>
        <v/>
      </c>
      <c r="BF352" s="173" t="str">
        <f t="shared" si="341"/>
        <v/>
      </c>
      <c r="BG352" s="173" t="str">
        <f t="shared" si="341"/>
        <v/>
      </c>
      <c r="BH352" s="180" t="str">
        <f t="shared" si="341"/>
        <v/>
      </c>
      <c r="BI352" s="288"/>
      <c r="BJ352" s="185" t="str">
        <f t="shared" si="342"/>
        <v/>
      </c>
      <c r="BK352" s="173" t="str">
        <f t="shared" si="342"/>
        <v/>
      </c>
      <c r="BL352" s="173" t="str">
        <f t="shared" si="342"/>
        <v/>
      </c>
      <c r="BM352" s="180" t="str">
        <f t="shared" si="342"/>
        <v/>
      </c>
      <c r="BO352" s="185" t="str">
        <f t="shared" si="343"/>
        <v/>
      </c>
      <c r="BP352" s="173" t="str">
        <f t="shared" si="343"/>
        <v/>
      </c>
      <c r="BQ352" s="173" t="str">
        <f t="shared" si="343"/>
        <v/>
      </c>
      <c r="BR352" s="180" t="str">
        <f t="shared" si="343"/>
        <v/>
      </c>
      <c r="BT352" s="185" t="str">
        <f t="shared" si="344"/>
        <v/>
      </c>
      <c r="BU352" s="173" t="str">
        <f t="shared" si="344"/>
        <v/>
      </c>
      <c r="BV352" s="173" t="str">
        <f t="shared" si="344"/>
        <v/>
      </c>
      <c r="BW352" s="180" t="str">
        <f t="shared" si="344"/>
        <v/>
      </c>
      <c r="BX352" s="288"/>
      <c r="CM352" s="96"/>
    </row>
    <row r="353" spans="1:91">
      <c r="A353" s="284" t="str">
        <f t="shared" si="346"/>
        <v/>
      </c>
      <c r="B353" s="185" t="str">
        <f t="shared" si="346"/>
        <v/>
      </c>
      <c r="C353" s="173" t="str">
        <f t="shared" si="346"/>
        <v/>
      </c>
      <c r="D353" s="173" t="str">
        <f t="shared" si="346"/>
        <v/>
      </c>
      <c r="E353" s="180" t="str">
        <f t="shared" si="346"/>
        <v/>
      </c>
      <c r="G353" s="185" t="str">
        <f t="shared" si="332"/>
        <v/>
      </c>
      <c r="H353" s="173" t="str">
        <f t="shared" si="332"/>
        <v/>
      </c>
      <c r="I353" s="173" t="str">
        <f t="shared" si="332"/>
        <v/>
      </c>
      <c r="J353" s="180" t="str">
        <f t="shared" si="332"/>
        <v/>
      </c>
      <c r="L353" s="185" t="str">
        <f t="shared" si="333"/>
        <v/>
      </c>
      <c r="M353" s="173" t="str">
        <f t="shared" si="333"/>
        <v/>
      </c>
      <c r="N353" s="173" t="str">
        <f t="shared" si="333"/>
        <v/>
      </c>
      <c r="O353" s="180" t="str">
        <f t="shared" si="333"/>
        <v/>
      </c>
      <c r="Q353" s="185" t="str">
        <f t="shared" si="334"/>
        <v/>
      </c>
      <c r="R353" s="173" t="str">
        <f t="shared" si="334"/>
        <v/>
      </c>
      <c r="S353" s="173" t="str">
        <f t="shared" si="334"/>
        <v/>
      </c>
      <c r="T353" s="180" t="str">
        <f t="shared" si="334"/>
        <v/>
      </c>
      <c r="V353" s="185" t="str">
        <f t="shared" si="335"/>
        <v/>
      </c>
      <c r="W353" s="173" t="str">
        <f t="shared" si="335"/>
        <v/>
      </c>
      <c r="X353" s="173" t="str">
        <f t="shared" si="335"/>
        <v/>
      </c>
      <c r="Y353" s="180" t="str">
        <f t="shared" si="335"/>
        <v/>
      </c>
      <c r="AA353" s="185" t="str">
        <f t="shared" si="336"/>
        <v/>
      </c>
      <c r="AB353" s="173" t="str">
        <f t="shared" si="336"/>
        <v/>
      </c>
      <c r="AC353" s="173" t="str">
        <f t="shared" si="336"/>
        <v/>
      </c>
      <c r="AD353" s="180" t="str">
        <f t="shared" si="336"/>
        <v/>
      </c>
      <c r="AF353" s="185" t="str">
        <f t="shared" si="337"/>
        <v/>
      </c>
      <c r="AG353" s="173" t="str">
        <f t="shared" si="337"/>
        <v/>
      </c>
      <c r="AH353" s="173" t="str">
        <f t="shared" si="337"/>
        <v/>
      </c>
      <c r="AI353" s="180" t="str">
        <f t="shared" si="337"/>
        <v/>
      </c>
      <c r="AK353" s="185" t="str">
        <f t="shared" si="338"/>
        <v/>
      </c>
      <c r="AL353" s="173" t="str">
        <f t="shared" si="338"/>
        <v/>
      </c>
      <c r="AM353" s="173" t="str">
        <f t="shared" si="338"/>
        <v/>
      </c>
      <c r="AN353" s="180" t="str">
        <f t="shared" si="338"/>
        <v/>
      </c>
      <c r="AP353" s="244">
        <f t="shared" si="345"/>
        <v>45</v>
      </c>
      <c r="AQ353" s="245">
        <f t="shared" si="345"/>
        <v>10</v>
      </c>
      <c r="AR353" s="245">
        <f t="shared" si="345"/>
        <v>50</v>
      </c>
      <c r="AS353" s="246">
        <f t="shared" si="345"/>
        <v>18</v>
      </c>
      <c r="AT353" s="288"/>
      <c r="AU353" s="185" t="str">
        <f t="shared" si="339"/>
        <v/>
      </c>
      <c r="AV353" s="173" t="str">
        <f t="shared" si="339"/>
        <v/>
      </c>
      <c r="AW353" s="173" t="str">
        <f t="shared" si="339"/>
        <v/>
      </c>
      <c r="AX353" s="180" t="str">
        <f t="shared" si="339"/>
        <v/>
      </c>
      <c r="AZ353" s="185" t="str">
        <f t="shared" si="340"/>
        <v/>
      </c>
      <c r="BA353" s="173" t="str">
        <f t="shared" si="340"/>
        <v/>
      </c>
      <c r="BB353" s="173" t="str">
        <f t="shared" si="340"/>
        <v/>
      </c>
      <c r="BC353" s="180" t="str">
        <f t="shared" si="340"/>
        <v/>
      </c>
      <c r="BE353" s="185" t="str">
        <f t="shared" si="341"/>
        <v/>
      </c>
      <c r="BF353" s="173" t="str">
        <f t="shared" si="341"/>
        <v/>
      </c>
      <c r="BG353" s="173" t="str">
        <f t="shared" si="341"/>
        <v/>
      </c>
      <c r="BH353" s="180" t="str">
        <f t="shared" si="341"/>
        <v/>
      </c>
      <c r="BI353" s="288"/>
      <c r="BJ353" s="185" t="str">
        <f t="shared" si="342"/>
        <v/>
      </c>
      <c r="BK353" s="173" t="str">
        <f t="shared" si="342"/>
        <v/>
      </c>
      <c r="BL353" s="173" t="str">
        <f t="shared" si="342"/>
        <v/>
      </c>
      <c r="BM353" s="180" t="str">
        <f t="shared" si="342"/>
        <v/>
      </c>
      <c r="BO353" s="185" t="str">
        <f t="shared" si="343"/>
        <v/>
      </c>
      <c r="BP353" s="173" t="str">
        <f t="shared" si="343"/>
        <v/>
      </c>
      <c r="BQ353" s="173" t="str">
        <f t="shared" si="343"/>
        <v/>
      </c>
      <c r="BR353" s="180" t="str">
        <f t="shared" si="343"/>
        <v/>
      </c>
      <c r="BT353" s="185" t="str">
        <f t="shared" si="344"/>
        <v/>
      </c>
      <c r="BU353" s="173" t="str">
        <f t="shared" si="344"/>
        <v/>
      </c>
      <c r="BV353" s="173" t="str">
        <f t="shared" si="344"/>
        <v/>
      </c>
      <c r="BW353" s="180" t="str">
        <f t="shared" si="344"/>
        <v/>
      </c>
      <c r="BX353" s="288"/>
      <c r="CM353" s="96"/>
    </row>
    <row r="354" spans="1:91">
      <c r="A354" s="284" t="str">
        <f t="shared" si="346"/>
        <v/>
      </c>
      <c r="B354" s="186" t="str">
        <f t="shared" si="346"/>
        <v/>
      </c>
      <c r="C354" s="174" t="str">
        <f t="shared" si="346"/>
        <v/>
      </c>
      <c r="D354" s="174" t="str">
        <f t="shared" si="346"/>
        <v/>
      </c>
      <c r="E354" s="181" t="str">
        <f t="shared" si="346"/>
        <v/>
      </c>
      <c r="G354" s="186" t="str">
        <f t="shared" si="332"/>
        <v/>
      </c>
      <c r="H354" s="174" t="str">
        <f t="shared" si="332"/>
        <v/>
      </c>
      <c r="I354" s="174" t="str">
        <f t="shared" si="332"/>
        <v/>
      </c>
      <c r="J354" s="181" t="str">
        <f t="shared" si="332"/>
        <v/>
      </c>
      <c r="L354" s="186" t="str">
        <f t="shared" si="333"/>
        <v/>
      </c>
      <c r="M354" s="174" t="str">
        <f t="shared" si="333"/>
        <v/>
      </c>
      <c r="N354" s="174" t="str">
        <f t="shared" si="333"/>
        <v/>
      </c>
      <c r="O354" s="181" t="str">
        <f t="shared" si="333"/>
        <v/>
      </c>
      <c r="Q354" s="186" t="str">
        <f t="shared" si="334"/>
        <v/>
      </c>
      <c r="R354" s="174" t="str">
        <f t="shared" si="334"/>
        <v/>
      </c>
      <c r="S354" s="174" t="str">
        <f t="shared" si="334"/>
        <v/>
      </c>
      <c r="T354" s="181" t="str">
        <f t="shared" si="334"/>
        <v/>
      </c>
      <c r="V354" s="186" t="str">
        <f t="shared" si="335"/>
        <v/>
      </c>
      <c r="W354" s="174" t="str">
        <f t="shared" si="335"/>
        <v/>
      </c>
      <c r="X354" s="174" t="str">
        <f t="shared" si="335"/>
        <v/>
      </c>
      <c r="Y354" s="181" t="str">
        <f t="shared" si="335"/>
        <v/>
      </c>
      <c r="AA354" s="186" t="str">
        <f t="shared" si="336"/>
        <v/>
      </c>
      <c r="AB354" s="174" t="str">
        <f t="shared" si="336"/>
        <v/>
      </c>
      <c r="AC354" s="174" t="str">
        <f t="shared" si="336"/>
        <v/>
      </c>
      <c r="AD354" s="181" t="str">
        <f t="shared" si="336"/>
        <v/>
      </c>
      <c r="AF354" s="186" t="str">
        <f t="shared" si="337"/>
        <v/>
      </c>
      <c r="AG354" s="174" t="str">
        <f t="shared" si="337"/>
        <v/>
      </c>
      <c r="AH354" s="174" t="str">
        <f t="shared" si="337"/>
        <v/>
      </c>
      <c r="AI354" s="181" t="str">
        <f t="shared" si="337"/>
        <v/>
      </c>
      <c r="AK354" s="186" t="str">
        <f t="shared" si="338"/>
        <v/>
      </c>
      <c r="AL354" s="174" t="str">
        <f t="shared" si="338"/>
        <v/>
      </c>
      <c r="AM354" s="174" t="str">
        <f t="shared" si="338"/>
        <v/>
      </c>
      <c r="AN354" s="181" t="str">
        <f t="shared" si="338"/>
        <v/>
      </c>
      <c r="AP354" s="247">
        <f t="shared" si="345"/>
        <v>45</v>
      </c>
      <c r="AQ354" s="248">
        <f t="shared" si="345"/>
        <v>10</v>
      </c>
      <c r="AR354" s="248">
        <f t="shared" si="345"/>
        <v>107</v>
      </c>
      <c r="AS354" s="249">
        <f t="shared" si="345"/>
        <v>18</v>
      </c>
      <c r="AT354" s="288"/>
      <c r="AU354" s="186" t="str">
        <f t="shared" si="339"/>
        <v/>
      </c>
      <c r="AV354" s="174" t="str">
        <f t="shared" si="339"/>
        <v/>
      </c>
      <c r="AW354" s="174" t="str">
        <f t="shared" si="339"/>
        <v/>
      </c>
      <c r="AX354" s="181" t="str">
        <f t="shared" si="339"/>
        <v/>
      </c>
      <c r="AZ354" s="186" t="str">
        <f t="shared" si="340"/>
        <v/>
      </c>
      <c r="BA354" s="174" t="str">
        <f t="shared" si="340"/>
        <v/>
      </c>
      <c r="BB354" s="174" t="str">
        <f t="shared" si="340"/>
        <v/>
      </c>
      <c r="BC354" s="181" t="str">
        <f t="shared" si="340"/>
        <v/>
      </c>
      <c r="BE354" s="186" t="str">
        <f t="shared" si="341"/>
        <v/>
      </c>
      <c r="BF354" s="174" t="str">
        <f t="shared" si="341"/>
        <v/>
      </c>
      <c r="BG354" s="174" t="str">
        <f t="shared" si="341"/>
        <v/>
      </c>
      <c r="BH354" s="181" t="str">
        <f t="shared" si="341"/>
        <v/>
      </c>
      <c r="BI354" s="288"/>
      <c r="BJ354" s="186" t="str">
        <f t="shared" si="342"/>
        <v/>
      </c>
      <c r="BK354" s="174" t="str">
        <f t="shared" si="342"/>
        <v/>
      </c>
      <c r="BL354" s="174" t="str">
        <f t="shared" si="342"/>
        <v/>
      </c>
      <c r="BM354" s="181" t="str">
        <f t="shared" si="342"/>
        <v/>
      </c>
      <c r="BO354" s="186" t="str">
        <f t="shared" si="343"/>
        <v/>
      </c>
      <c r="BP354" s="174" t="str">
        <f t="shared" si="343"/>
        <v/>
      </c>
      <c r="BQ354" s="174" t="str">
        <f t="shared" si="343"/>
        <v/>
      </c>
      <c r="BR354" s="181" t="str">
        <f t="shared" si="343"/>
        <v/>
      </c>
      <c r="BT354" s="186" t="str">
        <f t="shared" si="344"/>
        <v/>
      </c>
      <c r="BU354" s="174" t="str">
        <f t="shared" si="344"/>
        <v/>
      </c>
      <c r="BV354" s="174" t="str">
        <f t="shared" si="344"/>
        <v/>
      </c>
      <c r="BW354" s="181" t="str">
        <f t="shared" si="344"/>
        <v/>
      </c>
      <c r="BX354" s="288"/>
      <c r="CM354" s="96"/>
    </row>
    <row r="355" spans="1:91">
      <c r="A355" s="47"/>
      <c r="B355" s="47">
        <f>COUNT(B281:B354)</f>
        <v>63</v>
      </c>
      <c r="C355" s="47"/>
      <c r="D355" s="47"/>
      <c r="E355" s="47"/>
      <c r="F355" s="47"/>
      <c r="G355" s="47">
        <f>COUNT(G281:G354)</f>
        <v>63</v>
      </c>
      <c r="H355" s="47"/>
      <c r="I355" s="47"/>
      <c r="J355" s="47"/>
      <c r="K355" s="47"/>
      <c r="L355" s="47">
        <f>COUNT(L281:L354)</f>
        <v>56</v>
      </c>
      <c r="M355" s="47"/>
      <c r="N355" s="47"/>
      <c r="O355" s="47"/>
      <c r="P355" s="47"/>
      <c r="Q355" s="47">
        <f>COUNT(Q281:Q354)</f>
        <v>52</v>
      </c>
      <c r="R355" s="47"/>
      <c r="S355" s="47"/>
      <c r="T355" s="47"/>
      <c r="U355" s="47"/>
      <c r="V355" s="47">
        <f>COUNT(V281:V354)</f>
        <v>44</v>
      </c>
      <c r="W355" s="47"/>
      <c r="X355" s="47"/>
      <c r="Y355" s="47"/>
      <c r="Z355" s="47"/>
      <c r="AA355" s="47">
        <f>COUNT(AA281:AA354)</f>
        <v>40</v>
      </c>
      <c r="AB355" s="47"/>
      <c r="AC355" s="47"/>
      <c r="AD355" s="47"/>
      <c r="AE355" s="47"/>
      <c r="AF355" s="47">
        <f>COUNT(AF281:AF354)</f>
        <v>32</v>
      </c>
      <c r="AG355" s="47"/>
      <c r="AH355" s="47"/>
      <c r="AI355" s="47"/>
      <c r="AJ355" s="47"/>
      <c r="AK355" s="47">
        <f>COUNT(AK281:AK354)</f>
        <v>24</v>
      </c>
      <c r="AL355" s="47"/>
      <c r="AM355" s="47"/>
      <c r="AN355" s="47"/>
      <c r="AO355" s="47"/>
      <c r="AP355" s="47">
        <f>COUNT(AP281:AP354)</f>
        <v>60</v>
      </c>
      <c r="AQ355" s="47"/>
      <c r="AR355" s="47"/>
      <c r="AS355" s="47"/>
      <c r="AT355" s="292"/>
      <c r="AU355" s="47">
        <f>COUNT(AU281:AU354)</f>
        <v>29</v>
      </c>
      <c r="AV355" s="47"/>
      <c r="AW355" s="47"/>
      <c r="AX355" s="47"/>
      <c r="AY355" s="47"/>
      <c r="AZ355" s="47">
        <f>COUNT(AZ281:AZ354)</f>
        <v>23</v>
      </c>
      <c r="BA355" s="47"/>
      <c r="BB355" s="47"/>
      <c r="BC355" s="47"/>
      <c r="BD355" s="47"/>
      <c r="BE355" s="47">
        <f>COUNT(BE281:BE354)</f>
        <v>17</v>
      </c>
      <c r="BF355" s="47"/>
      <c r="BG355" s="47"/>
      <c r="BH355" s="47"/>
      <c r="BI355" s="292"/>
      <c r="BJ355" s="47">
        <f>COUNT(BJ281:BJ354)</f>
        <v>20</v>
      </c>
      <c r="BK355" s="47"/>
      <c r="BL355" s="47"/>
      <c r="BM355" s="47"/>
      <c r="BN355" s="47"/>
      <c r="BO355" s="47">
        <f>COUNT(BO281:BO354)</f>
        <v>16</v>
      </c>
      <c r="BP355" s="47"/>
      <c r="BQ355" s="47"/>
      <c r="BR355" s="47"/>
      <c r="BS355" s="47"/>
      <c r="BT355" s="47">
        <f>COUNT(BT281:BT354)</f>
        <v>12</v>
      </c>
      <c r="BU355" s="47"/>
      <c r="BV355" s="47"/>
      <c r="BW355" s="47"/>
      <c r="BX355" s="288"/>
      <c r="CM355" s="47"/>
    </row>
    <row r="356" spans="1:91">
      <c r="A356" s="284"/>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c r="AA356" s="47"/>
      <c r="AB356" s="47"/>
      <c r="AC356" s="47"/>
      <c r="AD356" s="47"/>
      <c r="AE356" s="47"/>
      <c r="AF356" s="47"/>
      <c r="AG356" s="47"/>
      <c r="AH356" s="47"/>
      <c r="AI356" s="47"/>
      <c r="AJ356" s="47"/>
      <c r="AK356" s="47"/>
      <c r="AL356" s="47"/>
      <c r="AM356" s="47"/>
      <c r="AN356" s="47"/>
      <c r="AO356" s="47"/>
      <c r="AP356" s="47"/>
      <c r="AQ356" s="47"/>
      <c r="AR356" s="47"/>
      <c r="AS356" s="47"/>
      <c r="AT356" s="292"/>
      <c r="AU356" s="47"/>
      <c r="AV356" s="47"/>
      <c r="AW356" s="47"/>
      <c r="AX356" s="47"/>
      <c r="AY356" s="47"/>
      <c r="AZ356" s="47"/>
      <c r="BA356" s="47"/>
      <c r="BB356" s="47"/>
      <c r="BC356" s="47"/>
      <c r="BD356" s="47"/>
      <c r="BE356" s="47"/>
      <c r="BF356" s="47"/>
      <c r="BG356" s="47"/>
      <c r="BH356" s="47"/>
      <c r="BI356" s="292"/>
      <c r="BJ356" s="47"/>
      <c r="BK356" s="47"/>
      <c r="BL356" s="47"/>
      <c r="BM356" s="47"/>
      <c r="BN356" s="47"/>
      <c r="BO356" s="47"/>
      <c r="BP356" s="47"/>
      <c r="BQ356" s="47"/>
      <c r="BR356" s="47"/>
      <c r="BS356" s="47"/>
      <c r="BT356" s="47"/>
      <c r="BU356" s="47"/>
      <c r="BV356" s="47"/>
      <c r="BW356" s="47"/>
      <c r="BX356" s="288"/>
      <c r="CM356" s="47"/>
    </row>
    <row r="357" spans="1:91">
      <c r="A357" s="284"/>
      <c r="C357" s="47"/>
      <c r="D357" s="47"/>
      <c r="E357" s="47"/>
      <c r="G357" s="47"/>
      <c r="H357" s="47"/>
      <c r="I357" s="47"/>
      <c r="J357" s="47"/>
      <c r="L357" s="47"/>
      <c r="M357" s="47"/>
      <c r="N357" s="47"/>
      <c r="O357" s="47"/>
      <c r="Q357" s="47"/>
      <c r="R357" s="47"/>
      <c r="S357" s="47"/>
      <c r="T357" s="47"/>
      <c r="V357" s="47"/>
      <c r="W357" s="47"/>
      <c r="X357" s="47"/>
      <c r="Y357" s="47"/>
      <c r="AA357" s="47"/>
      <c r="AB357" s="47"/>
      <c r="AC357" s="47"/>
      <c r="AD357" s="47"/>
      <c r="AF357" s="47"/>
      <c r="AG357" s="47"/>
      <c r="AH357" s="47"/>
      <c r="AI357" s="47"/>
      <c r="AK357" s="47"/>
      <c r="AL357" s="47"/>
      <c r="AM357" s="47"/>
      <c r="AN357" s="47"/>
      <c r="AP357" s="47"/>
      <c r="AQ357" s="47"/>
      <c r="AR357" s="47"/>
      <c r="AS357" s="47"/>
      <c r="AT357" s="288"/>
      <c r="AU357" s="47"/>
      <c r="AV357" s="47"/>
      <c r="AW357" s="47"/>
      <c r="AX357" s="47"/>
      <c r="AZ357" s="47"/>
      <c r="BA357" s="47"/>
      <c r="BB357" s="47"/>
      <c r="BC357" s="47"/>
      <c r="BE357" s="47"/>
      <c r="BF357" s="47"/>
      <c r="BG357" s="47"/>
      <c r="BH357" s="47"/>
      <c r="BI357" s="288"/>
      <c r="BJ357" s="47"/>
      <c r="BK357" s="47"/>
      <c r="BL357" s="47"/>
      <c r="BM357" s="47"/>
      <c r="BO357" s="47"/>
      <c r="BP357" s="47"/>
      <c r="BQ357" s="47"/>
      <c r="BR357" s="47"/>
      <c r="BT357" s="47"/>
      <c r="BU357" s="47"/>
      <c r="BV357" s="47"/>
      <c r="BW357" s="47"/>
      <c r="BX357" s="288"/>
      <c r="CM357" s="96"/>
    </row>
    <row r="358" spans="1:91">
      <c r="A358" s="281" t="s">
        <v>215</v>
      </c>
      <c r="B358" s="98" cm="1">
        <f t="array" ref="B358:E431">_xlfn._xlws.SORT(B204:E277,3,1)</f>
        <v>90</v>
      </c>
      <c r="C358" s="257">
        <v>32</v>
      </c>
      <c r="D358" s="257">
        <v>65</v>
      </c>
      <c r="E358" s="258">
        <v>14</v>
      </c>
      <c r="G358" s="98" cm="1">
        <f t="array" ref="G358:J431">_xlfn._xlws.SORT(G204:J277,3,1)</f>
        <v>90</v>
      </c>
      <c r="H358" s="257">
        <v>32</v>
      </c>
      <c r="I358" s="257">
        <v>65</v>
      </c>
      <c r="J358" s="258">
        <v>14</v>
      </c>
      <c r="L358" s="98" cm="1">
        <f t="array" ref="L358:O431">_xlfn._xlws.SORT(L204:O277,3,1)</f>
        <v>90</v>
      </c>
      <c r="M358" s="257">
        <v>32</v>
      </c>
      <c r="N358" s="257">
        <v>65</v>
      </c>
      <c r="O358" s="258">
        <v>14</v>
      </c>
      <c r="Q358" s="98" cm="1">
        <f t="array" ref="Q358:T431">_xlfn._xlws.SORT(Q204:T277,3,1)</f>
        <v>90</v>
      </c>
      <c r="R358" s="257">
        <v>32</v>
      </c>
      <c r="S358" s="257">
        <v>65</v>
      </c>
      <c r="T358" s="258">
        <v>14</v>
      </c>
      <c r="V358" s="98" cm="1">
        <f t="array" ref="V358:Y431">_xlfn._xlws.SORT(V204:Y277,3,1)</f>
        <v>90</v>
      </c>
      <c r="W358" s="257">
        <v>32</v>
      </c>
      <c r="X358" s="257">
        <v>65</v>
      </c>
      <c r="Y358" s="258">
        <v>14</v>
      </c>
      <c r="AA358" s="98" cm="1">
        <f t="array" ref="AA358:AD431">_xlfn._xlws.SORT(AA204:AD277,3,1)</f>
        <v>90</v>
      </c>
      <c r="AB358" s="257">
        <v>32</v>
      </c>
      <c r="AC358" s="257">
        <v>65</v>
      </c>
      <c r="AD358" s="258">
        <v>14</v>
      </c>
      <c r="AF358" s="98" cm="1">
        <f t="array" ref="AF358:AI431">_xlfn._xlws.SORT(AF204:AI277,3,1)</f>
        <v>90</v>
      </c>
      <c r="AG358" s="257">
        <v>32</v>
      </c>
      <c r="AH358" s="257">
        <v>65</v>
      </c>
      <c r="AI358" s="258">
        <v>14</v>
      </c>
      <c r="AK358" s="98" cm="1">
        <f t="array" ref="AK358:AN431">_xlfn._xlws.SORT(AK204:AN277,3,1)</f>
        <v>90</v>
      </c>
      <c r="AL358" s="257">
        <v>32</v>
      </c>
      <c r="AM358" s="257">
        <v>65</v>
      </c>
      <c r="AN358" s="258">
        <v>14</v>
      </c>
      <c r="AP358" s="98" cm="1">
        <f t="array" ref="AP358:AS431">_xlfn._xlws.SORT(AP204:AS277,3,1)</f>
        <v>90</v>
      </c>
      <c r="AQ358" s="257">
        <v>32</v>
      </c>
      <c r="AR358" s="257">
        <v>215</v>
      </c>
      <c r="AS358" s="258">
        <v>14</v>
      </c>
      <c r="AT358" s="288"/>
      <c r="AU358" s="98" cm="1">
        <f t="array" ref="AU358:AX431">_xlfn._xlws.SORT(AU204:AX277,3,1)</f>
        <v>90</v>
      </c>
      <c r="AV358" s="257">
        <v>30</v>
      </c>
      <c r="AW358" s="257">
        <v>65</v>
      </c>
      <c r="AX358" s="258">
        <v>14</v>
      </c>
      <c r="AZ358" s="98" cm="1">
        <f t="array" ref="AZ358:BC431">_xlfn._xlws.SORT(AZ204:BC277,3,1)</f>
        <v>90</v>
      </c>
      <c r="BA358" s="257">
        <v>30</v>
      </c>
      <c r="BB358" s="257">
        <v>65</v>
      </c>
      <c r="BC358" s="258">
        <v>14</v>
      </c>
      <c r="BE358" s="98" cm="1">
        <f t="array" ref="BE358:BH431">_xlfn._xlws.SORT(BE204:BH277,3,1)</f>
        <v>90</v>
      </c>
      <c r="BF358" s="257">
        <v>30</v>
      </c>
      <c r="BG358" s="257">
        <v>65</v>
      </c>
      <c r="BH358" s="258">
        <v>14</v>
      </c>
      <c r="BI358" s="288"/>
      <c r="BJ358" s="98" cm="1">
        <f t="array" ref="BJ358:BM431">_xlfn._xlws.SORT(BJ204:BM277,3,1)</f>
        <v>90</v>
      </c>
      <c r="BK358" s="257">
        <v>9.75</v>
      </c>
      <c r="BL358" s="257">
        <v>60</v>
      </c>
      <c r="BM358" s="258">
        <v>16.5</v>
      </c>
      <c r="BO358" s="98" cm="1">
        <f t="array" ref="BO358:BR431">_xlfn._xlws.SORT(BO204:BR277,3,1)</f>
        <v>90</v>
      </c>
      <c r="BP358" s="257">
        <v>9.75</v>
      </c>
      <c r="BQ358" s="257">
        <v>60</v>
      </c>
      <c r="BR358" s="258">
        <v>16.5</v>
      </c>
      <c r="BT358" s="98" cm="1">
        <f t="array" ref="BT358:BW431">_xlfn._xlws.SORT(BT204:BW277,3,1)</f>
        <v>90</v>
      </c>
      <c r="BU358" s="257">
        <v>9.75</v>
      </c>
      <c r="BV358" s="257">
        <v>60</v>
      </c>
      <c r="BW358" s="258">
        <v>16.5</v>
      </c>
      <c r="BX358" s="288"/>
      <c r="CM358" s="96"/>
    </row>
    <row r="359" spans="1:91">
      <c r="A359" s="284"/>
      <c r="B359" s="80">
        <v>90</v>
      </c>
      <c r="C359" s="259">
        <v>118</v>
      </c>
      <c r="D359" s="259">
        <v>65</v>
      </c>
      <c r="E359" s="260">
        <v>14</v>
      </c>
      <c r="G359" s="80">
        <v>90</v>
      </c>
      <c r="H359" s="259">
        <v>118</v>
      </c>
      <c r="I359" s="259">
        <v>65</v>
      </c>
      <c r="J359" s="260">
        <v>14</v>
      </c>
      <c r="L359" s="80">
        <v>90</v>
      </c>
      <c r="M359" s="259">
        <v>118</v>
      </c>
      <c r="N359" s="259">
        <v>65</v>
      </c>
      <c r="O359" s="260">
        <v>14</v>
      </c>
      <c r="Q359" s="80">
        <v>90</v>
      </c>
      <c r="R359" s="259">
        <v>118</v>
      </c>
      <c r="S359" s="259">
        <v>65</v>
      </c>
      <c r="T359" s="260">
        <v>14</v>
      </c>
      <c r="V359" s="80">
        <v>90</v>
      </c>
      <c r="W359" s="259">
        <v>118</v>
      </c>
      <c r="X359" s="259">
        <v>65</v>
      </c>
      <c r="Y359" s="260">
        <v>14</v>
      </c>
      <c r="AA359" s="80">
        <v>90</v>
      </c>
      <c r="AB359" s="259">
        <v>118</v>
      </c>
      <c r="AC359" s="259">
        <v>65</v>
      </c>
      <c r="AD359" s="260">
        <v>14</v>
      </c>
      <c r="AF359" s="80">
        <v>90</v>
      </c>
      <c r="AG359" s="259">
        <v>118</v>
      </c>
      <c r="AH359" s="259">
        <v>65</v>
      </c>
      <c r="AI359" s="260">
        <v>14</v>
      </c>
      <c r="AK359" s="80">
        <v>90</v>
      </c>
      <c r="AL359" s="259">
        <v>118</v>
      </c>
      <c r="AM359" s="259">
        <v>65</v>
      </c>
      <c r="AN359" s="260">
        <v>14</v>
      </c>
      <c r="AP359" s="80">
        <v>90</v>
      </c>
      <c r="AQ359" s="259">
        <v>118</v>
      </c>
      <c r="AR359" s="259">
        <v>215</v>
      </c>
      <c r="AS359" s="260">
        <v>14</v>
      </c>
      <c r="AT359" s="288"/>
      <c r="AU359" s="80">
        <v>90</v>
      </c>
      <c r="AV359" s="259">
        <v>70</v>
      </c>
      <c r="AW359" s="259">
        <v>65</v>
      </c>
      <c r="AX359" s="260">
        <v>14</v>
      </c>
      <c r="AZ359" s="80">
        <v>90</v>
      </c>
      <c r="BA359" s="259">
        <v>70</v>
      </c>
      <c r="BB359" s="259">
        <v>65</v>
      </c>
      <c r="BC359" s="260">
        <v>14</v>
      </c>
      <c r="BE359" s="80">
        <v>90</v>
      </c>
      <c r="BF359" s="259">
        <v>70</v>
      </c>
      <c r="BG359" s="259">
        <v>65</v>
      </c>
      <c r="BH359" s="260">
        <v>14</v>
      </c>
      <c r="BI359" s="288"/>
      <c r="BJ359" s="80">
        <v>90</v>
      </c>
      <c r="BK359" s="259">
        <v>30</v>
      </c>
      <c r="BL359" s="259">
        <v>70</v>
      </c>
      <c r="BM359" s="260">
        <v>14</v>
      </c>
      <c r="BO359" s="80">
        <v>90</v>
      </c>
      <c r="BP359" s="259">
        <v>30</v>
      </c>
      <c r="BQ359" s="259">
        <v>70</v>
      </c>
      <c r="BR359" s="260">
        <v>14</v>
      </c>
      <c r="BT359" s="80">
        <v>90</v>
      </c>
      <c r="BU359" s="259">
        <v>30</v>
      </c>
      <c r="BV359" s="259">
        <v>70</v>
      </c>
      <c r="BW359" s="260">
        <v>14</v>
      </c>
      <c r="BX359" s="288"/>
      <c r="CM359" s="96"/>
    </row>
    <row r="360" spans="1:91">
      <c r="A360" s="285"/>
      <c r="B360" s="80">
        <v>90</v>
      </c>
      <c r="C360" s="259">
        <v>75</v>
      </c>
      <c r="D360" s="259">
        <v>75</v>
      </c>
      <c r="E360" s="260">
        <v>14</v>
      </c>
      <c r="G360" s="80">
        <v>90</v>
      </c>
      <c r="H360" s="259">
        <v>75</v>
      </c>
      <c r="I360" s="259">
        <v>75</v>
      </c>
      <c r="J360" s="260">
        <v>14</v>
      </c>
      <c r="L360" s="80">
        <v>90</v>
      </c>
      <c r="M360" s="259">
        <v>75</v>
      </c>
      <c r="N360" s="259">
        <v>75</v>
      </c>
      <c r="O360" s="260">
        <v>14</v>
      </c>
      <c r="Q360" s="80">
        <v>90</v>
      </c>
      <c r="R360" s="259">
        <v>75</v>
      </c>
      <c r="S360" s="259">
        <v>75</v>
      </c>
      <c r="T360" s="260">
        <v>14</v>
      </c>
      <c r="V360" s="80">
        <v>90</v>
      </c>
      <c r="W360" s="259">
        <v>75</v>
      </c>
      <c r="X360" s="259">
        <v>75</v>
      </c>
      <c r="Y360" s="260">
        <v>14</v>
      </c>
      <c r="AA360" s="80">
        <v>90</v>
      </c>
      <c r="AB360" s="259">
        <v>75</v>
      </c>
      <c r="AC360" s="259">
        <v>75</v>
      </c>
      <c r="AD360" s="260">
        <v>14</v>
      </c>
      <c r="AF360" s="80">
        <v>90</v>
      </c>
      <c r="AG360" s="259">
        <v>75</v>
      </c>
      <c r="AH360" s="259">
        <v>75</v>
      </c>
      <c r="AI360" s="260">
        <v>14</v>
      </c>
      <c r="AK360" s="80">
        <v>90</v>
      </c>
      <c r="AL360" s="259">
        <v>75</v>
      </c>
      <c r="AM360" s="259">
        <v>75</v>
      </c>
      <c r="AN360" s="260">
        <v>14</v>
      </c>
      <c r="AP360" s="80">
        <v>90</v>
      </c>
      <c r="AQ360" s="259">
        <v>75</v>
      </c>
      <c r="AR360" s="259">
        <v>225</v>
      </c>
      <c r="AS360" s="260">
        <v>14</v>
      </c>
      <c r="AT360" s="288"/>
      <c r="AU360" s="80">
        <v>90</v>
      </c>
      <c r="AV360" s="259">
        <v>10.8</v>
      </c>
      <c r="AW360" s="259">
        <v>80</v>
      </c>
      <c r="AX360" s="260">
        <v>16.5</v>
      </c>
      <c r="AZ360" s="80">
        <v>90</v>
      </c>
      <c r="BA360" s="259">
        <v>10.8</v>
      </c>
      <c r="BB360" s="259">
        <v>80</v>
      </c>
      <c r="BC360" s="260">
        <v>16.5</v>
      </c>
      <c r="BE360" s="80">
        <v>90</v>
      </c>
      <c r="BF360" s="259">
        <v>10.8</v>
      </c>
      <c r="BG360" s="259">
        <v>80</v>
      </c>
      <c r="BH360" s="260">
        <v>16.5</v>
      </c>
      <c r="BI360" s="288"/>
      <c r="BJ360" s="80">
        <v>45</v>
      </c>
      <c r="BK360" s="259">
        <v>50.25</v>
      </c>
      <c r="BL360" s="259">
        <v>80</v>
      </c>
      <c r="BM360" s="260">
        <v>17.5</v>
      </c>
      <c r="BO360" s="80">
        <v>45</v>
      </c>
      <c r="BP360" s="259">
        <v>50.25</v>
      </c>
      <c r="BQ360" s="259">
        <v>80</v>
      </c>
      <c r="BR360" s="260">
        <v>17.5</v>
      </c>
      <c r="BT360" s="80">
        <v>45</v>
      </c>
      <c r="BU360" s="259">
        <v>50.25</v>
      </c>
      <c r="BV360" s="259">
        <v>80</v>
      </c>
      <c r="BW360" s="260">
        <v>17.5</v>
      </c>
      <c r="BX360" s="288"/>
      <c r="CM360" s="96"/>
    </row>
    <row r="361" spans="1:91">
      <c r="A361" s="285"/>
      <c r="B361" s="80">
        <v>90</v>
      </c>
      <c r="C361" s="259">
        <v>10.5</v>
      </c>
      <c r="D361" s="259">
        <v>80</v>
      </c>
      <c r="E361" s="260">
        <v>20</v>
      </c>
      <c r="G361" s="80">
        <v>90</v>
      </c>
      <c r="H361" s="259">
        <v>10.5</v>
      </c>
      <c r="I361" s="259">
        <v>80</v>
      </c>
      <c r="J361" s="260">
        <v>20</v>
      </c>
      <c r="L361" s="80">
        <v>90</v>
      </c>
      <c r="M361" s="259">
        <v>10.5</v>
      </c>
      <c r="N361" s="259">
        <v>80</v>
      </c>
      <c r="O361" s="260">
        <v>20</v>
      </c>
      <c r="Q361" s="80">
        <v>90</v>
      </c>
      <c r="R361" s="259">
        <v>10.5</v>
      </c>
      <c r="S361" s="259">
        <v>80</v>
      </c>
      <c r="T361" s="260">
        <v>20</v>
      </c>
      <c r="V361" s="80">
        <v>90</v>
      </c>
      <c r="W361" s="259">
        <v>10.5</v>
      </c>
      <c r="X361" s="259">
        <v>80</v>
      </c>
      <c r="Y361" s="260">
        <v>20</v>
      </c>
      <c r="AA361" s="80">
        <v>90</v>
      </c>
      <c r="AB361" s="259">
        <v>10.5</v>
      </c>
      <c r="AC361" s="259">
        <v>80</v>
      </c>
      <c r="AD361" s="260">
        <v>20</v>
      </c>
      <c r="AF361" s="80">
        <v>90</v>
      </c>
      <c r="AG361" s="259">
        <v>10.5</v>
      </c>
      <c r="AH361" s="259">
        <v>80</v>
      </c>
      <c r="AI361" s="260">
        <v>20</v>
      </c>
      <c r="AK361" s="80">
        <v>90</v>
      </c>
      <c r="AL361" s="259">
        <v>10.5</v>
      </c>
      <c r="AM361" s="259">
        <v>80</v>
      </c>
      <c r="AN361" s="260">
        <v>20</v>
      </c>
      <c r="AP361" s="80">
        <v>90</v>
      </c>
      <c r="AQ361" s="259">
        <v>10.5</v>
      </c>
      <c r="AR361" s="259">
        <v>230</v>
      </c>
      <c r="AS361" s="260">
        <v>20</v>
      </c>
      <c r="AT361" s="288"/>
      <c r="AU361" s="80">
        <v>90</v>
      </c>
      <c r="AV361" s="259">
        <v>89.2</v>
      </c>
      <c r="AW361" s="259">
        <v>80</v>
      </c>
      <c r="AX361" s="260">
        <v>14</v>
      </c>
      <c r="AZ361" s="80">
        <v>90</v>
      </c>
      <c r="BA361" s="259">
        <v>89.2</v>
      </c>
      <c r="BB361" s="259">
        <v>80</v>
      </c>
      <c r="BC361" s="260">
        <v>14</v>
      </c>
      <c r="BE361" s="80">
        <v>90</v>
      </c>
      <c r="BF361" s="259">
        <v>89.2</v>
      </c>
      <c r="BG361" s="259">
        <v>80</v>
      </c>
      <c r="BH361" s="260">
        <v>14</v>
      </c>
      <c r="BI361" s="288"/>
      <c r="BJ361" s="80">
        <v>45</v>
      </c>
      <c r="BK361" s="259">
        <v>9.75</v>
      </c>
      <c r="BL361" s="259">
        <v>118</v>
      </c>
      <c r="BM361" s="260">
        <v>17.5</v>
      </c>
      <c r="BO361" s="80">
        <v>45</v>
      </c>
      <c r="BP361" s="259">
        <v>9.75</v>
      </c>
      <c r="BQ361" s="259">
        <v>118</v>
      </c>
      <c r="BR361" s="260">
        <v>17.5</v>
      </c>
      <c r="BT361" s="80">
        <v>45</v>
      </c>
      <c r="BU361" s="259">
        <v>9.75</v>
      </c>
      <c r="BV361" s="259">
        <v>118</v>
      </c>
      <c r="BW361" s="260">
        <v>17.5</v>
      </c>
      <c r="BX361" s="288"/>
      <c r="CM361" s="96"/>
    </row>
    <row r="362" spans="1:91">
      <c r="A362" s="285"/>
      <c r="B362" s="80">
        <v>90</v>
      </c>
      <c r="C362" s="259">
        <v>139.5</v>
      </c>
      <c r="D362" s="259">
        <v>80</v>
      </c>
      <c r="E362" s="260">
        <v>20</v>
      </c>
      <c r="G362" s="80">
        <v>90</v>
      </c>
      <c r="H362" s="259">
        <v>139.5</v>
      </c>
      <c r="I362" s="259">
        <v>80</v>
      </c>
      <c r="J362" s="260">
        <v>20</v>
      </c>
      <c r="L362" s="80">
        <v>90</v>
      </c>
      <c r="M362" s="259">
        <v>139.5</v>
      </c>
      <c r="N362" s="259">
        <v>80</v>
      </c>
      <c r="O362" s="260">
        <v>20</v>
      </c>
      <c r="Q362" s="80">
        <v>90</v>
      </c>
      <c r="R362" s="259">
        <v>139.5</v>
      </c>
      <c r="S362" s="259">
        <v>80</v>
      </c>
      <c r="T362" s="260">
        <v>20</v>
      </c>
      <c r="V362" s="80">
        <v>90</v>
      </c>
      <c r="W362" s="259">
        <v>139.5</v>
      </c>
      <c r="X362" s="259">
        <v>80</v>
      </c>
      <c r="Y362" s="260">
        <v>20</v>
      </c>
      <c r="AA362" s="80">
        <v>90</v>
      </c>
      <c r="AB362" s="259">
        <v>139.5</v>
      </c>
      <c r="AC362" s="259">
        <v>80</v>
      </c>
      <c r="AD362" s="260">
        <v>20</v>
      </c>
      <c r="AF362" s="80">
        <v>90</v>
      </c>
      <c r="AG362" s="259">
        <v>139.5</v>
      </c>
      <c r="AH362" s="259">
        <v>80</v>
      </c>
      <c r="AI362" s="260">
        <v>20</v>
      </c>
      <c r="AK362" s="80">
        <v>90</v>
      </c>
      <c r="AL362" s="259">
        <v>139.5</v>
      </c>
      <c r="AM362" s="259">
        <v>80</v>
      </c>
      <c r="AN362" s="260">
        <v>20</v>
      </c>
      <c r="AP362" s="80">
        <v>90</v>
      </c>
      <c r="AQ362" s="259">
        <v>139.5</v>
      </c>
      <c r="AR362" s="259">
        <v>230</v>
      </c>
      <c r="AS362" s="260">
        <v>20</v>
      </c>
      <c r="AT362" s="288"/>
      <c r="AU362" s="80">
        <v>45</v>
      </c>
      <c r="AV362" s="259">
        <v>50</v>
      </c>
      <c r="AW362" s="259">
        <v>110</v>
      </c>
      <c r="AX362" s="260">
        <v>17.5</v>
      </c>
      <c r="AZ362" s="80">
        <v>45</v>
      </c>
      <c r="BA362" s="259">
        <v>50</v>
      </c>
      <c r="BB362" s="259">
        <v>110</v>
      </c>
      <c r="BC362" s="260">
        <v>17.5</v>
      </c>
      <c r="BE362" s="80">
        <v>45</v>
      </c>
      <c r="BF362" s="259">
        <v>50</v>
      </c>
      <c r="BG362" s="259">
        <v>110</v>
      </c>
      <c r="BH362" s="260">
        <v>17.5</v>
      </c>
      <c r="BI362" s="288"/>
      <c r="BJ362" s="80">
        <v>45</v>
      </c>
      <c r="BK362" s="259">
        <v>50.25</v>
      </c>
      <c r="BL362" s="259">
        <v>138</v>
      </c>
      <c r="BM362" s="260">
        <v>17.5</v>
      </c>
      <c r="BO362" s="80">
        <v>45</v>
      </c>
      <c r="BP362" s="259">
        <v>50.25</v>
      </c>
      <c r="BQ362" s="259">
        <v>138</v>
      </c>
      <c r="BR362" s="260">
        <v>17.5</v>
      </c>
      <c r="BT362" s="80">
        <v>45</v>
      </c>
      <c r="BU362" s="259">
        <v>50.25</v>
      </c>
      <c r="BV362" s="259">
        <v>138</v>
      </c>
      <c r="BW362" s="260">
        <v>17.5</v>
      </c>
      <c r="BX362" s="288"/>
      <c r="CM362" s="96"/>
    </row>
    <row r="363" spans="1:91">
      <c r="A363" s="285"/>
      <c r="B363" s="80">
        <v>45</v>
      </c>
      <c r="C363" s="259">
        <v>53.5</v>
      </c>
      <c r="D363" s="259">
        <v>121</v>
      </c>
      <c r="E363" s="260">
        <v>18</v>
      </c>
      <c r="G363" s="80">
        <v>45</v>
      </c>
      <c r="H363" s="259">
        <v>53.5</v>
      </c>
      <c r="I363" s="259">
        <v>121</v>
      </c>
      <c r="J363" s="260">
        <v>18</v>
      </c>
      <c r="L363" s="80">
        <v>45</v>
      </c>
      <c r="M363" s="259">
        <v>53.5</v>
      </c>
      <c r="N363" s="259">
        <v>130</v>
      </c>
      <c r="O363" s="260">
        <v>18</v>
      </c>
      <c r="Q363" s="80">
        <v>45</v>
      </c>
      <c r="R363" s="259">
        <v>53.5</v>
      </c>
      <c r="S363" s="259">
        <v>127</v>
      </c>
      <c r="T363" s="260">
        <v>18</v>
      </c>
      <c r="V363" s="80">
        <v>45</v>
      </c>
      <c r="W363" s="259">
        <v>53.5</v>
      </c>
      <c r="X363" s="259">
        <v>121.5</v>
      </c>
      <c r="Y363" s="260">
        <v>18</v>
      </c>
      <c r="AA363" s="80">
        <v>45</v>
      </c>
      <c r="AB363" s="259">
        <v>53.5</v>
      </c>
      <c r="AC363" s="259">
        <v>110</v>
      </c>
      <c r="AD363" s="260">
        <v>18</v>
      </c>
      <c r="AF363" s="80">
        <v>45</v>
      </c>
      <c r="AG363" s="259">
        <v>53.5</v>
      </c>
      <c r="AH363" s="259">
        <v>110</v>
      </c>
      <c r="AI363" s="260">
        <v>18</v>
      </c>
      <c r="AK363" s="80">
        <v>45</v>
      </c>
      <c r="AL363" s="259">
        <v>53.5</v>
      </c>
      <c r="AM363" s="259">
        <v>110</v>
      </c>
      <c r="AN363" s="260">
        <v>18</v>
      </c>
      <c r="AP363" s="80">
        <v>45</v>
      </c>
      <c r="AQ363" s="259">
        <v>53.5</v>
      </c>
      <c r="AR363" s="259">
        <v>277</v>
      </c>
      <c r="AS363" s="260">
        <v>18</v>
      </c>
      <c r="AT363" s="288"/>
      <c r="AU363" s="80">
        <v>45</v>
      </c>
      <c r="AV363" s="259">
        <v>10.8</v>
      </c>
      <c r="AW363" s="259">
        <v>138</v>
      </c>
      <c r="AX363" s="260">
        <v>17.5</v>
      </c>
      <c r="AZ363" s="80">
        <v>45</v>
      </c>
      <c r="BA363" s="259">
        <v>10.8</v>
      </c>
      <c r="BB363" s="259">
        <v>138</v>
      </c>
      <c r="BC363" s="260">
        <v>17.5</v>
      </c>
      <c r="BE363" s="80">
        <v>45</v>
      </c>
      <c r="BF363" s="259">
        <v>10.8</v>
      </c>
      <c r="BG363" s="259">
        <v>138</v>
      </c>
      <c r="BH363" s="260">
        <v>17.5</v>
      </c>
      <c r="BI363" s="288"/>
      <c r="BJ363" s="80">
        <v>45</v>
      </c>
      <c r="BK363" s="259">
        <v>9.75</v>
      </c>
      <c r="BL363" s="259">
        <v>176</v>
      </c>
      <c r="BM363" s="260">
        <v>17.5</v>
      </c>
      <c r="BO363" s="80">
        <v>45</v>
      </c>
      <c r="BP363" s="259">
        <v>9.75</v>
      </c>
      <c r="BQ363" s="259">
        <v>176</v>
      </c>
      <c r="BR363" s="260">
        <v>17.5</v>
      </c>
      <c r="BT363" s="80">
        <v>45</v>
      </c>
      <c r="BU363" s="259">
        <v>9.75</v>
      </c>
      <c r="BV363" s="259">
        <v>176</v>
      </c>
      <c r="BW363" s="260">
        <v>17.5</v>
      </c>
      <c r="BX363" s="288"/>
      <c r="CM363" s="96"/>
    </row>
    <row r="364" spans="1:91">
      <c r="A364" s="285"/>
      <c r="B364" s="80">
        <v>45</v>
      </c>
      <c r="C364" s="259">
        <v>96.5</v>
      </c>
      <c r="D364" s="259">
        <v>121</v>
      </c>
      <c r="E364" s="260">
        <v>18</v>
      </c>
      <c r="G364" s="80">
        <v>45</v>
      </c>
      <c r="H364" s="259">
        <v>96.5</v>
      </c>
      <c r="I364" s="259">
        <v>121</v>
      </c>
      <c r="J364" s="260">
        <v>18</v>
      </c>
      <c r="L364" s="80">
        <v>45</v>
      </c>
      <c r="M364" s="259">
        <v>96.5</v>
      </c>
      <c r="N364" s="259">
        <v>130</v>
      </c>
      <c r="O364" s="260">
        <v>18</v>
      </c>
      <c r="Q364" s="80">
        <v>45</v>
      </c>
      <c r="R364" s="259">
        <v>96.5</v>
      </c>
      <c r="S364" s="259">
        <v>127</v>
      </c>
      <c r="T364" s="260">
        <v>18</v>
      </c>
      <c r="V364" s="80">
        <v>45</v>
      </c>
      <c r="W364" s="259">
        <v>96.5</v>
      </c>
      <c r="X364" s="259">
        <v>121.5</v>
      </c>
      <c r="Y364" s="260">
        <v>18</v>
      </c>
      <c r="AA364" s="80">
        <v>45</v>
      </c>
      <c r="AB364" s="259">
        <v>96.5</v>
      </c>
      <c r="AC364" s="259">
        <v>110</v>
      </c>
      <c r="AD364" s="260">
        <v>18</v>
      </c>
      <c r="AF364" s="80">
        <v>45</v>
      </c>
      <c r="AG364" s="259">
        <v>96.5</v>
      </c>
      <c r="AH364" s="259">
        <v>110</v>
      </c>
      <c r="AI364" s="260">
        <v>18</v>
      </c>
      <c r="AK364" s="80">
        <v>45</v>
      </c>
      <c r="AL364" s="259">
        <v>96.5</v>
      </c>
      <c r="AM364" s="259">
        <v>110</v>
      </c>
      <c r="AN364" s="260">
        <v>18</v>
      </c>
      <c r="AP364" s="80">
        <v>45</v>
      </c>
      <c r="AQ364" s="259">
        <v>96.5</v>
      </c>
      <c r="AR364" s="259">
        <v>277</v>
      </c>
      <c r="AS364" s="260">
        <v>18</v>
      </c>
      <c r="AT364" s="288"/>
      <c r="AU364" s="80">
        <v>45</v>
      </c>
      <c r="AV364" s="259">
        <v>89.2</v>
      </c>
      <c r="AW364" s="259">
        <v>138</v>
      </c>
      <c r="AX364" s="260">
        <v>17.5</v>
      </c>
      <c r="AZ364" s="80">
        <v>45</v>
      </c>
      <c r="BA364" s="259">
        <v>89.2</v>
      </c>
      <c r="BB364" s="259">
        <v>138</v>
      </c>
      <c r="BC364" s="260">
        <v>17.5</v>
      </c>
      <c r="BE364" s="80">
        <v>45</v>
      </c>
      <c r="BF364" s="259">
        <v>89.2</v>
      </c>
      <c r="BG364" s="259">
        <v>138</v>
      </c>
      <c r="BH364" s="260">
        <v>17.5</v>
      </c>
      <c r="BI364" s="288"/>
      <c r="BJ364" s="80">
        <v>45</v>
      </c>
      <c r="BK364" s="259">
        <v>50.25</v>
      </c>
      <c r="BL364" s="259">
        <v>196</v>
      </c>
      <c r="BM364" s="260">
        <v>17.5</v>
      </c>
      <c r="BO364" s="80">
        <v>45</v>
      </c>
      <c r="BP364" s="259">
        <v>50.25</v>
      </c>
      <c r="BQ364" s="259">
        <v>196</v>
      </c>
      <c r="BR364" s="260">
        <v>17.5</v>
      </c>
      <c r="BT364" s="80">
        <v>45</v>
      </c>
      <c r="BU364" s="259">
        <v>50.25</v>
      </c>
      <c r="BV364" s="259">
        <v>196</v>
      </c>
      <c r="BW364" s="260">
        <v>17.5</v>
      </c>
      <c r="BX364" s="288"/>
      <c r="CM364" s="96"/>
    </row>
    <row r="365" spans="1:91">
      <c r="A365" s="285"/>
      <c r="B365" s="80">
        <v>45</v>
      </c>
      <c r="C365" s="259">
        <v>10.5</v>
      </c>
      <c r="D365" s="259">
        <v>150</v>
      </c>
      <c r="E365" s="260">
        <v>18</v>
      </c>
      <c r="G365" s="80">
        <v>45</v>
      </c>
      <c r="H365" s="259">
        <v>10.5</v>
      </c>
      <c r="I365" s="259">
        <v>150</v>
      </c>
      <c r="J365" s="260">
        <v>18</v>
      </c>
      <c r="L365" s="80">
        <v>45</v>
      </c>
      <c r="M365" s="259">
        <v>10.5</v>
      </c>
      <c r="N365" s="259">
        <v>159</v>
      </c>
      <c r="O365" s="260">
        <v>18</v>
      </c>
      <c r="Q365" s="80">
        <v>45</v>
      </c>
      <c r="R365" s="259">
        <v>10.5</v>
      </c>
      <c r="S365" s="259">
        <v>156</v>
      </c>
      <c r="T365" s="260">
        <v>18</v>
      </c>
      <c r="V365" s="80">
        <v>45</v>
      </c>
      <c r="W365" s="259">
        <v>10.5</v>
      </c>
      <c r="X365" s="259">
        <v>150</v>
      </c>
      <c r="Y365" s="260">
        <v>18</v>
      </c>
      <c r="AA365" s="80">
        <v>45</v>
      </c>
      <c r="AB365" s="259">
        <v>10.5</v>
      </c>
      <c r="AC365" s="259">
        <v>138</v>
      </c>
      <c r="AD365" s="260">
        <v>18</v>
      </c>
      <c r="AF365" s="80">
        <v>45</v>
      </c>
      <c r="AG365" s="259">
        <v>10.5</v>
      </c>
      <c r="AH365" s="259">
        <v>138</v>
      </c>
      <c r="AI365" s="260">
        <v>18</v>
      </c>
      <c r="AK365" s="80">
        <v>45</v>
      </c>
      <c r="AL365" s="259">
        <v>10.5</v>
      </c>
      <c r="AM365" s="259">
        <v>134</v>
      </c>
      <c r="AN365" s="260">
        <v>18</v>
      </c>
      <c r="AP365" s="80">
        <v>45</v>
      </c>
      <c r="AQ365" s="259">
        <v>10.5</v>
      </c>
      <c r="AR365" s="259">
        <v>306</v>
      </c>
      <c r="AS365" s="260">
        <v>18</v>
      </c>
      <c r="AT365" s="288"/>
      <c r="AU365" s="80">
        <v>45</v>
      </c>
      <c r="AV365" s="259">
        <v>50</v>
      </c>
      <c r="AW365" s="259">
        <v>168</v>
      </c>
      <c r="AX365" s="260">
        <v>17.5</v>
      </c>
      <c r="AZ365" s="80">
        <v>45</v>
      </c>
      <c r="BA365" s="259">
        <v>50</v>
      </c>
      <c r="BB365" s="259">
        <v>168</v>
      </c>
      <c r="BC365" s="260">
        <v>17.5</v>
      </c>
      <c r="BE365" s="80">
        <v>45</v>
      </c>
      <c r="BF365" s="259">
        <v>50</v>
      </c>
      <c r="BG365" s="259">
        <v>168</v>
      </c>
      <c r="BH365" s="260">
        <v>17.5</v>
      </c>
      <c r="BI365" s="288"/>
      <c r="BJ365" s="80">
        <v>45</v>
      </c>
      <c r="BK365" s="259">
        <v>9.75</v>
      </c>
      <c r="BL365" s="259">
        <v>234</v>
      </c>
      <c r="BM365" s="260">
        <v>17.5</v>
      </c>
      <c r="BO365" s="80">
        <v>45</v>
      </c>
      <c r="BP365" s="259">
        <v>9.75</v>
      </c>
      <c r="BQ365" s="259">
        <v>234</v>
      </c>
      <c r="BR365" s="260">
        <v>17.5</v>
      </c>
      <c r="BT365" s="80">
        <v>45</v>
      </c>
      <c r="BU365" s="259">
        <v>9.75</v>
      </c>
      <c r="BV365" s="259">
        <v>234</v>
      </c>
      <c r="BW365" s="260">
        <v>17.5</v>
      </c>
      <c r="BX365" s="288"/>
      <c r="CM365" s="96"/>
    </row>
    <row r="366" spans="1:91">
      <c r="A366" s="285"/>
      <c r="B366" s="80">
        <v>45</v>
      </c>
      <c r="C366" s="259">
        <v>139.5</v>
      </c>
      <c r="D366" s="259">
        <v>150</v>
      </c>
      <c r="E366" s="260">
        <v>18</v>
      </c>
      <c r="G366" s="80">
        <v>45</v>
      </c>
      <c r="H366" s="259">
        <v>139.5</v>
      </c>
      <c r="I366" s="259">
        <v>150</v>
      </c>
      <c r="J366" s="260">
        <v>18</v>
      </c>
      <c r="L366" s="80">
        <v>45</v>
      </c>
      <c r="M366" s="259">
        <v>139.5</v>
      </c>
      <c r="N366" s="259">
        <v>159</v>
      </c>
      <c r="O366" s="260">
        <v>18</v>
      </c>
      <c r="Q366" s="80">
        <v>45</v>
      </c>
      <c r="R366" s="259">
        <v>139.5</v>
      </c>
      <c r="S366" s="259">
        <v>156</v>
      </c>
      <c r="T366" s="260">
        <v>18</v>
      </c>
      <c r="V366" s="80">
        <v>45</v>
      </c>
      <c r="W366" s="259">
        <v>139.5</v>
      </c>
      <c r="X366" s="259">
        <v>150</v>
      </c>
      <c r="Y366" s="260">
        <v>18</v>
      </c>
      <c r="AA366" s="80">
        <v>45</v>
      </c>
      <c r="AB366" s="259">
        <v>139.5</v>
      </c>
      <c r="AC366" s="259">
        <v>138</v>
      </c>
      <c r="AD366" s="260">
        <v>18</v>
      </c>
      <c r="AF366" s="80">
        <v>45</v>
      </c>
      <c r="AG366" s="259">
        <v>139.5</v>
      </c>
      <c r="AH366" s="259">
        <v>138</v>
      </c>
      <c r="AI366" s="260">
        <v>18</v>
      </c>
      <c r="AK366" s="80">
        <v>45</v>
      </c>
      <c r="AL366" s="259">
        <v>139.5</v>
      </c>
      <c r="AM366" s="259">
        <v>134</v>
      </c>
      <c r="AN366" s="260">
        <v>18</v>
      </c>
      <c r="AP366" s="80">
        <v>45</v>
      </c>
      <c r="AQ366" s="259">
        <v>139.5</v>
      </c>
      <c r="AR366" s="259">
        <v>306</v>
      </c>
      <c r="AS366" s="260">
        <v>18</v>
      </c>
      <c r="AT366" s="288"/>
      <c r="AU366" s="80">
        <v>45</v>
      </c>
      <c r="AV366" s="259">
        <v>10.8</v>
      </c>
      <c r="AW366" s="259">
        <v>196</v>
      </c>
      <c r="AX366" s="260">
        <v>17.5</v>
      </c>
      <c r="AZ366" s="80">
        <v>45</v>
      </c>
      <c r="BA366" s="259">
        <v>10.8</v>
      </c>
      <c r="BB366" s="259">
        <v>196</v>
      </c>
      <c r="BC366" s="260">
        <v>17.5</v>
      </c>
      <c r="BE366" s="80">
        <v>45</v>
      </c>
      <c r="BF366" s="259">
        <v>10.8</v>
      </c>
      <c r="BG366" s="259">
        <v>196</v>
      </c>
      <c r="BH366" s="260">
        <v>17.5</v>
      </c>
      <c r="BI366" s="288"/>
      <c r="BJ366" s="80">
        <v>45</v>
      </c>
      <c r="BK366" s="259">
        <v>50.25</v>
      </c>
      <c r="BL366" s="259">
        <v>254</v>
      </c>
      <c r="BM366" s="260">
        <v>17.5</v>
      </c>
      <c r="BO366" s="80">
        <v>45</v>
      </c>
      <c r="BP366" s="259">
        <v>50.25</v>
      </c>
      <c r="BQ366" s="259">
        <v>254</v>
      </c>
      <c r="BR366" s="260">
        <v>17.5</v>
      </c>
      <c r="BT366" s="80">
        <v>90</v>
      </c>
      <c r="BU366" s="259">
        <v>30</v>
      </c>
      <c r="BV366" s="259">
        <v>240</v>
      </c>
      <c r="BW366" s="260">
        <v>14</v>
      </c>
      <c r="BX366" s="288"/>
      <c r="CM366" s="96"/>
    </row>
    <row r="367" spans="1:91">
      <c r="A367" s="285"/>
      <c r="B367" s="261">
        <v>45</v>
      </c>
      <c r="C367" s="262">
        <v>53.5</v>
      </c>
      <c r="D367" s="262">
        <v>178</v>
      </c>
      <c r="E367" s="263">
        <v>18</v>
      </c>
      <c r="G367" s="261">
        <v>45</v>
      </c>
      <c r="H367" s="262">
        <v>53.5</v>
      </c>
      <c r="I367" s="262">
        <v>178</v>
      </c>
      <c r="J367" s="263">
        <v>18</v>
      </c>
      <c r="L367" s="261">
        <v>45</v>
      </c>
      <c r="M367" s="262">
        <v>53.5</v>
      </c>
      <c r="N367" s="262">
        <v>187</v>
      </c>
      <c r="O367" s="263">
        <v>18</v>
      </c>
      <c r="Q367" s="261">
        <v>45</v>
      </c>
      <c r="R367" s="262">
        <v>53.5</v>
      </c>
      <c r="S367" s="262">
        <v>184</v>
      </c>
      <c r="T367" s="263">
        <v>18</v>
      </c>
      <c r="V367" s="261">
        <v>45</v>
      </c>
      <c r="W367" s="262">
        <v>53.5</v>
      </c>
      <c r="X367" s="262">
        <v>178.5</v>
      </c>
      <c r="Y367" s="263">
        <v>18</v>
      </c>
      <c r="AA367" s="261">
        <v>45</v>
      </c>
      <c r="AB367" s="262">
        <v>53.5</v>
      </c>
      <c r="AC367" s="262">
        <v>168</v>
      </c>
      <c r="AD367" s="263">
        <v>18</v>
      </c>
      <c r="AF367" s="261">
        <v>45</v>
      </c>
      <c r="AG367" s="262">
        <v>53.5</v>
      </c>
      <c r="AH367" s="262">
        <v>168</v>
      </c>
      <c r="AI367" s="263">
        <v>18</v>
      </c>
      <c r="AK367" s="261">
        <v>45</v>
      </c>
      <c r="AL367" s="262">
        <v>53.5</v>
      </c>
      <c r="AM367" s="262">
        <v>168</v>
      </c>
      <c r="AN367" s="263">
        <v>18</v>
      </c>
      <c r="AP367" s="261">
        <v>45</v>
      </c>
      <c r="AQ367" s="262">
        <v>53.5</v>
      </c>
      <c r="AR367" s="262">
        <v>334</v>
      </c>
      <c r="AS367" s="263">
        <v>18</v>
      </c>
      <c r="AT367" s="288"/>
      <c r="AU367" s="261">
        <v>45</v>
      </c>
      <c r="AV367" s="262">
        <v>89.2</v>
      </c>
      <c r="AW367" s="262">
        <v>196</v>
      </c>
      <c r="AX367" s="263">
        <v>17.5</v>
      </c>
      <c r="AZ367" s="261">
        <v>45</v>
      </c>
      <c r="BA367" s="262">
        <v>89.2</v>
      </c>
      <c r="BB367" s="262">
        <v>196</v>
      </c>
      <c r="BC367" s="263">
        <v>17.5</v>
      </c>
      <c r="BE367" s="261">
        <v>45</v>
      </c>
      <c r="BF367" s="262">
        <v>89.2</v>
      </c>
      <c r="BG367" s="262">
        <v>196</v>
      </c>
      <c r="BH367" s="263">
        <v>17.5</v>
      </c>
      <c r="BI367" s="288"/>
      <c r="BJ367" s="261">
        <v>45</v>
      </c>
      <c r="BK367" s="262">
        <v>9.75</v>
      </c>
      <c r="BL367" s="262">
        <v>292</v>
      </c>
      <c r="BM367" s="263">
        <v>17.5</v>
      </c>
      <c r="BO367" s="261">
        <v>45</v>
      </c>
      <c r="BP367" s="262">
        <v>9.75</v>
      </c>
      <c r="BQ367" s="262">
        <v>292</v>
      </c>
      <c r="BR367" s="263">
        <v>17.5</v>
      </c>
      <c r="BT367" s="261">
        <v>45</v>
      </c>
      <c r="BU367" s="262">
        <v>50.25</v>
      </c>
      <c r="BV367" s="262">
        <v>254</v>
      </c>
      <c r="BW367" s="263">
        <v>17.5</v>
      </c>
      <c r="BX367" s="288"/>
      <c r="CM367" s="96"/>
    </row>
    <row r="368" spans="1:91">
      <c r="A368" s="285"/>
      <c r="B368" s="261">
        <v>45</v>
      </c>
      <c r="C368" s="262">
        <v>96.5</v>
      </c>
      <c r="D368" s="262">
        <v>178</v>
      </c>
      <c r="E368" s="263">
        <v>18</v>
      </c>
      <c r="G368" s="261">
        <v>45</v>
      </c>
      <c r="H368" s="262">
        <v>96.5</v>
      </c>
      <c r="I368" s="262">
        <v>178</v>
      </c>
      <c r="J368" s="263">
        <v>18</v>
      </c>
      <c r="L368" s="261">
        <v>45</v>
      </c>
      <c r="M368" s="262">
        <v>96.5</v>
      </c>
      <c r="N368" s="262">
        <v>187</v>
      </c>
      <c r="O368" s="263">
        <v>18</v>
      </c>
      <c r="Q368" s="261">
        <v>45</v>
      </c>
      <c r="R368" s="262">
        <v>96.5</v>
      </c>
      <c r="S368" s="262">
        <v>184</v>
      </c>
      <c r="T368" s="263">
        <v>18</v>
      </c>
      <c r="V368" s="261">
        <v>45</v>
      </c>
      <c r="W368" s="262">
        <v>96.5</v>
      </c>
      <c r="X368" s="262">
        <v>178.5</v>
      </c>
      <c r="Y368" s="263">
        <v>18</v>
      </c>
      <c r="AA368" s="261">
        <v>45</v>
      </c>
      <c r="AB368" s="262">
        <v>96.5</v>
      </c>
      <c r="AC368" s="262">
        <v>168</v>
      </c>
      <c r="AD368" s="263">
        <v>18</v>
      </c>
      <c r="AF368" s="261">
        <v>45</v>
      </c>
      <c r="AG368" s="262">
        <v>96.5</v>
      </c>
      <c r="AH368" s="262">
        <v>168</v>
      </c>
      <c r="AI368" s="263">
        <v>18</v>
      </c>
      <c r="AK368" s="261">
        <v>45</v>
      </c>
      <c r="AL368" s="262">
        <v>96.5</v>
      </c>
      <c r="AM368" s="262">
        <v>168</v>
      </c>
      <c r="AN368" s="263">
        <v>18</v>
      </c>
      <c r="AP368" s="261">
        <v>45</v>
      </c>
      <c r="AQ368" s="262">
        <v>96.5</v>
      </c>
      <c r="AR368" s="262">
        <v>334</v>
      </c>
      <c r="AS368" s="263">
        <v>18</v>
      </c>
      <c r="AT368" s="288"/>
      <c r="AU368" s="261">
        <v>45</v>
      </c>
      <c r="AV368" s="262">
        <v>50</v>
      </c>
      <c r="AW368" s="262">
        <v>226</v>
      </c>
      <c r="AX368" s="263">
        <v>17.5</v>
      </c>
      <c r="AZ368" s="261">
        <v>45</v>
      </c>
      <c r="BA368" s="262">
        <v>50</v>
      </c>
      <c r="BB368" s="262">
        <v>226</v>
      </c>
      <c r="BC368" s="263">
        <v>17.5</v>
      </c>
      <c r="BE368" s="261">
        <v>45</v>
      </c>
      <c r="BF368" s="262">
        <v>50</v>
      </c>
      <c r="BG368" s="262">
        <v>226</v>
      </c>
      <c r="BH368" s="263">
        <v>17.5</v>
      </c>
      <c r="BI368" s="288"/>
      <c r="BJ368" s="261">
        <v>45</v>
      </c>
      <c r="BK368" s="262">
        <v>50.25</v>
      </c>
      <c r="BL368" s="262">
        <v>312</v>
      </c>
      <c r="BM368" s="263">
        <v>17.5</v>
      </c>
      <c r="BO368" s="261">
        <v>45</v>
      </c>
      <c r="BP368" s="262">
        <v>50.25</v>
      </c>
      <c r="BQ368" s="262">
        <v>312</v>
      </c>
      <c r="BR368" s="263">
        <v>17.5</v>
      </c>
      <c r="BT368" s="261">
        <v>90</v>
      </c>
      <c r="BU368" s="262">
        <v>10</v>
      </c>
      <c r="BV368" s="262">
        <v>300</v>
      </c>
      <c r="BW368" s="263">
        <v>40</v>
      </c>
      <c r="BX368" s="288"/>
      <c r="CM368" s="96"/>
    </row>
    <row r="369" spans="1:91">
      <c r="A369" s="285"/>
      <c r="B369" s="261">
        <v>45</v>
      </c>
      <c r="C369" s="262">
        <v>10.5</v>
      </c>
      <c r="D369" s="262">
        <v>207</v>
      </c>
      <c r="E369" s="263">
        <v>18</v>
      </c>
      <c r="G369" s="261">
        <v>45</v>
      </c>
      <c r="H369" s="262">
        <v>10.5</v>
      </c>
      <c r="I369" s="262">
        <v>207</v>
      </c>
      <c r="J369" s="263">
        <v>18</v>
      </c>
      <c r="L369" s="261">
        <v>45</v>
      </c>
      <c r="M369" s="262">
        <v>10.5</v>
      </c>
      <c r="N369" s="262">
        <v>216</v>
      </c>
      <c r="O369" s="263">
        <v>18</v>
      </c>
      <c r="Q369" s="261">
        <v>45</v>
      </c>
      <c r="R369" s="262">
        <v>10.5</v>
      </c>
      <c r="S369" s="262">
        <v>213</v>
      </c>
      <c r="T369" s="263">
        <v>18</v>
      </c>
      <c r="V369" s="261">
        <v>45</v>
      </c>
      <c r="W369" s="262">
        <v>10.5</v>
      </c>
      <c r="X369" s="262">
        <v>207</v>
      </c>
      <c r="Y369" s="263">
        <v>18</v>
      </c>
      <c r="AA369" s="261">
        <v>45</v>
      </c>
      <c r="AB369" s="262">
        <v>10.5</v>
      </c>
      <c r="AC369" s="262">
        <v>196</v>
      </c>
      <c r="AD369" s="263">
        <v>18</v>
      </c>
      <c r="AF369" s="261">
        <v>45</v>
      </c>
      <c r="AG369" s="262">
        <v>10.5</v>
      </c>
      <c r="AH369" s="262">
        <v>196</v>
      </c>
      <c r="AI369" s="263">
        <v>18</v>
      </c>
      <c r="AK369" s="261">
        <v>45</v>
      </c>
      <c r="AL369" s="262">
        <v>10.5</v>
      </c>
      <c r="AM369" s="262">
        <v>192</v>
      </c>
      <c r="AN369" s="263">
        <v>18</v>
      </c>
      <c r="AP369" s="261">
        <v>45</v>
      </c>
      <c r="AQ369" s="262">
        <v>10.5</v>
      </c>
      <c r="AR369" s="262">
        <v>363</v>
      </c>
      <c r="AS369" s="263">
        <v>18</v>
      </c>
      <c r="AT369" s="288"/>
      <c r="AU369" s="261">
        <v>45</v>
      </c>
      <c r="AV369" s="262">
        <v>10.8</v>
      </c>
      <c r="AW369" s="262">
        <v>254</v>
      </c>
      <c r="AX369" s="263">
        <v>17.5</v>
      </c>
      <c r="AZ369" s="261">
        <v>45</v>
      </c>
      <c r="BA369" s="262">
        <v>10.8</v>
      </c>
      <c r="BB369" s="262">
        <v>254</v>
      </c>
      <c r="BC369" s="263">
        <v>17.5</v>
      </c>
      <c r="BE369" s="261">
        <v>90</v>
      </c>
      <c r="BF369" s="262">
        <v>30</v>
      </c>
      <c r="BG369" s="262">
        <v>235</v>
      </c>
      <c r="BH369" s="263">
        <v>14</v>
      </c>
      <c r="BI369" s="288"/>
      <c r="BJ369" s="261">
        <v>45</v>
      </c>
      <c r="BK369" s="262">
        <v>9.75</v>
      </c>
      <c r="BL369" s="262">
        <v>350</v>
      </c>
      <c r="BM369" s="263">
        <v>17.5</v>
      </c>
      <c r="BO369" s="261">
        <v>45</v>
      </c>
      <c r="BP369" s="262">
        <v>9.75</v>
      </c>
      <c r="BQ369" s="262">
        <v>350</v>
      </c>
      <c r="BR369" s="263">
        <v>17.5</v>
      </c>
      <c r="BT369" s="261">
        <v>90</v>
      </c>
      <c r="BU369" s="262">
        <v>50</v>
      </c>
      <c r="BV369" s="262">
        <v>300</v>
      </c>
      <c r="BW369" s="263">
        <v>40</v>
      </c>
      <c r="BX369" s="288"/>
      <c r="CM369" s="96"/>
    </row>
    <row r="370" spans="1:91">
      <c r="A370" s="285"/>
      <c r="B370" s="261">
        <v>45</v>
      </c>
      <c r="C370" s="262">
        <v>139.5</v>
      </c>
      <c r="D370" s="262">
        <v>207</v>
      </c>
      <c r="E370" s="263">
        <v>18</v>
      </c>
      <c r="G370" s="261">
        <v>45</v>
      </c>
      <c r="H370" s="262">
        <v>139.5</v>
      </c>
      <c r="I370" s="262">
        <v>207</v>
      </c>
      <c r="J370" s="263">
        <v>18</v>
      </c>
      <c r="L370" s="261">
        <v>45</v>
      </c>
      <c r="M370" s="262">
        <v>139.5</v>
      </c>
      <c r="N370" s="262">
        <v>216</v>
      </c>
      <c r="O370" s="263">
        <v>18</v>
      </c>
      <c r="Q370" s="261">
        <v>45</v>
      </c>
      <c r="R370" s="262">
        <v>139.5</v>
      </c>
      <c r="S370" s="262">
        <v>213</v>
      </c>
      <c r="T370" s="263">
        <v>18</v>
      </c>
      <c r="V370" s="261">
        <v>45</v>
      </c>
      <c r="W370" s="262">
        <v>139.5</v>
      </c>
      <c r="X370" s="262">
        <v>207</v>
      </c>
      <c r="Y370" s="263">
        <v>18</v>
      </c>
      <c r="AA370" s="261">
        <v>45</v>
      </c>
      <c r="AB370" s="262">
        <v>139.5</v>
      </c>
      <c r="AC370" s="262">
        <v>196</v>
      </c>
      <c r="AD370" s="263">
        <v>18</v>
      </c>
      <c r="AF370" s="261">
        <v>45</v>
      </c>
      <c r="AG370" s="262">
        <v>139.5</v>
      </c>
      <c r="AH370" s="262">
        <v>196</v>
      </c>
      <c r="AI370" s="263">
        <v>18</v>
      </c>
      <c r="AK370" s="261">
        <v>45</v>
      </c>
      <c r="AL370" s="262">
        <v>139.5</v>
      </c>
      <c r="AM370" s="262">
        <v>192</v>
      </c>
      <c r="AN370" s="263">
        <v>18</v>
      </c>
      <c r="AP370" s="261">
        <v>45</v>
      </c>
      <c r="AQ370" s="262">
        <v>139.5</v>
      </c>
      <c r="AR370" s="262">
        <v>363</v>
      </c>
      <c r="AS370" s="263">
        <v>18</v>
      </c>
      <c r="AT370" s="288"/>
      <c r="AU370" s="261">
        <v>45</v>
      </c>
      <c r="AV370" s="262">
        <v>89.2</v>
      </c>
      <c r="AW370" s="262">
        <v>254</v>
      </c>
      <c r="AX370" s="263">
        <v>17.5</v>
      </c>
      <c r="AZ370" s="261">
        <v>45</v>
      </c>
      <c r="BA370" s="262">
        <v>89.2</v>
      </c>
      <c r="BB370" s="262">
        <v>254</v>
      </c>
      <c r="BC370" s="263">
        <v>17.5</v>
      </c>
      <c r="BE370" s="261">
        <v>90</v>
      </c>
      <c r="BF370" s="262">
        <v>70</v>
      </c>
      <c r="BG370" s="262">
        <v>235</v>
      </c>
      <c r="BH370" s="263">
        <v>14</v>
      </c>
      <c r="BI370" s="288"/>
      <c r="BJ370" s="261">
        <v>45</v>
      </c>
      <c r="BK370" s="262">
        <v>50.25</v>
      </c>
      <c r="BL370" s="262">
        <v>370</v>
      </c>
      <c r="BM370" s="263">
        <v>17.5</v>
      </c>
      <c r="BO370" s="261">
        <v>90</v>
      </c>
      <c r="BP370" s="262">
        <v>30</v>
      </c>
      <c r="BQ370" s="262">
        <v>360</v>
      </c>
      <c r="BR370" s="263">
        <v>14</v>
      </c>
      <c r="BT370" s="261" t="str">
        <v/>
      </c>
      <c r="BU370" s="262" t="str">
        <v/>
      </c>
      <c r="BV370" s="262" t="str">
        <v/>
      </c>
      <c r="BW370" s="263" t="str">
        <v/>
      </c>
      <c r="BX370" s="288"/>
      <c r="CM370" s="96"/>
    </row>
    <row r="371" spans="1:91">
      <c r="A371" s="285"/>
      <c r="B371" s="261">
        <v>45</v>
      </c>
      <c r="C371" s="262">
        <v>53.5</v>
      </c>
      <c r="D371" s="262">
        <v>235</v>
      </c>
      <c r="E371" s="263">
        <v>18</v>
      </c>
      <c r="G371" s="261">
        <v>45</v>
      </c>
      <c r="H371" s="262">
        <v>53.5</v>
      </c>
      <c r="I371" s="262">
        <v>235</v>
      </c>
      <c r="J371" s="263">
        <v>18</v>
      </c>
      <c r="L371" s="261">
        <v>45</v>
      </c>
      <c r="M371" s="262">
        <v>53.5</v>
      </c>
      <c r="N371" s="262">
        <v>244</v>
      </c>
      <c r="O371" s="263">
        <v>18</v>
      </c>
      <c r="Q371" s="261">
        <v>45</v>
      </c>
      <c r="R371" s="262">
        <v>53.5</v>
      </c>
      <c r="S371" s="262">
        <v>241</v>
      </c>
      <c r="T371" s="263">
        <v>18</v>
      </c>
      <c r="V371" s="261">
        <v>45</v>
      </c>
      <c r="W371" s="262">
        <v>53.5</v>
      </c>
      <c r="X371" s="262">
        <v>235.5</v>
      </c>
      <c r="Y371" s="263">
        <v>18</v>
      </c>
      <c r="AA371" s="261">
        <v>45</v>
      </c>
      <c r="AB371" s="262">
        <v>53.5</v>
      </c>
      <c r="AC371" s="262">
        <v>226</v>
      </c>
      <c r="AD371" s="263">
        <v>18</v>
      </c>
      <c r="AF371" s="261">
        <v>45</v>
      </c>
      <c r="AG371" s="262">
        <v>53.5</v>
      </c>
      <c r="AH371" s="262">
        <v>226</v>
      </c>
      <c r="AI371" s="263">
        <v>18</v>
      </c>
      <c r="AK371" s="261">
        <v>45</v>
      </c>
      <c r="AL371" s="262">
        <v>53.5</v>
      </c>
      <c r="AM371" s="262">
        <v>226</v>
      </c>
      <c r="AN371" s="263">
        <v>18</v>
      </c>
      <c r="AP371" s="261">
        <v>45</v>
      </c>
      <c r="AQ371" s="262">
        <v>53.5</v>
      </c>
      <c r="AR371" s="262">
        <v>391</v>
      </c>
      <c r="AS371" s="263">
        <v>18</v>
      </c>
      <c r="AT371" s="288"/>
      <c r="AU371" s="261">
        <v>45</v>
      </c>
      <c r="AV371" s="262">
        <v>50</v>
      </c>
      <c r="AW371" s="262">
        <v>284</v>
      </c>
      <c r="AX371" s="263">
        <v>17.5</v>
      </c>
      <c r="AZ371" s="261">
        <v>45</v>
      </c>
      <c r="BA371" s="262">
        <v>50</v>
      </c>
      <c r="BB371" s="262">
        <v>284</v>
      </c>
      <c r="BC371" s="263">
        <v>17.5</v>
      </c>
      <c r="BE371" s="261">
        <v>45</v>
      </c>
      <c r="BF371" s="262">
        <v>10.8</v>
      </c>
      <c r="BG371" s="262">
        <v>254</v>
      </c>
      <c r="BH371" s="263">
        <v>17.5</v>
      </c>
      <c r="BI371" s="288"/>
      <c r="BJ371" s="261">
        <v>45</v>
      </c>
      <c r="BK371" s="262">
        <v>9.75</v>
      </c>
      <c r="BL371" s="262">
        <v>408</v>
      </c>
      <c r="BM371" s="263">
        <v>17.5</v>
      </c>
      <c r="BO371" s="261">
        <v>45</v>
      </c>
      <c r="BP371" s="262">
        <v>50.25</v>
      </c>
      <c r="BQ371" s="262">
        <v>370</v>
      </c>
      <c r="BR371" s="263">
        <v>17.5</v>
      </c>
      <c r="BT371" s="261" t="str">
        <v/>
      </c>
      <c r="BU371" s="262" t="str">
        <v/>
      </c>
      <c r="BV371" s="262" t="str">
        <v/>
      </c>
      <c r="BW371" s="263" t="str">
        <v/>
      </c>
      <c r="BX371" s="288"/>
      <c r="CM371" s="96"/>
    </row>
    <row r="372" spans="1:91">
      <c r="A372" s="285"/>
      <c r="B372" s="261">
        <v>45</v>
      </c>
      <c r="C372" s="262">
        <v>96.5</v>
      </c>
      <c r="D372" s="262">
        <v>235</v>
      </c>
      <c r="E372" s="263">
        <v>18</v>
      </c>
      <c r="G372" s="261">
        <v>45</v>
      </c>
      <c r="H372" s="262">
        <v>96.5</v>
      </c>
      <c r="I372" s="262">
        <v>235</v>
      </c>
      <c r="J372" s="263">
        <v>18</v>
      </c>
      <c r="L372" s="261">
        <v>45</v>
      </c>
      <c r="M372" s="262">
        <v>96.5</v>
      </c>
      <c r="N372" s="262">
        <v>244</v>
      </c>
      <c r="O372" s="263">
        <v>18</v>
      </c>
      <c r="Q372" s="261">
        <v>45</v>
      </c>
      <c r="R372" s="262">
        <v>96.5</v>
      </c>
      <c r="S372" s="262">
        <v>241</v>
      </c>
      <c r="T372" s="263">
        <v>18</v>
      </c>
      <c r="V372" s="261">
        <v>45</v>
      </c>
      <c r="W372" s="262">
        <v>96.5</v>
      </c>
      <c r="X372" s="262">
        <v>235.5</v>
      </c>
      <c r="Y372" s="263">
        <v>18</v>
      </c>
      <c r="AA372" s="261">
        <v>45</v>
      </c>
      <c r="AB372" s="262">
        <v>96.5</v>
      </c>
      <c r="AC372" s="262">
        <v>226</v>
      </c>
      <c r="AD372" s="263">
        <v>18</v>
      </c>
      <c r="AF372" s="261">
        <v>45</v>
      </c>
      <c r="AG372" s="262">
        <v>96.5</v>
      </c>
      <c r="AH372" s="262">
        <v>226</v>
      </c>
      <c r="AI372" s="263">
        <v>18</v>
      </c>
      <c r="AK372" s="261">
        <v>45</v>
      </c>
      <c r="AL372" s="262">
        <v>96.5</v>
      </c>
      <c r="AM372" s="262">
        <v>226</v>
      </c>
      <c r="AN372" s="263">
        <v>18</v>
      </c>
      <c r="AP372" s="261">
        <v>45</v>
      </c>
      <c r="AQ372" s="262">
        <v>96.5</v>
      </c>
      <c r="AR372" s="262">
        <v>391</v>
      </c>
      <c r="AS372" s="263">
        <v>18</v>
      </c>
      <c r="AT372" s="288"/>
      <c r="AU372" s="261">
        <v>45</v>
      </c>
      <c r="AV372" s="262">
        <v>10.8</v>
      </c>
      <c r="AW372" s="262">
        <v>312</v>
      </c>
      <c r="AX372" s="263">
        <v>17.5</v>
      </c>
      <c r="AZ372" s="261">
        <v>45</v>
      </c>
      <c r="BA372" s="262">
        <v>10.8</v>
      </c>
      <c r="BB372" s="262">
        <v>312</v>
      </c>
      <c r="BC372" s="263">
        <v>17.5</v>
      </c>
      <c r="BE372" s="261">
        <v>45</v>
      </c>
      <c r="BF372" s="262">
        <v>89.2</v>
      </c>
      <c r="BG372" s="262">
        <v>254</v>
      </c>
      <c r="BH372" s="263">
        <v>17.5</v>
      </c>
      <c r="BI372" s="288"/>
      <c r="BJ372" s="261">
        <v>45</v>
      </c>
      <c r="BK372" s="262">
        <v>50.25</v>
      </c>
      <c r="BL372" s="262">
        <v>428</v>
      </c>
      <c r="BM372" s="263">
        <v>17.5</v>
      </c>
      <c r="BO372" s="261">
        <v>90</v>
      </c>
      <c r="BP372" s="262">
        <v>10</v>
      </c>
      <c r="BQ372" s="262">
        <v>420</v>
      </c>
      <c r="BR372" s="263">
        <v>40</v>
      </c>
      <c r="BT372" s="261" t="str">
        <v/>
      </c>
      <c r="BU372" s="262" t="str">
        <v/>
      </c>
      <c r="BV372" s="262" t="str">
        <v/>
      </c>
      <c r="BW372" s="263" t="str">
        <v/>
      </c>
      <c r="BX372" s="288"/>
      <c r="CM372" s="96"/>
    </row>
    <row r="373" spans="1:91">
      <c r="A373" s="285"/>
      <c r="B373" s="80">
        <v>45</v>
      </c>
      <c r="C373" s="259">
        <v>10.5</v>
      </c>
      <c r="D373" s="259">
        <v>264</v>
      </c>
      <c r="E373" s="260">
        <v>18</v>
      </c>
      <c r="G373" s="80">
        <v>45</v>
      </c>
      <c r="H373" s="259">
        <v>10.5</v>
      </c>
      <c r="I373" s="259">
        <v>264</v>
      </c>
      <c r="J373" s="260">
        <v>18</v>
      </c>
      <c r="L373" s="80">
        <v>45</v>
      </c>
      <c r="M373" s="259">
        <v>10.5</v>
      </c>
      <c r="N373" s="259">
        <v>273</v>
      </c>
      <c r="O373" s="260">
        <v>18</v>
      </c>
      <c r="Q373" s="80">
        <v>45</v>
      </c>
      <c r="R373" s="259">
        <v>10.5</v>
      </c>
      <c r="S373" s="259">
        <v>270</v>
      </c>
      <c r="T373" s="260">
        <v>18</v>
      </c>
      <c r="V373" s="80">
        <v>45</v>
      </c>
      <c r="W373" s="259">
        <v>10.5</v>
      </c>
      <c r="X373" s="259">
        <v>264</v>
      </c>
      <c r="Y373" s="260">
        <v>18</v>
      </c>
      <c r="AA373" s="80">
        <v>45</v>
      </c>
      <c r="AB373" s="259">
        <v>10.5</v>
      </c>
      <c r="AC373" s="259">
        <v>254</v>
      </c>
      <c r="AD373" s="260">
        <v>18</v>
      </c>
      <c r="AF373" s="80">
        <v>45</v>
      </c>
      <c r="AG373" s="259">
        <v>10.5</v>
      </c>
      <c r="AH373" s="259">
        <v>254</v>
      </c>
      <c r="AI373" s="260">
        <v>18</v>
      </c>
      <c r="AK373" s="80">
        <v>90</v>
      </c>
      <c r="AL373" s="259">
        <v>32</v>
      </c>
      <c r="AM373" s="259">
        <v>235</v>
      </c>
      <c r="AN373" s="260">
        <v>14</v>
      </c>
      <c r="AP373" s="80">
        <v>45</v>
      </c>
      <c r="AQ373" s="259">
        <v>10.5</v>
      </c>
      <c r="AR373" s="259">
        <v>420</v>
      </c>
      <c r="AS373" s="260">
        <v>18</v>
      </c>
      <c r="AT373" s="288"/>
      <c r="AU373" s="80">
        <v>45</v>
      </c>
      <c r="AV373" s="259">
        <v>89.2</v>
      </c>
      <c r="AW373" s="259">
        <v>312</v>
      </c>
      <c r="AX373" s="260">
        <v>17.5</v>
      </c>
      <c r="AZ373" s="80">
        <v>45</v>
      </c>
      <c r="BA373" s="259">
        <v>89.2</v>
      </c>
      <c r="BB373" s="259">
        <v>312</v>
      </c>
      <c r="BC373" s="260">
        <v>17.5</v>
      </c>
      <c r="BE373" s="80">
        <v>90</v>
      </c>
      <c r="BF373" s="259">
        <v>10</v>
      </c>
      <c r="BG373" s="259">
        <v>300</v>
      </c>
      <c r="BH373" s="260">
        <v>40</v>
      </c>
      <c r="BI373" s="288"/>
      <c r="BJ373" s="80">
        <v>45</v>
      </c>
      <c r="BK373" s="259">
        <v>9.75</v>
      </c>
      <c r="BL373" s="259">
        <v>466</v>
      </c>
      <c r="BM373" s="260">
        <v>17.5</v>
      </c>
      <c r="BO373" s="80">
        <v>90</v>
      </c>
      <c r="BP373" s="259">
        <v>50</v>
      </c>
      <c r="BQ373" s="259">
        <v>420</v>
      </c>
      <c r="BR373" s="260">
        <v>40</v>
      </c>
      <c r="BT373" s="80" t="str">
        <v/>
      </c>
      <c r="BU373" s="259" t="str">
        <v/>
      </c>
      <c r="BV373" s="259" t="str">
        <v/>
      </c>
      <c r="BW373" s="260" t="str">
        <v/>
      </c>
      <c r="BX373" s="288"/>
      <c r="CM373" s="96"/>
    </row>
    <row r="374" spans="1:91">
      <c r="A374" s="285"/>
      <c r="B374" s="80">
        <v>45</v>
      </c>
      <c r="C374" s="259">
        <v>139.5</v>
      </c>
      <c r="D374" s="259">
        <v>264</v>
      </c>
      <c r="E374" s="260">
        <v>18</v>
      </c>
      <c r="G374" s="80">
        <v>45</v>
      </c>
      <c r="H374" s="259">
        <v>139.5</v>
      </c>
      <c r="I374" s="259">
        <v>264</v>
      </c>
      <c r="J374" s="260">
        <v>18</v>
      </c>
      <c r="L374" s="80">
        <v>45</v>
      </c>
      <c r="M374" s="259">
        <v>139.5</v>
      </c>
      <c r="N374" s="259">
        <v>273</v>
      </c>
      <c r="O374" s="260">
        <v>18</v>
      </c>
      <c r="Q374" s="80">
        <v>45</v>
      </c>
      <c r="R374" s="259">
        <v>139.5</v>
      </c>
      <c r="S374" s="259">
        <v>270</v>
      </c>
      <c r="T374" s="260">
        <v>18</v>
      </c>
      <c r="V374" s="80">
        <v>45</v>
      </c>
      <c r="W374" s="259">
        <v>139.5</v>
      </c>
      <c r="X374" s="259">
        <v>264</v>
      </c>
      <c r="Y374" s="260">
        <v>18</v>
      </c>
      <c r="AA374" s="80">
        <v>45</v>
      </c>
      <c r="AB374" s="259">
        <v>139.5</v>
      </c>
      <c r="AC374" s="259">
        <v>254</v>
      </c>
      <c r="AD374" s="260">
        <v>18</v>
      </c>
      <c r="AF374" s="80">
        <v>45</v>
      </c>
      <c r="AG374" s="259">
        <v>139.5</v>
      </c>
      <c r="AH374" s="259">
        <v>254</v>
      </c>
      <c r="AI374" s="260">
        <v>18</v>
      </c>
      <c r="AK374" s="80">
        <v>90</v>
      </c>
      <c r="AL374" s="259">
        <v>118</v>
      </c>
      <c r="AM374" s="259">
        <v>235</v>
      </c>
      <c r="AN374" s="260">
        <v>14</v>
      </c>
      <c r="AP374" s="80">
        <v>45</v>
      </c>
      <c r="AQ374" s="259">
        <v>139.5</v>
      </c>
      <c r="AR374" s="259">
        <v>420</v>
      </c>
      <c r="AS374" s="260">
        <v>18</v>
      </c>
      <c r="AT374" s="288"/>
      <c r="AU374" s="80">
        <v>45</v>
      </c>
      <c r="AV374" s="259">
        <v>50</v>
      </c>
      <c r="AW374" s="259">
        <v>342</v>
      </c>
      <c r="AX374" s="260">
        <v>17.5</v>
      </c>
      <c r="AZ374" s="80">
        <v>45</v>
      </c>
      <c r="BA374" s="259">
        <v>50</v>
      </c>
      <c r="BB374" s="259">
        <v>342</v>
      </c>
      <c r="BC374" s="260">
        <v>17.5</v>
      </c>
      <c r="BE374" s="80">
        <v>90</v>
      </c>
      <c r="BF374" s="259">
        <v>90</v>
      </c>
      <c r="BG374" s="259">
        <v>300</v>
      </c>
      <c r="BH374" s="260">
        <v>40</v>
      </c>
      <c r="BI374" s="288"/>
      <c r="BJ374" s="80">
        <v>90</v>
      </c>
      <c r="BK374" s="259">
        <v>30</v>
      </c>
      <c r="BL374" s="259">
        <v>480</v>
      </c>
      <c r="BM374" s="260">
        <v>14</v>
      </c>
      <c r="BO374" s="80" t="str">
        <v/>
      </c>
      <c r="BP374" s="259" t="str">
        <v/>
      </c>
      <c r="BQ374" s="259" t="str">
        <v/>
      </c>
      <c r="BR374" s="260" t="str">
        <v/>
      </c>
      <c r="BT374" s="80" t="str">
        <v/>
      </c>
      <c r="BU374" s="259" t="str">
        <v/>
      </c>
      <c r="BV374" s="259" t="str">
        <v/>
      </c>
      <c r="BW374" s="260" t="str">
        <v/>
      </c>
      <c r="BX374" s="288"/>
      <c r="CM374" s="96"/>
    </row>
    <row r="375" spans="1:91">
      <c r="A375" s="285"/>
      <c r="B375" s="80">
        <v>45</v>
      </c>
      <c r="C375" s="259">
        <v>53.5</v>
      </c>
      <c r="D375" s="259">
        <v>292</v>
      </c>
      <c r="E375" s="260">
        <v>18</v>
      </c>
      <c r="G375" s="80">
        <v>45</v>
      </c>
      <c r="H375" s="259">
        <v>53.5</v>
      </c>
      <c r="I375" s="259">
        <v>292</v>
      </c>
      <c r="J375" s="260">
        <v>18</v>
      </c>
      <c r="L375" s="80">
        <v>45</v>
      </c>
      <c r="M375" s="259">
        <v>53.5</v>
      </c>
      <c r="N375" s="259">
        <v>301</v>
      </c>
      <c r="O375" s="260">
        <v>18</v>
      </c>
      <c r="Q375" s="80">
        <v>45</v>
      </c>
      <c r="R375" s="259">
        <v>53.5</v>
      </c>
      <c r="S375" s="259">
        <v>298</v>
      </c>
      <c r="T375" s="260">
        <v>18</v>
      </c>
      <c r="V375" s="80">
        <v>45</v>
      </c>
      <c r="W375" s="259">
        <v>53.5</v>
      </c>
      <c r="X375" s="259">
        <v>292.5</v>
      </c>
      <c r="Y375" s="260">
        <v>18</v>
      </c>
      <c r="AA375" s="80">
        <v>45</v>
      </c>
      <c r="AB375" s="259">
        <v>53.5</v>
      </c>
      <c r="AC375" s="259">
        <v>284</v>
      </c>
      <c r="AD375" s="260">
        <v>18</v>
      </c>
      <c r="AF375" s="80">
        <v>45</v>
      </c>
      <c r="AG375" s="259">
        <v>53.5</v>
      </c>
      <c r="AH375" s="259">
        <v>284</v>
      </c>
      <c r="AI375" s="260">
        <v>18</v>
      </c>
      <c r="AK375" s="80">
        <v>90</v>
      </c>
      <c r="AL375" s="259">
        <v>75</v>
      </c>
      <c r="AM375" s="259">
        <v>245</v>
      </c>
      <c r="AN375" s="260">
        <v>14</v>
      </c>
      <c r="AP375" s="80">
        <v>45</v>
      </c>
      <c r="AQ375" s="259">
        <v>53.5</v>
      </c>
      <c r="AR375" s="259">
        <v>448</v>
      </c>
      <c r="AS375" s="260">
        <v>18</v>
      </c>
      <c r="AT375" s="288"/>
      <c r="AU375" s="80">
        <v>45</v>
      </c>
      <c r="AV375" s="259">
        <v>10.8</v>
      </c>
      <c r="AW375" s="259">
        <v>370</v>
      </c>
      <c r="AX375" s="260">
        <v>17.5</v>
      </c>
      <c r="AZ375" s="80">
        <v>90</v>
      </c>
      <c r="BA375" s="259">
        <v>30</v>
      </c>
      <c r="BB375" s="259">
        <v>355</v>
      </c>
      <c r="BC375" s="260">
        <v>14</v>
      </c>
      <c r="BE375" s="80" t="str">
        <v/>
      </c>
      <c r="BF375" s="259" t="str">
        <v/>
      </c>
      <c r="BG375" s="259" t="str">
        <v/>
      </c>
      <c r="BH375" s="260" t="str">
        <v/>
      </c>
      <c r="BI375" s="288"/>
      <c r="BJ375" s="80">
        <v>45</v>
      </c>
      <c r="BK375" s="259">
        <v>50.25</v>
      </c>
      <c r="BL375" s="259">
        <v>486</v>
      </c>
      <c r="BM375" s="260">
        <v>17.5</v>
      </c>
      <c r="BO375" s="80" t="str">
        <v/>
      </c>
      <c r="BP375" s="259" t="str">
        <v/>
      </c>
      <c r="BQ375" s="259" t="str">
        <v/>
      </c>
      <c r="BR375" s="260" t="str">
        <v/>
      </c>
      <c r="BT375" s="80" t="str">
        <v/>
      </c>
      <c r="BU375" s="259" t="str">
        <v/>
      </c>
      <c r="BV375" s="259" t="str">
        <v/>
      </c>
      <c r="BW375" s="260" t="str">
        <v/>
      </c>
      <c r="BX375" s="288"/>
      <c r="CM375" s="96"/>
    </row>
    <row r="376" spans="1:91">
      <c r="A376" s="285"/>
      <c r="B376" s="80">
        <v>45</v>
      </c>
      <c r="C376" s="259">
        <v>96.5</v>
      </c>
      <c r="D376" s="259">
        <v>292</v>
      </c>
      <c r="E376" s="260">
        <v>18</v>
      </c>
      <c r="G376" s="80">
        <v>45</v>
      </c>
      <c r="H376" s="259">
        <v>96.5</v>
      </c>
      <c r="I376" s="259">
        <v>292</v>
      </c>
      <c r="J376" s="260">
        <v>18</v>
      </c>
      <c r="L376" s="80">
        <v>45</v>
      </c>
      <c r="M376" s="259">
        <v>96.5</v>
      </c>
      <c r="N376" s="259">
        <v>301</v>
      </c>
      <c r="O376" s="260">
        <v>18</v>
      </c>
      <c r="Q376" s="80">
        <v>45</v>
      </c>
      <c r="R376" s="259">
        <v>96.5</v>
      </c>
      <c r="S376" s="259">
        <v>298</v>
      </c>
      <c r="T376" s="260">
        <v>18</v>
      </c>
      <c r="V376" s="80">
        <v>45</v>
      </c>
      <c r="W376" s="259">
        <v>96.5</v>
      </c>
      <c r="X376" s="259">
        <v>292.5</v>
      </c>
      <c r="Y376" s="260">
        <v>18</v>
      </c>
      <c r="AA376" s="80">
        <v>45</v>
      </c>
      <c r="AB376" s="259">
        <v>96.5</v>
      </c>
      <c r="AC376" s="259">
        <v>284</v>
      </c>
      <c r="AD376" s="260">
        <v>18</v>
      </c>
      <c r="AF376" s="80">
        <v>45</v>
      </c>
      <c r="AG376" s="259">
        <v>96.5</v>
      </c>
      <c r="AH376" s="259">
        <v>284</v>
      </c>
      <c r="AI376" s="260">
        <v>18</v>
      </c>
      <c r="AK376" s="80">
        <v>45</v>
      </c>
      <c r="AL376" s="259">
        <v>10.5</v>
      </c>
      <c r="AM376" s="259">
        <v>250</v>
      </c>
      <c r="AN376" s="260">
        <v>18</v>
      </c>
      <c r="AP376" s="80">
        <v>45</v>
      </c>
      <c r="AQ376" s="259">
        <v>96.5</v>
      </c>
      <c r="AR376" s="259">
        <v>448</v>
      </c>
      <c r="AS376" s="260">
        <v>18</v>
      </c>
      <c r="AT376" s="288"/>
      <c r="AU376" s="80">
        <v>45</v>
      </c>
      <c r="AV376" s="259">
        <v>89.2</v>
      </c>
      <c r="AW376" s="259">
        <v>370</v>
      </c>
      <c r="AX376" s="260">
        <v>17.5</v>
      </c>
      <c r="AZ376" s="80">
        <v>90</v>
      </c>
      <c r="BA376" s="259">
        <v>70</v>
      </c>
      <c r="BB376" s="259">
        <v>355</v>
      </c>
      <c r="BC376" s="260">
        <v>14</v>
      </c>
      <c r="BE376" s="80" t="str">
        <v/>
      </c>
      <c r="BF376" s="259" t="str">
        <v/>
      </c>
      <c r="BG376" s="259" t="str">
        <v/>
      </c>
      <c r="BH376" s="260" t="str">
        <v/>
      </c>
      <c r="BI376" s="288"/>
      <c r="BJ376" s="80">
        <v>90</v>
      </c>
      <c r="BK376" s="259">
        <v>10</v>
      </c>
      <c r="BL376" s="259">
        <v>540</v>
      </c>
      <c r="BM376" s="260">
        <v>40</v>
      </c>
      <c r="BO376" s="80" t="str">
        <v/>
      </c>
      <c r="BP376" s="259" t="str">
        <v/>
      </c>
      <c r="BQ376" s="259" t="str">
        <v/>
      </c>
      <c r="BR376" s="260" t="str">
        <v/>
      </c>
      <c r="BT376" s="80" t="str">
        <v/>
      </c>
      <c r="BU376" s="259" t="str">
        <v/>
      </c>
      <c r="BV376" s="259" t="str">
        <v/>
      </c>
      <c r="BW376" s="260" t="str">
        <v/>
      </c>
      <c r="BX376" s="288"/>
      <c r="CM376" s="96"/>
    </row>
    <row r="377" spans="1:91">
      <c r="A377" s="285"/>
      <c r="B377" s="80">
        <v>45</v>
      </c>
      <c r="C377" s="259">
        <v>10.5</v>
      </c>
      <c r="D377" s="259">
        <v>321</v>
      </c>
      <c r="E377" s="260">
        <v>18</v>
      </c>
      <c r="G377" s="80">
        <v>45</v>
      </c>
      <c r="H377" s="259">
        <v>10.5</v>
      </c>
      <c r="I377" s="259">
        <v>321</v>
      </c>
      <c r="J377" s="260">
        <v>18</v>
      </c>
      <c r="L377" s="80">
        <v>45</v>
      </c>
      <c r="M377" s="259">
        <v>10.5</v>
      </c>
      <c r="N377" s="259">
        <v>330</v>
      </c>
      <c r="O377" s="260">
        <v>18</v>
      </c>
      <c r="Q377" s="80">
        <v>45</v>
      </c>
      <c r="R377" s="259">
        <v>10.5</v>
      </c>
      <c r="S377" s="259">
        <v>327</v>
      </c>
      <c r="T377" s="260">
        <v>18</v>
      </c>
      <c r="V377" s="80">
        <v>45</v>
      </c>
      <c r="W377" s="259">
        <v>10.5</v>
      </c>
      <c r="X377" s="259">
        <v>321</v>
      </c>
      <c r="Y377" s="260">
        <v>18</v>
      </c>
      <c r="AA377" s="80">
        <v>45</v>
      </c>
      <c r="AB377" s="259">
        <v>10.5</v>
      </c>
      <c r="AC377" s="259">
        <v>312</v>
      </c>
      <c r="AD377" s="260">
        <v>18</v>
      </c>
      <c r="AF377" s="80">
        <v>45</v>
      </c>
      <c r="AG377" s="259">
        <v>10.5</v>
      </c>
      <c r="AH377" s="259">
        <v>312</v>
      </c>
      <c r="AI377" s="260">
        <v>18</v>
      </c>
      <c r="AK377" s="80">
        <v>45</v>
      </c>
      <c r="AL377" s="259">
        <v>139.5</v>
      </c>
      <c r="AM377" s="259">
        <v>250</v>
      </c>
      <c r="AN377" s="260">
        <v>18</v>
      </c>
      <c r="AP377" s="80">
        <v>45</v>
      </c>
      <c r="AQ377" s="259">
        <v>10.5</v>
      </c>
      <c r="AR377" s="259">
        <v>477</v>
      </c>
      <c r="AS377" s="260">
        <v>18</v>
      </c>
      <c r="AT377" s="288"/>
      <c r="AU377" s="80">
        <v>45</v>
      </c>
      <c r="AV377" s="259">
        <v>50</v>
      </c>
      <c r="AW377" s="259">
        <v>400</v>
      </c>
      <c r="AX377" s="260">
        <v>17.5</v>
      </c>
      <c r="AZ377" s="80">
        <v>45</v>
      </c>
      <c r="BA377" s="259">
        <v>10.8</v>
      </c>
      <c r="BB377" s="259">
        <v>370</v>
      </c>
      <c r="BC377" s="260">
        <v>17.5</v>
      </c>
      <c r="BE377" s="80" t="str">
        <v/>
      </c>
      <c r="BF377" s="259" t="str">
        <v/>
      </c>
      <c r="BG377" s="259" t="str">
        <v/>
      </c>
      <c r="BH377" s="260" t="str">
        <v/>
      </c>
      <c r="BI377" s="288"/>
      <c r="BJ377" s="80">
        <v>90</v>
      </c>
      <c r="BK377" s="259">
        <v>50</v>
      </c>
      <c r="BL377" s="259">
        <v>540</v>
      </c>
      <c r="BM377" s="260">
        <v>40</v>
      </c>
      <c r="BO377" s="80" t="str">
        <v/>
      </c>
      <c r="BP377" s="259" t="str">
        <v/>
      </c>
      <c r="BQ377" s="259" t="str">
        <v/>
      </c>
      <c r="BR377" s="260" t="str">
        <v/>
      </c>
      <c r="BT377" s="80" t="str">
        <v/>
      </c>
      <c r="BU377" s="259" t="str">
        <v/>
      </c>
      <c r="BV377" s="259" t="str">
        <v/>
      </c>
      <c r="BW377" s="260" t="str">
        <v/>
      </c>
      <c r="BX377" s="288"/>
      <c r="CM377" s="96"/>
    </row>
    <row r="378" spans="1:91">
      <c r="A378" s="285"/>
      <c r="B378" s="80">
        <v>45</v>
      </c>
      <c r="C378" s="259">
        <v>139.5</v>
      </c>
      <c r="D378" s="259">
        <v>321</v>
      </c>
      <c r="E378" s="260">
        <v>18</v>
      </c>
      <c r="G378" s="80">
        <v>45</v>
      </c>
      <c r="H378" s="259">
        <v>139.5</v>
      </c>
      <c r="I378" s="259">
        <v>321</v>
      </c>
      <c r="J378" s="260">
        <v>18</v>
      </c>
      <c r="L378" s="80">
        <v>45</v>
      </c>
      <c r="M378" s="259">
        <v>139.5</v>
      </c>
      <c r="N378" s="259">
        <v>330</v>
      </c>
      <c r="O378" s="260">
        <v>18</v>
      </c>
      <c r="Q378" s="80">
        <v>45</v>
      </c>
      <c r="R378" s="259">
        <v>139.5</v>
      </c>
      <c r="S378" s="259">
        <v>327</v>
      </c>
      <c r="T378" s="260">
        <v>18</v>
      </c>
      <c r="V378" s="80">
        <v>45</v>
      </c>
      <c r="W378" s="259">
        <v>139.5</v>
      </c>
      <c r="X378" s="259">
        <v>321</v>
      </c>
      <c r="Y378" s="260">
        <v>18</v>
      </c>
      <c r="AA378" s="80">
        <v>45</v>
      </c>
      <c r="AB378" s="259">
        <v>139.5</v>
      </c>
      <c r="AC378" s="259">
        <v>312</v>
      </c>
      <c r="AD378" s="260">
        <v>18</v>
      </c>
      <c r="AF378" s="80">
        <v>45</v>
      </c>
      <c r="AG378" s="259">
        <v>139.5</v>
      </c>
      <c r="AH378" s="259">
        <v>312</v>
      </c>
      <c r="AI378" s="260">
        <v>18</v>
      </c>
      <c r="AK378" s="80">
        <v>90</v>
      </c>
      <c r="AL378" s="259">
        <v>54</v>
      </c>
      <c r="AM378" s="259">
        <v>290</v>
      </c>
      <c r="AN378" s="260">
        <v>50</v>
      </c>
      <c r="AP378" s="80">
        <v>45</v>
      </c>
      <c r="AQ378" s="259">
        <v>139.5</v>
      </c>
      <c r="AR378" s="259">
        <v>477</v>
      </c>
      <c r="AS378" s="260">
        <v>18</v>
      </c>
      <c r="AT378" s="288"/>
      <c r="AU378" s="80">
        <v>45</v>
      </c>
      <c r="AV378" s="259">
        <v>10.8</v>
      </c>
      <c r="AW378" s="259">
        <v>428</v>
      </c>
      <c r="AX378" s="260">
        <v>17.5</v>
      </c>
      <c r="AZ378" s="80">
        <v>45</v>
      </c>
      <c r="BA378" s="259">
        <v>89.2</v>
      </c>
      <c r="BB378" s="259">
        <v>370</v>
      </c>
      <c r="BC378" s="260">
        <v>17.5</v>
      </c>
      <c r="BE378" s="80" t="str">
        <v/>
      </c>
      <c r="BF378" s="259" t="str">
        <v/>
      </c>
      <c r="BG378" s="259" t="str">
        <v/>
      </c>
      <c r="BH378" s="260" t="str">
        <v/>
      </c>
      <c r="BI378" s="288"/>
      <c r="BJ378" s="80" t="str">
        <v/>
      </c>
      <c r="BK378" s="259" t="str">
        <v/>
      </c>
      <c r="BL378" s="259" t="str">
        <v/>
      </c>
      <c r="BM378" s="260" t="str">
        <v/>
      </c>
      <c r="BO378" s="80" t="str">
        <v/>
      </c>
      <c r="BP378" s="259" t="str">
        <v/>
      </c>
      <c r="BQ378" s="259" t="str">
        <v/>
      </c>
      <c r="BR378" s="260" t="str">
        <v/>
      </c>
      <c r="BT378" s="80" t="str">
        <v/>
      </c>
      <c r="BU378" s="259" t="str">
        <v/>
      </c>
      <c r="BV378" s="259" t="str">
        <v/>
      </c>
      <c r="BW378" s="260" t="str">
        <v/>
      </c>
      <c r="BX378" s="288"/>
      <c r="CM378" s="96"/>
    </row>
    <row r="379" spans="1:91">
      <c r="A379" s="285"/>
      <c r="B379" s="80">
        <v>45</v>
      </c>
      <c r="C379" s="259">
        <v>53.5</v>
      </c>
      <c r="D379" s="259">
        <v>349</v>
      </c>
      <c r="E379" s="260">
        <v>18</v>
      </c>
      <c r="G379" s="80">
        <v>45</v>
      </c>
      <c r="H379" s="259">
        <v>53.5</v>
      </c>
      <c r="I379" s="259">
        <v>349</v>
      </c>
      <c r="J379" s="260">
        <v>18</v>
      </c>
      <c r="L379" s="80">
        <v>45</v>
      </c>
      <c r="M379" s="259">
        <v>53.5</v>
      </c>
      <c r="N379" s="259">
        <v>358</v>
      </c>
      <c r="O379" s="260">
        <v>18</v>
      </c>
      <c r="Q379" s="80">
        <v>45</v>
      </c>
      <c r="R379" s="259">
        <v>53.5</v>
      </c>
      <c r="S379" s="259">
        <v>355</v>
      </c>
      <c r="T379" s="260">
        <v>18</v>
      </c>
      <c r="V379" s="80">
        <v>45</v>
      </c>
      <c r="W379" s="259">
        <v>53.5</v>
      </c>
      <c r="X379" s="259">
        <v>349.5</v>
      </c>
      <c r="Y379" s="260">
        <v>18</v>
      </c>
      <c r="AA379" s="80">
        <v>45</v>
      </c>
      <c r="AB379" s="259">
        <v>53.5</v>
      </c>
      <c r="AC379" s="259">
        <v>342</v>
      </c>
      <c r="AD379" s="260">
        <v>18</v>
      </c>
      <c r="AF379" s="80">
        <v>45</v>
      </c>
      <c r="AG379" s="259">
        <v>53.5</v>
      </c>
      <c r="AH379" s="259">
        <v>342</v>
      </c>
      <c r="AI379" s="260">
        <v>18</v>
      </c>
      <c r="AK379" s="80">
        <v>90</v>
      </c>
      <c r="AL379" s="259">
        <v>96</v>
      </c>
      <c r="AM379" s="259">
        <v>290</v>
      </c>
      <c r="AN379" s="260">
        <v>50</v>
      </c>
      <c r="AP379" s="80">
        <v>45</v>
      </c>
      <c r="AQ379" s="259">
        <v>53.5</v>
      </c>
      <c r="AR379" s="259">
        <v>505</v>
      </c>
      <c r="AS379" s="260">
        <v>18</v>
      </c>
      <c r="AT379" s="288"/>
      <c r="AU379" s="80">
        <v>45</v>
      </c>
      <c r="AV379" s="259">
        <v>89.2</v>
      </c>
      <c r="AW379" s="259">
        <v>428</v>
      </c>
      <c r="AX379" s="260">
        <v>17.5</v>
      </c>
      <c r="AZ379" s="80">
        <v>90</v>
      </c>
      <c r="BA379" s="259">
        <v>10</v>
      </c>
      <c r="BB379" s="259">
        <v>420</v>
      </c>
      <c r="BC379" s="260">
        <v>40</v>
      </c>
      <c r="BE379" s="80" t="str">
        <v/>
      </c>
      <c r="BF379" s="259" t="str">
        <v/>
      </c>
      <c r="BG379" s="259" t="str">
        <v/>
      </c>
      <c r="BH379" s="260" t="str">
        <v/>
      </c>
      <c r="BI379" s="288"/>
      <c r="BJ379" s="80" t="str">
        <v/>
      </c>
      <c r="BK379" s="259" t="str">
        <v/>
      </c>
      <c r="BL379" s="259" t="str">
        <v/>
      </c>
      <c r="BM379" s="260" t="str">
        <v/>
      </c>
      <c r="BO379" s="80" t="str">
        <v/>
      </c>
      <c r="BP379" s="259" t="str">
        <v/>
      </c>
      <c r="BQ379" s="259" t="str">
        <v/>
      </c>
      <c r="BR379" s="260" t="str">
        <v/>
      </c>
      <c r="BT379" s="80" t="str">
        <v/>
      </c>
      <c r="BU379" s="259" t="str">
        <v/>
      </c>
      <c r="BV379" s="259" t="str">
        <v/>
      </c>
      <c r="BW379" s="260" t="str">
        <v/>
      </c>
      <c r="BX379" s="288"/>
      <c r="CM379" s="96"/>
    </row>
    <row r="380" spans="1:91">
      <c r="A380" s="285"/>
      <c r="B380" s="80">
        <v>45</v>
      </c>
      <c r="C380" s="259">
        <v>96.5</v>
      </c>
      <c r="D380" s="259">
        <v>349</v>
      </c>
      <c r="E380" s="260">
        <v>18</v>
      </c>
      <c r="G380" s="80">
        <v>45</v>
      </c>
      <c r="H380" s="259">
        <v>96.5</v>
      </c>
      <c r="I380" s="259">
        <v>349</v>
      </c>
      <c r="J380" s="260">
        <v>18</v>
      </c>
      <c r="L380" s="80">
        <v>45</v>
      </c>
      <c r="M380" s="259">
        <v>96.5</v>
      </c>
      <c r="N380" s="259">
        <v>358</v>
      </c>
      <c r="O380" s="260">
        <v>18</v>
      </c>
      <c r="Q380" s="80">
        <v>45</v>
      </c>
      <c r="R380" s="259">
        <v>96.5</v>
      </c>
      <c r="S380" s="259">
        <v>355</v>
      </c>
      <c r="T380" s="260">
        <v>18</v>
      </c>
      <c r="V380" s="80">
        <v>45</v>
      </c>
      <c r="W380" s="259">
        <v>96.5</v>
      </c>
      <c r="X380" s="259">
        <v>349.5</v>
      </c>
      <c r="Y380" s="260">
        <v>18</v>
      </c>
      <c r="AA380" s="80">
        <v>45</v>
      </c>
      <c r="AB380" s="259">
        <v>96.5</v>
      </c>
      <c r="AC380" s="259">
        <v>342</v>
      </c>
      <c r="AD380" s="260">
        <v>18</v>
      </c>
      <c r="AF380" s="80">
        <v>45</v>
      </c>
      <c r="AG380" s="259">
        <v>96.5</v>
      </c>
      <c r="AH380" s="259">
        <v>342</v>
      </c>
      <c r="AI380" s="260">
        <v>18</v>
      </c>
      <c r="AK380" s="80">
        <v>90</v>
      </c>
      <c r="AL380" s="259">
        <v>10</v>
      </c>
      <c r="AM380" s="259">
        <v>300</v>
      </c>
      <c r="AN380" s="260">
        <v>50</v>
      </c>
      <c r="AP380" s="80">
        <v>45</v>
      </c>
      <c r="AQ380" s="259">
        <v>96.5</v>
      </c>
      <c r="AR380" s="259">
        <v>505</v>
      </c>
      <c r="AS380" s="260">
        <v>18</v>
      </c>
      <c r="AT380" s="288"/>
      <c r="AU380" s="80">
        <v>45</v>
      </c>
      <c r="AV380" s="259">
        <v>50</v>
      </c>
      <c r="AW380" s="259">
        <v>458</v>
      </c>
      <c r="AX380" s="260">
        <v>17.5</v>
      </c>
      <c r="AZ380" s="80">
        <v>90</v>
      </c>
      <c r="BA380" s="259">
        <v>90</v>
      </c>
      <c r="BB380" s="259">
        <v>420</v>
      </c>
      <c r="BC380" s="260">
        <v>40</v>
      </c>
      <c r="BE380" s="80" t="str">
        <v/>
      </c>
      <c r="BF380" s="259" t="str">
        <v/>
      </c>
      <c r="BG380" s="259" t="str">
        <v/>
      </c>
      <c r="BH380" s="260" t="str">
        <v/>
      </c>
      <c r="BI380" s="288"/>
      <c r="BJ380" s="80" t="str">
        <v/>
      </c>
      <c r="BK380" s="259" t="str">
        <v/>
      </c>
      <c r="BL380" s="259" t="str">
        <v/>
      </c>
      <c r="BM380" s="260" t="str">
        <v/>
      </c>
      <c r="BO380" s="80" t="str">
        <v/>
      </c>
      <c r="BP380" s="259" t="str">
        <v/>
      </c>
      <c r="BQ380" s="259" t="str">
        <v/>
      </c>
      <c r="BR380" s="260" t="str">
        <v/>
      </c>
      <c r="BT380" s="80" t="str">
        <v/>
      </c>
      <c r="BU380" s="259" t="str">
        <v/>
      </c>
      <c r="BV380" s="259" t="str">
        <v/>
      </c>
      <c r="BW380" s="260" t="str">
        <v/>
      </c>
      <c r="BX380" s="288"/>
      <c r="CM380" s="96"/>
    </row>
    <row r="381" spans="1:91">
      <c r="A381" s="285"/>
      <c r="B381" s="80">
        <v>45</v>
      </c>
      <c r="C381" s="259">
        <v>10.5</v>
      </c>
      <c r="D381" s="259">
        <v>378</v>
      </c>
      <c r="E381" s="260">
        <v>18</v>
      </c>
      <c r="G381" s="80">
        <v>45</v>
      </c>
      <c r="H381" s="259">
        <v>10.5</v>
      </c>
      <c r="I381" s="259">
        <v>378</v>
      </c>
      <c r="J381" s="260">
        <v>18</v>
      </c>
      <c r="L381" s="80">
        <v>45</v>
      </c>
      <c r="M381" s="259">
        <v>10.5</v>
      </c>
      <c r="N381" s="259">
        <v>387</v>
      </c>
      <c r="O381" s="260">
        <v>18</v>
      </c>
      <c r="Q381" s="80">
        <v>45</v>
      </c>
      <c r="R381" s="259">
        <v>10.5</v>
      </c>
      <c r="S381" s="259">
        <v>384</v>
      </c>
      <c r="T381" s="260">
        <v>18</v>
      </c>
      <c r="V381" s="80">
        <v>45</v>
      </c>
      <c r="W381" s="259">
        <v>10.5</v>
      </c>
      <c r="X381" s="259">
        <v>378</v>
      </c>
      <c r="Y381" s="260">
        <v>18</v>
      </c>
      <c r="AA381" s="80">
        <v>45</v>
      </c>
      <c r="AB381" s="259">
        <v>10.5</v>
      </c>
      <c r="AC381" s="259">
        <v>370</v>
      </c>
      <c r="AD381" s="260">
        <v>18</v>
      </c>
      <c r="AF381" s="80">
        <v>90</v>
      </c>
      <c r="AG381" s="259">
        <v>32</v>
      </c>
      <c r="AH381" s="259">
        <v>355</v>
      </c>
      <c r="AI381" s="260">
        <v>14</v>
      </c>
      <c r="AK381" s="80">
        <v>90</v>
      </c>
      <c r="AL381" s="259">
        <v>140</v>
      </c>
      <c r="AM381" s="259">
        <v>300</v>
      </c>
      <c r="AN381" s="260">
        <v>50</v>
      </c>
      <c r="AP381" s="80">
        <v>45</v>
      </c>
      <c r="AQ381" s="259">
        <v>10.5</v>
      </c>
      <c r="AR381" s="259">
        <v>534</v>
      </c>
      <c r="AS381" s="260">
        <v>18</v>
      </c>
      <c r="AT381" s="288"/>
      <c r="AU381" s="80">
        <v>90</v>
      </c>
      <c r="AV381" s="259">
        <v>30</v>
      </c>
      <c r="AW381" s="259">
        <v>475</v>
      </c>
      <c r="AX381" s="260">
        <v>14</v>
      </c>
      <c r="AZ381" s="80" t="str">
        <v/>
      </c>
      <c r="BA381" s="259" t="str">
        <v/>
      </c>
      <c r="BB381" s="259" t="str">
        <v/>
      </c>
      <c r="BC381" s="260" t="str">
        <v/>
      </c>
      <c r="BE381" s="80" t="str">
        <v/>
      </c>
      <c r="BF381" s="259" t="str">
        <v/>
      </c>
      <c r="BG381" s="259" t="str">
        <v/>
      </c>
      <c r="BH381" s="260" t="str">
        <v/>
      </c>
      <c r="BI381" s="288"/>
      <c r="BJ381" s="80" t="str">
        <v/>
      </c>
      <c r="BK381" s="259" t="str">
        <v/>
      </c>
      <c r="BL381" s="259" t="str">
        <v/>
      </c>
      <c r="BM381" s="260" t="str">
        <v/>
      </c>
      <c r="BO381" s="80" t="str">
        <v/>
      </c>
      <c r="BP381" s="259" t="str">
        <v/>
      </c>
      <c r="BQ381" s="259" t="str">
        <v/>
      </c>
      <c r="BR381" s="260" t="str">
        <v/>
      </c>
      <c r="BT381" s="80" t="str">
        <v/>
      </c>
      <c r="BU381" s="259" t="str">
        <v/>
      </c>
      <c r="BV381" s="259" t="str">
        <v/>
      </c>
      <c r="BW381" s="260" t="str">
        <v/>
      </c>
      <c r="BX381" s="288"/>
      <c r="CM381" s="96"/>
    </row>
    <row r="382" spans="1:91">
      <c r="A382" s="285"/>
      <c r="B382" s="80">
        <v>45</v>
      </c>
      <c r="C382" s="259">
        <v>139.5</v>
      </c>
      <c r="D382" s="259">
        <v>378</v>
      </c>
      <c r="E382" s="260">
        <v>18</v>
      </c>
      <c r="G382" s="80">
        <v>45</v>
      </c>
      <c r="H382" s="259">
        <v>139.5</v>
      </c>
      <c r="I382" s="259">
        <v>378</v>
      </c>
      <c r="J382" s="260">
        <v>18</v>
      </c>
      <c r="L382" s="80">
        <v>45</v>
      </c>
      <c r="M382" s="259">
        <v>139.5</v>
      </c>
      <c r="N382" s="259">
        <v>387</v>
      </c>
      <c r="O382" s="260">
        <v>18</v>
      </c>
      <c r="Q382" s="80">
        <v>45</v>
      </c>
      <c r="R382" s="259">
        <v>139.5</v>
      </c>
      <c r="S382" s="259">
        <v>384</v>
      </c>
      <c r="T382" s="260">
        <v>18</v>
      </c>
      <c r="V382" s="80">
        <v>45</v>
      </c>
      <c r="W382" s="259">
        <v>139.5</v>
      </c>
      <c r="X382" s="259">
        <v>378</v>
      </c>
      <c r="Y382" s="260">
        <v>18</v>
      </c>
      <c r="AA382" s="80">
        <v>45</v>
      </c>
      <c r="AB382" s="259">
        <v>139.5</v>
      </c>
      <c r="AC382" s="259">
        <v>370</v>
      </c>
      <c r="AD382" s="260">
        <v>18</v>
      </c>
      <c r="AF382" s="80">
        <v>90</v>
      </c>
      <c r="AG382" s="259">
        <v>118</v>
      </c>
      <c r="AH382" s="259">
        <v>355</v>
      </c>
      <c r="AI382" s="260">
        <v>14</v>
      </c>
      <c r="AK382" s="80" t="str">
        <v/>
      </c>
      <c r="AL382" s="259" t="str">
        <v/>
      </c>
      <c r="AM382" s="259" t="str">
        <v/>
      </c>
      <c r="AN382" s="260" t="str">
        <v/>
      </c>
      <c r="AP382" s="80">
        <v>45</v>
      </c>
      <c r="AQ382" s="259">
        <v>139.5</v>
      </c>
      <c r="AR382" s="259">
        <v>534</v>
      </c>
      <c r="AS382" s="260">
        <v>18</v>
      </c>
      <c r="AT382" s="288"/>
      <c r="AU382" s="80">
        <v>90</v>
      </c>
      <c r="AV382" s="259">
        <v>70</v>
      </c>
      <c r="AW382" s="259">
        <v>475</v>
      </c>
      <c r="AX382" s="260">
        <v>14</v>
      </c>
      <c r="AZ382" s="80" t="str">
        <v/>
      </c>
      <c r="BA382" s="259" t="str">
        <v/>
      </c>
      <c r="BB382" s="259" t="str">
        <v/>
      </c>
      <c r="BC382" s="260" t="str">
        <v/>
      </c>
      <c r="BE382" s="80" t="str">
        <v/>
      </c>
      <c r="BF382" s="259" t="str">
        <v/>
      </c>
      <c r="BG382" s="259" t="str">
        <v/>
      </c>
      <c r="BH382" s="260" t="str">
        <v/>
      </c>
      <c r="BI382" s="288"/>
      <c r="BJ382" s="80" t="str">
        <v/>
      </c>
      <c r="BK382" s="259" t="str">
        <v/>
      </c>
      <c r="BL382" s="259" t="str">
        <v/>
      </c>
      <c r="BM382" s="260" t="str">
        <v/>
      </c>
      <c r="BO382" s="80" t="str">
        <v/>
      </c>
      <c r="BP382" s="259" t="str">
        <v/>
      </c>
      <c r="BQ382" s="259" t="str">
        <v/>
      </c>
      <c r="BR382" s="260" t="str">
        <v/>
      </c>
      <c r="BT382" s="80" t="str">
        <v/>
      </c>
      <c r="BU382" s="259" t="str">
        <v/>
      </c>
      <c r="BV382" s="259" t="str">
        <v/>
      </c>
      <c r="BW382" s="260" t="str">
        <v/>
      </c>
      <c r="BX382" s="288"/>
      <c r="CM382" s="96"/>
    </row>
    <row r="383" spans="1:91">
      <c r="A383" s="285"/>
      <c r="B383" s="80">
        <v>45</v>
      </c>
      <c r="C383" s="259">
        <v>53.5</v>
      </c>
      <c r="D383" s="259">
        <v>406</v>
      </c>
      <c r="E383" s="260">
        <v>18</v>
      </c>
      <c r="G383" s="80">
        <v>45</v>
      </c>
      <c r="H383" s="259">
        <v>53.5</v>
      </c>
      <c r="I383" s="259">
        <v>406</v>
      </c>
      <c r="J383" s="260">
        <v>18</v>
      </c>
      <c r="L383" s="80">
        <v>45</v>
      </c>
      <c r="M383" s="259">
        <v>53.5</v>
      </c>
      <c r="N383" s="259">
        <v>415</v>
      </c>
      <c r="O383" s="260">
        <v>18</v>
      </c>
      <c r="Q383" s="80">
        <v>45</v>
      </c>
      <c r="R383" s="259">
        <v>53.5</v>
      </c>
      <c r="S383" s="259">
        <v>412</v>
      </c>
      <c r="T383" s="260">
        <v>18</v>
      </c>
      <c r="V383" s="80">
        <v>45</v>
      </c>
      <c r="W383" s="259">
        <v>53.5</v>
      </c>
      <c r="X383" s="259">
        <v>406.5</v>
      </c>
      <c r="Y383" s="260">
        <v>18</v>
      </c>
      <c r="AA383" s="80">
        <v>45</v>
      </c>
      <c r="AB383" s="259">
        <v>53.5</v>
      </c>
      <c r="AC383" s="259">
        <v>400</v>
      </c>
      <c r="AD383" s="260">
        <v>18</v>
      </c>
      <c r="AF383" s="80">
        <v>90</v>
      </c>
      <c r="AG383" s="259">
        <v>75</v>
      </c>
      <c r="AH383" s="259">
        <v>365</v>
      </c>
      <c r="AI383" s="260">
        <v>14</v>
      </c>
      <c r="AK383" s="80" t="str">
        <v/>
      </c>
      <c r="AL383" s="259" t="str">
        <v/>
      </c>
      <c r="AM383" s="259" t="str">
        <v/>
      </c>
      <c r="AN383" s="260" t="str">
        <v/>
      </c>
      <c r="AP383" s="80">
        <v>45</v>
      </c>
      <c r="AQ383" s="259">
        <v>53.5</v>
      </c>
      <c r="AR383" s="259">
        <v>562</v>
      </c>
      <c r="AS383" s="260">
        <v>18</v>
      </c>
      <c r="AT383" s="288"/>
      <c r="AU383" s="80">
        <v>45</v>
      </c>
      <c r="AV383" s="259">
        <v>10.8</v>
      </c>
      <c r="AW383" s="259">
        <v>486</v>
      </c>
      <c r="AX383" s="260">
        <v>17.5</v>
      </c>
      <c r="AZ383" s="80" t="str">
        <v/>
      </c>
      <c r="BA383" s="259" t="str">
        <v/>
      </c>
      <c r="BB383" s="259" t="str">
        <v/>
      </c>
      <c r="BC383" s="260" t="str">
        <v/>
      </c>
      <c r="BE383" s="80" t="str">
        <v/>
      </c>
      <c r="BF383" s="259" t="str">
        <v/>
      </c>
      <c r="BG383" s="259" t="str">
        <v/>
      </c>
      <c r="BH383" s="260" t="str">
        <v/>
      </c>
      <c r="BI383" s="288"/>
      <c r="BJ383" s="80" t="str">
        <v/>
      </c>
      <c r="BK383" s="259" t="str">
        <v/>
      </c>
      <c r="BL383" s="259" t="str">
        <v/>
      </c>
      <c r="BM383" s="260" t="str">
        <v/>
      </c>
      <c r="BO383" s="80" t="str">
        <v/>
      </c>
      <c r="BP383" s="259" t="str">
        <v/>
      </c>
      <c r="BQ383" s="259" t="str">
        <v/>
      </c>
      <c r="BR383" s="260" t="str">
        <v/>
      </c>
      <c r="BT383" s="80" t="str">
        <v/>
      </c>
      <c r="BU383" s="259" t="str">
        <v/>
      </c>
      <c r="BV383" s="259" t="str">
        <v/>
      </c>
      <c r="BW383" s="260" t="str">
        <v/>
      </c>
      <c r="BX383" s="288"/>
      <c r="CM383" s="96"/>
    </row>
    <row r="384" spans="1:91">
      <c r="A384" s="285"/>
      <c r="B384" s="80">
        <v>45</v>
      </c>
      <c r="C384" s="259">
        <v>96.5</v>
      </c>
      <c r="D384" s="259">
        <v>406</v>
      </c>
      <c r="E384" s="260">
        <v>18</v>
      </c>
      <c r="G384" s="80">
        <v>45</v>
      </c>
      <c r="H384" s="259">
        <v>96.5</v>
      </c>
      <c r="I384" s="259">
        <v>406</v>
      </c>
      <c r="J384" s="260">
        <v>18</v>
      </c>
      <c r="L384" s="80">
        <v>45</v>
      </c>
      <c r="M384" s="259">
        <v>96.5</v>
      </c>
      <c r="N384" s="259">
        <v>415</v>
      </c>
      <c r="O384" s="260">
        <v>18</v>
      </c>
      <c r="Q384" s="80">
        <v>45</v>
      </c>
      <c r="R384" s="259">
        <v>96.5</v>
      </c>
      <c r="S384" s="259">
        <v>412</v>
      </c>
      <c r="T384" s="260">
        <v>18</v>
      </c>
      <c r="V384" s="80">
        <v>45</v>
      </c>
      <c r="W384" s="259">
        <v>96.5</v>
      </c>
      <c r="X384" s="259">
        <v>406.5</v>
      </c>
      <c r="Y384" s="260">
        <v>18</v>
      </c>
      <c r="AA384" s="80">
        <v>45</v>
      </c>
      <c r="AB384" s="259">
        <v>96.5</v>
      </c>
      <c r="AC384" s="259">
        <v>400</v>
      </c>
      <c r="AD384" s="260">
        <v>18</v>
      </c>
      <c r="AF384" s="80">
        <v>45</v>
      </c>
      <c r="AG384" s="259">
        <v>10.5</v>
      </c>
      <c r="AH384" s="259">
        <v>370</v>
      </c>
      <c r="AI384" s="260">
        <v>18</v>
      </c>
      <c r="AK384" s="80" t="str">
        <v/>
      </c>
      <c r="AL384" s="259" t="str">
        <v/>
      </c>
      <c r="AM384" s="259" t="str">
        <v/>
      </c>
      <c r="AN384" s="260" t="str">
        <v/>
      </c>
      <c r="AP384" s="80">
        <v>45</v>
      </c>
      <c r="AQ384" s="259">
        <v>96.5</v>
      </c>
      <c r="AR384" s="259">
        <v>562</v>
      </c>
      <c r="AS384" s="260">
        <v>18</v>
      </c>
      <c r="AT384" s="288"/>
      <c r="AU384" s="80">
        <v>45</v>
      </c>
      <c r="AV384" s="259">
        <v>89.2</v>
      </c>
      <c r="AW384" s="259">
        <v>486</v>
      </c>
      <c r="AX384" s="260">
        <v>17.5</v>
      </c>
      <c r="AZ384" s="80" t="str">
        <v/>
      </c>
      <c r="BA384" s="259" t="str">
        <v/>
      </c>
      <c r="BB384" s="259" t="str">
        <v/>
      </c>
      <c r="BC384" s="260" t="str">
        <v/>
      </c>
      <c r="BE384" s="80" t="str">
        <v/>
      </c>
      <c r="BF384" s="259" t="str">
        <v/>
      </c>
      <c r="BG384" s="259" t="str">
        <v/>
      </c>
      <c r="BH384" s="260" t="str">
        <v/>
      </c>
      <c r="BI384" s="288"/>
      <c r="BJ384" s="80" t="str">
        <v/>
      </c>
      <c r="BK384" s="259" t="str">
        <v/>
      </c>
      <c r="BL384" s="259" t="str">
        <v/>
      </c>
      <c r="BM384" s="260" t="str">
        <v/>
      </c>
      <c r="BO384" s="80" t="str">
        <v/>
      </c>
      <c r="BP384" s="259" t="str">
        <v/>
      </c>
      <c r="BQ384" s="259" t="str">
        <v/>
      </c>
      <c r="BR384" s="260" t="str">
        <v/>
      </c>
      <c r="BT384" s="80" t="str">
        <v/>
      </c>
      <c r="BU384" s="259" t="str">
        <v/>
      </c>
      <c r="BV384" s="259" t="str">
        <v/>
      </c>
      <c r="BW384" s="260" t="str">
        <v/>
      </c>
      <c r="BX384" s="288"/>
      <c r="CM384" s="96"/>
    </row>
    <row r="385" spans="1:91">
      <c r="A385" s="285"/>
      <c r="B385" s="80">
        <v>45</v>
      </c>
      <c r="C385" s="259">
        <v>10.5</v>
      </c>
      <c r="D385" s="259">
        <v>435</v>
      </c>
      <c r="E385" s="260">
        <v>18</v>
      </c>
      <c r="G385" s="80">
        <v>90</v>
      </c>
      <c r="H385" s="259">
        <v>32</v>
      </c>
      <c r="I385" s="259">
        <v>420</v>
      </c>
      <c r="J385" s="260">
        <v>14</v>
      </c>
      <c r="L385" s="80">
        <v>45</v>
      </c>
      <c r="M385" s="259">
        <v>10.5</v>
      </c>
      <c r="N385" s="259">
        <v>444</v>
      </c>
      <c r="O385" s="260">
        <v>18</v>
      </c>
      <c r="Q385" s="80">
        <v>45</v>
      </c>
      <c r="R385" s="259">
        <v>10.5</v>
      </c>
      <c r="S385" s="259">
        <v>441</v>
      </c>
      <c r="T385" s="260">
        <v>18</v>
      </c>
      <c r="V385" s="80">
        <v>45</v>
      </c>
      <c r="W385" s="259">
        <v>10.5</v>
      </c>
      <c r="X385" s="259">
        <v>435</v>
      </c>
      <c r="Y385" s="260">
        <v>18</v>
      </c>
      <c r="AA385" s="80">
        <v>45</v>
      </c>
      <c r="AB385" s="259">
        <v>10.5</v>
      </c>
      <c r="AC385" s="259">
        <v>428</v>
      </c>
      <c r="AD385" s="260">
        <v>18</v>
      </c>
      <c r="AF385" s="80">
        <v>45</v>
      </c>
      <c r="AG385" s="259">
        <v>139.5</v>
      </c>
      <c r="AH385" s="259">
        <v>370</v>
      </c>
      <c r="AI385" s="260">
        <v>18</v>
      </c>
      <c r="AK385" s="80" t="str">
        <v/>
      </c>
      <c r="AL385" s="259" t="str">
        <v/>
      </c>
      <c r="AM385" s="259" t="str">
        <v/>
      </c>
      <c r="AN385" s="260" t="str">
        <v/>
      </c>
      <c r="AP385" s="80">
        <v>45</v>
      </c>
      <c r="AQ385" s="259">
        <v>10.5</v>
      </c>
      <c r="AR385" s="259">
        <v>591</v>
      </c>
      <c r="AS385" s="260">
        <v>18</v>
      </c>
      <c r="AT385" s="288"/>
      <c r="AU385" s="80">
        <v>90</v>
      </c>
      <c r="AV385" s="259">
        <v>10</v>
      </c>
      <c r="AW385" s="259">
        <v>540</v>
      </c>
      <c r="AX385" s="260">
        <v>40</v>
      </c>
      <c r="AZ385" s="80" t="str">
        <v/>
      </c>
      <c r="BA385" s="259" t="str">
        <v/>
      </c>
      <c r="BB385" s="259" t="str">
        <v/>
      </c>
      <c r="BC385" s="260" t="str">
        <v/>
      </c>
      <c r="BE385" s="80" t="str">
        <v/>
      </c>
      <c r="BF385" s="259" t="str">
        <v/>
      </c>
      <c r="BG385" s="259" t="str">
        <v/>
      </c>
      <c r="BH385" s="260" t="str">
        <v/>
      </c>
      <c r="BI385" s="288"/>
      <c r="BJ385" s="80" t="str">
        <v/>
      </c>
      <c r="BK385" s="259" t="str">
        <v/>
      </c>
      <c r="BL385" s="259" t="str">
        <v/>
      </c>
      <c r="BM385" s="260" t="str">
        <v/>
      </c>
      <c r="BO385" s="80" t="str">
        <v/>
      </c>
      <c r="BP385" s="259" t="str">
        <v/>
      </c>
      <c r="BQ385" s="259" t="str">
        <v/>
      </c>
      <c r="BR385" s="260" t="str">
        <v/>
      </c>
      <c r="BT385" s="80" t="str">
        <v/>
      </c>
      <c r="BU385" s="259" t="str">
        <v/>
      </c>
      <c r="BV385" s="259" t="str">
        <v/>
      </c>
      <c r="BW385" s="260" t="str">
        <v/>
      </c>
      <c r="BX385" s="288"/>
      <c r="CM385" s="96"/>
    </row>
    <row r="386" spans="1:91">
      <c r="A386" s="285"/>
      <c r="B386" s="80">
        <v>45</v>
      </c>
      <c r="C386" s="259">
        <v>139.5</v>
      </c>
      <c r="D386" s="259">
        <v>435</v>
      </c>
      <c r="E386" s="260">
        <v>18</v>
      </c>
      <c r="G386" s="80">
        <v>90</v>
      </c>
      <c r="H386" s="259">
        <v>118</v>
      </c>
      <c r="I386" s="259">
        <v>420</v>
      </c>
      <c r="J386" s="260">
        <v>14</v>
      </c>
      <c r="L386" s="80">
        <v>45</v>
      </c>
      <c r="M386" s="259">
        <v>139.5</v>
      </c>
      <c r="N386" s="259">
        <v>444</v>
      </c>
      <c r="O386" s="260">
        <v>18</v>
      </c>
      <c r="Q386" s="80">
        <v>45</v>
      </c>
      <c r="R386" s="259">
        <v>139.5</v>
      </c>
      <c r="S386" s="259">
        <v>441</v>
      </c>
      <c r="T386" s="260">
        <v>18</v>
      </c>
      <c r="V386" s="80">
        <v>45</v>
      </c>
      <c r="W386" s="259">
        <v>139.5</v>
      </c>
      <c r="X386" s="259">
        <v>435</v>
      </c>
      <c r="Y386" s="260">
        <v>18</v>
      </c>
      <c r="AA386" s="80">
        <v>45</v>
      </c>
      <c r="AB386" s="259">
        <v>139.5</v>
      </c>
      <c r="AC386" s="259">
        <v>428</v>
      </c>
      <c r="AD386" s="260">
        <v>18</v>
      </c>
      <c r="AF386" s="80">
        <v>90</v>
      </c>
      <c r="AG386" s="259">
        <v>54</v>
      </c>
      <c r="AH386" s="259">
        <v>410</v>
      </c>
      <c r="AI386" s="260">
        <v>50</v>
      </c>
      <c r="AK386" s="80" t="str">
        <v/>
      </c>
      <c r="AL386" s="259" t="str">
        <v/>
      </c>
      <c r="AM386" s="259" t="str">
        <v/>
      </c>
      <c r="AN386" s="260" t="str">
        <v/>
      </c>
      <c r="AP386" s="80">
        <v>45</v>
      </c>
      <c r="AQ386" s="259">
        <v>139.5</v>
      </c>
      <c r="AR386" s="259">
        <v>591</v>
      </c>
      <c r="AS386" s="260">
        <v>18</v>
      </c>
      <c r="AT386" s="288"/>
      <c r="AU386" s="80">
        <v>90</v>
      </c>
      <c r="AV386" s="259">
        <v>90</v>
      </c>
      <c r="AW386" s="259">
        <v>540</v>
      </c>
      <c r="AX386" s="260">
        <v>40</v>
      </c>
      <c r="AZ386" s="80" t="str">
        <v/>
      </c>
      <c r="BA386" s="259" t="str">
        <v/>
      </c>
      <c r="BB386" s="259" t="str">
        <v/>
      </c>
      <c r="BC386" s="260" t="str">
        <v/>
      </c>
      <c r="BE386" s="80" t="str">
        <v/>
      </c>
      <c r="BF386" s="259" t="str">
        <v/>
      </c>
      <c r="BG386" s="259" t="str">
        <v/>
      </c>
      <c r="BH386" s="260" t="str">
        <v/>
      </c>
      <c r="BI386" s="288"/>
      <c r="BJ386" s="80" t="str">
        <v/>
      </c>
      <c r="BK386" s="259" t="str">
        <v/>
      </c>
      <c r="BL386" s="259" t="str">
        <v/>
      </c>
      <c r="BM386" s="260" t="str">
        <v/>
      </c>
      <c r="BO386" s="80" t="str">
        <v/>
      </c>
      <c r="BP386" s="259" t="str">
        <v/>
      </c>
      <c r="BQ386" s="259" t="str">
        <v/>
      </c>
      <c r="BR386" s="260" t="str">
        <v/>
      </c>
      <c r="BT386" s="80" t="str">
        <v/>
      </c>
      <c r="BU386" s="259" t="str">
        <v/>
      </c>
      <c r="BV386" s="259" t="str">
        <v/>
      </c>
      <c r="BW386" s="260" t="str">
        <v/>
      </c>
      <c r="BX386" s="288"/>
      <c r="CM386" s="96"/>
    </row>
    <row r="387" spans="1:91">
      <c r="A387" s="285"/>
      <c r="B387" s="80">
        <v>45</v>
      </c>
      <c r="C387" s="259">
        <v>53.5</v>
      </c>
      <c r="D387" s="259">
        <v>463</v>
      </c>
      <c r="E387" s="260">
        <v>18</v>
      </c>
      <c r="G387" s="80">
        <v>90</v>
      </c>
      <c r="H387" s="259">
        <v>75</v>
      </c>
      <c r="I387" s="259">
        <v>430</v>
      </c>
      <c r="J387" s="260">
        <v>14</v>
      </c>
      <c r="L387" s="80">
        <v>45</v>
      </c>
      <c r="M387" s="259">
        <v>53.5</v>
      </c>
      <c r="N387" s="259">
        <v>472</v>
      </c>
      <c r="O387" s="260">
        <v>18</v>
      </c>
      <c r="Q387" s="80">
        <v>45</v>
      </c>
      <c r="R387" s="259">
        <v>53.5</v>
      </c>
      <c r="S387" s="259">
        <v>469</v>
      </c>
      <c r="T387" s="260">
        <v>18</v>
      </c>
      <c r="V387" s="80">
        <v>45</v>
      </c>
      <c r="W387" s="259">
        <v>53.5</v>
      </c>
      <c r="X387" s="259">
        <v>463.5</v>
      </c>
      <c r="Y387" s="260">
        <v>18</v>
      </c>
      <c r="AA387" s="80">
        <v>45</v>
      </c>
      <c r="AB387" s="259">
        <v>53.5</v>
      </c>
      <c r="AC387" s="259">
        <v>458</v>
      </c>
      <c r="AD387" s="260">
        <v>18</v>
      </c>
      <c r="AF387" s="80">
        <v>90</v>
      </c>
      <c r="AG387" s="259">
        <v>96</v>
      </c>
      <c r="AH387" s="259">
        <v>410</v>
      </c>
      <c r="AI387" s="260">
        <v>50</v>
      </c>
      <c r="AK387" s="80" t="str">
        <v/>
      </c>
      <c r="AL387" s="259" t="str">
        <v/>
      </c>
      <c r="AM387" s="259" t="str">
        <v/>
      </c>
      <c r="AN387" s="260" t="str">
        <v/>
      </c>
      <c r="AP387" s="80">
        <v>45</v>
      </c>
      <c r="AQ387" s="259">
        <v>53.5</v>
      </c>
      <c r="AR387" s="259">
        <v>619</v>
      </c>
      <c r="AS387" s="260">
        <v>18</v>
      </c>
      <c r="AT387" s="288"/>
      <c r="AU387" s="80" t="str">
        <v/>
      </c>
      <c r="AV387" s="259" t="str">
        <v/>
      </c>
      <c r="AW387" s="259" t="str">
        <v/>
      </c>
      <c r="AX387" s="260" t="str">
        <v/>
      </c>
      <c r="AZ387" s="80" t="str">
        <v/>
      </c>
      <c r="BA387" s="259" t="str">
        <v/>
      </c>
      <c r="BB387" s="259" t="str">
        <v/>
      </c>
      <c r="BC387" s="260" t="str">
        <v/>
      </c>
      <c r="BE387" s="80" t="str">
        <v/>
      </c>
      <c r="BF387" s="259" t="str">
        <v/>
      </c>
      <c r="BG387" s="259" t="str">
        <v/>
      </c>
      <c r="BH387" s="260" t="str">
        <v/>
      </c>
      <c r="BI387" s="288"/>
      <c r="BJ387" s="80" t="str">
        <v/>
      </c>
      <c r="BK387" s="259" t="str">
        <v/>
      </c>
      <c r="BL387" s="259" t="str">
        <v/>
      </c>
      <c r="BM387" s="260" t="str">
        <v/>
      </c>
      <c r="BO387" s="80" t="str">
        <v/>
      </c>
      <c r="BP387" s="259" t="str">
        <v/>
      </c>
      <c r="BQ387" s="259" t="str">
        <v/>
      </c>
      <c r="BR387" s="260" t="str">
        <v/>
      </c>
      <c r="BT387" s="80" t="str">
        <v/>
      </c>
      <c r="BU387" s="259" t="str">
        <v/>
      </c>
      <c r="BV387" s="259" t="str">
        <v/>
      </c>
      <c r="BW387" s="260" t="str">
        <v/>
      </c>
      <c r="BX387" s="288"/>
      <c r="CM387" s="96"/>
    </row>
    <row r="388" spans="1:91">
      <c r="A388" s="285"/>
      <c r="B388" s="80">
        <v>45</v>
      </c>
      <c r="C388" s="259">
        <v>96.5</v>
      </c>
      <c r="D388" s="259">
        <v>463</v>
      </c>
      <c r="E388" s="260">
        <v>18</v>
      </c>
      <c r="G388" s="80">
        <v>45</v>
      </c>
      <c r="H388" s="259">
        <v>10.5</v>
      </c>
      <c r="I388" s="259">
        <v>435</v>
      </c>
      <c r="J388" s="260">
        <v>18</v>
      </c>
      <c r="L388" s="80">
        <v>45</v>
      </c>
      <c r="M388" s="259">
        <v>96.5</v>
      </c>
      <c r="N388" s="259">
        <v>472</v>
      </c>
      <c r="O388" s="260">
        <v>18</v>
      </c>
      <c r="Q388" s="80">
        <v>45</v>
      </c>
      <c r="R388" s="259">
        <v>96.5</v>
      </c>
      <c r="S388" s="259">
        <v>469</v>
      </c>
      <c r="T388" s="260">
        <v>18</v>
      </c>
      <c r="V388" s="80">
        <v>45</v>
      </c>
      <c r="W388" s="259">
        <v>96.5</v>
      </c>
      <c r="X388" s="259">
        <v>463.5</v>
      </c>
      <c r="Y388" s="260">
        <v>18</v>
      </c>
      <c r="AA388" s="80">
        <v>45</v>
      </c>
      <c r="AB388" s="259">
        <v>96.5</v>
      </c>
      <c r="AC388" s="259">
        <v>458</v>
      </c>
      <c r="AD388" s="260">
        <v>18</v>
      </c>
      <c r="AF388" s="80">
        <v>90</v>
      </c>
      <c r="AG388" s="259">
        <v>10</v>
      </c>
      <c r="AH388" s="259">
        <v>420</v>
      </c>
      <c r="AI388" s="260">
        <v>50</v>
      </c>
      <c r="AK388" s="80" t="str">
        <v/>
      </c>
      <c r="AL388" s="259" t="str">
        <v/>
      </c>
      <c r="AM388" s="259" t="str">
        <v/>
      </c>
      <c r="AN388" s="260" t="str">
        <v/>
      </c>
      <c r="AP388" s="80">
        <v>45</v>
      </c>
      <c r="AQ388" s="259">
        <v>96.5</v>
      </c>
      <c r="AR388" s="259">
        <v>619</v>
      </c>
      <c r="AS388" s="260">
        <v>18</v>
      </c>
      <c r="AT388" s="288"/>
      <c r="AU388" s="80" t="str">
        <v/>
      </c>
      <c r="AV388" s="259" t="str">
        <v/>
      </c>
      <c r="AW388" s="259" t="str">
        <v/>
      </c>
      <c r="AX388" s="260" t="str">
        <v/>
      </c>
      <c r="AZ388" s="80" t="str">
        <v/>
      </c>
      <c r="BA388" s="259" t="str">
        <v/>
      </c>
      <c r="BB388" s="259" t="str">
        <v/>
      </c>
      <c r="BC388" s="260" t="str">
        <v/>
      </c>
      <c r="BE388" s="80" t="str">
        <v/>
      </c>
      <c r="BF388" s="259" t="str">
        <v/>
      </c>
      <c r="BG388" s="259" t="str">
        <v/>
      </c>
      <c r="BH388" s="260" t="str">
        <v/>
      </c>
      <c r="BI388" s="288"/>
      <c r="BJ388" s="80" t="str">
        <v/>
      </c>
      <c r="BK388" s="259" t="str">
        <v/>
      </c>
      <c r="BL388" s="259" t="str">
        <v/>
      </c>
      <c r="BM388" s="260" t="str">
        <v/>
      </c>
      <c r="BO388" s="80" t="str">
        <v/>
      </c>
      <c r="BP388" s="259" t="str">
        <v/>
      </c>
      <c r="BQ388" s="259" t="str">
        <v/>
      </c>
      <c r="BR388" s="260" t="str">
        <v/>
      </c>
      <c r="BT388" s="80" t="str">
        <v/>
      </c>
      <c r="BU388" s="259" t="str">
        <v/>
      </c>
      <c r="BV388" s="259" t="str">
        <v/>
      </c>
      <c r="BW388" s="260" t="str">
        <v/>
      </c>
      <c r="BX388" s="288"/>
      <c r="CM388" s="96"/>
    </row>
    <row r="389" spans="1:91">
      <c r="A389" s="285"/>
      <c r="B389" s="80">
        <v>45</v>
      </c>
      <c r="C389" s="259">
        <v>10.5</v>
      </c>
      <c r="D389" s="259">
        <v>492</v>
      </c>
      <c r="E389" s="260">
        <v>18</v>
      </c>
      <c r="G389" s="80">
        <v>45</v>
      </c>
      <c r="H389" s="259">
        <v>139.5</v>
      </c>
      <c r="I389" s="259">
        <v>435</v>
      </c>
      <c r="J389" s="260">
        <v>18</v>
      </c>
      <c r="L389" s="80">
        <v>45</v>
      </c>
      <c r="M389" s="259">
        <v>10.5</v>
      </c>
      <c r="N389" s="259">
        <v>501</v>
      </c>
      <c r="O389" s="260">
        <v>18</v>
      </c>
      <c r="Q389" s="80">
        <v>45</v>
      </c>
      <c r="R389" s="259">
        <v>10.5</v>
      </c>
      <c r="S389" s="259">
        <v>498</v>
      </c>
      <c r="T389" s="260">
        <v>18</v>
      </c>
      <c r="V389" s="80">
        <v>45</v>
      </c>
      <c r="W389" s="259">
        <v>10.5</v>
      </c>
      <c r="X389" s="259">
        <v>492</v>
      </c>
      <c r="Y389" s="260">
        <v>18</v>
      </c>
      <c r="AA389" s="80">
        <v>90</v>
      </c>
      <c r="AB389" s="259">
        <v>32</v>
      </c>
      <c r="AC389" s="259">
        <v>475</v>
      </c>
      <c r="AD389" s="260">
        <v>14</v>
      </c>
      <c r="AF389" s="80">
        <v>90</v>
      </c>
      <c r="AG389" s="259">
        <v>140</v>
      </c>
      <c r="AH389" s="259">
        <v>420</v>
      </c>
      <c r="AI389" s="260">
        <v>50</v>
      </c>
      <c r="AK389" s="80" t="str">
        <v/>
      </c>
      <c r="AL389" s="259" t="str">
        <v/>
      </c>
      <c r="AM389" s="259" t="str">
        <v/>
      </c>
      <c r="AN389" s="260" t="str">
        <v/>
      </c>
      <c r="AP389" s="80">
        <v>45</v>
      </c>
      <c r="AQ389" s="259">
        <v>10.5</v>
      </c>
      <c r="AR389" s="259">
        <v>648</v>
      </c>
      <c r="AS389" s="260">
        <v>18</v>
      </c>
      <c r="AT389" s="288"/>
      <c r="AU389" s="80" t="str">
        <v/>
      </c>
      <c r="AV389" s="259" t="str">
        <v/>
      </c>
      <c r="AW389" s="259" t="str">
        <v/>
      </c>
      <c r="AX389" s="260" t="str">
        <v/>
      </c>
      <c r="AZ389" s="80" t="str">
        <v/>
      </c>
      <c r="BA389" s="259" t="str">
        <v/>
      </c>
      <c r="BB389" s="259" t="str">
        <v/>
      </c>
      <c r="BC389" s="260" t="str">
        <v/>
      </c>
      <c r="BE389" s="80" t="str">
        <v/>
      </c>
      <c r="BF389" s="259" t="str">
        <v/>
      </c>
      <c r="BG389" s="259" t="str">
        <v/>
      </c>
      <c r="BH389" s="260" t="str">
        <v/>
      </c>
      <c r="BI389" s="288"/>
      <c r="BJ389" s="80" t="str">
        <v/>
      </c>
      <c r="BK389" s="259" t="str">
        <v/>
      </c>
      <c r="BL389" s="259" t="str">
        <v/>
      </c>
      <c r="BM389" s="260" t="str">
        <v/>
      </c>
      <c r="BO389" s="80" t="str">
        <v/>
      </c>
      <c r="BP389" s="259" t="str">
        <v/>
      </c>
      <c r="BQ389" s="259" t="str">
        <v/>
      </c>
      <c r="BR389" s="260" t="str">
        <v/>
      </c>
      <c r="BT389" s="80" t="str">
        <v/>
      </c>
      <c r="BU389" s="259" t="str">
        <v/>
      </c>
      <c r="BV389" s="259" t="str">
        <v/>
      </c>
      <c r="BW389" s="260" t="str">
        <v/>
      </c>
      <c r="BX389" s="288"/>
      <c r="CM389" s="96"/>
    </row>
    <row r="390" spans="1:91">
      <c r="A390" s="285"/>
      <c r="B390" s="80">
        <v>45</v>
      </c>
      <c r="C390" s="259">
        <v>139.5</v>
      </c>
      <c r="D390" s="259">
        <v>492</v>
      </c>
      <c r="E390" s="260">
        <v>18</v>
      </c>
      <c r="G390" s="80">
        <v>45</v>
      </c>
      <c r="H390" s="259">
        <v>53.5</v>
      </c>
      <c r="I390" s="259">
        <v>463</v>
      </c>
      <c r="J390" s="260">
        <v>18</v>
      </c>
      <c r="L390" s="80">
        <v>45</v>
      </c>
      <c r="M390" s="259">
        <v>139.5</v>
      </c>
      <c r="N390" s="259">
        <v>501</v>
      </c>
      <c r="O390" s="260">
        <v>18</v>
      </c>
      <c r="Q390" s="80">
        <v>45</v>
      </c>
      <c r="R390" s="259">
        <v>139.5</v>
      </c>
      <c r="S390" s="259">
        <v>498</v>
      </c>
      <c r="T390" s="260">
        <v>18</v>
      </c>
      <c r="V390" s="80">
        <v>45</v>
      </c>
      <c r="W390" s="259">
        <v>139.5</v>
      </c>
      <c r="X390" s="259">
        <v>492</v>
      </c>
      <c r="Y390" s="260">
        <v>18</v>
      </c>
      <c r="AA390" s="80">
        <v>90</v>
      </c>
      <c r="AB390" s="259">
        <v>118</v>
      </c>
      <c r="AC390" s="259">
        <v>475</v>
      </c>
      <c r="AD390" s="260">
        <v>14</v>
      </c>
      <c r="AF390" s="80" t="str">
        <v/>
      </c>
      <c r="AG390" s="259" t="str">
        <v/>
      </c>
      <c r="AH390" s="259" t="str">
        <v/>
      </c>
      <c r="AI390" s="260" t="str">
        <v/>
      </c>
      <c r="AK390" s="80" t="str">
        <v/>
      </c>
      <c r="AL390" s="259" t="str">
        <v/>
      </c>
      <c r="AM390" s="259" t="str">
        <v/>
      </c>
      <c r="AN390" s="260" t="str">
        <v/>
      </c>
      <c r="AP390" s="80">
        <v>45</v>
      </c>
      <c r="AQ390" s="259">
        <v>139.5</v>
      </c>
      <c r="AR390" s="259">
        <v>648</v>
      </c>
      <c r="AS390" s="260">
        <v>18</v>
      </c>
      <c r="AT390" s="288"/>
      <c r="AU390" s="80" t="str">
        <v/>
      </c>
      <c r="AV390" s="259" t="str">
        <v/>
      </c>
      <c r="AW390" s="259" t="str">
        <v/>
      </c>
      <c r="AX390" s="260" t="str">
        <v/>
      </c>
      <c r="AZ390" s="80" t="str">
        <v/>
      </c>
      <c r="BA390" s="259" t="str">
        <v/>
      </c>
      <c r="BB390" s="259" t="str">
        <v/>
      </c>
      <c r="BC390" s="260" t="str">
        <v/>
      </c>
      <c r="BE390" s="80" t="str">
        <v/>
      </c>
      <c r="BF390" s="259" t="str">
        <v/>
      </c>
      <c r="BG390" s="259" t="str">
        <v/>
      </c>
      <c r="BH390" s="260" t="str">
        <v/>
      </c>
      <c r="BI390" s="288"/>
      <c r="BJ390" s="80" t="str">
        <v/>
      </c>
      <c r="BK390" s="259" t="str">
        <v/>
      </c>
      <c r="BL390" s="259" t="str">
        <v/>
      </c>
      <c r="BM390" s="260" t="str">
        <v/>
      </c>
      <c r="BO390" s="80" t="str">
        <v/>
      </c>
      <c r="BP390" s="259" t="str">
        <v/>
      </c>
      <c r="BQ390" s="259" t="str">
        <v/>
      </c>
      <c r="BR390" s="260" t="str">
        <v/>
      </c>
      <c r="BT390" s="80" t="str">
        <v/>
      </c>
      <c r="BU390" s="259" t="str">
        <v/>
      </c>
      <c r="BV390" s="259" t="str">
        <v/>
      </c>
      <c r="BW390" s="260" t="str">
        <v/>
      </c>
      <c r="BX390" s="288"/>
      <c r="CM390" s="96"/>
    </row>
    <row r="391" spans="1:91">
      <c r="A391" s="285"/>
      <c r="B391" s="80">
        <v>45</v>
      </c>
      <c r="C391" s="259">
        <v>53.5</v>
      </c>
      <c r="D391" s="259">
        <v>520</v>
      </c>
      <c r="E391" s="260">
        <v>18</v>
      </c>
      <c r="G391" s="80">
        <v>45</v>
      </c>
      <c r="H391" s="259">
        <v>96.5</v>
      </c>
      <c r="I391" s="259">
        <v>463</v>
      </c>
      <c r="J391" s="260">
        <v>18</v>
      </c>
      <c r="L391" s="80">
        <v>45</v>
      </c>
      <c r="M391" s="259">
        <v>53.5</v>
      </c>
      <c r="N391" s="259">
        <v>529</v>
      </c>
      <c r="O391" s="260">
        <v>18</v>
      </c>
      <c r="Q391" s="80">
        <v>45</v>
      </c>
      <c r="R391" s="259">
        <v>53.5</v>
      </c>
      <c r="S391" s="259">
        <v>526</v>
      </c>
      <c r="T391" s="260">
        <v>18</v>
      </c>
      <c r="V391" s="80">
        <v>45</v>
      </c>
      <c r="W391" s="259">
        <v>53.5</v>
      </c>
      <c r="X391" s="259">
        <v>520.5</v>
      </c>
      <c r="Y391" s="260">
        <v>18</v>
      </c>
      <c r="AA391" s="80">
        <v>90</v>
      </c>
      <c r="AB391" s="259">
        <v>75</v>
      </c>
      <c r="AC391" s="259">
        <v>485</v>
      </c>
      <c r="AD391" s="260">
        <v>14</v>
      </c>
      <c r="AF391" s="80" t="str">
        <v/>
      </c>
      <c r="AG391" s="259" t="str">
        <v/>
      </c>
      <c r="AH391" s="259" t="str">
        <v/>
      </c>
      <c r="AI391" s="260" t="str">
        <v/>
      </c>
      <c r="AK391" s="80" t="str">
        <v/>
      </c>
      <c r="AL391" s="259" t="str">
        <v/>
      </c>
      <c r="AM391" s="259" t="str">
        <v/>
      </c>
      <c r="AN391" s="260" t="str">
        <v/>
      </c>
      <c r="AP391" s="80">
        <v>45</v>
      </c>
      <c r="AQ391" s="259">
        <v>53.5</v>
      </c>
      <c r="AR391" s="259">
        <v>676</v>
      </c>
      <c r="AS391" s="260">
        <v>18</v>
      </c>
      <c r="AT391" s="288"/>
      <c r="AU391" s="80" t="str">
        <v/>
      </c>
      <c r="AV391" s="259" t="str">
        <v/>
      </c>
      <c r="AW391" s="259" t="str">
        <v/>
      </c>
      <c r="AX391" s="260" t="str">
        <v/>
      </c>
      <c r="AZ391" s="80" t="str">
        <v/>
      </c>
      <c r="BA391" s="259" t="str">
        <v/>
      </c>
      <c r="BB391" s="259" t="str">
        <v/>
      </c>
      <c r="BC391" s="260" t="str">
        <v/>
      </c>
      <c r="BE391" s="80" t="str">
        <v/>
      </c>
      <c r="BF391" s="259" t="str">
        <v/>
      </c>
      <c r="BG391" s="259" t="str">
        <v/>
      </c>
      <c r="BH391" s="260" t="str">
        <v/>
      </c>
      <c r="BI391" s="288"/>
      <c r="BJ391" s="80" t="str">
        <v/>
      </c>
      <c r="BK391" s="259" t="str">
        <v/>
      </c>
      <c r="BL391" s="259" t="str">
        <v/>
      </c>
      <c r="BM391" s="260" t="str">
        <v/>
      </c>
      <c r="BO391" s="80" t="str">
        <v/>
      </c>
      <c r="BP391" s="259" t="str">
        <v/>
      </c>
      <c r="BQ391" s="259" t="str">
        <v/>
      </c>
      <c r="BR391" s="260" t="str">
        <v/>
      </c>
      <c r="BT391" s="80" t="str">
        <v/>
      </c>
      <c r="BU391" s="259" t="str">
        <v/>
      </c>
      <c r="BV391" s="259" t="str">
        <v/>
      </c>
      <c r="BW391" s="260" t="str">
        <v/>
      </c>
      <c r="BX391" s="288"/>
      <c r="CM391" s="96"/>
    </row>
    <row r="392" spans="1:91">
      <c r="A392" s="285"/>
      <c r="B392" s="80">
        <v>45</v>
      </c>
      <c r="C392" s="259">
        <v>96.5</v>
      </c>
      <c r="D392" s="259">
        <v>520</v>
      </c>
      <c r="E392" s="260">
        <v>18</v>
      </c>
      <c r="G392" s="80">
        <v>45</v>
      </c>
      <c r="H392" s="259">
        <v>10.5</v>
      </c>
      <c r="I392" s="259">
        <v>492</v>
      </c>
      <c r="J392" s="260">
        <v>18</v>
      </c>
      <c r="L392" s="80">
        <v>45</v>
      </c>
      <c r="M392" s="259">
        <v>96.5</v>
      </c>
      <c r="N392" s="259">
        <v>529</v>
      </c>
      <c r="O392" s="260">
        <v>18</v>
      </c>
      <c r="Q392" s="80">
        <v>45</v>
      </c>
      <c r="R392" s="259">
        <v>96.5</v>
      </c>
      <c r="S392" s="259">
        <v>526</v>
      </c>
      <c r="T392" s="260">
        <v>18</v>
      </c>
      <c r="V392" s="80">
        <v>45</v>
      </c>
      <c r="W392" s="259">
        <v>96.5</v>
      </c>
      <c r="X392" s="259">
        <v>520.5</v>
      </c>
      <c r="Y392" s="260">
        <v>18</v>
      </c>
      <c r="AA392" s="80">
        <v>45</v>
      </c>
      <c r="AB392" s="259">
        <v>10.5</v>
      </c>
      <c r="AC392" s="259">
        <v>486</v>
      </c>
      <c r="AD392" s="260">
        <v>18</v>
      </c>
      <c r="AF392" s="80" t="str">
        <v/>
      </c>
      <c r="AG392" s="259" t="str">
        <v/>
      </c>
      <c r="AH392" s="259" t="str">
        <v/>
      </c>
      <c r="AI392" s="260" t="str">
        <v/>
      </c>
      <c r="AK392" s="80" t="str">
        <v/>
      </c>
      <c r="AL392" s="259" t="str">
        <v/>
      </c>
      <c r="AM392" s="259" t="str">
        <v/>
      </c>
      <c r="AN392" s="260" t="str">
        <v/>
      </c>
      <c r="AP392" s="80">
        <v>45</v>
      </c>
      <c r="AQ392" s="259">
        <v>96.5</v>
      </c>
      <c r="AR392" s="259">
        <v>676</v>
      </c>
      <c r="AS392" s="260">
        <v>18</v>
      </c>
      <c r="AT392" s="288"/>
      <c r="AU392" s="80" t="str">
        <v/>
      </c>
      <c r="AV392" s="259" t="str">
        <v/>
      </c>
      <c r="AW392" s="259" t="str">
        <v/>
      </c>
      <c r="AX392" s="260" t="str">
        <v/>
      </c>
      <c r="AZ392" s="80" t="str">
        <v/>
      </c>
      <c r="BA392" s="259" t="str">
        <v/>
      </c>
      <c r="BB392" s="259" t="str">
        <v/>
      </c>
      <c r="BC392" s="260" t="str">
        <v/>
      </c>
      <c r="BE392" s="80" t="str">
        <v/>
      </c>
      <c r="BF392" s="259" t="str">
        <v/>
      </c>
      <c r="BG392" s="259" t="str">
        <v/>
      </c>
      <c r="BH392" s="260" t="str">
        <v/>
      </c>
      <c r="BI392" s="288"/>
      <c r="BJ392" s="80" t="str">
        <v/>
      </c>
      <c r="BK392" s="259" t="str">
        <v/>
      </c>
      <c r="BL392" s="259" t="str">
        <v/>
      </c>
      <c r="BM392" s="260" t="str">
        <v/>
      </c>
      <c r="BO392" s="80" t="str">
        <v/>
      </c>
      <c r="BP392" s="259" t="str">
        <v/>
      </c>
      <c r="BQ392" s="259" t="str">
        <v/>
      </c>
      <c r="BR392" s="260" t="str">
        <v/>
      </c>
      <c r="BT392" s="80" t="str">
        <v/>
      </c>
      <c r="BU392" s="259" t="str">
        <v/>
      </c>
      <c r="BV392" s="259" t="str">
        <v/>
      </c>
      <c r="BW392" s="260" t="str">
        <v/>
      </c>
      <c r="BX392" s="288"/>
      <c r="CM392" s="96"/>
    </row>
    <row r="393" spans="1:91">
      <c r="A393" s="285"/>
      <c r="B393" s="80">
        <v>90</v>
      </c>
      <c r="C393" s="259">
        <v>32</v>
      </c>
      <c r="D393" s="259">
        <v>530</v>
      </c>
      <c r="E393" s="260">
        <v>14</v>
      </c>
      <c r="G393" s="80">
        <v>45</v>
      </c>
      <c r="H393" s="259">
        <v>139.5</v>
      </c>
      <c r="I393" s="259">
        <v>492</v>
      </c>
      <c r="J393" s="260">
        <v>18</v>
      </c>
      <c r="L393" s="80">
        <v>45</v>
      </c>
      <c r="M393" s="259">
        <v>10.5</v>
      </c>
      <c r="N393" s="259">
        <v>558</v>
      </c>
      <c r="O393" s="260">
        <v>18</v>
      </c>
      <c r="Q393" s="80">
        <v>45</v>
      </c>
      <c r="R393" s="259">
        <v>10.5</v>
      </c>
      <c r="S393" s="259">
        <v>555</v>
      </c>
      <c r="T393" s="260">
        <v>18</v>
      </c>
      <c r="V393" s="80">
        <v>90</v>
      </c>
      <c r="W393" s="259">
        <v>32</v>
      </c>
      <c r="X393" s="259">
        <v>535</v>
      </c>
      <c r="Y393" s="260">
        <v>14</v>
      </c>
      <c r="AA393" s="80">
        <v>45</v>
      </c>
      <c r="AB393" s="259">
        <v>139.5</v>
      </c>
      <c r="AC393" s="259">
        <v>486</v>
      </c>
      <c r="AD393" s="260">
        <v>18</v>
      </c>
      <c r="AF393" s="80" t="str">
        <v/>
      </c>
      <c r="AG393" s="259" t="str">
        <v/>
      </c>
      <c r="AH393" s="259" t="str">
        <v/>
      </c>
      <c r="AI393" s="260" t="str">
        <v/>
      </c>
      <c r="AK393" s="80" t="str">
        <v/>
      </c>
      <c r="AL393" s="259" t="str">
        <v/>
      </c>
      <c r="AM393" s="259" t="str">
        <v/>
      </c>
      <c r="AN393" s="260" t="str">
        <v/>
      </c>
      <c r="AP393" s="80">
        <v>45</v>
      </c>
      <c r="AQ393" s="259">
        <v>10.5</v>
      </c>
      <c r="AR393" s="259">
        <v>705</v>
      </c>
      <c r="AS393" s="260">
        <v>18</v>
      </c>
      <c r="AT393" s="288"/>
      <c r="AU393" s="80" t="str">
        <v/>
      </c>
      <c r="AV393" s="259" t="str">
        <v/>
      </c>
      <c r="AW393" s="259" t="str">
        <v/>
      </c>
      <c r="AX393" s="260" t="str">
        <v/>
      </c>
      <c r="AZ393" s="80" t="str">
        <v/>
      </c>
      <c r="BA393" s="259" t="str">
        <v/>
      </c>
      <c r="BB393" s="259" t="str">
        <v/>
      </c>
      <c r="BC393" s="260" t="str">
        <v/>
      </c>
      <c r="BE393" s="80" t="str">
        <v/>
      </c>
      <c r="BF393" s="259" t="str">
        <v/>
      </c>
      <c r="BG393" s="259" t="str">
        <v/>
      </c>
      <c r="BH393" s="260" t="str">
        <v/>
      </c>
      <c r="BI393" s="288"/>
      <c r="BJ393" s="80" t="str">
        <v/>
      </c>
      <c r="BK393" s="259" t="str">
        <v/>
      </c>
      <c r="BL393" s="259" t="str">
        <v/>
      </c>
      <c r="BM393" s="260" t="str">
        <v/>
      </c>
      <c r="BO393" s="80" t="str">
        <v/>
      </c>
      <c r="BP393" s="259" t="str">
        <v/>
      </c>
      <c r="BQ393" s="259" t="str">
        <v/>
      </c>
      <c r="BR393" s="260" t="str">
        <v/>
      </c>
      <c r="BT393" s="80" t="str">
        <v/>
      </c>
      <c r="BU393" s="259" t="str">
        <v/>
      </c>
      <c r="BV393" s="259" t="str">
        <v/>
      </c>
      <c r="BW393" s="260" t="str">
        <v/>
      </c>
      <c r="BX393" s="288"/>
      <c r="CM393" s="96"/>
    </row>
    <row r="394" spans="1:91">
      <c r="A394" s="285"/>
      <c r="B394" s="80">
        <v>90</v>
      </c>
      <c r="C394" s="259">
        <v>118</v>
      </c>
      <c r="D394" s="259">
        <v>530</v>
      </c>
      <c r="E394" s="260">
        <v>14</v>
      </c>
      <c r="G394" s="80">
        <v>45</v>
      </c>
      <c r="H394" s="259">
        <v>53.5</v>
      </c>
      <c r="I394" s="259">
        <v>520</v>
      </c>
      <c r="J394" s="260">
        <v>18</v>
      </c>
      <c r="L394" s="80">
        <v>45</v>
      </c>
      <c r="M394" s="259">
        <v>139.5</v>
      </c>
      <c r="N394" s="259">
        <v>558</v>
      </c>
      <c r="O394" s="260">
        <v>18</v>
      </c>
      <c r="Q394" s="80">
        <v>45</v>
      </c>
      <c r="R394" s="259">
        <v>139.5</v>
      </c>
      <c r="S394" s="259">
        <v>555</v>
      </c>
      <c r="T394" s="260">
        <v>18</v>
      </c>
      <c r="V394" s="80">
        <v>90</v>
      </c>
      <c r="W394" s="259">
        <v>118</v>
      </c>
      <c r="X394" s="259">
        <v>535</v>
      </c>
      <c r="Y394" s="260">
        <v>14</v>
      </c>
      <c r="AA394" s="80">
        <v>90</v>
      </c>
      <c r="AB394" s="259">
        <v>54</v>
      </c>
      <c r="AC394" s="259">
        <v>530</v>
      </c>
      <c r="AD394" s="260">
        <v>50</v>
      </c>
      <c r="AF394" s="80" t="str">
        <v/>
      </c>
      <c r="AG394" s="259" t="str">
        <v/>
      </c>
      <c r="AH394" s="259" t="str">
        <v/>
      </c>
      <c r="AI394" s="260" t="str">
        <v/>
      </c>
      <c r="AK394" s="80" t="str">
        <v/>
      </c>
      <c r="AL394" s="259" t="str">
        <v/>
      </c>
      <c r="AM394" s="259" t="str">
        <v/>
      </c>
      <c r="AN394" s="260" t="str">
        <v/>
      </c>
      <c r="AP394" s="80">
        <v>45</v>
      </c>
      <c r="AQ394" s="259">
        <v>139.5</v>
      </c>
      <c r="AR394" s="259">
        <v>705</v>
      </c>
      <c r="AS394" s="260">
        <v>18</v>
      </c>
      <c r="AT394" s="288"/>
      <c r="AU394" s="80" t="str">
        <v/>
      </c>
      <c r="AV394" s="259" t="str">
        <v/>
      </c>
      <c r="AW394" s="259" t="str">
        <v/>
      </c>
      <c r="AX394" s="260" t="str">
        <v/>
      </c>
      <c r="AZ394" s="80" t="str">
        <v/>
      </c>
      <c r="BA394" s="259" t="str">
        <v/>
      </c>
      <c r="BB394" s="259" t="str">
        <v/>
      </c>
      <c r="BC394" s="260" t="str">
        <v/>
      </c>
      <c r="BE394" s="80" t="str">
        <v/>
      </c>
      <c r="BF394" s="259" t="str">
        <v/>
      </c>
      <c r="BG394" s="259" t="str">
        <v/>
      </c>
      <c r="BH394" s="260" t="str">
        <v/>
      </c>
      <c r="BI394" s="288"/>
      <c r="BJ394" s="80" t="str">
        <v/>
      </c>
      <c r="BK394" s="259" t="str">
        <v/>
      </c>
      <c r="BL394" s="259" t="str">
        <v/>
      </c>
      <c r="BM394" s="260" t="str">
        <v/>
      </c>
      <c r="BO394" s="80" t="str">
        <v/>
      </c>
      <c r="BP394" s="259" t="str">
        <v/>
      </c>
      <c r="BQ394" s="259" t="str">
        <v/>
      </c>
      <c r="BR394" s="260" t="str">
        <v/>
      </c>
      <c r="BT394" s="80" t="str">
        <v/>
      </c>
      <c r="BU394" s="259" t="str">
        <v/>
      </c>
      <c r="BV394" s="259" t="str">
        <v/>
      </c>
      <c r="BW394" s="260" t="str">
        <v/>
      </c>
      <c r="BX394" s="288"/>
      <c r="CM394" s="96"/>
    </row>
    <row r="395" spans="1:91">
      <c r="A395" s="285"/>
      <c r="B395" s="80">
        <v>90</v>
      </c>
      <c r="C395" s="259">
        <v>75</v>
      </c>
      <c r="D395" s="259">
        <v>540</v>
      </c>
      <c r="E395" s="260">
        <v>14</v>
      </c>
      <c r="G395" s="80">
        <v>45</v>
      </c>
      <c r="H395" s="259">
        <v>96.5</v>
      </c>
      <c r="I395" s="259">
        <v>520</v>
      </c>
      <c r="J395" s="260">
        <v>18</v>
      </c>
      <c r="L395" s="80">
        <v>45</v>
      </c>
      <c r="M395" s="259">
        <v>53.5</v>
      </c>
      <c r="N395" s="259">
        <v>586</v>
      </c>
      <c r="O395" s="260">
        <v>18</v>
      </c>
      <c r="Q395" s="80">
        <v>45</v>
      </c>
      <c r="R395" s="259">
        <v>53.5</v>
      </c>
      <c r="S395" s="259">
        <v>583</v>
      </c>
      <c r="T395" s="260">
        <v>18</v>
      </c>
      <c r="V395" s="80">
        <v>90</v>
      </c>
      <c r="W395" s="259">
        <v>75</v>
      </c>
      <c r="X395" s="259">
        <v>545</v>
      </c>
      <c r="Y395" s="260">
        <v>14</v>
      </c>
      <c r="AA395" s="80">
        <v>90</v>
      </c>
      <c r="AB395" s="259">
        <v>96</v>
      </c>
      <c r="AC395" s="259">
        <v>530</v>
      </c>
      <c r="AD395" s="260">
        <v>50</v>
      </c>
      <c r="AF395" s="80" t="str">
        <v/>
      </c>
      <c r="AG395" s="259" t="str">
        <v/>
      </c>
      <c r="AH395" s="259" t="str">
        <v/>
      </c>
      <c r="AI395" s="260" t="str">
        <v/>
      </c>
      <c r="AK395" s="80" t="str">
        <v/>
      </c>
      <c r="AL395" s="259" t="str">
        <v/>
      </c>
      <c r="AM395" s="259" t="str">
        <v/>
      </c>
      <c r="AN395" s="260" t="str">
        <v/>
      </c>
      <c r="AP395" s="80">
        <v>45</v>
      </c>
      <c r="AQ395" s="259">
        <v>53.5</v>
      </c>
      <c r="AR395" s="259">
        <v>733</v>
      </c>
      <c r="AS395" s="260">
        <v>18</v>
      </c>
      <c r="AT395" s="288"/>
      <c r="AU395" s="80" t="str">
        <v/>
      </c>
      <c r="AV395" s="259" t="str">
        <v/>
      </c>
      <c r="AW395" s="259" t="str">
        <v/>
      </c>
      <c r="AX395" s="260" t="str">
        <v/>
      </c>
      <c r="AZ395" s="80" t="str">
        <v/>
      </c>
      <c r="BA395" s="259" t="str">
        <v/>
      </c>
      <c r="BB395" s="259" t="str">
        <v/>
      </c>
      <c r="BC395" s="260" t="str">
        <v/>
      </c>
      <c r="BE395" s="80" t="str">
        <v/>
      </c>
      <c r="BF395" s="259" t="str">
        <v/>
      </c>
      <c r="BG395" s="259" t="str">
        <v/>
      </c>
      <c r="BH395" s="260" t="str">
        <v/>
      </c>
      <c r="BI395" s="288"/>
      <c r="BJ395" s="80" t="str">
        <v/>
      </c>
      <c r="BK395" s="259" t="str">
        <v/>
      </c>
      <c r="BL395" s="259" t="str">
        <v/>
      </c>
      <c r="BM395" s="260" t="str">
        <v/>
      </c>
      <c r="BO395" s="80" t="str">
        <v/>
      </c>
      <c r="BP395" s="259" t="str">
        <v/>
      </c>
      <c r="BQ395" s="259" t="str">
        <v/>
      </c>
      <c r="BR395" s="260" t="str">
        <v/>
      </c>
      <c r="BT395" s="80" t="str">
        <v/>
      </c>
      <c r="BU395" s="259" t="str">
        <v/>
      </c>
      <c r="BV395" s="259" t="str">
        <v/>
      </c>
      <c r="BW395" s="260" t="str">
        <v/>
      </c>
      <c r="BX395" s="288"/>
      <c r="CM395" s="96"/>
    </row>
    <row r="396" spans="1:91">
      <c r="A396" s="285"/>
      <c r="B396" s="80">
        <v>45</v>
      </c>
      <c r="C396" s="259">
        <v>10.5</v>
      </c>
      <c r="D396" s="259">
        <v>549</v>
      </c>
      <c r="E396" s="260">
        <v>18</v>
      </c>
      <c r="G396" s="80">
        <v>45</v>
      </c>
      <c r="H396" s="259">
        <v>10.5</v>
      </c>
      <c r="I396" s="259">
        <v>549</v>
      </c>
      <c r="J396" s="260">
        <v>18</v>
      </c>
      <c r="L396" s="80">
        <v>45</v>
      </c>
      <c r="M396" s="259">
        <v>96.5</v>
      </c>
      <c r="N396" s="259">
        <v>586</v>
      </c>
      <c r="O396" s="260">
        <v>18</v>
      </c>
      <c r="Q396" s="80">
        <v>45</v>
      </c>
      <c r="R396" s="259">
        <v>96.5</v>
      </c>
      <c r="S396" s="259">
        <v>583</v>
      </c>
      <c r="T396" s="260">
        <v>18</v>
      </c>
      <c r="V396" s="80">
        <v>45</v>
      </c>
      <c r="W396" s="259">
        <v>10.5</v>
      </c>
      <c r="X396" s="259">
        <v>549</v>
      </c>
      <c r="Y396" s="260">
        <v>18</v>
      </c>
      <c r="AA396" s="80">
        <v>90</v>
      </c>
      <c r="AB396" s="259">
        <v>10</v>
      </c>
      <c r="AC396" s="259">
        <v>540</v>
      </c>
      <c r="AD396" s="260">
        <v>50</v>
      </c>
      <c r="AF396" s="80" t="str">
        <v/>
      </c>
      <c r="AG396" s="259" t="str">
        <v/>
      </c>
      <c r="AH396" s="259" t="str">
        <v/>
      </c>
      <c r="AI396" s="260" t="str">
        <v/>
      </c>
      <c r="AK396" s="80" t="str">
        <v/>
      </c>
      <c r="AL396" s="259" t="str">
        <v/>
      </c>
      <c r="AM396" s="259" t="str">
        <v/>
      </c>
      <c r="AN396" s="260" t="str">
        <v/>
      </c>
      <c r="AP396" s="80">
        <v>45</v>
      </c>
      <c r="AQ396" s="259">
        <v>96.5</v>
      </c>
      <c r="AR396" s="259">
        <v>733</v>
      </c>
      <c r="AS396" s="260">
        <v>18</v>
      </c>
      <c r="AT396" s="288"/>
      <c r="AU396" s="80" t="str">
        <v/>
      </c>
      <c r="AV396" s="259" t="str">
        <v/>
      </c>
      <c r="AW396" s="259" t="str">
        <v/>
      </c>
      <c r="AX396" s="260" t="str">
        <v/>
      </c>
      <c r="AZ396" s="80" t="str">
        <v/>
      </c>
      <c r="BA396" s="259" t="str">
        <v/>
      </c>
      <c r="BB396" s="259" t="str">
        <v/>
      </c>
      <c r="BC396" s="260" t="str">
        <v/>
      </c>
      <c r="BE396" s="80" t="str">
        <v/>
      </c>
      <c r="BF396" s="259" t="str">
        <v/>
      </c>
      <c r="BG396" s="259" t="str">
        <v/>
      </c>
      <c r="BH396" s="260" t="str">
        <v/>
      </c>
      <c r="BI396" s="288"/>
      <c r="BJ396" s="80" t="str">
        <v/>
      </c>
      <c r="BK396" s="259" t="str">
        <v/>
      </c>
      <c r="BL396" s="259" t="str">
        <v/>
      </c>
      <c r="BM396" s="260" t="str">
        <v/>
      </c>
      <c r="BO396" s="80" t="str">
        <v/>
      </c>
      <c r="BP396" s="259" t="str">
        <v/>
      </c>
      <c r="BQ396" s="259" t="str">
        <v/>
      </c>
      <c r="BR396" s="260" t="str">
        <v/>
      </c>
      <c r="BT396" s="80" t="str">
        <v/>
      </c>
      <c r="BU396" s="259" t="str">
        <v/>
      </c>
      <c r="BV396" s="259" t="str">
        <v/>
      </c>
      <c r="BW396" s="260" t="str">
        <v/>
      </c>
      <c r="BX396" s="288"/>
      <c r="CM396" s="96"/>
    </row>
    <row r="397" spans="1:91">
      <c r="A397" s="285"/>
      <c r="B397" s="80">
        <v>45</v>
      </c>
      <c r="C397" s="259">
        <v>139.5</v>
      </c>
      <c r="D397" s="259">
        <v>549</v>
      </c>
      <c r="E397" s="260">
        <v>18</v>
      </c>
      <c r="G397" s="80">
        <v>45</v>
      </c>
      <c r="H397" s="259">
        <v>139.5</v>
      </c>
      <c r="I397" s="259">
        <v>549</v>
      </c>
      <c r="J397" s="260">
        <v>18</v>
      </c>
      <c r="L397" s="80">
        <v>45</v>
      </c>
      <c r="M397" s="259">
        <v>10.5</v>
      </c>
      <c r="N397" s="259">
        <v>615</v>
      </c>
      <c r="O397" s="260">
        <v>18</v>
      </c>
      <c r="Q397" s="80">
        <v>45</v>
      </c>
      <c r="R397" s="259">
        <v>10.5</v>
      </c>
      <c r="S397" s="259">
        <v>612</v>
      </c>
      <c r="T397" s="260">
        <v>18</v>
      </c>
      <c r="V397" s="80">
        <v>45</v>
      </c>
      <c r="W397" s="259">
        <v>139.5</v>
      </c>
      <c r="X397" s="259">
        <v>549</v>
      </c>
      <c r="Y397" s="260">
        <v>18</v>
      </c>
      <c r="AA397" s="80">
        <v>90</v>
      </c>
      <c r="AB397" s="259">
        <v>140</v>
      </c>
      <c r="AC397" s="259">
        <v>540</v>
      </c>
      <c r="AD397" s="260">
        <v>50</v>
      </c>
      <c r="AF397" s="80" t="str">
        <v/>
      </c>
      <c r="AG397" s="259" t="str">
        <v/>
      </c>
      <c r="AH397" s="259" t="str">
        <v/>
      </c>
      <c r="AI397" s="260" t="str">
        <v/>
      </c>
      <c r="AK397" s="80" t="str">
        <v/>
      </c>
      <c r="AL397" s="259" t="str">
        <v/>
      </c>
      <c r="AM397" s="259" t="str">
        <v/>
      </c>
      <c r="AN397" s="260" t="str">
        <v/>
      </c>
      <c r="AP397" s="80">
        <v>45</v>
      </c>
      <c r="AQ397" s="259">
        <v>10.5</v>
      </c>
      <c r="AR397" s="259">
        <v>762</v>
      </c>
      <c r="AS397" s="260">
        <v>18</v>
      </c>
      <c r="AT397" s="288"/>
      <c r="AU397" s="80" t="str">
        <v/>
      </c>
      <c r="AV397" s="259" t="str">
        <v/>
      </c>
      <c r="AW397" s="259" t="str">
        <v/>
      </c>
      <c r="AX397" s="260" t="str">
        <v/>
      </c>
      <c r="AZ397" s="80" t="str">
        <v/>
      </c>
      <c r="BA397" s="259" t="str">
        <v/>
      </c>
      <c r="BB397" s="259" t="str">
        <v/>
      </c>
      <c r="BC397" s="260" t="str">
        <v/>
      </c>
      <c r="BE397" s="80" t="str">
        <v/>
      </c>
      <c r="BF397" s="259" t="str">
        <v/>
      </c>
      <c r="BG397" s="259" t="str">
        <v/>
      </c>
      <c r="BH397" s="260" t="str">
        <v/>
      </c>
      <c r="BI397" s="288"/>
      <c r="BJ397" s="80" t="str">
        <v/>
      </c>
      <c r="BK397" s="259" t="str">
        <v/>
      </c>
      <c r="BL397" s="259" t="str">
        <v/>
      </c>
      <c r="BM397" s="260" t="str">
        <v/>
      </c>
      <c r="BO397" s="80" t="str">
        <v/>
      </c>
      <c r="BP397" s="259" t="str">
        <v/>
      </c>
      <c r="BQ397" s="259" t="str">
        <v/>
      </c>
      <c r="BR397" s="260" t="str">
        <v/>
      </c>
      <c r="BT397" s="80" t="str">
        <v/>
      </c>
      <c r="BU397" s="259" t="str">
        <v/>
      </c>
      <c r="BV397" s="259" t="str">
        <v/>
      </c>
      <c r="BW397" s="260" t="str">
        <v/>
      </c>
      <c r="BX397" s="288"/>
      <c r="CM397" s="96"/>
    </row>
    <row r="398" spans="1:91">
      <c r="A398" s="285"/>
      <c r="B398" s="80">
        <v>45</v>
      </c>
      <c r="C398" s="259">
        <v>53.5</v>
      </c>
      <c r="D398" s="259">
        <v>577</v>
      </c>
      <c r="E398" s="260">
        <v>18</v>
      </c>
      <c r="G398" s="80">
        <v>45</v>
      </c>
      <c r="H398" s="259">
        <v>53.5</v>
      </c>
      <c r="I398" s="259">
        <v>577</v>
      </c>
      <c r="J398" s="260">
        <v>18</v>
      </c>
      <c r="L398" s="80">
        <v>45</v>
      </c>
      <c r="M398" s="259">
        <v>139.5</v>
      </c>
      <c r="N398" s="259">
        <v>615</v>
      </c>
      <c r="O398" s="260">
        <v>18</v>
      </c>
      <c r="Q398" s="80">
        <v>45</v>
      </c>
      <c r="R398" s="259">
        <v>139.5</v>
      </c>
      <c r="S398" s="259">
        <v>612</v>
      </c>
      <c r="T398" s="260">
        <v>18</v>
      </c>
      <c r="V398" s="80">
        <v>90</v>
      </c>
      <c r="W398" s="259">
        <v>54</v>
      </c>
      <c r="X398" s="259">
        <v>590</v>
      </c>
      <c r="Y398" s="260">
        <v>50</v>
      </c>
      <c r="AA398" s="80" t="str">
        <v/>
      </c>
      <c r="AB398" s="259" t="str">
        <v/>
      </c>
      <c r="AC398" s="259" t="str">
        <v/>
      </c>
      <c r="AD398" s="260" t="str">
        <v/>
      </c>
      <c r="AF398" s="80" t="str">
        <v/>
      </c>
      <c r="AG398" s="259" t="str">
        <v/>
      </c>
      <c r="AH398" s="259" t="str">
        <v/>
      </c>
      <c r="AI398" s="260" t="str">
        <v/>
      </c>
      <c r="AK398" s="80" t="str">
        <v/>
      </c>
      <c r="AL398" s="259" t="str">
        <v/>
      </c>
      <c r="AM398" s="259" t="str">
        <v/>
      </c>
      <c r="AN398" s="260" t="str">
        <v/>
      </c>
      <c r="AP398" s="80">
        <v>45</v>
      </c>
      <c r="AQ398" s="259">
        <v>139.5</v>
      </c>
      <c r="AR398" s="259">
        <v>762</v>
      </c>
      <c r="AS398" s="260">
        <v>18</v>
      </c>
      <c r="AT398" s="288"/>
      <c r="AU398" s="80" t="str">
        <v/>
      </c>
      <c r="AV398" s="259" t="str">
        <v/>
      </c>
      <c r="AW398" s="259" t="str">
        <v/>
      </c>
      <c r="AX398" s="260" t="str">
        <v/>
      </c>
      <c r="AZ398" s="80" t="str">
        <v/>
      </c>
      <c r="BA398" s="259" t="str">
        <v/>
      </c>
      <c r="BB398" s="259" t="str">
        <v/>
      </c>
      <c r="BC398" s="260" t="str">
        <v/>
      </c>
      <c r="BE398" s="80" t="str">
        <v/>
      </c>
      <c r="BF398" s="259" t="str">
        <v/>
      </c>
      <c r="BG398" s="259" t="str">
        <v/>
      </c>
      <c r="BH398" s="260" t="str">
        <v/>
      </c>
      <c r="BI398" s="288"/>
      <c r="BJ398" s="80" t="str">
        <v/>
      </c>
      <c r="BK398" s="259" t="str">
        <v/>
      </c>
      <c r="BL398" s="259" t="str">
        <v/>
      </c>
      <c r="BM398" s="260" t="str">
        <v/>
      </c>
      <c r="BO398" s="80" t="str">
        <v/>
      </c>
      <c r="BP398" s="259" t="str">
        <v/>
      </c>
      <c r="BQ398" s="259" t="str">
        <v/>
      </c>
      <c r="BR398" s="260" t="str">
        <v/>
      </c>
      <c r="BT398" s="80" t="str">
        <v/>
      </c>
      <c r="BU398" s="259" t="str">
        <v/>
      </c>
      <c r="BV398" s="259" t="str">
        <v/>
      </c>
      <c r="BW398" s="260" t="str">
        <v/>
      </c>
      <c r="BX398" s="288"/>
      <c r="CM398" s="96"/>
    </row>
    <row r="399" spans="1:91">
      <c r="A399" s="285"/>
      <c r="B399" s="80">
        <v>45</v>
      </c>
      <c r="C399" s="259">
        <v>96.5</v>
      </c>
      <c r="D399" s="259">
        <v>577</v>
      </c>
      <c r="E399" s="260">
        <v>18</v>
      </c>
      <c r="G399" s="80">
        <v>45</v>
      </c>
      <c r="H399" s="259">
        <v>96.5</v>
      </c>
      <c r="I399" s="259">
        <v>577</v>
      </c>
      <c r="J399" s="260">
        <v>18</v>
      </c>
      <c r="L399" s="80">
        <v>45</v>
      </c>
      <c r="M399" s="259">
        <v>53.5</v>
      </c>
      <c r="N399" s="259">
        <v>643</v>
      </c>
      <c r="O399" s="260">
        <v>18</v>
      </c>
      <c r="Q399" s="80">
        <v>45</v>
      </c>
      <c r="R399" s="259">
        <v>53.5</v>
      </c>
      <c r="S399" s="259">
        <v>640</v>
      </c>
      <c r="T399" s="260">
        <v>18</v>
      </c>
      <c r="V399" s="80">
        <v>90</v>
      </c>
      <c r="W399" s="259">
        <v>96</v>
      </c>
      <c r="X399" s="259">
        <v>590</v>
      </c>
      <c r="Y399" s="260">
        <v>50</v>
      </c>
      <c r="AA399" s="80" t="str">
        <v/>
      </c>
      <c r="AB399" s="259" t="str">
        <v/>
      </c>
      <c r="AC399" s="259" t="str">
        <v/>
      </c>
      <c r="AD399" s="260" t="str">
        <v/>
      </c>
      <c r="AF399" s="80" t="str">
        <v/>
      </c>
      <c r="AG399" s="259" t="str">
        <v/>
      </c>
      <c r="AH399" s="259" t="str">
        <v/>
      </c>
      <c r="AI399" s="260" t="str">
        <v/>
      </c>
      <c r="AK399" s="80" t="str">
        <v/>
      </c>
      <c r="AL399" s="259" t="str">
        <v/>
      </c>
      <c r="AM399" s="259" t="str">
        <v/>
      </c>
      <c r="AN399" s="260" t="str">
        <v/>
      </c>
      <c r="AP399" s="80">
        <v>45</v>
      </c>
      <c r="AQ399" s="259">
        <v>53.5</v>
      </c>
      <c r="AR399" s="259">
        <v>790</v>
      </c>
      <c r="AS399" s="260">
        <v>18</v>
      </c>
      <c r="AT399" s="288"/>
      <c r="AU399" s="80" t="str">
        <v/>
      </c>
      <c r="AV399" s="259" t="str">
        <v/>
      </c>
      <c r="AW399" s="259" t="str">
        <v/>
      </c>
      <c r="AX399" s="260" t="str">
        <v/>
      </c>
      <c r="AZ399" s="80" t="str">
        <v/>
      </c>
      <c r="BA399" s="259" t="str">
        <v/>
      </c>
      <c r="BB399" s="259" t="str">
        <v/>
      </c>
      <c r="BC399" s="260" t="str">
        <v/>
      </c>
      <c r="BE399" s="80" t="str">
        <v/>
      </c>
      <c r="BF399" s="259" t="str">
        <v/>
      </c>
      <c r="BG399" s="259" t="str">
        <v/>
      </c>
      <c r="BH399" s="260" t="str">
        <v/>
      </c>
      <c r="BI399" s="288"/>
      <c r="BJ399" s="80" t="str">
        <v/>
      </c>
      <c r="BK399" s="259" t="str">
        <v/>
      </c>
      <c r="BL399" s="259" t="str">
        <v/>
      </c>
      <c r="BM399" s="260" t="str">
        <v/>
      </c>
      <c r="BO399" s="80" t="str">
        <v/>
      </c>
      <c r="BP399" s="259" t="str">
        <v/>
      </c>
      <c r="BQ399" s="259" t="str">
        <v/>
      </c>
      <c r="BR399" s="260" t="str">
        <v/>
      </c>
      <c r="BT399" s="80" t="str">
        <v/>
      </c>
      <c r="BU399" s="259" t="str">
        <v/>
      </c>
      <c r="BV399" s="259" t="str">
        <v/>
      </c>
      <c r="BW399" s="260" t="str">
        <v/>
      </c>
      <c r="BX399" s="288"/>
      <c r="CM399" s="96"/>
    </row>
    <row r="400" spans="1:91">
      <c r="A400" s="285"/>
      <c r="B400" s="80">
        <v>45</v>
      </c>
      <c r="C400" s="259">
        <v>10.5</v>
      </c>
      <c r="D400" s="259">
        <v>606</v>
      </c>
      <c r="E400" s="260">
        <v>18</v>
      </c>
      <c r="G400" s="80">
        <v>45</v>
      </c>
      <c r="H400" s="259">
        <v>10.5</v>
      </c>
      <c r="I400" s="259">
        <v>606</v>
      </c>
      <c r="J400" s="260">
        <v>18</v>
      </c>
      <c r="L400" s="80">
        <v>45</v>
      </c>
      <c r="M400" s="259">
        <v>96.5</v>
      </c>
      <c r="N400" s="259">
        <v>643</v>
      </c>
      <c r="O400" s="260">
        <v>18</v>
      </c>
      <c r="Q400" s="80">
        <v>45</v>
      </c>
      <c r="R400" s="259">
        <v>96.5</v>
      </c>
      <c r="S400" s="259">
        <v>640</v>
      </c>
      <c r="T400" s="260">
        <v>18</v>
      </c>
      <c r="V400" s="80">
        <v>90</v>
      </c>
      <c r="W400" s="259">
        <v>10</v>
      </c>
      <c r="X400" s="259">
        <v>600</v>
      </c>
      <c r="Y400" s="260">
        <v>50</v>
      </c>
      <c r="AA400" s="80" t="str">
        <v/>
      </c>
      <c r="AB400" s="259" t="str">
        <v/>
      </c>
      <c r="AC400" s="259" t="str">
        <v/>
      </c>
      <c r="AD400" s="260" t="str">
        <v/>
      </c>
      <c r="AF400" s="80" t="str">
        <v/>
      </c>
      <c r="AG400" s="259" t="str">
        <v/>
      </c>
      <c r="AH400" s="259" t="str">
        <v/>
      </c>
      <c r="AI400" s="260" t="str">
        <v/>
      </c>
      <c r="AK400" s="80" t="str">
        <v/>
      </c>
      <c r="AL400" s="259" t="str">
        <v/>
      </c>
      <c r="AM400" s="259" t="str">
        <v/>
      </c>
      <c r="AN400" s="260" t="str">
        <v/>
      </c>
      <c r="AP400" s="80">
        <v>45</v>
      </c>
      <c r="AQ400" s="259">
        <v>96.5</v>
      </c>
      <c r="AR400" s="259">
        <v>790</v>
      </c>
      <c r="AS400" s="260">
        <v>18</v>
      </c>
      <c r="AT400" s="288"/>
      <c r="AU400" s="80" t="str">
        <v/>
      </c>
      <c r="AV400" s="259" t="str">
        <v/>
      </c>
      <c r="AW400" s="259" t="str">
        <v/>
      </c>
      <c r="AX400" s="260" t="str">
        <v/>
      </c>
      <c r="AZ400" s="80" t="str">
        <v/>
      </c>
      <c r="BA400" s="259" t="str">
        <v/>
      </c>
      <c r="BB400" s="259" t="str">
        <v/>
      </c>
      <c r="BC400" s="260" t="str">
        <v/>
      </c>
      <c r="BE400" s="80" t="str">
        <v/>
      </c>
      <c r="BF400" s="259" t="str">
        <v/>
      </c>
      <c r="BG400" s="259" t="str">
        <v/>
      </c>
      <c r="BH400" s="260" t="str">
        <v/>
      </c>
      <c r="BI400" s="288"/>
      <c r="BJ400" s="80" t="str">
        <v/>
      </c>
      <c r="BK400" s="259" t="str">
        <v/>
      </c>
      <c r="BL400" s="259" t="str">
        <v/>
      </c>
      <c r="BM400" s="260" t="str">
        <v/>
      </c>
      <c r="BO400" s="80" t="str">
        <v/>
      </c>
      <c r="BP400" s="259" t="str">
        <v/>
      </c>
      <c r="BQ400" s="259" t="str">
        <v/>
      </c>
      <c r="BR400" s="260" t="str">
        <v/>
      </c>
      <c r="BT400" s="80" t="str">
        <v/>
      </c>
      <c r="BU400" s="259" t="str">
        <v/>
      </c>
      <c r="BV400" s="259" t="str">
        <v/>
      </c>
      <c r="BW400" s="260" t="str">
        <v/>
      </c>
      <c r="BX400" s="288"/>
      <c r="CM400" s="96"/>
    </row>
    <row r="401" spans="1:91">
      <c r="A401" s="285"/>
      <c r="B401" s="80">
        <v>45</v>
      </c>
      <c r="C401" s="259">
        <v>139.5</v>
      </c>
      <c r="D401" s="259">
        <v>606</v>
      </c>
      <c r="E401" s="260">
        <v>18</v>
      </c>
      <c r="G401" s="80">
        <v>45</v>
      </c>
      <c r="H401" s="259">
        <v>139.5</v>
      </c>
      <c r="I401" s="259">
        <v>606</v>
      </c>
      <c r="J401" s="260">
        <v>18</v>
      </c>
      <c r="L401" s="80">
        <v>45</v>
      </c>
      <c r="M401" s="259">
        <v>10.5</v>
      </c>
      <c r="N401" s="259">
        <v>672</v>
      </c>
      <c r="O401" s="260">
        <v>18</v>
      </c>
      <c r="Q401" s="80">
        <v>90</v>
      </c>
      <c r="R401" s="259">
        <v>32</v>
      </c>
      <c r="S401" s="259">
        <v>655</v>
      </c>
      <c r="T401" s="260">
        <v>14</v>
      </c>
      <c r="V401" s="80">
        <v>90</v>
      </c>
      <c r="W401" s="259">
        <v>140</v>
      </c>
      <c r="X401" s="259">
        <v>600</v>
      </c>
      <c r="Y401" s="260">
        <v>50</v>
      </c>
      <c r="AA401" s="80" t="str">
        <v/>
      </c>
      <c r="AB401" s="259" t="str">
        <v/>
      </c>
      <c r="AC401" s="259" t="str">
        <v/>
      </c>
      <c r="AD401" s="260" t="str">
        <v/>
      </c>
      <c r="AF401" s="80" t="str">
        <v/>
      </c>
      <c r="AG401" s="259" t="str">
        <v/>
      </c>
      <c r="AH401" s="259" t="str">
        <v/>
      </c>
      <c r="AI401" s="260" t="str">
        <v/>
      </c>
      <c r="AK401" s="80" t="str">
        <v/>
      </c>
      <c r="AL401" s="259" t="str">
        <v/>
      </c>
      <c r="AM401" s="259" t="str">
        <v/>
      </c>
      <c r="AN401" s="260" t="str">
        <v/>
      </c>
      <c r="AP401" s="80">
        <v>90</v>
      </c>
      <c r="AQ401" s="259">
        <v>32</v>
      </c>
      <c r="AR401" s="259">
        <v>805</v>
      </c>
      <c r="AS401" s="260">
        <v>14</v>
      </c>
      <c r="AT401" s="288"/>
      <c r="AU401" s="80" t="str">
        <v/>
      </c>
      <c r="AV401" s="259" t="str">
        <v/>
      </c>
      <c r="AW401" s="259" t="str">
        <v/>
      </c>
      <c r="AX401" s="260" t="str">
        <v/>
      </c>
      <c r="AZ401" s="80" t="str">
        <v/>
      </c>
      <c r="BA401" s="259" t="str">
        <v/>
      </c>
      <c r="BB401" s="259" t="str">
        <v/>
      </c>
      <c r="BC401" s="260" t="str">
        <v/>
      </c>
      <c r="BE401" s="80" t="str">
        <v/>
      </c>
      <c r="BF401" s="259" t="str">
        <v/>
      </c>
      <c r="BG401" s="259" t="str">
        <v/>
      </c>
      <c r="BH401" s="260" t="str">
        <v/>
      </c>
      <c r="BI401" s="288"/>
      <c r="BJ401" s="80" t="str">
        <v/>
      </c>
      <c r="BK401" s="259" t="str">
        <v/>
      </c>
      <c r="BL401" s="259" t="str">
        <v/>
      </c>
      <c r="BM401" s="260" t="str">
        <v/>
      </c>
      <c r="BO401" s="80" t="str">
        <v/>
      </c>
      <c r="BP401" s="259" t="str">
        <v/>
      </c>
      <c r="BQ401" s="259" t="str">
        <v/>
      </c>
      <c r="BR401" s="260" t="str">
        <v/>
      </c>
      <c r="BT401" s="80" t="str">
        <v/>
      </c>
      <c r="BU401" s="259" t="str">
        <v/>
      </c>
      <c r="BV401" s="259" t="str">
        <v/>
      </c>
      <c r="BW401" s="260" t="str">
        <v/>
      </c>
      <c r="BX401" s="288"/>
      <c r="CM401" s="96"/>
    </row>
    <row r="402" spans="1:91">
      <c r="A402" s="285"/>
      <c r="B402" s="80">
        <v>45</v>
      </c>
      <c r="C402" s="259">
        <v>53.5</v>
      </c>
      <c r="D402" s="259">
        <v>634</v>
      </c>
      <c r="E402" s="260">
        <v>18</v>
      </c>
      <c r="G402" s="80">
        <v>45</v>
      </c>
      <c r="H402" s="259">
        <v>53.5</v>
      </c>
      <c r="I402" s="259">
        <v>634</v>
      </c>
      <c r="J402" s="260">
        <v>18</v>
      </c>
      <c r="L402" s="80">
        <v>45</v>
      </c>
      <c r="M402" s="259">
        <v>139.5</v>
      </c>
      <c r="N402" s="259">
        <v>672</v>
      </c>
      <c r="O402" s="260">
        <v>18</v>
      </c>
      <c r="Q402" s="80">
        <v>90</v>
      </c>
      <c r="R402" s="259">
        <v>118</v>
      </c>
      <c r="S402" s="259">
        <v>655</v>
      </c>
      <c r="T402" s="260">
        <v>14</v>
      </c>
      <c r="V402" s="80" t="str">
        <v/>
      </c>
      <c r="W402" s="259" t="str">
        <v/>
      </c>
      <c r="X402" s="259" t="str">
        <v/>
      </c>
      <c r="Y402" s="260" t="str">
        <v/>
      </c>
      <c r="AA402" s="80" t="str">
        <v/>
      </c>
      <c r="AB402" s="259" t="str">
        <v/>
      </c>
      <c r="AC402" s="259" t="str">
        <v/>
      </c>
      <c r="AD402" s="260" t="str">
        <v/>
      </c>
      <c r="AF402" s="80" t="str">
        <v/>
      </c>
      <c r="AG402" s="259" t="str">
        <v/>
      </c>
      <c r="AH402" s="259" t="str">
        <v/>
      </c>
      <c r="AI402" s="260" t="str">
        <v/>
      </c>
      <c r="AK402" s="80" t="str">
        <v/>
      </c>
      <c r="AL402" s="259" t="str">
        <v/>
      </c>
      <c r="AM402" s="259" t="str">
        <v/>
      </c>
      <c r="AN402" s="260" t="str">
        <v/>
      </c>
      <c r="AP402" s="80">
        <v>90</v>
      </c>
      <c r="AQ402" s="259">
        <v>118</v>
      </c>
      <c r="AR402" s="259">
        <v>805</v>
      </c>
      <c r="AS402" s="260">
        <v>14</v>
      </c>
      <c r="AT402" s="288"/>
      <c r="AU402" s="80" t="str">
        <v/>
      </c>
      <c r="AV402" s="259" t="str">
        <v/>
      </c>
      <c r="AW402" s="259" t="str">
        <v/>
      </c>
      <c r="AX402" s="260" t="str">
        <v/>
      </c>
      <c r="AZ402" s="80" t="str">
        <v/>
      </c>
      <c r="BA402" s="259" t="str">
        <v/>
      </c>
      <c r="BB402" s="259" t="str">
        <v/>
      </c>
      <c r="BC402" s="260" t="str">
        <v/>
      </c>
      <c r="BE402" s="80" t="str">
        <v/>
      </c>
      <c r="BF402" s="259" t="str">
        <v/>
      </c>
      <c r="BG402" s="259" t="str">
        <v/>
      </c>
      <c r="BH402" s="260" t="str">
        <v/>
      </c>
      <c r="BI402" s="288"/>
      <c r="BJ402" s="80" t="str">
        <v/>
      </c>
      <c r="BK402" s="259" t="str">
        <v/>
      </c>
      <c r="BL402" s="259" t="str">
        <v/>
      </c>
      <c r="BM402" s="260" t="str">
        <v/>
      </c>
      <c r="BO402" s="80" t="str">
        <v/>
      </c>
      <c r="BP402" s="259" t="str">
        <v/>
      </c>
      <c r="BQ402" s="259" t="str">
        <v/>
      </c>
      <c r="BR402" s="260" t="str">
        <v/>
      </c>
      <c r="BT402" s="80" t="str">
        <v/>
      </c>
      <c r="BU402" s="259" t="str">
        <v/>
      </c>
      <c r="BV402" s="259" t="str">
        <v/>
      </c>
      <c r="BW402" s="260" t="str">
        <v/>
      </c>
      <c r="BX402" s="288"/>
      <c r="CM402" s="96"/>
    </row>
    <row r="403" spans="1:91">
      <c r="A403" s="285"/>
      <c r="B403" s="80">
        <v>45</v>
      </c>
      <c r="C403" s="259">
        <v>96.5</v>
      </c>
      <c r="D403" s="259">
        <v>634</v>
      </c>
      <c r="E403" s="260">
        <v>18</v>
      </c>
      <c r="G403" s="80">
        <v>45</v>
      </c>
      <c r="H403" s="259">
        <v>96.5</v>
      </c>
      <c r="I403" s="259">
        <v>634</v>
      </c>
      <c r="J403" s="260">
        <v>18</v>
      </c>
      <c r="L403" s="80">
        <v>45</v>
      </c>
      <c r="M403" s="259">
        <v>53.5</v>
      </c>
      <c r="N403" s="259">
        <v>700</v>
      </c>
      <c r="O403" s="260">
        <v>18</v>
      </c>
      <c r="Q403" s="80">
        <v>90</v>
      </c>
      <c r="R403" s="259">
        <v>75</v>
      </c>
      <c r="S403" s="259">
        <v>665</v>
      </c>
      <c r="T403" s="260">
        <v>14</v>
      </c>
      <c r="V403" s="80" t="str">
        <v/>
      </c>
      <c r="W403" s="259" t="str">
        <v/>
      </c>
      <c r="X403" s="259" t="str">
        <v/>
      </c>
      <c r="Y403" s="260" t="str">
        <v/>
      </c>
      <c r="AA403" s="80" t="str">
        <v/>
      </c>
      <c r="AB403" s="259" t="str">
        <v/>
      </c>
      <c r="AC403" s="259" t="str">
        <v/>
      </c>
      <c r="AD403" s="260" t="str">
        <v/>
      </c>
      <c r="AF403" s="80" t="str">
        <v/>
      </c>
      <c r="AG403" s="259" t="str">
        <v/>
      </c>
      <c r="AH403" s="259" t="str">
        <v/>
      </c>
      <c r="AI403" s="260" t="str">
        <v/>
      </c>
      <c r="AK403" s="80" t="str">
        <v/>
      </c>
      <c r="AL403" s="259" t="str">
        <v/>
      </c>
      <c r="AM403" s="259" t="str">
        <v/>
      </c>
      <c r="AN403" s="260" t="str">
        <v/>
      </c>
      <c r="AP403" s="80">
        <v>90</v>
      </c>
      <c r="AQ403" s="259">
        <v>75</v>
      </c>
      <c r="AR403" s="259">
        <v>815</v>
      </c>
      <c r="AS403" s="260">
        <v>14</v>
      </c>
      <c r="AT403" s="288"/>
      <c r="AU403" s="80" t="str">
        <v/>
      </c>
      <c r="AV403" s="259" t="str">
        <v/>
      </c>
      <c r="AW403" s="259" t="str">
        <v/>
      </c>
      <c r="AX403" s="260" t="str">
        <v/>
      </c>
      <c r="AZ403" s="80" t="str">
        <v/>
      </c>
      <c r="BA403" s="259" t="str">
        <v/>
      </c>
      <c r="BB403" s="259" t="str">
        <v/>
      </c>
      <c r="BC403" s="260" t="str">
        <v/>
      </c>
      <c r="BE403" s="80" t="str">
        <v/>
      </c>
      <c r="BF403" s="259" t="str">
        <v/>
      </c>
      <c r="BG403" s="259" t="str">
        <v/>
      </c>
      <c r="BH403" s="260" t="str">
        <v/>
      </c>
      <c r="BI403" s="288"/>
      <c r="BJ403" s="80" t="str">
        <v/>
      </c>
      <c r="BK403" s="259" t="str">
        <v/>
      </c>
      <c r="BL403" s="259" t="str">
        <v/>
      </c>
      <c r="BM403" s="260" t="str">
        <v/>
      </c>
      <c r="BO403" s="80" t="str">
        <v/>
      </c>
      <c r="BP403" s="259" t="str">
        <v/>
      </c>
      <c r="BQ403" s="259" t="str">
        <v/>
      </c>
      <c r="BR403" s="260" t="str">
        <v/>
      </c>
      <c r="BT403" s="80" t="str">
        <v/>
      </c>
      <c r="BU403" s="259" t="str">
        <v/>
      </c>
      <c r="BV403" s="259" t="str">
        <v/>
      </c>
      <c r="BW403" s="260" t="str">
        <v/>
      </c>
      <c r="BX403" s="288"/>
      <c r="CM403" s="96"/>
    </row>
    <row r="404" spans="1:91">
      <c r="A404" s="285"/>
      <c r="B404" s="80">
        <v>45</v>
      </c>
      <c r="C404" s="259">
        <v>10.5</v>
      </c>
      <c r="D404" s="259">
        <v>663</v>
      </c>
      <c r="E404" s="260">
        <v>18</v>
      </c>
      <c r="G404" s="80">
        <v>45</v>
      </c>
      <c r="H404" s="259">
        <v>10.5</v>
      </c>
      <c r="I404" s="259">
        <v>663</v>
      </c>
      <c r="J404" s="260">
        <v>18</v>
      </c>
      <c r="L404" s="80">
        <v>45</v>
      </c>
      <c r="M404" s="259">
        <v>96.5</v>
      </c>
      <c r="N404" s="259">
        <v>700</v>
      </c>
      <c r="O404" s="260">
        <v>18</v>
      </c>
      <c r="Q404" s="80">
        <v>45</v>
      </c>
      <c r="R404" s="259">
        <v>10.5</v>
      </c>
      <c r="S404" s="259">
        <v>669</v>
      </c>
      <c r="T404" s="260">
        <v>18</v>
      </c>
      <c r="V404" s="80" t="str">
        <v/>
      </c>
      <c r="W404" s="259" t="str">
        <v/>
      </c>
      <c r="X404" s="259" t="str">
        <v/>
      </c>
      <c r="Y404" s="260" t="str">
        <v/>
      </c>
      <c r="AA404" s="80" t="str">
        <v/>
      </c>
      <c r="AB404" s="259" t="str">
        <v/>
      </c>
      <c r="AC404" s="259" t="str">
        <v/>
      </c>
      <c r="AD404" s="260" t="str">
        <v/>
      </c>
      <c r="AF404" s="80" t="str">
        <v/>
      </c>
      <c r="AG404" s="259" t="str">
        <v/>
      </c>
      <c r="AH404" s="259" t="str">
        <v/>
      </c>
      <c r="AI404" s="260" t="str">
        <v/>
      </c>
      <c r="AK404" s="80" t="str">
        <v/>
      </c>
      <c r="AL404" s="259" t="str">
        <v/>
      </c>
      <c r="AM404" s="259" t="str">
        <v/>
      </c>
      <c r="AN404" s="260" t="str">
        <v/>
      </c>
      <c r="AP404" s="80">
        <v>45</v>
      </c>
      <c r="AQ404" s="259">
        <v>10.5</v>
      </c>
      <c r="AR404" s="259">
        <v>819</v>
      </c>
      <c r="AS404" s="260">
        <v>18</v>
      </c>
      <c r="AT404" s="288"/>
      <c r="AU404" s="80" t="str">
        <v/>
      </c>
      <c r="AV404" s="259" t="str">
        <v/>
      </c>
      <c r="AW404" s="259" t="str">
        <v/>
      </c>
      <c r="AX404" s="260" t="str">
        <v/>
      </c>
      <c r="AZ404" s="80" t="str">
        <v/>
      </c>
      <c r="BA404" s="259" t="str">
        <v/>
      </c>
      <c r="BB404" s="259" t="str">
        <v/>
      </c>
      <c r="BC404" s="260" t="str">
        <v/>
      </c>
      <c r="BE404" s="80" t="str">
        <v/>
      </c>
      <c r="BF404" s="259" t="str">
        <v/>
      </c>
      <c r="BG404" s="259" t="str">
        <v/>
      </c>
      <c r="BH404" s="260" t="str">
        <v/>
      </c>
      <c r="BI404" s="288"/>
      <c r="BJ404" s="80" t="str">
        <v/>
      </c>
      <c r="BK404" s="259" t="str">
        <v/>
      </c>
      <c r="BL404" s="259" t="str">
        <v/>
      </c>
      <c r="BM404" s="260" t="str">
        <v/>
      </c>
      <c r="BO404" s="80" t="str">
        <v/>
      </c>
      <c r="BP404" s="259" t="str">
        <v/>
      </c>
      <c r="BQ404" s="259" t="str">
        <v/>
      </c>
      <c r="BR404" s="260" t="str">
        <v/>
      </c>
      <c r="BT404" s="80" t="str">
        <v/>
      </c>
      <c r="BU404" s="259" t="str">
        <v/>
      </c>
      <c r="BV404" s="259" t="str">
        <v/>
      </c>
      <c r="BW404" s="260" t="str">
        <v/>
      </c>
      <c r="BX404" s="288"/>
      <c r="CM404" s="96"/>
    </row>
    <row r="405" spans="1:91">
      <c r="A405" s="285"/>
      <c r="B405" s="80">
        <v>45</v>
      </c>
      <c r="C405" s="259">
        <v>139.5</v>
      </c>
      <c r="D405" s="259">
        <v>663</v>
      </c>
      <c r="E405" s="260">
        <v>18</v>
      </c>
      <c r="G405" s="80">
        <v>45</v>
      </c>
      <c r="H405" s="259">
        <v>139.5</v>
      </c>
      <c r="I405" s="259">
        <v>663</v>
      </c>
      <c r="J405" s="260">
        <v>18</v>
      </c>
      <c r="L405" s="80">
        <v>90</v>
      </c>
      <c r="M405" s="259">
        <v>32</v>
      </c>
      <c r="N405" s="259">
        <v>715</v>
      </c>
      <c r="O405" s="260">
        <v>14</v>
      </c>
      <c r="Q405" s="80">
        <v>45</v>
      </c>
      <c r="R405" s="259">
        <v>139.5</v>
      </c>
      <c r="S405" s="259">
        <v>669</v>
      </c>
      <c r="T405" s="260">
        <v>18</v>
      </c>
      <c r="V405" s="80" t="str">
        <v/>
      </c>
      <c r="W405" s="259" t="str">
        <v/>
      </c>
      <c r="X405" s="259" t="str">
        <v/>
      </c>
      <c r="Y405" s="260" t="str">
        <v/>
      </c>
      <c r="AA405" s="80" t="str">
        <v/>
      </c>
      <c r="AB405" s="259" t="str">
        <v/>
      </c>
      <c r="AC405" s="259" t="str">
        <v/>
      </c>
      <c r="AD405" s="260" t="str">
        <v/>
      </c>
      <c r="AF405" s="80" t="str">
        <v/>
      </c>
      <c r="AG405" s="259" t="str">
        <v/>
      </c>
      <c r="AH405" s="259" t="str">
        <v/>
      </c>
      <c r="AI405" s="260" t="str">
        <v/>
      </c>
      <c r="AK405" s="80" t="str">
        <v/>
      </c>
      <c r="AL405" s="259" t="str">
        <v/>
      </c>
      <c r="AM405" s="259" t="str">
        <v/>
      </c>
      <c r="AN405" s="260" t="str">
        <v/>
      </c>
      <c r="AP405" s="80">
        <v>45</v>
      </c>
      <c r="AQ405" s="259">
        <v>139.5</v>
      </c>
      <c r="AR405" s="259">
        <v>819</v>
      </c>
      <c r="AS405" s="260">
        <v>18</v>
      </c>
      <c r="AT405" s="288"/>
      <c r="AU405" s="80" t="str">
        <v/>
      </c>
      <c r="AV405" s="259" t="str">
        <v/>
      </c>
      <c r="AW405" s="259" t="str">
        <v/>
      </c>
      <c r="AX405" s="260" t="str">
        <v/>
      </c>
      <c r="AZ405" s="80" t="str">
        <v/>
      </c>
      <c r="BA405" s="259" t="str">
        <v/>
      </c>
      <c r="BB405" s="259" t="str">
        <v/>
      </c>
      <c r="BC405" s="260" t="str">
        <v/>
      </c>
      <c r="BE405" s="80" t="str">
        <v/>
      </c>
      <c r="BF405" s="259" t="str">
        <v/>
      </c>
      <c r="BG405" s="259" t="str">
        <v/>
      </c>
      <c r="BH405" s="260" t="str">
        <v/>
      </c>
      <c r="BI405" s="288"/>
      <c r="BJ405" s="80" t="str">
        <v/>
      </c>
      <c r="BK405" s="259" t="str">
        <v/>
      </c>
      <c r="BL405" s="259" t="str">
        <v/>
      </c>
      <c r="BM405" s="260" t="str">
        <v/>
      </c>
      <c r="BO405" s="80" t="str">
        <v/>
      </c>
      <c r="BP405" s="259" t="str">
        <v/>
      </c>
      <c r="BQ405" s="259" t="str">
        <v/>
      </c>
      <c r="BR405" s="260" t="str">
        <v/>
      </c>
      <c r="BT405" s="80" t="str">
        <v/>
      </c>
      <c r="BU405" s="259" t="str">
        <v/>
      </c>
      <c r="BV405" s="259" t="str">
        <v/>
      </c>
      <c r="BW405" s="260" t="str">
        <v/>
      </c>
      <c r="BX405" s="288"/>
      <c r="CM405" s="96"/>
    </row>
    <row r="406" spans="1:91">
      <c r="A406" s="285"/>
      <c r="B406" s="80">
        <v>45</v>
      </c>
      <c r="C406" s="259">
        <v>53.5</v>
      </c>
      <c r="D406" s="259">
        <v>691</v>
      </c>
      <c r="E406" s="260">
        <v>18</v>
      </c>
      <c r="G406" s="80">
        <v>45</v>
      </c>
      <c r="H406" s="259">
        <v>53.5</v>
      </c>
      <c r="I406" s="259">
        <v>691</v>
      </c>
      <c r="J406" s="260">
        <v>18</v>
      </c>
      <c r="L406" s="80">
        <v>90</v>
      </c>
      <c r="M406" s="259">
        <v>118</v>
      </c>
      <c r="N406" s="259">
        <v>715</v>
      </c>
      <c r="O406" s="260">
        <v>14</v>
      </c>
      <c r="Q406" s="80">
        <v>90</v>
      </c>
      <c r="R406" s="259">
        <v>54</v>
      </c>
      <c r="S406" s="259">
        <v>710</v>
      </c>
      <c r="T406" s="260">
        <v>50</v>
      </c>
      <c r="V406" s="80" t="str">
        <v/>
      </c>
      <c r="W406" s="259" t="str">
        <v/>
      </c>
      <c r="X406" s="259" t="str">
        <v/>
      </c>
      <c r="Y406" s="260" t="str">
        <v/>
      </c>
      <c r="AA406" s="80" t="str">
        <v/>
      </c>
      <c r="AB406" s="259" t="str">
        <v/>
      </c>
      <c r="AC406" s="259" t="str">
        <v/>
      </c>
      <c r="AD406" s="260" t="str">
        <v/>
      </c>
      <c r="AF406" s="80" t="str">
        <v/>
      </c>
      <c r="AG406" s="259" t="str">
        <v/>
      </c>
      <c r="AH406" s="259" t="str">
        <v/>
      </c>
      <c r="AI406" s="260" t="str">
        <v/>
      </c>
      <c r="AK406" s="80" t="str">
        <v/>
      </c>
      <c r="AL406" s="259" t="str">
        <v/>
      </c>
      <c r="AM406" s="259" t="str">
        <v/>
      </c>
      <c r="AN406" s="260" t="str">
        <v/>
      </c>
      <c r="AP406" s="80">
        <v>90</v>
      </c>
      <c r="AQ406" s="259">
        <v>32</v>
      </c>
      <c r="AR406" s="259">
        <v>900</v>
      </c>
      <c r="AS406" s="260">
        <v>14</v>
      </c>
      <c r="AT406" s="288"/>
      <c r="AU406" s="80" t="str">
        <v/>
      </c>
      <c r="AV406" s="259" t="str">
        <v/>
      </c>
      <c r="AW406" s="259" t="str">
        <v/>
      </c>
      <c r="AX406" s="260" t="str">
        <v/>
      </c>
      <c r="AZ406" s="80" t="str">
        <v/>
      </c>
      <c r="BA406" s="259" t="str">
        <v/>
      </c>
      <c r="BB406" s="259" t="str">
        <v/>
      </c>
      <c r="BC406" s="260" t="str">
        <v/>
      </c>
      <c r="BE406" s="80" t="str">
        <v/>
      </c>
      <c r="BF406" s="259" t="str">
        <v/>
      </c>
      <c r="BG406" s="259" t="str">
        <v/>
      </c>
      <c r="BH406" s="260" t="str">
        <v/>
      </c>
      <c r="BI406" s="288"/>
      <c r="BJ406" s="80" t="str">
        <v/>
      </c>
      <c r="BK406" s="259" t="str">
        <v/>
      </c>
      <c r="BL406" s="259" t="str">
        <v/>
      </c>
      <c r="BM406" s="260" t="str">
        <v/>
      </c>
      <c r="BO406" s="80" t="str">
        <v/>
      </c>
      <c r="BP406" s="259" t="str">
        <v/>
      </c>
      <c r="BQ406" s="259" t="str">
        <v/>
      </c>
      <c r="BR406" s="260" t="str">
        <v/>
      </c>
      <c r="BT406" s="80" t="str">
        <v/>
      </c>
      <c r="BU406" s="259" t="str">
        <v/>
      </c>
      <c r="BV406" s="259" t="str">
        <v/>
      </c>
      <c r="BW406" s="260" t="str">
        <v/>
      </c>
      <c r="BX406" s="288"/>
      <c r="CM406" s="96"/>
    </row>
    <row r="407" spans="1:91">
      <c r="A407" s="285"/>
      <c r="B407" s="80">
        <v>45</v>
      </c>
      <c r="C407" s="259">
        <v>96.5</v>
      </c>
      <c r="D407" s="259">
        <v>691</v>
      </c>
      <c r="E407" s="260">
        <v>18</v>
      </c>
      <c r="G407" s="80">
        <v>45</v>
      </c>
      <c r="H407" s="259">
        <v>96.5</v>
      </c>
      <c r="I407" s="259">
        <v>691</v>
      </c>
      <c r="J407" s="260">
        <v>18</v>
      </c>
      <c r="L407" s="80">
        <v>90</v>
      </c>
      <c r="M407" s="259">
        <v>75</v>
      </c>
      <c r="N407" s="259">
        <v>725</v>
      </c>
      <c r="O407" s="260">
        <v>14</v>
      </c>
      <c r="Q407" s="80">
        <v>90</v>
      </c>
      <c r="R407" s="259">
        <v>96</v>
      </c>
      <c r="S407" s="259">
        <v>710</v>
      </c>
      <c r="T407" s="260">
        <v>50</v>
      </c>
      <c r="V407" s="80" t="str">
        <v/>
      </c>
      <c r="W407" s="259" t="str">
        <v/>
      </c>
      <c r="X407" s="259" t="str">
        <v/>
      </c>
      <c r="Y407" s="260" t="str">
        <v/>
      </c>
      <c r="AA407" s="80" t="str">
        <v/>
      </c>
      <c r="AB407" s="259" t="str">
        <v/>
      </c>
      <c r="AC407" s="259" t="str">
        <v/>
      </c>
      <c r="AD407" s="260" t="str">
        <v/>
      </c>
      <c r="AF407" s="80" t="str">
        <v/>
      </c>
      <c r="AG407" s="259" t="str">
        <v/>
      </c>
      <c r="AH407" s="259" t="str">
        <v/>
      </c>
      <c r="AI407" s="260" t="str">
        <v/>
      </c>
      <c r="AK407" s="80" t="str">
        <v/>
      </c>
      <c r="AL407" s="259" t="str">
        <v/>
      </c>
      <c r="AM407" s="259" t="str">
        <v/>
      </c>
      <c r="AN407" s="260" t="str">
        <v/>
      </c>
      <c r="AP407" s="80">
        <v>90</v>
      </c>
      <c r="AQ407" s="259">
        <v>75</v>
      </c>
      <c r="AR407" s="259">
        <v>900</v>
      </c>
      <c r="AS407" s="260">
        <v>14</v>
      </c>
      <c r="AT407" s="288"/>
      <c r="AU407" s="80" t="str">
        <v/>
      </c>
      <c r="AV407" s="259" t="str">
        <v/>
      </c>
      <c r="AW407" s="259" t="str">
        <v/>
      </c>
      <c r="AX407" s="260" t="str">
        <v/>
      </c>
      <c r="AZ407" s="80" t="str">
        <v/>
      </c>
      <c r="BA407" s="259" t="str">
        <v/>
      </c>
      <c r="BB407" s="259" t="str">
        <v/>
      </c>
      <c r="BC407" s="260" t="str">
        <v/>
      </c>
      <c r="BE407" s="80" t="str">
        <v/>
      </c>
      <c r="BF407" s="259" t="str">
        <v/>
      </c>
      <c r="BG407" s="259" t="str">
        <v/>
      </c>
      <c r="BH407" s="260" t="str">
        <v/>
      </c>
      <c r="BI407" s="288"/>
      <c r="BJ407" s="80" t="str">
        <v/>
      </c>
      <c r="BK407" s="259" t="str">
        <v/>
      </c>
      <c r="BL407" s="259" t="str">
        <v/>
      </c>
      <c r="BM407" s="260" t="str">
        <v/>
      </c>
      <c r="BO407" s="80" t="str">
        <v/>
      </c>
      <c r="BP407" s="259" t="str">
        <v/>
      </c>
      <c r="BQ407" s="259" t="str">
        <v/>
      </c>
      <c r="BR407" s="260" t="str">
        <v/>
      </c>
      <c r="BT407" s="80" t="str">
        <v/>
      </c>
      <c r="BU407" s="259" t="str">
        <v/>
      </c>
      <c r="BV407" s="259" t="str">
        <v/>
      </c>
      <c r="BW407" s="260" t="str">
        <v/>
      </c>
      <c r="BX407" s="288"/>
      <c r="CM407" s="96"/>
    </row>
    <row r="408" spans="1:91">
      <c r="A408" s="285"/>
      <c r="B408" s="80">
        <v>45</v>
      </c>
      <c r="C408" s="259">
        <v>10.5</v>
      </c>
      <c r="D408" s="259">
        <v>720</v>
      </c>
      <c r="E408" s="260">
        <v>18</v>
      </c>
      <c r="G408" s="80">
        <v>45</v>
      </c>
      <c r="H408" s="259">
        <v>10.5</v>
      </c>
      <c r="I408" s="259">
        <v>720</v>
      </c>
      <c r="J408" s="260">
        <v>18</v>
      </c>
      <c r="L408" s="80">
        <v>45</v>
      </c>
      <c r="M408" s="259">
        <v>10.5</v>
      </c>
      <c r="N408" s="259">
        <v>729</v>
      </c>
      <c r="O408" s="260">
        <v>18</v>
      </c>
      <c r="Q408" s="80">
        <v>90</v>
      </c>
      <c r="R408" s="259">
        <v>10</v>
      </c>
      <c r="S408" s="259">
        <v>720</v>
      </c>
      <c r="T408" s="260">
        <v>50</v>
      </c>
      <c r="V408" s="80" t="str">
        <v/>
      </c>
      <c r="W408" s="259" t="str">
        <v/>
      </c>
      <c r="X408" s="259" t="str">
        <v/>
      </c>
      <c r="Y408" s="260" t="str">
        <v/>
      </c>
      <c r="AA408" s="80" t="str">
        <v/>
      </c>
      <c r="AB408" s="259" t="str">
        <v/>
      </c>
      <c r="AC408" s="259" t="str">
        <v/>
      </c>
      <c r="AD408" s="260" t="str">
        <v/>
      </c>
      <c r="AF408" s="80" t="str">
        <v/>
      </c>
      <c r="AG408" s="259" t="str">
        <v/>
      </c>
      <c r="AH408" s="259" t="str">
        <v/>
      </c>
      <c r="AI408" s="260" t="str">
        <v/>
      </c>
      <c r="AK408" s="80" t="str">
        <v/>
      </c>
      <c r="AL408" s="259" t="str">
        <v/>
      </c>
      <c r="AM408" s="259" t="str">
        <v/>
      </c>
      <c r="AN408" s="260" t="str">
        <v/>
      </c>
      <c r="AP408" s="80">
        <v>90</v>
      </c>
      <c r="AQ408" s="259">
        <v>118</v>
      </c>
      <c r="AR408" s="259">
        <v>900</v>
      </c>
      <c r="AS408" s="260">
        <v>14</v>
      </c>
      <c r="AT408" s="288"/>
      <c r="AU408" s="80" t="str">
        <v/>
      </c>
      <c r="AV408" s="259" t="str">
        <v/>
      </c>
      <c r="AW408" s="259" t="str">
        <v/>
      </c>
      <c r="AX408" s="260" t="str">
        <v/>
      </c>
      <c r="AZ408" s="80" t="str">
        <v/>
      </c>
      <c r="BA408" s="259" t="str">
        <v/>
      </c>
      <c r="BB408" s="259" t="str">
        <v/>
      </c>
      <c r="BC408" s="260" t="str">
        <v/>
      </c>
      <c r="BE408" s="80" t="str">
        <v/>
      </c>
      <c r="BF408" s="259" t="str">
        <v/>
      </c>
      <c r="BG408" s="259" t="str">
        <v/>
      </c>
      <c r="BH408" s="260" t="str">
        <v/>
      </c>
      <c r="BI408" s="288"/>
      <c r="BJ408" s="80" t="str">
        <v/>
      </c>
      <c r="BK408" s="259" t="str">
        <v/>
      </c>
      <c r="BL408" s="259" t="str">
        <v/>
      </c>
      <c r="BM408" s="260" t="str">
        <v/>
      </c>
      <c r="BO408" s="80" t="str">
        <v/>
      </c>
      <c r="BP408" s="259" t="str">
        <v/>
      </c>
      <c r="BQ408" s="259" t="str">
        <v/>
      </c>
      <c r="BR408" s="260" t="str">
        <v/>
      </c>
      <c r="BT408" s="80" t="str">
        <v/>
      </c>
      <c r="BU408" s="259" t="str">
        <v/>
      </c>
      <c r="BV408" s="259" t="str">
        <v/>
      </c>
      <c r="BW408" s="260" t="str">
        <v/>
      </c>
      <c r="BX408" s="288"/>
      <c r="CM408" s="96"/>
    </row>
    <row r="409" spans="1:91">
      <c r="A409" s="285"/>
      <c r="B409" s="80">
        <v>45</v>
      </c>
      <c r="C409" s="259">
        <v>139.5</v>
      </c>
      <c r="D409" s="259">
        <v>720</v>
      </c>
      <c r="E409" s="260">
        <v>18</v>
      </c>
      <c r="G409" s="80">
        <v>45</v>
      </c>
      <c r="H409" s="259">
        <v>139.5</v>
      </c>
      <c r="I409" s="259">
        <v>720</v>
      </c>
      <c r="J409" s="260">
        <v>18</v>
      </c>
      <c r="L409" s="80">
        <v>45</v>
      </c>
      <c r="M409" s="259">
        <v>139.5</v>
      </c>
      <c r="N409" s="259">
        <v>729</v>
      </c>
      <c r="O409" s="260">
        <v>18</v>
      </c>
      <c r="Q409" s="80">
        <v>90</v>
      </c>
      <c r="R409" s="259">
        <v>140</v>
      </c>
      <c r="S409" s="259">
        <v>720</v>
      </c>
      <c r="T409" s="260">
        <v>50</v>
      </c>
      <c r="V409" s="80" t="str">
        <v/>
      </c>
      <c r="W409" s="259" t="str">
        <v/>
      </c>
      <c r="X409" s="259" t="str">
        <v/>
      </c>
      <c r="Y409" s="260" t="str">
        <v/>
      </c>
      <c r="AA409" s="80" t="str">
        <v/>
      </c>
      <c r="AB409" s="259" t="str">
        <v/>
      </c>
      <c r="AC409" s="259" t="str">
        <v/>
      </c>
      <c r="AD409" s="260" t="str">
        <v/>
      </c>
      <c r="AF409" s="80" t="str">
        <v/>
      </c>
      <c r="AG409" s="259" t="str">
        <v/>
      </c>
      <c r="AH409" s="259" t="str">
        <v/>
      </c>
      <c r="AI409" s="260" t="str">
        <v/>
      </c>
      <c r="AK409" s="80" t="str">
        <v/>
      </c>
      <c r="AL409" s="259" t="str">
        <v/>
      </c>
      <c r="AM409" s="259" t="str">
        <v/>
      </c>
      <c r="AN409" s="260" t="str">
        <v/>
      </c>
      <c r="AP409" s="80">
        <v>45</v>
      </c>
      <c r="AQ409" s="259">
        <v>10</v>
      </c>
      <c r="AR409" s="259">
        <v>923</v>
      </c>
      <c r="AS409" s="260">
        <v>18</v>
      </c>
      <c r="AT409" s="288"/>
      <c r="AU409" s="80" t="str">
        <v/>
      </c>
      <c r="AV409" s="259" t="str">
        <v/>
      </c>
      <c r="AW409" s="259" t="str">
        <v/>
      </c>
      <c r="AX409" s="260" t="str">
        <v/>
      </c>
      <c r="AZ409" s="80" t="str">
        <v/>
      </c>
      <c r="BA409" s="259" t="str">
        <v/>
      </c>
      <c r="BB409" s="259" t="str">
        <v/>
      </c>
      <c r="BC409" s="260" t="str">
        <v/>
      </c>
      <c r="BE409" s="80" t="str">
        <v/>
      </c>
      <c r="BF409" s="259" t="str">
        <v/>
      </c>
      <c r="BG409" s="259" t="str">
        <v/>
      </c>
      <c r="BH409" s="260" t="str">
        <v/>
      </c>
      <c r="BI409" s="288"/>
      <c r="BJ409" s="80" t="str">
        <v/>
      </c>
      <c r="BK409" s="259" t="str">
        <v/>
      </c>
      <c r="BL409" s="259" t="str">
        <v/>
      </c>
      <c r="BM409" s="260" t="str">
        <v/>
      </c>
      <c r="BO409" s="80" t="str">
        <v/>
      </c>
      <c r="BP409" s="259" t="str">
        <v/>
      </c>
      <c r="BQ409" s="259" t="str">
        <v/>
      </c>
      <c r="BR409" s="260" t="str">
        <v/>
      </c>
      <c r="BT409" s="80" t="str">
        <v/>
      </c>
      <c r="BU409" s="259" t="str">
        <v/>
      </c>
      <c r="BV409" s="259" t="str">
        <v/>
      </c>
      <c r="BW409" s="260" t="str">
        <v/>
      </c>
      <c r="BX409" s="288"/>
      <c r="CM409" s="96"/>
    </row>
    <row r="410" spans="1:91">
      <c r="A410" s="285"/>
      <c r="B410" s="80">
        <v>45</v>
      </c>
      <c r="C410" s="259">
        <v>53.5</v>
      </c>
      <c r="D410" s="259">
        <v>748</v>
      </c>
      <c r="E410" s="260">
        <v>18</v>
      </c>
      <c r="G410" s="80">
        <v>45</v>
      </c>
      <c r="H410" s="259">
        <v>53.5</v>
      </c>
      <c r="I410" s="259">
        <v>748</v>
      </c>
      <c r="J410" s="260">
        <v>18</v>
      </c>
      <c r="L410" s="80">
        <v>90</v>
      </c>
      <c r="M410" s="259">
        <v>54</v>
      </c>
      <c r="N410" s="259">
        <v>770</v>
      </c>
      <c r="O410" s="260">
        <v>50</v>
      </c>
      <c r="Q410" s="80" t="str">
        <v/>
      </c>
      <c r="R410" s="259" t="str">
        <v/>
      </c>
      <c r="S410" s="259" t="str">
        <v/>
      </c>
      <c r="T410" s="260" t="str">
        <v/>
      </c>
      <c r="V410" s="80" t="str">
        <v/>
      </c>
      <c r="W410" s="259" t="str">
        <v/>
      </c>
      <c r="X410" s="259" t="str">
        <v/>
      </c>
      <c r="Y410" s="260" t="str">
        <v/>
      </c>
      <c r="AA410" s="80" t="str">
        <v/>
      </c>
      <c r="AB410" s="259" t="str">
        <v/>
      </c>
      <c r="AC410" s="259" t="str">
        <v/>
      </c>
      <c r="AD410" s="260" t="str">
        <v/>
      </c>
      <c r="AF410" s="80" t="str">
        <v/>
      </c>
      <c r="AG410" s="259" t="str">
        <v/>
      </c>
      <c r="AH410" s="259" t="str">
        <v/>
      </c>
      <c r="AI410" s="260" t="str">
        <v/>
      </c>
      <c r="AK410" s="80" t="str">
        <v/>
      </c>
      <c r="AL410" s="259" t="str">
        <v/>
      </c>
      <c r="AM410" s="259" t="str">
        <v/>
      </c>
      <c r="AN410" s="260" t="str">
        <v/>
      </c>
      <c r="AP410" s="80">
        <v>45</v>
      </c>
      <c r="AQ410" s="259">
        <v>54</v>
      </c>
      <c r="AR410" s="259">
        <v>923</v>
      </c>
      <c r="AS410" s="260">
        <v>18</v>
      </c>
      <c r="AT410" s="288"/>
      <c r="AU410" s="80" t="str">
        <v/>
      </c>
      <c r="AV410" s="259" t="str">
        <v/>
      </c>
      <c r="AW410" s="259" t="str">
        <v/>
      </c>
      <c r="AX410" s="260" t="str">
        <v/>
      </c>
      <c r="AZ410" s="80" t="str">
        <v/>
      </c>
      <c r="BA410" s="259" t="str">
        <v/>
      </c>
      <c r="BB410" s="259" t="str">
        <v/>
      </c>
      <c r="BC410" s="260" t="str">
        <v/>
      </c>
      <c r="BE410" s="80" t="str">
        <v/>
      </c>
      <c r="BF410" s="259" t="str">
        <v/>
      </c>
      <c r="BG410" s="259" t="str">
        <v/>
      </c>
      <c r="BH410" s="260" t="str">
        <v/>
      </c>
      <c r="BI410" s="288"/>
      <c r="BJ410" s="80" t="str">
        <v/>
      </c>
      <c r="BK410" s="259" t="str">
        <v/>
      </c>
      <c r="BL410" s="259" t="str">
        <v/>
      </c>
      <c r="BM410" s="260" t="str">
        <v/>
      </c>
      <c r="BO410" s="80" t="str">
        <v/>
      </c>
      <c r="BP410" s="259" t="str">
        <v/>
      </c>
      <c r="BQ410" s="259" t="str">
        <v/>
      </c>
      <c r="BR410" s="260" t="str">
        <v/>
      </c>
      <c r="BT410" s="80" t="str">
        <v/>
      </c>
      <c r="BU410" s="259" t="str">
        <v/>
      </c>
      <c r="BV410" s="259" t="str">
        <v/>
      </c>
      <c r="BW410" s="260" t="str">
        <v/>
      </c>
      <c r="BX410" s="288"/>
      <c r="CM410" s="96"/>
    </row>
    <row r="411" spans="1:91">
      <c r="A411" s="285"/>
      <c r="B411" s="80">
        <v>45</v>
      </c>
      <c r="C411" s="259">
        <v>96.5</v>
      </c>
      <c r="D411" s="259">
        <v>748</v>
      </c>
      <c r="E411" s="260">
        <v>18</v>
      </c>
      <c r="G411" s="80">
        <v>45</v>
      </c>
      <c r="H411" s="259">
        <v>96.5</v>
      </c>
      <c r="I411" s="259">
        <v>748</v>
      </c>
      <c r="J411" s="260">
        <v>18</v>
      </c>
      <c r="L411" s="80">
        <v>90</v>
      </c>
      <c r="M411" s="259">
        <v>96</v>
      </c>
      <c r="N411" s="259">
        <v>770</v>
      </c>
      <c r="O411" s="260">
        <v>50</v>
      </c>
      <c r="Q411" s="80" t="str">
        <v/>
      </c>
      <c r="R411" s="259" t="str">
        <v/>
      </c>
      <c r="S411" s="259" t="str">
        <v/>
      </c>
      <c r="T411" s="260" t="str">
        <v/>
      </c>
      <c r="V411" s="80" t="str">
        <v/>
      </c>
      <c r="W411" s="259" t="str">
        <v/>
      </c>
      <c r="X411" s="259" t="str">
        <v/>
      </c>
      <c r="Y411" s="260" t="str">
        <v/>
      </c>
      <c r="AA411" s="80" t="str">
        <v/>
      </c>
      <c r="AB411" s="259" t="str">
        <v/>
      </c>
      <c r="AC411" s="259" t="str">
        <v/>
      </c>
      <c r="AD411" s="260" t="str">
        <v/>
      </c>
      <c r="AF411" s="80" t="str">
        <v/>
      </c>
      <c r="AG411" s="259" t="str">
        <v/>
      </c>
      <c r="AH411" s="259" t="str">
        <v/>
      </c>
      <c r="AI411" s="260" t="str">
        <v/>
      </c>
      <c r="AK411" s="80" t="str">
        <v/>
      </c>
      <c r="AL411" s="259" t="str">
        <v/>
      </c>
      <c r="AM411" s="259" t="str">
        <v/>
      </c>
      <c r="AN411" s="260" t="str">
        <v/>
      </c>
      <c r="AP411" s="80">
        <v>45</v>
      </c>
      <c r="AQ411" s="259">
        <v>96</v>
      </c>
      <c r="AR411" s="259">
        <v>923</v>
      </c>
      <c r="AS411" s="260">
        <v>18</v>
      </c>
      <c r="AT411" s="288"/>
      <c r="AU411" s="80" t="str">
        <v/>
      </c>
      <c r="AV411" s="259" t="str">
        <v/>
      </c>
      <c r="AW411" s="259" t="str">
        <v/>
      </c>
      <c r="AX411" s="260" t="str">
        <v/>
      </c>
      <c r="AZ411" s="80" t="str">
        <v/>
      </c>
      <c r="BA411" s="259" t="str">
        <v/>
      </c>
      <c r="BB411" s="259" t="str">
        <v/>
      </c>
      <c r="BC411" s="260" t="str">
        <v/>
      </c>
      <c r="BE411" s="80" t="str">
        <v/>
      </c>
      <c r="BF411" s="259" t="str">
        <v/>
      </c>
      <c r="BG411" s="259" t="str">
        <v/>
      </c>
      <c r="BH411" s="260" t="str">
        <v/>
      </c>
      <c r="BI411" s="288"/>
      <c r="BJ411" s="80" t="str">
        <v/>
      </c>
      <c r="BK411" s="259" t="str">
        <v/>
      </c>
      <c r="BL411" s="259" t="str">
        <v/>
      </c>
      <c r="BM411" s="260" t="str">
        <v/>
      </c>
      <c r="BO411" s="80" t="str">
        <v/>
      </c>
      <c r="BP411" s="259" t="str">
        <v/>
      </c>
      <c r="BQ411" s="259" t="str">
        <v/>
      </c>
      <c r="BR411" s="260" t="str">
        <v/>
      </c>
      <c r="BT411" s="80" t="str">
        <v/>
      </c>
      <c r="BU411" s="259" t="str">
        <v/>
      </c>
      <c r="BV411" s="259" t="str">
        <v/>
      </c>
      <c r="BW411" s="260" t="str">
        <v/>
      </c>
      <c r="BX411" s="288"/>
      <c r="CM411" s="96"/>
    </row>
    <row r="412" spans="1:91">
      <c r="A412" s="285"/>
      <c r="B412" s="80">
        <v>45</v>
      </c>
      <c r="C412" s="259">
        <v>10.5</v>
      </c>
      <c r="D412" s="259">
        <v>777</v>
      </c>
      <c r="E412" s="260">
        <v>18</v>
      </c>
      <c r="G412" s="80">
        <v>90</v>
      </c>
      <c r="H412" s="259">
        <v>32</v>
      </c>
      <c r="I412" s="259">
        <v>775</v>
      </c>
      <c r="J412" s="260">
        <v>14</v>
      </c>
      <c r="L412" s="80">
        <v>90</v>
      </c>
      <c r="M412" s="259">
        <v>10</v>
      </c>
      <c r="N412" s="259">
        <v>780</v>
      </c>
      <c r="O412" s="260">
        <v>50</v>
      </c>
      <c r="Q412" s="80" t="str">
        <v/>
      </c>
      <c r="R412" s="259" t="str">
        <v/>
      </c>
      <c r="S412" s="259" t="str">
        <v/>
      </c>
      <c r="T412" s="260" t="str">
        <v/>
      </c>
      <c r="V412" s="80" t="str">
        <v/>
      </c>
      <c r="W412" s="259" t="str">
        <v/>
      </c>
      <c r="X412" s="259" t="str">
        <v/>
      </c>
      <c r="Y412" s="260" t="str">
        <v/>
      </c>
      <c r="AA412" s="80" t="str">
        <v/>
      </c>
      <c r="AB412" s="259" t="str">
        <v/>
      </c>
      <c r="AC412" s="259" t="str">
        <v/>
      </c>
      <c r="AD412" s="260" t="str">
        <v/>
      </c>
      <c r="AF412" s="80" t="str">
        <v/>
      </c>
      <c r="AG412" s="259" t="str">
        <v/>
      </c>
      <c r="AH412" s="259" t="str">
        <v/>
      </c>
      <c r="AI412" s="260" t="str">
        <v/>
      </c>
      <c r="AK412" s="80" t="str">
        <v/>
      </c>
      <c r="AL412" s="259" t="str">
        <v/>
      </c>
      <c r="AM412" s="259" t="str">
        <v/>
      </c>
      <c r="AN412" s="260" t="str">
        <v/>
      </c>
      <c r="AP412" s="80">
        <v>45</v>
      </c>
      <c r="AQ412" s="259">
        <v>140</v>
      </c>
      <c r="AR412" s="259">
        <v>923</v>
      </c>
      <c r="AS412" s="260">
        <v>18</v>
      </c>
      <c r="AT412" s="288"/>
      <c r="AU412" s="80" t="str">
        <v/>
      </c>
      <c r="AV412" s="259" t="str">
        <v/>
      </c>
      <c r="AW412" s="259" t="str">
        <v/>
      </c>
      <c r="AX412" s="260" t="str">
        <v/>
      </c>
      <c r="AZ412" s="80" t="str">
        <v/>
      </c>
      <c r="BA412" s="259" t="str">
        <v/>
      </c>
      <c r="BB412" s="259" t="str">
        <v/>
      </c>
      <c r="BC412" s="260" t="str">
        <v/>
      </c>
      <c r="BE412" s="80" t="str">
        <v/>
      </c>
      <c r="BF412" s="259" t="str">
        <v/>
      </c>
      <c r="BG412" s="259" t="str">
        <v/>
      </c>
      <c r="BH412" s="260" t="str">
        <v/>
      </c>
      <c r="BI412" s="288"/>
      <c r="BJ412" s="80" t="str">
        <v/>
      </c>
      <c r="BK412" s="259" t="str">
        <v/>
      </c>
      <c r="BL412" s="259" t="str">
        <v/>
      </c>
      <c r="BM412" s="260" t="str">
        <v/>
      </c>
      <c r="BO412" s="80" t="str">
        <v/>
      </c>
      <c r="BP412" s="259" t="str">
        <v/>
      </c>
      <c r="BQ412" s="259" t="str">
        <v/>
      </c>
      <c r="BR412" s="260" t="str">
        <v/>
      </c>
      <c r="BT412" s="80" t="str">
        <v/>
      </c>
      <c r="BU412" s="259" t="str">
        <v/>
      </c>
      <c r="BV412" s="259" t="str">
        <v/>
      </c>
      <c r="BW412" s="260" t="str">
        <v/>
      </c>
      <c r="BX412" s="288"/>
      <c r="CM412" s="96"/>
    </row>
    <row r="413" spans="1:91">
      <c r="A413" s="285"/>
      <c r="B413" s="80">
        <v>45</v>
      </c>
      <c r="C413" s="259">
        <v>139.5</v>
      </c>
      <c r="D413" s="259">
        <v>777</v>
      </c>
      <c r="E413" s="260">
        <v>18</v>
      </c>
      <c r="G413" s="80">
        <v>90</v>
      </c>
      <c r="H413" s="259">
        <v>118</v>
      </c>
      <c r="I413" s="259">
        <v>775</v>
      </c>
      <c r="J413" s="260">
        <v>14</v>
      </c>
      <c r="L413" s="80">
        <v>90</v>
      </c>
      <c r="M413" s="259">
        <v>140</v>
      </c>
      <c r="N413" s="259">
        <v>780</v>
      </c>
      <c r="O413" s="260">
        <v>50</v>
      </c>
      <c r="Q413" s="80" t="str">
        <v/>
      </c>
      <c r="R413" s="259" t="str">
        <v/>
      </c>
      <c r="S413" s="259" t="str">
        <v/>
      </c>
      <c r="T413" s="260" t="str">
        <v/>
      </c>
      <c r="V413" s="80" t="str">
        <v/>
      </c>
      <c r="W413" s="259" t="str">
        <v/>
      </c>
      <c r="X413" s="259" t="str">
        <v/>
      </c>
      <c r="Y413" s="260" t="str">
        <v/>
      </c>
      <c r="AA413" s="80" t="str">
        <v/>
      </c>
      <c r="AB413" s="259" t="str">
        <v/>
      </c>
      <c r="AC413" s="259" t="str">
        <v/>
      </c>
      <c r="AD413" s="260" t="str">
        <v/>
      </c>
      <c r="AF413" s="80" t="str">
        <v/>
      </c>
      <c r="AG413" s="259" t="str">
        <v/>
      </c>
      <c r="AH413" s="259" t="str">
        <v/>
      </c>
      <c r="AI413" s="260" t="str">
        <v/>
      </c>
      <c r="AK413" s="80" t="str">
        <v/>
      </c>
      <c r="AL413" s="259" t="str">
        <v/>
      </c>
      <c r="AM413" s="259" t="str">
        <v/>
      </c>
      <c r="AN413" s="260" t="str">
        <v/>
      </c>
      <c r="AP413" s="80">
        <v>45</v>
      </c>
      <c r="AQ413" s="259">
        <v>10</v>
      </c>
      <c r="AR413" s="259">
        <v>980</v>
      </c>
      <c r="AS413" s="260">
        <v>18</v>
      </c>
      <c r="AT413" s="288"/>
      <c r="AU413" s="80" t="str">
        <v/>
      </c>
      <c r="AV413" s="259" t="str">
        <v/>
      </c>
      <c r="AW413" s="259" t="str">
        <v/>
      </c>
      <c r="AX413" s="260" t="str">
        <v/>
      </c>
      <c r="AZ413" s="80" t="str">
        <v/>
      </c>
      <c r="BA413" s="259" t="str">
        <v/>
      </c>
      <c r="BB413" s="259" t="str">
        <v/>
      </c>
      <c r="BC413" s="260" t="str">
        <v/>
      </c>
      <c r="BE413" s="80" t="str">
        <v/>
      </c>
      <c r="BF413" s="259" t="str">
        <v/>
      </c>
      <c r="BG413" s="259" t="str">
        <v/>
      </c>
      <c r="BH413" s="260" t="str">
        <v/>
      </c>
      <c r="BI413" s="288"/>
      <c r="BJ413" s="80" t="str">
        <v/>
      </c>
      <c r="BK413" s="259" t="str">
        <v/>
      </c>
      <c r="BL413" s="259" t="str">
        <v/>
      </c>
      <c r="BM413" s="260" t="str">
        <v/>
      </c>
      <c r="BO413" s="80" t="str">
        <v/>
      </c>
      <c r="BP413" s="259" t="str">
        <v/>
      </c>
      <c r="BQ413" s="259" t="str">
        <v/>
      </c>
      <c r="BR413" s="260" t="str">
        <v/>
      </c>
      <c r="BT413" s="80" t="str">
        <v/>
      </c>
      <c r="BU413" s="259" t="str">
        <v/>
      </c>
      <c r="BV413" s="259" t="str">
        <v/>
      </c>
      <c r="BW413" s="260" t="str">
        <v/>
      </c>
      <c r="BX413" s="288"/>
      <c r="CM413" s="96"/>
    </row>
    <row r="414" spans="1:91">
      <c r="A414" s="285"/>
      <c r="B414" s="80">
        <v>90</v>
      </c>
      <c r="C414" s="259">
        <v>32</v>
      </c>
      <c r="D414" s="259">
        <v>1015</v>
      </c>
      <c r="E414" s="260">
        <v>14</v>
      </c>
      <c r="G414" s="80">
        <v>45</v>
      </c>
      <c r="H414" s="259">
        <v>10.5</v>
      </c>
      <c r="I414" s="259">
        <v>777</v>
      </c>
      <c r="J414" s="260">
        <v>18</v>
      </c>
      <c r="L414" s="80" t="str">
        <v/>
      </c>
      <c r="M414" s="259" t="str">
        <v/>
      </c>
      <c r="N414" s="259" t="str">
        <v/>
      </c>
      <c r="O414" s="260" t="str">
        <v/>
      </c>
      <c r="Q414" s="80" t="str">
        <v/>
      </c>
      <c r="R414" s="259" t="str">
        <v/>
      </c>
      <c r="S414" s="259" t="str">
        <v/>
      </c>
      <c r="T414" s="260" t="str">
        <v/>
      </c>
      <c r="V414" s="80" t="str">
        <v/>
      </c>
      <c r="W414" s="259" t="str">
        <v/>
      </c>
      <c r="X414" s="259" t="str">
        <v/>
      </c>
      <c r="Y414" s="260" t="str">
        <v/>
      </c>
      <c r="AA414" s="80" t="str">
        <v/>
      </c>
      <c r="AB414" s="259" t="str">
        <v/>
      </c>
      <c r="AC414" s="259" t="str">
        <v/>
      </c>
      <c r="AD414" s="260" t="str">
        <v/>
      </c>
      <c r="AF414" s="80" t="str">
        <v/>
      </c>
      <c r="AG414" s="259" t="str">
        <v/>
      </c>
      <c r="AH414" s="259" t="str">
        <v/>
      </c>
      <c r="AI414" s="260" t="str">
        <v/>
      </c>
      <c r="AK414" s="80" t="str">
        <v/>
      </c>
      <c r="AL414" s="259" t="str">
        <v/>
      </c>
      <c r="AM414" s="259" t="str">
        <v/>
      </c>
      <c r="AN414" s="260" t="str">
        <v/>
      </c>
      <c r="AP414" s="80">
        <v>45</v>
      </c>
      <c r="AQ414" s="259">
        <v>54</v>
      </c>
      <c r="AR414" s="259">
        <v>980</v>
      </c>
      <c r="AS414" s="260">
        <v>18</v>
      </c>
      <c r="AT414" s="288"/>
      <c r="AU414" s="80" t="str">
        <v/>
      </c>
      <c r="AV414" s="259" t="str">
        <v/>
      </c>
      <c r="AW414" s="259" t="str">
        <v/>
      </c>
      <c r="AX414" s="260" t="str">
        <v/>
      </c>
      <c r="AZ414" s="80" t="str">
        <v/>
      </c>
      <c r="BA414" s="259" t="str">
        <v/>
      </c>
      <c r="BB414" s="259" t="str">
        <v/>
      </c>
      <c r="BC414" s="260" t="str">
        <v/>
      </c>
      <c r="BE414" s="80" t="str">
        <v/>
      </c>
      <c r="BF414" s="259" t="str">
        <v/>
      </c>
      <c r="BG414" s="259" t="str">
        <v/>
      </c>
      <c r="BH414" s="260" t="str">
        <v/>
      </c>
      <c r="BI414" s="288"/>
      <c r="BJ414" s="80" t="str">
        <v/>
      </c>
      <c r="BK414" s="259" t="str">
        <v/>
      </c>
      <c r="BL414" s="259" t="str">
        <v/>
      </c>
      <c r="BM414" s="260" t="str">
        <v/>
      </c>
      <c r="BO414" s="80" t="str">
        <v/>
      </c>
      <c r="BP414" s="259" t="str">
        <v/>
      </c>
      <c r="BQ414" s="259" t="str">
        <v/>
      </c>
      <c r="BR414" s="260" t="str">
        <v/>
      </c>
      <c r="BT414" s="80" t="str">
        <v/>
      </c>
      <c r="BU414" s="259" t="str">
        <v/>
      </c>
      <c r="BV414" s="259" t="str">
        <v/>
      </c>
      <c r="BW414" s="260" t="str">
        <v/>
      </c>
      <c r="BX414" s="288"/>
      <c r="CM414" s="96"/>
    </row>
    <row r="415" spans="1:91">
      <c r="A415" s="285"/>
      <c r="B415" s="80">
        <v>90</v>
      </c>
      <c r="C415" s="259">
        <v>118</v>
      </c>
      <c r="D415" s="259">
        <v>1015</v>
      </c>
      <c r="E415" s="260">
        <v>14</v>
      </c>
      <c r="G415" s="80">
        <v>45</v>
      </c>
      <c r="H415" s="259">
        <v>139.5</v>
      </c>
      <c r="I415" s="259">
        <v>777</v>
      </c>
      <c r="J415" s="260">
        <v>18</v>
      </c>
      <c r="L415" s="80" t="str">
        <v/>
      </c>
      <c r="M415" s="259" t="str">
        <v/>
      </c>
      <c r="N415" s="259" t="str">
        <v/>
      </c>
      <c r="O415" s="260" t="str">
        <v/>
      </c>
      <c r="Q415" s="80" t="str">
        <v/>
      </c>
      <c r="R415" s="259" t="str">
        <v/>
      </c>
      <c r="S415" s="259" t="str">
        <v/>
      </c>
      <c r="T415" s="260" t="str">
        <v/>
      </c>
      <c r="V415" s="80" t="str">
        <v/>
      </c>
      <c r="W415" s="259" t="str">
        <v/>
      </c>
      <c r="X415" s="259" t="str">
        <v/>
      </c>
      <c r="Y415" s="260" t="str">
        <v/>
      </c>
      <c r="AA415" s="80" t="str">
        <v/>
      </c>
      <c r="AB415" s="259" t="str">
        <v/>
      </c>
      <c r="AC415" s="259" t="str">
        <v/>
      </c>
      <c r="AD415" s="260" t="str">
        <v/>
      </c>
      <c r="AF415" s="80" t="str">
        <v/>
      </c>
      <c r="AG415" s="259" t="str">
        <v/>
      </c>
      <c r="AH415" s="259" t="str">
        <v/>
      </c>
      <c r="AI415" s="260" t="str">
        <v/>
      </c>
      <c r="AK415" s="80" t="str">
        <v/>
      </c>
      <c r="AL415" s="259" t="str">
        <v/>
      </c>
      <c r="AM415" s="259" t="str">
        <v/>
      </c>
      <c r="AN415" s="260" t="str">
        <v/>
      </c>
      <c r="AP415" s="80">
        <v>45</v>
      </c>
      <c r="AQ415" s="259">
        <v>96</v>
      </c>
      <c r="AR415" s="259">
        <v>980</v>
      </c>
      <c r="AS415" s="260">
        <v>18</v>
      </c>
      <c r="AT415" s="288"/>
      <c r="AU415" s="80" t="str">
        <v/>
      </c>
      <c r="AV415" s="259" t="str">
        <v/>
      </c>
      <c r="AW415" s="259" t="str">
        <v/>
      </c>
      <c r="AX415" s="260" t="str">
        <v/>
      </c>
      <c r="AZ415" s="80" t="str">
        <v/>
      </c>
      <c r="BA415" s="259" t="str">
        <v/>
      </c>
      <c r="BB415" s="259" t="str">
        <v/>
      </c>
      <c r="BC415" s="260" t="str">
        <v/>
      </c>
      <c r="BE415" s="80" t="str">
        <v/>
      </c>
      <c r="BF415" s="259" t="str">
        <v/>
      </c>
      <c r="BG415" s="259" t="str">
        <v/>
      </c>
      <c r="BH415" s="260" t="str">
        <v/>
      </c>
      <c r="BI415" s="288"/>
      <c r="BJ415" s="80" t="str">
        <v/>
      </c>
      <c r="BK415" s="259" t="str">
        <v/>
      </c>
      <c r="BL415" s="259" t="str">
        <v/>
      </c>
      <c r="BM415" s="260" t="str">
        <v/>
      </c>
      <c r="BO415" s="80" t="str">
        <v/>
      </c>
      <c r="BP415" s="259" t="str">
        <v/>
      </c>
      <c r="BQ415" s="259" t="str">
        <v/>
      </c>
      <c r="BR415" s="260" t="str">
        <v/>
      </c>
      <c r="BT415" s="80" t="str">
        <v/>
      </c>
      <c r="BU415" s="259" t="str">
        <v/>
      </c>
      <c r="BV415" s="259" t="str">
        <v/>
      </c>
      <c r="BW415" s="260" t="str">
        <v/>
      </c>
      <c r="BX415" s="288"/>
      <c r="CM415" s="96"/>
    </row>
    <row r="416" spans="1:91">
      <c r="A416" s="285"/>
      <c r="B416" s="80">
        <v>90</v>
      </c>
      <c r="C416" s="259">
        <v>75</v>
      </c>
      <c r="D416" s="259">
        <v>1025</v>
      </c>
      <c r="E416" s="260">
        <v>14</v>
      </c>
      <c r="G416" s="80">
        <v>90</v>
      </c>
      <c r="H416" s="259">
        <v>75</v>
      </c>
      <c r="I416" s="259">
        <v>785</v>
      </c>
      <c r="J416" s="260">
        <v>14</v>
      </c>
      <c r="L416" s="80" t="str">
        <v/>
      </c>
      <c r="M416" s="259" t="str">
        <v/>
      </c>
      <c r="N416" s="259" t="str">
        <v/>
      </c>
      <c r="O416" s="260" t="str">
        <v/>
      </c>
      <c r="Q416" s="80" t="str">
        <v/>
      </c>
      <c r="R416" s="259" t="str">
        <v/>
      </c>
      <c r="S416" s="259" t="str">
        <v/>
      </c>
      <c r="T416" s="260" t="str">
        <v/>
      </c>
      <c r="V416" s="80" t="str">
        <v/>
      </c>
      <c r="W416" s="259" t="str">
        <v/>
      </c>
      <c r="X416" s="259" t="str">
        <v/>
      </c>
      <c r="Y416" s="260" t="str">
        <v/>
      </c>
      <c r="AA416" s="80" t="str">
        <v/>
      </c>
      <c r="AB416" s="259" t="str">
        <v/>
      </c>
      <c r="AC416" s="259" t="str">
        <v/>
      </c>
      <c r="AD416" s="260" t="str">
        <v/>
      </c>
      <c r="AF416" s="80" t="str">
        <v/>
      </c>
      <c r="AG416" s="259" t="str">
        <v/>
      </c>
      <c r="AH416" s="259" t="str">
        <v/>
      </c>
      <c r="AI416" s="260" t="str">
        <v/>
      </c>
      <c r="AK416" s="80" t="str">
        <v/>
      </c>
      <c r="AL416" s="259" t="str">
        <v/>
      </c>
      <c r="AM416" s="259" t="str">
        <v/>
      </c>
      <c r="AN416" s="260" t="str">
        <v/>
      </c>
      <c r="AP416" s="80">
        <v>45</v>
      </c>
      <c r="AQ416" s="259">
        <v>140</v>
      </c>
      <c r="AR416" s="259">
        <v>980</v>
      </c>
      <c r="AS416" s="260">
        <v>18</v>
      </c>
      <c r="AT416" s="288"/>
      <c r="AU416" s="80" t="str">
        <v/>
      </c>
      <c r="AV416" s="259" t="str">
        <v/>
      </c>
      <c r="AW416" s="259" t="str">
        <v/>
      </c>
      <c r="AX416" s="260" t="str">
        <v/>
      </c>
      <c r="AZ416" s="80" t="str">
        <v/>
      </c>
      <c r="BA416" s="259" t="str">
        <v/>
      </c>
      <c r="BB416" s="259" t="str">
        <v/>
      </c>
      <c r="BC416" s="260" t="str">
        <v/>
      </c>
      <c r="BE416" s="80" t="str">
        <v/>
      </c>
      <c r="BF416" s="259" t="str">
        <v/>
      </c>
      <c r="BG416" s="259" t="str">
        <v/>
      </c>
      <c r="BH416" s="260" t="str">
        <v/>
      </c>
      <c r="BI416" s="288"/>
      <c r="BJ416" s="80" t="str">
        <v/>
      </c>
      <c r="BK416" s="259" t="str">
        <v/>
      </c>
      <c r="BL416" s="259" t="str">
        <v/>
      </c>
      <c r="BM416" s="260" t="str">
        <v/>
      </c>
      <c r="BO416" s="80" t="str">
        <v/>
      </c>
      <c r="BP416" s="259" t="str">
        <v/>
      </c>
      <c r="BQ416" s="259" t="str">
        <v/>
      </c>
      <c r="BR416" s="260" t="str">
        <v/>
      </c>
      <c r="BT416" s="80" t="str">
        <v/>
      </c>
      <c r="BU416" s="259" t="str">
        <v/>
      </c>
      <c r="BV416" s="259" t="str">
        <v/>
      </c>
      <c r="BW416" s="260" t="str">
        <v/>
      </c>
      <c r="BX416" s="288"/>
      <c r="CM416" s="96"/>
    </row>
    <row r="417" spans="1:91">
      <c r="A417" s="285"/>
      <c r="B417" s="80">
        <v>90</v>
      </c>
      <c r="C417" s="259">
        <v>54</v>
      </c>
      <c r="D417" s="259">
        <v>1070</v>
      </c>
      <c r="E417" s="260">
        <v>50</v>
      </c>
      <c r="G417" s="80">
        <v>90</v>
      </c>
      <c r="H417" s="259">
        <v>54</v>
      </c>
      <c r="I417" s="259">
        <v>830</v>
      </c>
      <c r="J417" s="260">
        <v>50</v>
      </c>
      <c r="L417" s="80" t="str">
        <v/>
      </c>
      <c r="M417" s="259" t="str">
        <v/>
      </c>
      <c r="N417" s="259" t="str">
        <v/>
      </c>
      <c r="O417" s="260" t="str">
        <v/>
      </c>
      <c r="Q417" s="80" t="str">
        <v/>
      </c>
      <c r="R417" s="259" t="str">
        <v/>
      </c>
      <c r="S417" s="259" t="str">
        <v/>
      </c>
      <c r="T417" s="260" t="str">
        <v/>
      </c>
      <c r="V417" s="80" t="str">
        <v/>
      </c>
      <c r="W417" s="259" t="str">
        <v/>
      </c>
      <c r="X417" s="259" t="str">
        <v/>
      </c>
      <c r="Y417" s="260" t="str">
        <v/>
      </c>
      <c r="AA417" s="80" t="str">
        <v/>
      </c>
      <c r="AB417" s="259" t="str">
        <v/>
      </c>
      <c r="AC417" s="259" t="str">
        <v/>
      </c>
      <c r="AD417" s="260" t="str">
        <v/>
      </c>
      <c r="AF417" s="80" t="str">
        <v/>
      </c>
      <c r="AG417" s="259" t="str">
        <v/>
      </c>
      <c r="AH417" s="259" t="str">
        <v/>
      </c>
      <c r="AI417" s="260" t="str">
        <v/>
      </c>
      <c r="AK417" s="80" t="str">
        <v/>
      </c>
      <c r="AL417" s="259" t="str">
        <v/>
      </c>
      <c r="AM417" s="259" t="str">
        <v/>
      </c>
      <c r="AN417" s="260" t="str">
        <v/>
      </c>
      <c r="AP417" s="80">
        <v>90</v>
      </c>
      <c r="AQ417" s="259">
        <v>54</v>
      </c>
      <c r="AR417" s="259">
        <v>1005</v>
      </c>
      <c r="AS417" s="260">
        <v>50</v>
      </c>
      <c r="AT417" s="288"/>
      <c r="AU417" s="80" t="str">
        <v/>
      </c>
      <c r="AV417" s="259" t="str">
        <v/>
      </c>
      <c r="AW417" s="259" t="str">
        <v/>
      </c>
      <c r="AX417" s="260" t="str">
        <v/>
      </c>
      <c r="AZ417" s="80" t="str">
        <v/>
      </c>
      <c r="BA417" s="259" t="str">
        <v/>
      </c>
      <c r="BB417" s="259" t="str">
        <v/>
      </c>
      <c r="BC417" s="260" t="str">
        <v/>
      </c>
      <c r="BE417" s="80" t="str">
        <v/>
      </c>
      <c r="BF417" s="259" t="str">
        <v/>
      </c>
      <c r="BG417" s="259" t="str">
        <v/>
      </c>
      <c r="BH417" s="260" t="str">
        <v/>
      </c>
      <c r="BI417" s="288"/>
      <c r="BJ417" s="80" t="str">
        <v/>
      </c>
      <c r="BK417" s="259" t="str">
        <v/>
      </c>
      <c r="BL417" s="259" t="str">
        <v/>
      </c>
      <c r="BM417" s="260" t="str">
        <v/>
      </c>
      <c r="BO417" s="80" t="str">
        <v/>
      </c>
      <c r="BP417" s="259" t="str">
        <v/>
      </c>
      <c r="BQ417" s="259" t="str">
        <v/>
      </c>
      <c r="BR417" s="260" t="str">
        <v/>
      </c>
      <c r="BT417" s="80" t="str">
        <v/>
      </c>
      <c r="BU417" s="259" t="str">
        <v/>
      </c>
      <c r="BV417" s="259" t="str">
        <v/>
      </c>
      <c r="BW417" s="260" t="str">
        <v/>
      </c>
      <c r="BX417" s="288"/>
      <c r="CM417" s="96"/>
    </row>
    <row r="418" spans="1:91">
      <c r="A418" s="285"/>
      <c r="B418" s="80">
        <v>90</v>
      </c>
      <c r="C418" s="259">
        <v>96</v>
      </c>
      <c r="D418" s="259">
        <v>1070</v>
      </c>
      <c r="E418" s="260">
        <v>50</v>
      </c>
      <c r="G418" s="80">
        <v>90</v>
      </c>
      <c r="H418" s="259">
        <v>96</v>
      </c>
      <c r="I418" s="259">
        <v>830</v>
      </c>
      <c r="J418" s="260">
        <v>50</v>
      </c>
      <c r="L418" s="80" t="str">
        <v/>
      </c>
      <c r="M418" s="259" t="str">
        <v/>
      </c>
      <c r="N418" s="259" t="str">
        <v/>
      </c>
      <c r="O418" s="260" t="str">
        <v/>
      </c>
      <c r="Q418" s="80" t="str">
        <v/>
      </c>
      <c r="R418" s="259" t="str">
        <v/>
      </c>
      <c r="S418" s="259" t="str">
        <v/>
      </c>
      <c r="T418" s="260" t="str">
        <v/>
      </c>
      <c r="V418" s="80" t="str">
        <v/>
      </c>
      <c r="W418" s="259" t="str">
        <v/>
      </c>
      <c r="X418" s="259" t="str">
        <v/>
      </c>
      <c r="Y418" s="260" t="str">
        <v/>
      </c>
      <c r="AA418" s="80" t="str">
        <v/>
      </c>
      <c r="AB418" s="259" t="str">
        <v/>
      </c>
      <c r="AC418" s="259" t="str">
        <v/>
      </c>
      <c r="AD418" s="260" t="str">
        <v/>
      </c>
      <c r="AF418" s="80" t="str">
        <v/>
      </c>
      <c r="AG418" s="259" t="str">
        <v/>
      </c>
      <c r="AH418" s="259" t="str">
        <v/>
      </c>
      <c r="AI418" s="260" t="str">
        <v/>
      </c>
      <c r="AK418" s="80" t="str">
        <v/>
      </c>
      <c r="AL418" s="259" t="str">
        <v/>
      </c>
      <c r="AM418" s="259" t="str">
        <v/>
      </c>
      <c r="AN418" s="260" t="str">
        <v/>
      </c>
      <c r="AP418" s="80">
        <v>90</v>
      </c>
      <c r="AQ418" s="259">
        <v>96</v>
      </c>
      <c r="AR418" s="259">
        <v>1005</v>
      </c>
      <c r="AS418" s="260">
        <v>50</v>
      </c>
      <c r="AT418" s="288"/>
      <c r="AU418" s="80" t="str">
        <v/>
      </c>
      <c r="AV418" s="259" t="str">
        <v/>
      </c>
      <c r="AW418" s="259" t="str">
        <v/>
      </c>
      <c r="AX418" s="260" t="str">
        <v/>
      </c>
      <c r="AZ418" s="80" t="str">
        <v/>
      </c>
      <c r="BA418" s="259" t="str">
        <v/>
      </c>
      <c r="BB418" s="259" t="str">
        <v/>
      </c>
      <c r="BC418" s="260" t="str">
        <v/>
      </c>
      <c r="BE418" s="80" t="str">
        <v/>
      </c>
      <c r="BF418" s="259" t="str">
        <v/>
      </c>
      <c r="BG418" s="259" t="str">
        <v/>
      </c>
      <c r="BH418" s="260" t="str">
        <v/>
      </c>
      <c r="BI418" s="288"/>
      <c r="BJ418" s="80" t="str">
        <v/>
      </c>
      <c r="BK418" s="259" t="str">
        <v/>
      </c>
      <c r="BL418" s="259" t="str">
        <v/>
      </c>
      <c r="BM418" s="260" t="str">
        <v/>
      </c>
      <c r="BO418" s="80" t="str">
        <v/>
      </c>
      <c r="BP418" s="259" t="str">
        <v/>
      </c>
      <c r="BQ418" s="259" t="str">
        <v/>
      </c>
      <c r="BR418" s="260" t="str">
        <v/>
      </c>
      <c r="BT418" s="80" t="str">
        <v/>
      </c>
      <c r="BU418" s="259" t="str">
        <v/>
      </c>
      <c r="BV418" s="259" t="str">
        <v/>
      </c>
      <c r="BW418" s="260" t="str">
        <v/>
      </c>
      <c r="BX418" s="288"/>
      <c r="CM418" s="96"/>
    </row>
    <row r="419" spans="1:91">
      <c r="A419" s="285"/>
      <c r="B419" s="80">
        <v>90</v>
      </c>
      <c r="C419" s="259">
        <v>10</v>
      </c>
      <c r="D419" s="259">
        <v>1080</v>
      </c>
      <c r="E419" s="260">
        <v>50</v>
      </c>
      <c r="G419" s="80">
        <v>90</v>
      </c>
      <c r="H419" s="259">
        <v>10</v>
      </c>
      <c r="I419" s="259">
        <v>840</v>
      </c>
      <c r="J419" s="260">
        <v>50</v>
      </c>
      <c r="L419" s="80" t="str">
        <v/>
      </c>
      <c r="M419" s="259" t="str">
        <v/>
      </c>
      <c r="N419" s="259" t="str">
        <v/>
      </c>
      <c r="O419" s="260" t="str">
        <v/>
      </c>
      <c r="Q419" s="80" t="str">
        <v/>
      </c>
      <c r="R419" s="259" t="str">
        <v/>
      </c>
      <c r="S419" s="259" t="str">
        <v/>
      </c>
      <c r="T419" s="260" t="str">
        <v/>
      </c>
      <c r="V419" s="80" t="str">
        <v/>
      </c>
      <c r="W419" s="259" t="str">
        <v/>
      </c>
      <c r="X419" s="259" t="str">
        <v/>
      </c>
      <c r="Y419" s="260" t="str">
        <v/>
      </c>
      <c r="AA419" s="80" t="str">
        <v/>
      </c>
      <c r="AB419" s="259" t="str">
        <v/>
      </c>
      <c r="AC419" s="259" t="str">
        <v/>
      </c>
      <c r="AD419" s="260" t="str">
        <v/>
      </c>
      <c r="AF419" s="80" t="str">
        <v/>
      </c>
      <c r="AG419" s="259" t="str">
        <v/>
      </c>
      <c r="AH419" s="259" t="str">
        <v/>
      </c>
      <c r="AI419" s="260" t="str">
        <v/>
      </c>
      <c r="AK419" s="80" t="str">
        <v/>
      </c>
      <c r="AL419" s="259" t="str">
        <v/>
      </c>
      <c r="AM419" s="259" t="str">
        <v/>
      </c>
      <c r="AN419" s="260" t="str">
        <v/>
      </c>
      <c r="AP419" s="80">
        <v>90</v>
      </c>
      <c r="AQ419" s="259">
        <v>10</v>
      </c>
      <c r="AR419" s="259">
        <v>1015</v>
      </c>
      <c r="AS419" s="260">
        <v>50</v>
      </c>
      <c r="AT419" s="288"/>
      <c r="AU419" s="80" t="str">
        <v/>
      </c>
      <c r="AV419" s="259" t="str">
        <v/>
      </c>
      <c r="AW419" s="259" t="str">
        <v/>
      </c>
      <c r="AX419" s="260" t="str">
        <v/>
      </c>
      <c r="AZ419" s="80" t="str">
        <v/>
      </c>
      <c r="BA419" s="259" t="str">
        <v/>
      </c>
      <c r="BB419" s="259" t="str">
        <v/>
      </c>
      <c r="BC419" s="260" t="str">
        <v/>
      </c>
      <c r="BE419" s="80" t="str">
        <v/>
      </c>
      <c r="BF419" s="259" t="str">
        <v/>
      </c>
      <c r="BG419" s="259" t="str">
        <v/>
      </c>
      <c r="BH419" s="260" t="str">
        <v/>
      </c>
      <c r="BI419" s="288"/>
      <c r="BJ419" s="80" t="str">
        <v/>
      </c>
      <c r="BK419" s="259" t="str">
        <v/>
      </c>
      <c r="BL419" s="259" t="str">
        <v/>
      </c>
      <c r="BM419" s="260" t="str">
        <v/>
      </c>
      <c r="BO419" s="80" t="str">
        <v/>
      </c>
      <c r="BP419" s="259" t="str">
        <v/>
      </c>
      <c r="BQ419" s="259" t="str">
        <v/>
      </c>
      <c r="BR419" s="260" t="str">
        <v/>
      </c>
      <c r="BT419" s="80" t="str">
        <v/>
      </c>
      <c r="BU419" s="259" t="str">
        <v/>
      </c>
      <c r="BV419" s="259" t="str">
        <v/>
      </c>
      <c r="BW419" s="260" t="str">
        <v/>
      </c>
      <c r="BX419" s="288"/>
      <c r="CM419" s="96"/>
    </row>
    <row r="420" spans="1:91">
      <c r="A420" s="285"/>
      <c r="B420" s="80">
        <v>90</v>
      </c>
      <c r="C420" s="259">
        <v>140</v>
      </c>
      <c r="D420" s="259">
        <v>1080</v>
      </c>
      <c r="E420" s="260">
        <v>50</v>
      </c>
      <c r="G420" s="80">
        <v>90</v>
      </c>
      <c r="H420" s="259">
        <v>140</v>
      </c>
      <c r="I420" s="259">
        <v>840</v>
      </c>
      <c r="J420" s="260">
        <v>50</v>
      </c>
      <c r="L420" s="80" t="str">
        <v/>
      </c>
      <c r="M420" s="259" t="str">
        <v/>
      </c>
      <c r="N420" s="259" t="str">
        <v/>
      </c>
      <c r="O420" s="260" t="str">
        <v/>
      </c>
      <c r="Q420" s="80" t="str">
        <v/>
      </c>
      <c r="R420" s="259" t="str">
        <v/>
      </c>
      <c r="S420" s="259" t="str">
        <v/>
      </c>
      <c r="T420" s="260" t="str">
        <v/>
      </c>
      <c r="V420" s="80" t="str">
        <v/>
      </c>
      <c r="W420" s="259" t="str">
        <v/>
      </c>
      <c r="X420" s="259" t="str">
        <v/>
      </c>
      <c r="Y420" s="260" t="str">
        <v/>
      </c>
      <c r="AA420" s="80" t="str">
        <v/>
      </c>
      <c r="AB420" s="259" t="str">
        <v/>
      </c>
      <c r="AC420" s="259" t="str">
        <v/>
      </c>
      <c r="AD420" s="260" t="str">
        <v/>
      </c>
      <c r="AF420" s="80" t="str">
        <v/>
      </c>
      <c r="AG420" s="259" t="str">
        <v/>
      </c>
      <c r="AH420" s="259" t="str">
        <v/>
      </c>
      <c r="AI420" s="260" t="str">
        <v/>
      </c>
      <c r="AK420" s="80" t="str">
        <v/>
      </c>
      <c r="AL420" s="259" t="str">
        <v/>
      </c>
      <c r="AM420" s="259" t="str">
        <v/>
      </c>
      <c r="AN420" s="260" t="str">
        <v/>
      </c>
      <c r="AP420" s="80">
        <v>90</v>
      </c>
      <c r="AQ420" s="259">
        <v>140</v>
      </c>
      <c r="AR420" s="259">
        <v>1015</v>
      </c>
      <c r="AS420" s="260">
        <v>50</v>
      </c>
      <c r="AT420" s="288"/>
      <c r="AU420" s="80" t="str">
        <v/>
      </c>
      <c r="AV420" s="259" t="str">
        <v/>
      </c>
      <c r="AW420" s="259" t="str">
        <v/>
      </c>
      <c r="AX420" s="260" t="str">
        <v/>
      </c>
      <c r="AZ420" s="80" t="str">
        <v/>
      </c>
      <c r="BA420" s="259" t="str">
        <v/>
      </c>
      <c r="BB420" s="259" t="str">
        <v/>
      </c>
      <c r="BC420" s="260" t="str">
        <v/>
      </c>
      <c r="BE420" s="80" t="str">
        <v/>
      </c>
      <c r="BF420" s="259" t="str">
        <v/>
      </c>
      <c r="BG420" s="259" t="str">
        <v/>
      </c>
      <c r="BH420" s="260" t="str">
        <v/>
      </c>
      <c r="BI420" s="288"/>
      <c r="BJ420" s="80" t="str">
        <v/>
      </c>
      <c r="BK420" s="259" t="str">
        <v/>
      </c>
      <c r="BL420" s="259" t="str">
        <v/>
      </c>
      <c r="BM420" s="260" t="str">
        <v/>
      </c>
      <c r="BO420" s="80" t="str">
        <v/>
      </c>
      <c r="BP420" s="259" t="str">
        <v/>
      </c>
      <c r="BQ420" s="259" t="str">
        <v/>
      </c>
      <c r="BR420" s="260" t="str">
        <v/>
      </c>
      <c r="BT420" s="80" t="str">
        <v/>
      </c>
      <c r="BU420" s="259" t="str">
        <v/>
      </c>
      <c r="BV420" s="259" t="str">
        <v/>
      </c>
      <c r="BW420" s="260" t="str">
        <v/>
      </c>
      <c r="BX420" s="288"/>
      <c r="CM420" s="96"/>
    </row>
    <row r="421" spans="1:91">
      <c r="A421" s="285"/>
      <c r="B421" s="80" t="str">
        <v/>
      </c>
      <c r="C421" s="259" t="str">
        <v/>
      </c>
      <c r="D421" s="259" t="str">
        <v/>
      </c>
      <c r="E421" s="260" t="str">
        <v/>
      </c>
      <c r="G421" s="80" t="str">
        <v/>
      </c>
      <c r="H421" s="259" t="str">
        <v/>
      </c>
      <c r="I421" s="259" t="str">
        <v/>
      </c>
      <c r="J421" s="260" t="str">
        <v/>
      </c>
      <c r="L421" s="80" t="str">
        <v/>
      </c>
      <c r="M421" s="259" t="str">
        <v/>
      </c>
      <c r="N421" s="259" t="str">
        <v/>
      </c>
      <c r="O421" s="260" t="str">
        <v/>
      </c>
      <c r="Q421" s="80" t="str">
        <v/>
      </c>
      <c r="R421" s="259" t="str">
        <v/>
      </c>
      <c r="S421" s="259" t="str">
        <v/>
      </c>
      <c r="T421" s="260" t="str">
        <v/>
      </c>
      <c r="V421" s="80" t="str">
        <v/>
      </c>
      <c r="W421" s="259" t="str">
        <v/>
      </c>
      <c r="X421" s="259" t="str">
        <v/>
      </c>
      <c r="Y421" s="260" t="str">
        <v/>
      </c>
      <c r="AA421" s="80" t="str">
        <v/>
      </c>
      <c r="AB421" s="259" t="str">
        <v/>
      </c>
      <c r="AC421" s="259" t="str">
        <v/>
      </c>
      <c r="AD421" s="260" t="str">
        <v/>
      </c>
      <c r="AF421" s="80" t="str">
        <v/>
      </c>
      <c r="AG421" s="259" t="str">
        <v/>
      </c>
      <c r="AH421" s="259" t="str">
        <v/>
      </c>
      <c r="AI421" s="260" t="str">
        <v/>
      </c>
      <c r="AK421" s="80" t="str">
        <v/>
      </c>
      <c r="AL421" s="259" t="str">
        <v/>
      </c>
      <c r="AM421" s="259" t="str">
        <v/>
      </c>
      <c r="AN421" s="260" t="str">
        <v/>
      </c>
      <c r="AP421" s="80" t="str">
        <v/>
      </c>
      <c r="AQ421" s="259" t="str">
        <v/>
      </c>
      <c r="AR421" s="259" t="str">
        <v/>
      </c>
      <c r="AS421" s="260" t="str">
        <v/>
      </c>
      <c r="AT421" s="288"/>
      <c r="AU421" s="80" t="str">
        <v/>
      </c>
      <c r="AV421" s="259" t="str">
        <v/>
      </c>
      <c r="AW421" s="259" t="str">
        <v/>
      </c>
      <c r="AX421" s="260" t="str">
        <v/>
      </c>
      <c r="AZ421" s="80" t="str">
        <v/>
      </c>
      <c r="BA421" s="259" t="str">
        <v/>
      </c>
      <c r="BB421" s="259" t="str">
        <v/>
      </c>
      <c r="BC421" s="260" t="str">
        <v/>
      </c>
      <c r="BE421" s="80" t="str">
        <v/>
      </c>
      <c r="BF421" s="259" t="str">
        <v/>
      </c>
      <c r="BG421" s="259" t="str">
        <v/>
      </c>
      <c r="BH421" s="260" t="str">
        <v/>
      </c>
      <c r="BI421" s="288"/>
      <c r="BJ421" s="80" t="str">
        <v/>
      </c>
      <c r="BK421" s="259" t="str">
        <v/>
      </c>
      <c r="BL421" s="259" t="str">
        <v/>
      </c>
      <c r="BM421" s="260" t="str">
        <v/>
      </c>
      <c r="BO421" s="80" t="str">
        <v/>
      </c>
      <c r="BP421" s="259" t="str">
        <v/>
      </c>
      <c r="BQ421" s="259" t="str">
        <v/>
      </c>
      <c r="BR421" s="260" t="str">
        <v/>
      </c>
      <c r="BT421" s="80" t="str">
        <v/>
      </c>
      <c r="BU421" s="259" t="str">
        <v/>
      </c>
      <c r="BV421" s="259" t="str">
        <v/>
      </c>
      <c r="BW421" s="260" t="str">
        <v/>
      </c>
      <c r="BX421" s="288"/>
      <c r="CM421" s="96"/>
    </row>
    <row r="422" spans="1:91">
      <c r="A422" s="285"/>
      <c r="B422" s="80" t="str">
        <v/>
      </c>
      <c r="C422" s="259" t="str">
        <v/>
      </c>
      <c r="D422" s="259" t="str">
        <v/>
      </c>
      <c r="E422" s="260" t="str">
        <v/>
      </c>
      <c r="G422" s="80" t="str">
        <v/>
      </c>
      <c r="H422" s="259" t="str">
        <v/>
      </c>
      <c r="I422" s="259" t="str">
        <v/>
      </c>
      <c r="J422" s="260" t="str">
        <v/>
      </c>
      <c r="L422" s="80" t="str">
        <v/>
      </c>
      <c r="M422" s="259" t="str">
        <v/>
      </c>
      <c r="N422" s="259" t="str">
        <v/>
      </c>
      <c r="O422" s="260" t="str">
        <v/>
      </c>
      <c r="Q422" s="80" t="str">
        <v/>
      </c>
      <c r="R422" s="259" t="str">
        <v/>
      </c>
      <c r="S422" s="259" t="str">
        <v/>
      </c>
      <c r="T422" s="260" t="str">
        <v/>
      </c>
      <c r="V422" s="80" t="str">
        <v/>
      </c>
      <c r="W422" s="259" t="str">
        <v/>
      </c>
      <c r="X422" s="259" t="str">
        <v/>
      </c>
      <c r="Y422" s="260" t="str">
        <v/>
      </c>
      <c r="AA422" s="80" t="str">
        <v/>
      </c>
      <c r="AB422" s="259" t="str">
        <v/>
      </c>
      <c r="AC422" s="259" t="str">
        <v/>
      </c>
      <c r="AD422" s="260" t="str">
        <v/>
      </c>
      <c r="AF422" s="80" t="str">
        <v/>
      </c>
      <c r="AG422" s="259" t="str">
        <v/>
      </c>
      <c r="AH422" s="259" t="str">
        <v/>
      </c>
      <c r="AI422" s="260" t="str">
        <v/>
      </c>
      <c r="AK422" s="80" t="str">
        <v/>
      </c>
      <c r="AL422" s="259" t="str">
        <v/>
      </c>
      <c r="AM422" s="259" t="str">
        <v/>
      </c>
      <c r="AN422" s="260" t="str">
        <v/>
      </c>
      <c r="AP422" s="80" t="str">
        <v/>
      </c>
      <c r="AQ422" s="259" t="str">
        <v/>
      </c>
      <c r="AR422" s="259" t="str">
        <v/>
      </c>
      <c r="AS422" s="260" t="str">
        <v/>
      </c>
      <c r="AT422" s="288"/>
      <c r="AU422" s="80" t="str">
        <v/>
      </c>
      <c r="AV422" s="259" t="str">
        <v/>
      </c>
      <c r="AW422" s="259" t="str">
        <v/>
      </c>
      <c r="AX422" s="260" t="str">
        <v/>
      </c>
      <c r="AZ422" s="80" t="str">
        <v/>
      </c>
      <c r="BA422" s="259" t="str">
        <v/>
      </c>
      <c r="BB422" s="259" t="str">
        <v/>
      </c>
      <c r="BC422" s="260" t="str">
        <v/>
      </c>
      <c r="BE422" s="80" t="str">
        <v/>
      </c>
      <c r="BF422" s="259" t="str">
        <v/>
      </c>
      <c r="BG422" s="259" t="str">
        <v/>
      </c>
      <c r="BH422" s="260" t="str">
        <v/>
      </c>
      <c r="BI422" s="288"/>
      <c r="BJ422" s="80" t="str">
        <v/>
      </c>
      <c r="BK422" s="259" t="str">
        <v/>
      </c>
      <c r="BL422" s="259" t="str">
        <v/>
      </c>
      <c r="BM422" s="260" t="str">
        <v/>
      </c>
      <c r="BO422" s="80" t="str">
        <v/>
      </c>
      <c r="BP422" s="259" t="str">
        <v/>
      </c>
      <c r="BQ422" s="259" t="str">
        <v/>
      </c>
      <c r="BR422" s="260" t="str">
        <v/>
      </c>
      <c r="BT422" s="80" t="str">
        <v/>
      </c>
      <c r="BU422" s="259" t="str">
        <v/>
      </c>
      <c r="BV422" s="259" t="str">
        <v/>
      </c>
      <c r="BW422" s="260" t="str">
        <v/>
      </c>
      <c r="BX422" s="288"/>
      <c r="CM422" s="96"/>
    </row>
    <row r="423" spans="1:91">
      <c r="A423" s="285"/>
      <c r="B423" s="80" t="str">
        <v/>
      </c>
      <c r="C423" s="259" t="str">
        <v/>
      </c>
      <c r="D423" s="259" t="str">
        <v/>
      </c>
      <c r="E423" s="260" t="str">
        <v/>
      </c>
      <c r="G423" s="80" t="str">
        <v/>
      </c>
      <c r="H423" s="259" t="str">
        <v/>
      </c>
      <c r="I423" s="259" t="str">
        <v/>
      </c>
      <c r="J423" s="260" t="str">
        <v/>
      </c>
      <c r="L423" s="80" t="str">
        <v/>
      </c>
      <c r="M423" s="259" t="str">
        <v/>
      </c>
      <c r="N423" s="259" t="str">
        <v/>
      </c>
      <c r="O423" s="260" t="str">
        <v/>
      </c>
      <c r="Q423" s="80" t="str">
        <v/>
      </c>
      <c r="R423" s="259" t="str">
        <v/>
      </c>
      <c r="S423" s="259" t="str">
        <v/>
      </c>
      <c r="T423" s="260" t="str">
        <v/>
      </c>
      <c r="V423" s="80" t="str">
        <v/>
      </c>
      <c r="W423" s="259" t="str">
        <v/>
      </c>
      <c r="X423" s="259" t="str">
        <v/>
      </c>
      <c r="Y423" s="260" t="str">
        <v/>
      </c>
      <c r="AA423" s="80" t="str">
        <v/>
      </c>
      <c r="AB423" s="259" t="str">
        <v/>
      </c>
      <c r="AC423" s="259" t="str">
        <v/>
      </c>
      <c r="AD423" s="260" t="str">
        <v/>
      </c>
      <c r="AF423" s="80" t="str">
        <v/>
      </c>
      <c r="AG423" s="259" t="str">
        <v/>
      </c>
      <c r="AH423" s="259" t="str">
        <v/>
      </c>
      <c r="AI423" s="260" t="str">
        <v/>
      </c>
      <c r="AK423" s="80" t="str">
        <v/>
      </c>
      <c r="AL423" s="259" t="str">
        <v/>
      </c>
      <c r="AM423" s="259" t="str">
        <v/>
      </c>
      <c r="AN423" s="260" t="str">
        <v/>
      </c>
      <c r="AP423" s="80" t="str">
        <v/>
      </c>
      <c r="AQ423" s="259" t="str">
        <v/>
      </c>
      <c r="AR423" s="259" t="str">
        <v/>
      </c>
      <c r="AS423" s="260" t="str">
        <v/>
      </c>
      <c r="AT423" s="288"/>
      <c r="AU423" s="80" t="str">
        <v/>
      </c>
      <c r="AV423" s="259" t="str">
        <v/>
      </c>
      <c r="AW423" s="259" t="str">
        <v/>
      </c>
      <c r="AX423" s="260" t="str">
        <v/>
      </c>
      <c r="AZ423" s="80" t="str">
        <v/>
      </c>
      <c r="BA423" s="259" t="str">
        <v/>
      </c>
      <c r="BB423" s="259" t="str">
        <v/>
      </c>
      <c r="BC423" s="260" t="str">
        <v/>
      </c>
      <c r="BE423" s="80" t="str">
        <v/>
      </c>
      <c r="BF423" s="259" t="str">
        <v/>
      </c>
      <c r="BG423" s="259" t="str">
        <v/>
      </c>
      <c r="BH423" s="260" t="str">
        <v/>
      </c>
      <c r="BI423" s="288"/>
      <c r="BJ423" s="80" t="str">
        <v/>
      </c>
      <c r="BK423" s="259" t="str">
        <v/>
      </c>
      <c r="BL423" s="259" t="str">
        <v/>
      </c>
      <c r="BM423" s="260" t="str">
        <v/>
      </c>
      <c r="BO423" s="80" t="str">
        <v/>
      </c>
      <c r="BP423" s="259" t="str">
        <v/>
      </c>
      <c r="BQ423" s="259" t="str">
        <v/>
      </c>
      <c r="BR423" s="260" t="str">
        <v/>
      </c>
      <c r="BT423" s="80" t="str">
        <v/>
      </c>
      <c r="BU423" s="259" t="str">
        <v/>
      </c>
      <c r="BV423" s="259" t="str">
        <v/>
      </c>
      <c r="BW423" s="260" t="str">
        <v/>
      </c>
      <c r="BX423" s="288"/>
      <c r="CM423" s="96"/>
    </row>
    <row r="424" spans="1:91">
      <c r="A424" s="285"/>
      <c r="B424" s="80" t="str">
        <v/>
      </c>
      <c r="C424" s="259" t="str">
        <v/>
      </c>
      <c r="D424" s="259" t="str">
        <v/>
      </c>
      <c r="E424" s="260" t="str">
        <v/>
      </c>
      <c r="G424" s="80" t="str">
        <v/>
      </c>
      <c r="H424" s="259" t="str">
        <v/>
      </c>
      <c r="I424" s="259" t="str">
        <v/>
      </c>
      <c r="J424" s="260" t="str">
        <v/>
      </c>
      <c r="L424" s="80" t="str">
        <v/>
      </c>
      <c r="M424" s="259" t="str">
        <v/>
      </c>
      <c r="N424" s="259" t="str">
        <v/>
      </c>
      <c r="O424" s="260" t="str">
        <v/>
      </c>
      <c r="Q424" s="80" t="str">
        <v/>
      </c>
      <c r="R424" s="259" t="str">
        <v/>
      </c>
      <c r="S424" s="259" t="str">
        <v/>
      </c>
      <c r="T424" s="260" t="str">
        <v/>
      </c>
      <c r="V424" s="80" t="str">
        <v/>
      </c>
      <c r="W424" s="259" t="str">
        <v/>
      </c>
      <c r="X424" s="259" t="str">
        <v/>
      </c>
      <c r="Y424" s="260" t="str">
        <v/>
      </c>
      <c r="AA424" s="80" t="str">
        <v/>
      </c>
      <c r="AB424" s="259" t="str">
        <v/>
      </c>
      <c r="AC424" s="259" t="str">
        <v/>
      </c>
      <c r="AD424" s="260" t="str">
        <v/>
      </c>
      <c r="AF424" s="80" t="str">
        <v/>
      </c>
      <c r="AG424" s="259" t="str">
        <v/>
      </c>
      <c r="AH424" s="259" t="str">
        <v/>
      </c>
      <c r="AI424" s="260" t="str">
        <v/>
      </c>
      <c r="AK424" s="80" t="str">
        <v/>
      </c>
      <c r="AL424" s="259" t="str">
        <v/>
      </c>
      <c r="AM424" s="259" t="str">
        <v/>
      </c>
      <c r="AN424" s="260" t="str">
        <v/>
      </c>
      <c r="AP424" s="80" t="str">
        <v/>
      </c>
      <c r="AQ424" s="259" t="str">
        <v/>
      </c>
      <c r="AR424" s="259" t="str">
        <v/>
      </c>
      <c r="AS424" s="260" t="str">
        <v/>
      </c>
      <c r="AT424" s="288"/>
      <c r="AU424" s="80" t="str">
        <v/>
      </c>
      <c r="AV424" s="259" t="str">
        <v/>
      </c>
      <c r="AW424" s="259" t="str">
        <v/>
      </c>
      <c r="AX424" s="260" t="str">
        <v/>
      </c>
      <c r="AZ424" s="80" t="str">
        <v/>
      </c>
      <c r="BA424" s="259" t="str">
        <v/>
      </c>
      <c r="BB424" s="259" t="str">
        <v/>
      </c>
      <c r="BC424" s="260" t="str">
        <v/>
      </c>
      <c r="BE424" s="80" t="str">
        <v/>
      </c>
      <c r="BF424" s="259" t="str">
        <v/>
      </c>
      <c r="BG424" s="259" t="str">
        <v/>
      </c>
      <c r="BH424" s="260" t="str">
        <v/>
      </c>
      <c r="BI424" s="288"/>
      <c r="BJ424" s="80" t="str">
        <v/>
      </c>
      <c r="BK424" s="259" t="str">
        <v/>
      </c>
      <c r="BL424" s="259" t="str">
        <v/>
      </c>
      <c r="BM424" s="260" t="str">
        <v/>
      </c>
      <c r="BO424" s="80" t="str">
        <v/>
      </c>
      <c r="BP424" s="259" t="str">
        <v/>
      </c>
      <c r="BQ424" s="259" t="str">
        <v/>
      </c>
      <c r="BR424" s="260" t="str">
        <v/>
      </c>
      <c r="BT424" s="80" t="str">
        <v/>
      </c>
      <c r="BU424" s="259" t="str">
        <v/>
      </c>
      <c r="BV424" s="259" t="str">
        <v/>
      </c>
      <c r="BW424" s="260" t="str">
        <v/>
      </c>
      <c r="BX424" s="288"/>
      <c r="CM424" s="96"/>
    </row>
    <row r="425" spans="1:91">
      <c r="A425" s="285"/>
      <c r="B425" s="80" t="str">
        <v/>
      </c>
      <c r="C425" s="259" t="str">
        <v/>
      </c>
      <c r="D425" s="259" t="str">
        <v/>
      </c>
      <c r="E425" s="260" t="str">
        <v/>
      </c>
      <c r="G425" s="80" t="str">
        <v/>
      </c>
      <c r="H425" s="259" t="str">
        <v/>
      </c>
      <c r="I425" s="259" t="str">
        <v/>
      </c>
      <c r="J425" s="260" t="str">
        <v/>
      </c>
      <c r="L425" s="80" t="str">
        <v/>
      </c>
      <c r="M425" s="259" t="str">
        <v/>
      </c>
      <c r="N425" s="259" t="str">
        <v/>
      </c>
      <c r="O425" s="260" t="str">
        <v/>
      </c>
      <c r="Q425" s="80" t="str">
        <v/>
      </c>
      <c r="R425" s="259" t="str">
        <v/>
      </c>
      <c r="S425" s="259" t="str">
        <v/>
      </c>
      <c r="T425" s="260" t="str">
        <v/>
      </c>
      <c r="V425" s="80" t="str">
        <v/>
      </c>
      <c r="W425" s="259" t="str">
        <v/>
      </c>
      <c r="X425" s="259" t="str">
        <v/>
      </c>
      <c r="Y425" s="260" t="str">
        <v/>
      </c>
      <c r="AA425" s="80" t="str">
        <v/>
      </c>
      <c r="AB425" s="259" t="str">
        <v/>
      </c>
      <c r="AC425" s="259" t="str">
        <v/>
      </c>
      <c r="AD425" s="260" t="str">
        <v/>
      </c>
      <c r="AF425" s="80" t="str">
        <v/>
      </c>
      <c r="AG425" s="259" t="str">
        <v/>
      </c>
      <c r="AH425" s="259" t="str">
        <v/>
      </c>
      <c r="AI425" s="260" t="str">
        <v/>
      </c>
      <c r="AK425" s="80" t="str">
        <v/>
      </c>
      <c r="AL425" s="259" t="str">
        <v/>
      </c>
      <c r="AM425" s="259" t="str">
        <v/>
      </c>
      <c r="AN425" s="260" t="str">
        <v/>
      </c>
      <c r="AP425" s="80" t="str">
        <v/>
      </c>
      <c r="AQ425" s="259" t="str">
        <v/>
      </c>
      <c r="AR425" s="259" t="str">
        <v/>
      </c>
      <c r="AS425" s="260" t="str">
        <v/>
      </c>
      <c r="AT425" s="288"/>
      <c r="AU425" s="80" t="str">
        <v/>
      </c>
      <c r="AV425" s="259" t="str">
        <v/>
      </c>
      <c r="AW425" s="259" t="str">
        <v/>
      </c>
      <c r="AX425" s="260" t="str">
        <v/>
      </c>
      <c r="AZ425" s="80" t="str">
        <v/>
      </c>
      <c r="BA425" s="259" t="str">
        <v/>
      </c>
      <c r="BB425" s="259" t="str">
        <v/>
      </c>
      <c r="BC425" s="260" t="str">
        <v/>
      </c>
      <c r="BE425" s="80" t="str">
        <v/>
      </c>
      <c r="BF425" s="259" t="str">
        <v/>
      </c>
      <c r="BG425" s="259" t="str">
        <v/>
      </c>
      <c r="BH425" s="260" t="str">
        <v/>
      </c>
      <c r="BI425" s="288"/>
      <c r="BJ425" s="80" t="str">
        <v/>
      </c>
      <c r="BK425" s="259" t="str">
        <v/>
      </c>
      <c r="BL425" s="259" t="str">
        <v/>
      </c>
      <c r="BM425" s="260" t="str">
        <v/>
      </c>
      <c r="BO425" s="80" t="str">
        <v/>
      </c>
      <c r="BP425" s="259" t="str">
        <v/>
      </c>
      <c r="BQ425" s="259" t="str">
        <v/>
      </c>
      <c r="BR425" s="260" t="str">
        <v/>
      </c>
      <c r="BT425" s="80" t="str">
        <v/>
      </c>
      <c r="BU425" s="259" t="str">
        <v/>
      </c>
      <c r="BV425" s="259" t="str">
        <v/>
      </c>
      <c r="BW425" s="260" t="str">
        <v/>
      </c>
      <c r="BX425" s="288"/>
      <c r="CM425" s="96"/>
    </row>
    <row r="426" spans="1:91">
      <c r="A426" s="285"/>
      <c r="B426" s="80" t="str">
        <v/>
      </c>
      <c r="C426" s="259" t="str">
        <v/>
      </c>
      <c r="D426" s="259" t="str">
        <v/>
      </c>
      <c r="E426" s="260" t="str">
        <v/>
      </c>
      <c r="G426" s="80" t="str">
        <v/>
      </c>
      <c r="H426" s="259" t="str">
        <v/>
      </c>
      <c r="I426" s="259" t="str">
        <v/>
      </c>
      <c r="J426" s="260" t="str">
        <v/>
      </c>
      <c r="L426" s="80" t="str">
        <v/>
      </c>
      <c r="M426" s="259" t="str">
        <v/>
      </c>
      <c r="N426" s="259" t="str">
        <v/>
      </c>
      <c r="O426" s="260" t="str">
        <v/>
      </c>
      <c r="Q426" s="80" t="str">
        <v/>
      </c>
      <c r="R426" s="259" t="str">
        <v/>
      </c>
      <c r="S426" s="259" t="str">
        <v/>
      </c>
      <c r="T426" s="260" t="str">
        <v/>
      </c>
      <c r="V426" s="80" t="str">
        <v/>
      </c>
      <c r="W426" s="259" t="str">
        <v/>
      </c>
      <c r="X426" s="259" t="str">
        <v/>
      </c>
      <c r="Y426" s="260" t="str">
        <v/>
      </c>
      <c r="AA426" s="80" t="str">
        <v/>
      </c>
      <c r="AB426" s="259" t="str">
        <v/>
      </c>
      <c r="AC426" s="259" t="str">
        <v/>
      </c>
      <c r="AD426" s="260" t="str">
        <v/>
      </c>
      <c r="AF426" s="80" t="str">
        <v/>
      </c>
      <c r="AG426" s="259" t="str">
        <v/>
      </c>
      <c r="AH426" s="259" t="str">
        <v/>
      </c>
      <c r="AI426" s="260" t="str">
        <v/>
      </c>
      <c r="AK426" s="80" t="str">
        <v/>
      </c>
      <c r="AL426" s="259" t="str">
        <v/>
      </c>
      <c r="AM426" s="259" t="str">
        <v/>
      </c>
      <c r="AN426" s="260" t="str">
        <v/>
      </c>
      <c r="AP426" s="80" t="str">
        <v/>
      </c>
      <c r="AQ426" s="259" t="str">
        <v/>
      </c>
      <c r="AR426" s="259" t="str">
        <v/>
      </c>
      <c r="AS426" s="260" t="str">
        <v/>
      </c>
      <c r="AT426" s="288"/>
      <c r="AU426" s="80" t="str">
        <v/>
      </c>
      <c r="AV426" s="259" t="str">
        <v/>
      </c>
      <c r="AW426" s="259" t="str">
        <v/>
      </c>
      <c r="AX426" s="260" t="str">
        <v/>
      </c>
      <c r="AZ426" s="80" t="str">
        <v/>
      </c>
      <c r="BA426" s="259" t="str">
        <v/>
      </c>
      <c r="BB426" s="259" t="str">
        <v/>
      </c>
      <c r="BC426" s="260" t="str">
        <v/>
      </c>
      <c r="BE426" s="80" t="str">
        <v/>
      </c>
      <c r="BF426" s="259" t="str">
        <v/>
      </c>
      <c r="BG426" s="259" t="str">
        <v/>
      </c>
      <c r="BH426" s="260" t="str">
        <v/>
      </c>
      <c r="BI426" s="288"/>
      <c r="BJ426" s="80" t="str">
        <v/>
      </c>
      <c r="BK426" s="259" t="str">
        <v/>
      </c>
      <c r="BL426" s="259" t="str">
        <v/>
      </c>
      <c r="BM426" s="260" t="str">
        <v/>
      </c>
      <c r="BO426" s="80" t="str">
        <v/>
      </c>
      <c r="BP426" s="259" t="str">
        <v/>
      </c>
      <c r="BQ426" s="259" t="str">
        <v/>
      </c>
      <c r="BR426" s="260" t="str">
        <v/>
      </c>
      <c r="BT426" s="80" t="str">
        <v/>
      </c>
      <c r="BU426" s="259" t="str">
        <v/>
      </c>
      <c r="BV426" s="259" t="str">
        <v/>
      </c>
      <c r="BW426" s="260" t="str">
        <v/>
      </c>
      <c r="BX426" s="288"/>
      <c r="CM426" s="96"/>
    </row>
    <row r="427" spans="1:91">
      <c r="A427" s="285"/>
      <c r="B427" s="80" t="str">
        <v/>
      </c>
      <c r="C427" s="259" t="str">
        <v/>
      </c>
      <c r="D427" s="259" t="str">
        <v/>
      </c>
      <c r="E427" s="260" t="str">
        <v/>
      </c>
      <c r="G427" s="80" t="str">
        <v/>
      </c>
      <c r="H427" s="259" t="str">
        <v/>
      </c>
      <c r="I427" s="259" t="str">
        <v/>
      </c>
      <c r="J427" s="260" t="str">
        <v/>
      </c>
      <c r="L427" s="80" t="str">
        <v/>
      </c>
      <c r="M427" s="259" t="str">
        <v/>
      </c>
      <c r="N427" s="259" t="str">
        <v/>
      </c>
      <c r="O427" s="260" t="str">
        <v/>
      </c>
      <c r="Q427" s="80" t="str">
        <v/>
      </c>
      <c r="R427" s="259" t="str">
        <v/>
      </c>
      <c r="S427" s="259" t="str">
        <v/>
      </c>
      <c r="T427" s="260" t="str">
        <v/>
      </c>
      <c r="V427" s="80" t="str">
        <v/>
      </c>
      <c r="W427" s="259" t="str">
        <v/>
      </c>
      <c r="X427" s="259" t="str">
        <v/>
      </c>
      <c r="Y427" s="260" t="str">
        <v/>
      </c>
      <c r="AA427" s="80" t="str">
        <v/>
      </c>
      <c r="AB427" s="259" t="str">
        <v/>
      </c>
      <c r="AC427" s="259" t="str">
        <v/>
      </c>
      <c r="AD427" s="260" t="str">
        <v/>
      </c>
      <c r="AF427" s="80" t="str">
        <v/>
      </c>
      <c r="AG427" s="259" t="str">
        <v/>
      </c>
      <c r="AH427" s="259" t="str">
        <v/>
      </c>
      <c r="AI427" s="260" t="str">
        <v/>
      </c>
      <c r="AK427" s="80" t="str">
        <v/>
      </c>
      <c r="AL427" s="259" t="str">
        <v/>
      </c>
      <c r="AM427" s="259" t="str">
        <v/>
      </c>
      <c r="AN427" s="260" t="str">
        <v/>
      </c>
      <c r="AP427" s="80" t="str">
        <v/>
      </c>
      <c r="AQ427" s="259" t="str">
        <v/>
      </c>
      <c r="AR427" s="259" t="str">
        <v/>
      </c>
      <c r="AS427" s="260" t="str">
        <v/>
      </c>
      <c r="AT427" s="288"/>
      <c r="AU427" s="80" t="str">
        <v/>
      </c>
      <c r="AV427" s="259" t="str">
        <v/>
      </c>
      <c r="AW427" s="259" t="str">
        <v/>
      </c>
      <c r="AX427" s="260" t="str">
        <v/>
      </c>
      <c r="AZ427" s="80" t="str">
        <v/>
      </c>
      <c r="BA427" s="259" t="str">
        <v/>
      </c>
      <c r="BB427" s="259" t="str">
        <v/>
      </c>
      <c r="BC427" s="260" t="str">
        <v/>
      </c>
      <c r="BE427" s="80" t="str">
        <v/>
      </c>
      <c r="BF427" s="259" t="str">
        <v/>
      </c>
      <c r="BG427" s="259" t="str">
        <v/>
      </c>
      <c r="BH427" s="260" t="str">
        <v/>
      </c>
      <c r="BI427" s="288"/>
      <c r="BJ427" s="80" t="str">
        <v/>
      </c>
      <c r="BK427" s="259" t="str">
        <v/>
      </c>
      <c r="BL427" s="259" t="str">
        <v/>
      </c>
      <c r="BM427" s="260" t="str">
        <v/>
      </c>
      <c r="BO427" s="80" t="str">
        <v/>
      </c>
      <c r="BP427" s="259" t="str">
        <v/>
      </c>
      <c r="BQ427" s="259" t="str">
        <v/>
      </c>
      <c r="BR427" s="260" t="str">
        <v/>
      </c>
      <c r="BT427" s="80" t="str">
        <v/>
      </c>
      <c r="BU427" s="259" t="str">
        <v/>
      </c>
      <c r="BV427" s="259" t="str">
        <v/>
      </c>
      <c r="BW427" s="260" t="str">
        <v/>
      </c>
      <c r="BX427" s="288"/>
      <c r="CM427" s="96"/>
    </row>
    <row r="428" spans="1:91">
      <c r="A428" s="285"/>
      <c r="B428" s="80" t="str">
        <v/>
      </c>
      <c r="C428" s="259" t="str">
        <v/>
      </c>
      <c r="D428" s="259" t="str">
        <v/>
      </c>
      <c r="E428" s="260" t="str">
        <v/>
      </c>
      <c r="G428" s="80" t="str">
        <v/>
      </c>
      <c r="H428" s="259" t="str">
        <v/>
      </c>
      <c r="I428" s="259" t="str">
        <v/>
      </c>
      <c r="J428" s="260" t="str">
        <v/>
      </c>
      <c r="L428" s="80" t="str">
        <v/>
      </c>
      <c r="M428" s="259" t="str">
        <v/>
      </c>
      <c r="N428" s="259" t="str">
        <v/>
      </c>
      <c r="O428" s="260" t="str">
        <v/>
      </c>
      <c r="Q428" s="80" t="str">
        <v/>
      </c>
      <c r="R428" s="259" t="str">
        <v/>
      </c>
      <c r="S428" s="259" t="str">
        <v/>
      </c>
      <c r="T428" s="260" t="str">
        <v/>
      </c>
      <c r="V428" s="80" t="str">
        <v/>
      </c>
      <c r="W428" s="259" t="str">
        <v/>
      </c>
      <c r="X428" s="259" t="str">
        <v/>
      </c>
      <c r="Y428" s="260" t="str">
        <v/>
      </c>
      <c r="AA428" s="80" t="str">
        <v/>
      </c>
      <c r="AB428" s="259" t="str">
        <v/>
      </c>
      <c r="AC428" s="259" t="str">
        <v/>
      </c>
      <c r="AD428" s="260" t="str">
        <v/>
      </c>
      <c r="AF428" s="80" t="str">
        <v/>
      </c>
      <c r="AG428" s="259" t="str">
        <v/>
      </c>
      <c r="AH428" s="259" t="str">
        <v/>
      </c>
      <c r="AI428" s="260" t="str">
        <v/>
      </c>
      <c r="AK428" s="80" t="str">
        <v/>
      </c>
      <c r="AL428" s="259" t="str">
        <v/>
      </c>
      <c r="AM428" s="259" t="str">
        <v/>
      </c>
      <c r="AN428" s="260" t="str">
        <v/>
      </c>
      <c r="AP428" s="80" t="str">
        <v/>
      </c>
      <c r="AQ428" s="259" t="str">
        <v/>
      </c>
      <c r="AR428" s="259" t="str">
        <v/>
      </c>
      <c r="AS428" s="260" t="str">
        <v/>
      </c>
      <c r="AT428" s="288"/>
      <c r="AU428" s="80" t="str">
        <v/>
      </c>
      <c r="AV428" s="259" t="str">
        <v/>
      </c>
      <c r="AW428" s="259" t="str">
        <v/>
      </c>
      <c r="AX428" s="260" t="str">
        <v/>
      </c>
      <c r="AZ428" s="80" t="str">
        <v/>
      </c>
      <c r="BA428" s="259" t="str">
        <v/>
      </c>
      <c r="BB428" s="259" t="str">
        <v/>
      </c>
      <c r="BC428" s="260" t="str">
        <v/>
      </c>
      <c r="BE428" s="80" t="str">
        <v/>
      </c>
      <c r="BF428" s="259" t="str">
        <v/>
      </c>
      <c r="BG428" s="259" t="str">
        <v/>
      </c>
      <c r="BH428" s="260" t="str">
        <v/>
      </c>
      <c r="BI428" s="288"/>
      <c r="BJ428" s="80" t="str">
        <v/>
      </c>
      <c r="BK428" s="259" t="str">
        <v/>
      </c>
      <c r="BL428" s="259" t="str">
        <v/>
      </c>
      <c r="BM428" s="260" t="str">
        <v/>
      </c>
      <c r="BO428" s="80" t="str">
        <v/>
      </c>
      <c r="BP428" s="259" t="str">
        <v/>
      </c>
      <c r="BQ428" s="259" t="str">
        <v/>
      </c>
      <c r="BR428" s="260" t="str">
        <v/>
      </c>
      <c r="BT428" s="80" t="str">
        <v/>
      </c>
      <c r="BU428" s="259" t="str">
        <v/>
      </c>
      <c r="BV428" s="259" t="str">
        <v/>
      </c>
      <c r="BW428" s="260" t="str">
        <v/>
      </c>
      <c r="BX428" s="288"/>
      <c r="CM428" s="96"/>
    </row>
    <row r="429" spans="1:91">
      <c r="A429" s="285"/>
      <c r="B429" s="80" t="str">
        <v/>
      </c>
      <c r="C429" s="259" t="str">
        <v/>
      </c>
      <c r="D429" s="259" t="str">
        <v/>
      </c>
      <c r="E429" s="260" t="str">
        <v/>
      </c>
      <c r="G429" s="80" t="str">
        <v/>
      </c>
      <c r="H429" s="259" t="str">
        <v/>
      </c>
      <c r="I429" s="259" t="str">
        <v/>
      </c>
      <c r="J429" s="260" t="str">
        <v/>
      </c>
      <c r="L429" s="80" t="str">
        <v/>
      </c>
      <c r="M429" s="259" t="str">
        <v/>
      </c>
      <c r="N429" s="259" t="str">
        <v/>
      </c>
      <c r="O429" s="260" t="str">
        <v/>
      </c>
      <c r="Q429" s="80" t="str">
        <v/>
      </c>
      <c r="R429" s="259" t="str">
        <v/>
      </c>
      <c r="S429" s="259" t="str">
        <v/>
      </c>
      <c r="T429" s="260" t="str">
        <v/>
      </c>
      <c r="V429" s="80" t="str">
        <v/>
      </c>
      <c r="W429" s="259" t="str">
        <v/>
      </c>
      <c r="X429" s="259" t="str">
        <v/>
      </c>
      <c r="Y429" s="260" t="str">
        <v/>
      </c>
      <c r="AA429" s="80" t="str">
        <v/>
      </c>
      <c r="AB429" s="259" t="str">
        <v/>
      </c>
      <c r="AC429" s="259" t="str">
        <v/>
      </c>
      <c r="AD429" s="260" t="str">
        <v/>
      </c>
      <c r="AF429" s="80" t="str">
        <v/>
      </c>
      <c r="AG429" s="259" t="str">
        <v/>
      </c>
      <c r="AH429" s="259" t="str">
        <v/>
      </c>
      <c r="AI429" s="260" t="str">
        <v/>
      </c>
      <c r="AK429" s="80" t="str">
        <v/>
      </c>
      <c r="AL429" s="259" t="str">
        <v/>
      </c>
      <c r="AM429" s="259" t="str">
        <v/>
      </c>
      <c r="AN429" s="260" t="str">
        <v/>
      </c>
      <c r="AP429" s="80" t="str">
        <v/>
      </c>
      <c r="AQ429" s="259" t="str">
        <v/>
      </c>
      <c r="AR429" s="259" t="str">
        <v/>
      </c>
      <c r="AS429" s="260" t="str">
        <v/>
      </c>
      <c r="AT429" s="288"/>
      <c r="AU429" s="80" t="str">
        <v/>
      </c>
      <c r="AV429" s="259" t="str">
        <v/>
      </c>
      <c r="AW429" s="259" t="str">
        <v/>
      </c>
      <c r="AX429" s="260" t="str">
        <v/>
      </c>
      <c r="AZ429" s="80" t="str">
        <v/>
      </c>
      <c r="BA429" s="259" t="str">
        <v/>
      </c>
      <c r="BB429" s="259" t="str">
        <v/>
      </c>
      <c r="BC429" s="260" t="str">
        <v/>
      </c>
      <c r="BE429" s="80" t="str">
        <v/>
      </c>
      <c r="BF429" s="259" t="str">
        <v/>
      </c>
      <c r="BG429" s="259" t="str">
        <v/>
      </c>
      <c r="BH429" s="260" t="str">
        <v/>
      </c>
      <c r="BI429" s="288"/>
      <c r="BJ429" s="80" t="str">
        <v/>
      </c>
      <c r="BK429" s="259" t="str">
        <v/>
      </c>
      <c r="BL429" s="259" t="str">
        <v/>
      </c>
      <c r="BM429" s="260" t="str">
        <v/>
      </c>
      <c r="BO429" s="80" t="str">
        <v/>
      </c>
      <c r="BP429" s="259" t="str">
        <v/>
      </c>
      <c r="BQ429" s="259" t="str">
        <v/>
      </c>
      <c r="BR429" s="260" t="str">
        <v/>
      </c>
      <c r="BT429" s="80" t="str">
        <v/>
      </c>
      <c r="BU429" s="259" t="str">
        <v/>
      </c>
      <c r="BV429" s="259" t="str">
        <v/>
      </c>
      <c r="BW429" s="260" t="str">
        <v/>
      </c>
      <c r="BX429" s="288"/>
      <c r="CM429" s="96"/>
    </row>
    <row r="430" spans="1:91">
      <c r="A430" s="285"/>
      <c r="B430" s="80" t="str">
        <v/>
      </c>
      <c r="C430" s="259" t="str">
        <v/>
      </c>
      <c r="D430" s="259" t="str">
        <v/>
      </c>
      <c r="E430" s="260" t="str">
        <v/>
      </c>
      <c r="G430" s="80" t="str">
        <v/>
      </c>
      <c r="H430" s="259" t="str">
        <v/>
      </c>
      <c r="I430" s="259" t="str">
        <v/>
      </c>
      <c r="J430" s="260" t="str">
        <v/>
      </c>
      <c r="L430" s="80" t="str">
        <v/>
      </c>
      <c r="M430" s="259" t="str">
        <v/>
      </c>
      <c r="N430" s="259" t="str">
        <v/>
      </c>
      <c r="O430" s="260" t="str">
        <v/>
      </c>
      <c r="Q430" s="80" t="str">
        <v/>
      </c>
      <c r="R430" s="259" t="str">
        <v/>
      </c>
      <c r="S430" s="259" t="str">
        <v/>
      </c>
      <c r="T430" s="260" t="str">
        <v/>
      </c>
      <c r="V430" s="80" t="str">
        <v/>
      </c>
      <c r="W430" s="259" t="str">
        <v/>
      </c>
      <c r="X430" s="259" t="str">
        <v/>
      </c>
      <c r="Y430" s="260" t="str">
        <v/>
      </c>
      <c r="AA430" s="80" t="str">
        <v/>
      </c>
      <c r="AB430" s="259" t="str">
        <v/>
      </c>
      <c r="AC430" s="259" t="str">
        <v/>
      </c>
      <c r="AD430" s="260" t="str">
        <v/>
      </c>
      <c r="AF430" s="80" t="str">
        <v/>
      </c>
      <c r="AG430" s="259" t="str">
        <v/>
      </c>
      <c r="AH430" s="259" t="str">
        <v/>
      </c>
      <c r="AI430" s="260" t="str">
        <v/>
      </c>
      <c r="AK430" s="80" t="str">
        <v/>
      </c>
      <c r="AL430" s="259" t="str">
        <v/>
      </c>
      <c r="AM430" s="259" t="str">
        <v/>
      </c>
      <c r="AN430" s="260" t="str">
        <v/>
      </c>
      <c r="AP430" s="80" t="str">
        <v/>
      </c>
      <c r="AQ430" s="259" t="str">
        <v/>
      </c>
      <c r="AR430" s="259" t="str">
        <v/>
      </c>
      <c r="AS430" s="260" t="str">
        <v/>
      </c>
      <c r="AT430" s="288"/>
      <c r="AU430" s="80" t="str">
        <v/>
      </c>
      <c r="AV430" s="259" t="str">
        <v/>
      </c>
      <c r="AW430" s="259" t="str">
        <v/>
      </c>
      <c r="AX430" s="260" t="str">
        <v/>
      </c>
      <c r="AZ430" s="80" t="str">
        <v/>
      </c>
      <c r="BA430" s="259" t="str">
        <v/>
      </c>
      <c r="BB430" s="259" t="str">
        <v/>
      </c>
      <c r="BC430" s="260" t="str">
        <v/>
      </c>
      <c r="BE430" s="80" t="str">
        <v/>
      </c>
      <c r="BF430" s="259" t="str">
        <v/>
      </c>
      <c r="BG430" s="259" t="str">
        <v/>
      </c>
      <c r="BH430" s="260" t="str">
        <v/>
      </c>
      <c r="BI430" s="288"/>
      <c r="BJ430" s="80" t="str">
        <v/>
      </c>
      <c r="BK430" s="259" t="str">
        <v/>
      </c>
      <c r="BL430" s="259" t="str">
        <v/>
      </c>
      <c r="BM430" s="260" t="str">
        <v/>
      </c>
      <c r="BO430" s="80" t="str">
        <v/>
      </c>
      <c r="BP430" s="259" t="str">
        <v/>
      </c>
      <c r="BQ430" s="259" t="str">
        <v/>
      </c>
      <c r="BR430" s="260" t="str">
        <v/>
      </c>
      <c r="BT430" s="80" t="str">
        <v/>
      </c>
      <c r="BU430" s="259" t="str">
        <v/>
      </c>
      <c r="BV430" s="259" t="str">
        <v/>
      </c>
      <c r="BW430" s="260" t="str">
        <v/>
      </c>
      <c r="BX430" s="288"/>
      <c r="CM430" s="96"/>
    </row>
    <row r="431" spans="1:91">
      <c r="A431" s="285"/>
      <c r="B431" s="100" t="str">
        <v/>
      </c>
      <c r="C431" s="264" t="str">
        <v/>
      </c>
      <c r="D431" s="264" t="str">
        <v/>
      </c>
      <c r="E431" s="265" t="str">
        <v/>
      </c>
      <c r="G431" s="100" t="str">
        <v/>
      </c>
      <c r="H431" s="264" t="str">
        <v/>
      </c>
      <c r="I431" s="264" t="str">
        <v/>
      </c>
      <c r="J431" s="265" t="str">
        <v/>
      </c>
      <c r="L431" s="100" t="str">
        <v/>
      </c>
      <c r="M431" s="264" t="str">
        <v/>
      </c>
      <c r="N431" s="264" t="str">
        <v/>
      </c>
      <c r="O431" s="265" t="str">
        <v/>
      </c>
      <c r="Q431" s="100" t="str">
        <v/>
      </c>
      <c r="R431" s="264" t="str">
        <v/>
      </c>
      <c r="S431" s="264" t="str">
        <v/>
      </c>
      <c r="T431" s="265" t="str">
        <v/>
      </c>
      <c r="V431" s="100" t="str">
        <v/>
      </c>
      <c r="W431" s="264" t="str">
        <v/>
      </c>
      <c r="X431" s="264" t="str">
        <v/>
      </c>
      <c r="Y431" s="265" t="str">
        <v/>
      </c>
      <c r="AA431" s="100" t="str">
        <v/>
      </c>
      <c r="AB431" s="264" t="str">
        <v/>
      </c>
      <c r="AC431" s="264" t="str">
        <v/>
      </c>
      <c r="AD431" s="265" t="str">
        <v/>
      </c>
      <c r="AF431" s="100" t="str">
        <v/>
      </c>
      <c r="AG431" s="264" t="str">
        <v/>
      </c>
      <c r="AH431" s="264" t="str">
        <v/>
      </c>
      <c r="AI431" s="265" t="str">
        <v/>
      </c>
      <c r="AK431" s="100" t="str">
        <v/>
      </c>
      <c r="AL431" s="264" t="str">
        <v/>
      </c>
      <c r="AM431" s="264" t="str">
        <v/>
      </c>
      <c r="AN431" s="265" t="str">
        <v/>
      </c>
      <c r="AP431" s="100" t="str">
        <v/>
      </c>
      <c r="AQ431" s="264" t="str">
        <v/>
      </c>
      <c r="AR431" s="264" t="str">
        <v/>
      </c>
      <c r="AS431" s="265" t="str">
        <v/>
      </c>
      <c r="AT431" s="288"/>
      <c r="AU431" s="100" t="str">
        <v/>
      </c>
      <c r="AV431" s="264" t="str">
        <v/>
      </c>
      <c r="AW431" s="264" t="str">
        <v/>
      </c>
      <c r="AX431" s="265" t="str">
        <v/>
      </c>
      <c r="AZ431" s="100" t="str">
        <v/>
      </c>
      <c r="BA431" s="264" t="str">
        <v/>
      </c>
      <c r="BB431" s="264" t="str">
        <v/>
      </c>
      <c r="BC431" s="265" t="str">
        <v/>
      </c>
      <c r="BE431" s="100" t="str">
        <v/>
      </c>
      <c r="BF431" s="264" t="str">
        <v/>
      </c>
      <c r="BG431" s="264" t="str">
        <v/>
      </c>
      <c r="BH431" s="265" t="str">
        <v/>
      </c>
      <c r="BI431" s="288"/>
      <c r="BJ431" s="100" t="str">
        <v/>
      </c>
      <c r="BK431" s="264" t="str">
        <v/>
      </c>
      <c r="BL431" s="264" t="str">
        <v/>
      </c>
      <c r="BM431" s="265" t="str">
        <v/>
      </c>
      <c r="BO431" s="100" t="str">
        <v/>
      </c>
      <c r="BP431" s="264" t="str">
        <v/>
      </c>
      <c r="BQ431" s="264" t="str">
        <v/>
      </c>
      <c r="BR431" s="265" t="str">
        <v/>
      </c>
      <c r="BT431" s="100" t="str">
        <v/>
      </c>
      <c r="BU431" s="264" t="str">
        <v/>
      </c>
      <c r="BV431" s="264" t="str">
        <v/>
      </c>
      <c r="BW431" s="265" t="str">
        <v/>
      </c>
      <c r="BX431" s="288"/>
      <c r="CM431" s="96"/>
    </row>
    <row r="432" spans="1:91">
      <c r="A432" s="47"/>
      <c r="B432" s="47">
        <f>COUNT(B358:B431)</f>
        <v>63</v>
      </c>
      <c r="C432" s="47"/>
      <c r="D432" s="47"/>
      <c r="E432" s="47"/>
      <c r="F432" s="47"/>
      <c r="G432" s="47">
        <f>COUNT(G358:G431)</f>
        <v>63</v>
      </c>
      <c r="H432" s="47"/>
      <c r="I432" s="47"/>
      <c r="J432" s="47"/>
      <c r="K432" s="47"/>
      <c r="L432" s="47">
        <f>COUNT(L358:L431)</f>
        <v>56</v>
      </c>
      <c r="M432" s="47"/>
      <c r="N432" s="47"/>
      <c r="O432" s="47"/>
      <c r="P432" s="47"/>
      <c r="Q432" s="47">
        <f>COUNT(Q358:Q431)</f>
        <v>52</v>
      </c>
      <c r="R432" s="47"/>
      <c r="S432" s="47"/>
      <c r="T432" s="47"/>
      <c r="U432" s="47"/>
      <c r="V432" s="47">
        <f>COUNT(V358:V431)</f>
        <v>44</v>
      </c>
      <c r="W432" s="47"/>
      <c r="X432" s="47"/>
      <c r="Y432" s="47"/>
      <c r="Z432" s="47"/>
      <c r="AA432" s="47">
        <f>COUNT(AA358:AA431)</f>
        <v>40</v>
      </c>
      <c r="AB432" s="47"/>
      <c r="AC432" s="47"/>
      <c r="AD432" s="47"/>
      <c r="AE432" s="47"/>
      <c r="AF432" s="47">
        <f>COUNT(AF358:AF431)</f>
        <v>32</v>
      </c>
      <c r="AG432" s="47"/>
      <c r="AH432" s="47"/>
      <c r="AI432" s="47"/>
      <c r="AJ432" s="47"/>
      <c r="AK432" s="47">
        <f>COUNT(AK358:AK431)</f>
        <v>24</v>
      </c>
      <c r="AL432" s="47"/>
      <c r="AM432" s="47"/>
      <c r="AN432" s="47"/>
      <c r="AO432" s="47"/>
      <c r="AP432" s="47">
        <f>COUNT(AP358:AP431)</f>
        <v>63</v>
      </c>
      <c r="AQ432" s="47"/>
      <c r="AR432" s="47"/>
      <c r="AS432" s="47"/>
      <c r="AT432" s="292"/>
      <c r="AU432" s="47">
        <f>COUNT(AU358:AU431)</f>
        <v>29</v>
      </c>
      <c r="AV432" s="47"/>
      <c r="AW432" s="47"/>
      <c r="AX432" s="47"/>
      <c r="AY432" s="47"/>
      <c r="AZ432" s="47">
        <f>COUNT(AZ358:AZ431)</f>
        <v>23</v>
      </c>
      <c r="BA432" s="47"/>
      <c r="BB432" s="47"/>
      <c r="BC432" s="47"/>
      <c r="BD432" s="47"/>
      <c r="BE432" s="47">
        <f>COUNT(BE358:BE431)</f>
        <v>17</v>
      </c>
      <c r="BF432" s="47"/>
      <c r="BG432" s="47"/>
      <c r="BH432" s="47"/>
      <c r="BI432" s="292"/>
      <c r="BJ432" s="47">
        <f>COUNT(BJ358:BJ431)</f>
        <v>20</v>
      </c>
      <c r="BK432" s="47"/>
      <c r="BL432" s="47"/>
      <c r="BM432" s="47"/>
      <c r="BN432" s="47"/>
      <c r="BO432" s="47">
        <f>COUNT(BO358:BO431)</f>
        <v>16</v>
      </c>
      <c r="BP432" s="47"/>
      <c r="BQ432" s="47"/>
      <c r="BR432" s="47"/>
      <c r="BS432" s="47"/>
      <c r="BT432" s="47">
        <f>COUNT(BT358:BT431)</f>
        <v>12</v>
      </c>
      <c r="BU432" s="47"/>
      <c r="BV432" s="47"/>
      <c r="BW432" s="47"/>
      <c r="BX432" s="288"/>
      <c r="CM432" s="47"/>
    </row>
    <row r="433" spans="1:91">
      <c r="A433" s="285"/>
      <c r="G433" s="47"/>
      <c r="H433" s="39"/>
      <c r="L433" s="47"/>
      <c r="N433" s="46"/>
      <c r="Q433" s="47"/>
      <c r="S433" s="46"/>
      <c r="V433" s="47"/>
      <c r="X433" s="46"/>
      <c r="AA433" s="47"/>
      <c r="AC433" s="46"/>
      <c r="AF433" s="47"/>
      <c r="AH433" s="46"/>
      <c r="AK433" s="47"/>
      <c r="AM433" s="46"/>
      <c r="AP433" s="47"/>
      <c r="AQ433" s="39"/>
      <c r="AR433" s="46"/>
      <c r="AS433" s="39"/>
      <c r="AT433" s="288"/>
      <c r="AU433" s="47"/>
      <c r="AW433" s="46"/>
      <c r="AZ433" s="47"/>
      <c r="BB433" s="46"/>
      <c r="BE433" s="47"/>
      <c r="BG433" s="46"/>
      <c r="BI433" s="288"/>
      <c r="BJ433" s="47"/>
      <c r="BL433" s="46"/>
      <c r="BO433" s="47"/>
      <c r="BQ433" s="46"/>
      <c r="BT433" s="47"/>
      <c r="BV433" s="46"/>
      <c r="BX433" s="288"/>
      <c r="CM433" s="96"/>
    </row>
    <row r="434" spans="1:91">
      <c r="A434" s="285"/>
      <c r="G434" s="47"/>
      <c r="H434" s="39"/>
      <c r="L434" s="47"/>
      <c r="N434" s="46"/>
      <c r="Q434" s="47"/>
      <c r="S434" s="46"/>
      <c r="V434" s="47"/>
      <c r="X434" s="46"/>
      <c r="AA434" s="47"/>
      <c r="AC434" s="46"/>
      <c r="AF434" s="47"/>
      <c r="AH434" s="46"/>
      <c r="AK434" s="47"/>
      <c r="AM434" s="46"/>
      <c r="AP434" s="47"/>
      <c r="AQ434" s="39"/>
      <c r="AR434" s="46"/>
      <c r="AS434" s="39"/>
      <c r="AT434" s="288"/>
      <c r="AU434" s="47"/>
      <c r="AW434" s="46"/>
      <c r="AZ434" s="47"/>
      <c r="BB434" s="46"/>
      <c r="BE434" s="47"/>
      <c r="BG434" s="46"/>
      <c r="BI434" s="288"/>
      <c r="BJ434" s="47"/>
      <c r="BL434" s="46"/>
      <c r="BO434" s="47"/>
      <c r="BQ434" s="46"/>
      <c r="BT434" s="47"/>
      <c r="BV434" s="46"/>
      <c r="BX434" s="288"/>
      <c r="CM434" s="96"/>
    </row>
    <row r="435" spans="1:91">
      <c r="A435" s="281" t="s">
        <v>216</v>
      </c>
      <c r="B435" s="114" cm="1">
        <f t="array" ref="B435:E508">_xlfn._xlws.SORT(B281:E354,3,1)</f>
        <v>90</v>
      </c>
      <c r="C435" s="266">
        <v>140</v>
      </c>
      <c r="D435" s="266">
        <v>10</v>
      </c>
      <c r="E435" s="267">
        <v>50</v>
      </c>
      <c r="G435" s="114" cm="1">
        <f t="array" ref="G435:J508">_xlfn._xlws.SORT(G281:J354,3,1)</f>
        <v>90</v>
      </c>
      <c r="H435" s="266">
        <v>140</v>
      </c>
      <c r="I435" s="266">
        <v>10</v>
      </c>
      <c r="J435" s="267">
        <v>50</v>
      </c>
      <c r="L435" s="114" cm="1">
        <f t="array" ref="L435:O508">_xlfn._xlws.SORT(L281:O354,3,1)</f>
        <v>90</v>
      </c>
      <c r="M435" s="266">
        <v>140</v>
      </c>
      <c r="N435" s="266">
        <v>10</v>
      </c>
      <c r="O435" s="267">
        <v>50</v>
      </c>
      <c r="Q435" s="114" cm="1">
        <f t="array" ref="Q435:T508">_xlfn._xlws.SORT(Q281:T354,3,1)</f>
        <v>90</v>
      </c>
      <c r="R435" s="266">
        <v>140</v>
      </c>
      <c r="S435" s="266">
        <v>10</v>
      </c>
      <c r="T435" s="267">
        <v>50</v>
      </c>
      <c r="V435" s="114" cm="1">
        <f t="array" ref="V435:Y508">_xlfn._xlws.SORT(V281:Y354,3,1)</f>
        <v>90</v>
      </c>
      <c r="W435" s="266">
        <v>140</v>
      </c>
      <c r="X435" s="266">
        <v>10</v>
      </c>
      <c r="Y435" s="267">
        <v>50</v>
      </c>
      <c r="AA435" s="114" cm="1">
        <f t="array" ref="AA435:AD508">_xlfn._xlws.SORT(AA281:AD354,3,1)</f>
        <v>90</v>
      </c>
      <c r="AB435" s="266">
        <v>140</v>
      </c>
      <c r="AC435" s="266">
        <v>10</v>
      </c>
      <c r="AD435" s="267">
        <v>50</v>
      </c>
      <c r="AF435" s="114" cm="1">
        <f t="array" ref="AF435:AI508">_xlfn._xlws.SORT(AF281:AI354,3,1)</f>
        <v>90</v>
      </c>
      <c r="AG435" s="266">
        <v>140</v>
      </c>
      <c r="AH435" s="266">
        <v>10</v>
      </c>
      <c r="AI435" s="267">
        <v>50</v>
      </c>
      <c r="AK435" s="114" cm="1">
        <f t="array" ref="AK435:AN508">_xlfn._xlws.SORT(AK281:AN354,3,1)</f>
        <v>90</v>
      </c>
      <c r="AL435" s="266">
        <v>140</v>
      </c>
      <c r="AM435" s="266">
        <v>10</v>
      </c>
      <c r="AN435" s="267">
        <v>50</v>
      </c>
      <c r="AP435" s="114" cm="1">
        <f t="array" ref="AP435:AS508">_xlfn._xlws.SORT(AP281:AS354,3,1)</f>
        <v>90</v>
      </c>
      <c r="AQ435" s="266">
        <v>140</v>
      </c>
      <c r="AR435" s="266">
        <v>15</v>
      </c>
      <c r="AS435" s="267">
        <v>50</v>
      </c>
      <c r="AT435" s="288"/>
      <c r="AU435" s="114" cm="1">
        <f t="array" ref="AU435:AX508">_xlfn._xlws.SORT(AU281:AX354,3,1)</f>
        <v>90</v>
      </c>
      <c r="AV435" s="266">
        <v>90</v>
      </c>
      <c r="AW435" s="266">
        <v>10</v>
      </c>
      <c r="AX435" s="267">
        <v>40</v>
      </c>
      <c r="AZ435" s="114" cm="1">
        <f t="array" ref="AZ435:BC508">_xlfn._xlws.SORT(AZ281:BC354,3,1)</f>
        <v>90</v>
      </c>
      <c r="BA435" s="266">
        <v>90</v>
      </c>
      <c r="BB435" s="266">
        <v>10</v>
      </c>
      <c r="BC435" s="267">
        <v>40</v>
      </c>
      <c r="BE435" s="114" cm="1">
        <f t="array" ref="BE435:BH508">_xlfn._xlws.SORT(BE281:BH354,3,1)</f>
        <v>90</v>
      </c>
      <c r="BF435" s="266">
        <v>90</v>
      </c>
      <c r="BG435" s="266">
        <v>10</v>
      </c>
      <c r="BH435" s="267">
        <v>40</v>
      </c>
      <c r="BI435" s="288"/>
      <c r="BJ435" s="114" cm="1">
        <f t="array" ref="BJ435:BM508">_xlfn._xlws.SORT(BJ281:BM354,3,1)</f>
        <v>90</v>
      </c>
      <c r="BK435" s="266">
        <v>50</v>
      </c>
      <c r="BL435" s="266">
        <v>10</v>
      </c>
      <c r="BM435" s="267">
        <v>40</v>
      </c>
      <c r="BO435" s="114" cm="1">
        <f t="array" ref="BO435:BR508">_xlfn._xlws.SORT(BO281:BR354,3,1)</f>
        <v>90</v>
      </c>
      <c r="BP435" s="266">
        <v>50</v>
      </c>
      <c r="BQ435" s="266">
        <v>10</v>
      </c>
      <c r="BR435" s="267">
        <v>40</v>
      </c>
      <c r="BT435" s="114" cm="1">
        <f t="array" ref="BT435:BW508">_xlfn._xlws.SORT(BT281:BW354,3,1)</f>
        <v>90</v>
      </c>
      <c r="BU435" s="266">
        <v>50</v>
      </c>
      <c r="BV435" s="266">
        <v>10</v>
      </c>
      <c r="BW435" s="267">
        <v>40</v>
      </c>
      <c r="BX435" s="288"/>
      <c r="CM435" s="96"/>
    </row>
    <row r="436" spans="1:91">
      <c r="A436" s="285"/>
      <c r="B436" s="92">
        <v>90</v>
      </c>
      <c r="C436" s="268">
        <v>10</v>
      </c>
      <c r="D436" s="268">
        <v>10</v>
      </c>
      <c r="E436" s="269">
        <v>50</v>
      </c>
      <c r="G436" s="92">
        <v>90</v>
      </c>
      <c r="H436" s="268">
        <v>10</v>
      </c>
      <c r="I436" s="268">
        <v>10</v>
      </c>
      <c r="J436" s="269">
        <v>50</v>
      </c>
      <c r="L436" s="92">
        <v>90</v>
      </c>
      <c r="M436" s="268">
        <v>10</v>
      </c>
      <c r="N436" s="268">
        <v>10</v>
      </c>
      <c r="O436" s="269">
        <v>50</v>
      </c>
      <c r="Q436" s="92">
        <v>90</v>
      </c>
      <c r="R436" s="268">
        <v>10</v>
      </c>
      <c r="S436" s="268">
        <v>10</v>
      </c>
      <c r="T436" s="269">
        <v>50</v>
      </c>
      <c r="V436" s="92">
        <v>90</v>
      </c>
      <c r="W436" s="268">
        <v>10</v>
      </c>
      <c r="X436" s="268">
        <v>10</v>
      </c>
      <c r="Y436" s="269">
        <v>50</v>
      </c>
      <c r="AA436" s="92">
        <v>90</v>
      </c>
      <c r="AB436" s="268">
        <v>10</v>
      </c>
      <c r="AC436" s="268">
        <v>10</v>
      </c>
      <c r="AD436" s="269">
        <v>50</v>
      </c>
      <c r="AF436" s="92">
        <v>90</v>
      </c>
      <c r="AG436" s="268">
        <v>10</v>
      </c>
      <c r="AH436" s="268">
        <v>10</v>
      </c>
      <c r="AI436" s="269">
        <v>50</v>
      </c>
      <c r="AK436" s="92">
        <v>90</v>
      </c>
      <c r="AL436" s="268">
        <v>10</v>
      </c>
      <c r="AM436" s="268">
        <v>10</v>
      </c>
      <c r="AN436" s="269">
        <v>50</v>
      </c>
      <c r="AP436" s="92">
        <v>90</v>
      </c>
      <c r="AQ436" s="268">
        <v>10</v>
      </c>
      <c r="AR436" s="268">
        <v>15</v>
      </c>
      <c r="AS436" s="269">
        <v>50</v>
      </c>
      <c r="AT436" s="288"/>
      <c r="AU436" s="92">
        <v>90</v>
      </c>
      <c r="AV436" s="268">
        <v>10</v>
      </c>
      <c r="AW436" s="268">
        <v>10</v>
      </c>
      <c r="AX436" s="269">
        <v>40</v>
      </c>
      <c r="AZ436" s="92">
        <v>90</v>
      </c>
      <c r="BA436" s="268">
        <v>10</v>
      </c>
      <c r="BB436" s="268">
        <v>10</v>
      </c>
      <c r="BC436" s="269">
        <v>40</v>
      </c>
      <c r="BE436" s="92">
        <v>90</v>
      </c>
      <c r="BF436" s="268">
        <v>10</v>
      </c>
      <c r="BG436" s="268">
        <v>10</v>
      </c>
      <c r="BH436" s="269">
        <v>40</v>
      </c>
      <c r="BI436" s="288"/>
      <c r="BJ436" s="92">
        <v>90</v>
      </c>
      <c r="BK436" s="268">
        <v>10</v>
      </c>
      <c r="BL436" s="268">
        <v>10</v>
      </c>
      <c r="BM436" s="269">
        <v>40</v>
      </c>
      <c r="BO436" s="92">
        <v>90</v>
      </c>
      <c r="BP436" s="268">
        <v>10</v>
      </c>
      <c r="BQ436" s="268">
        <v>10</v>
      </c>
      <c r="BR436" s="269">
        <v>40</v>
      </c>
      <c r="BT436" s="92">
        <v>90</v>
      </c>
      <c r="BU436" s="268">
        <v>10</v>
      </c>
      <c r="BV436" s="268">
        <v>10</v>
      </c>
      <c r="BW436" s="269">
        <v>40</v>
      </c>
      <c r="BX436" s="288"/>
      <c r="CM436" s="96"/>
    </row>
    <row r="437" spans="1:91">
      <c r="A437" s="285"/>
      <c r="B437" s="92">
        <v>90</v>
      </c>
      <c r="C437" s="268">
        <v>96</v>
      </c>
      <c r="D437" s="268">
        <v>20</v>
      </c>
      <c r="E437" s="269">
        <v>50</v>
      </c>
      <c r="G437" s="92">
        <v>90</v>
      </c>
      <c r="H437" s="268">
        <v>96</v>
      </c>
      <c r="I437" s="268">
        <v>20</v>
      </c>
      <c r="J437" s="269">
        <v>50</v>
      </c>
      <c r="L437" s="92">
        <v>90</v>
      </c>
      <c r="M437" s="268">
        <v>96</v>
      </c>
      <c r="N437" s="268">
        <v>20</v>
      </c>
      <c r="O437" s="269">
        <v>50</v>
      </c>
      <c r="Q437" s="92">
        <v>90</v>
      </c>
      <c r="R437" s="268">
        <v>96</v>
      </c>
      <c r="S437" s="268">
        <v>20</v>
      </c>
      <c r="T437" s="269">
        <v>50</v>
      </c>
      <c r="V437" s="92">
        <v>90</v>
      </c>
      <c r="W437" s="268">
        <v>96</v>
      </c>
      <c r="X437" s="268">
        <v>20</v>
      </c>
      <c r="Y437" s="269">
        <v>50</v>
      </c>
      <c r="AA437" s="92">
        <v>90</v>
      </c>
      <c r="AB437" s="268">
        <v>96</v>
      </c>
      <c r="AC437" s="268">
        <v>20</v>
      </c>
      <c r="AD437" s="269">
        <v>50</v>
      </c>
      <c r="AF437" s="92">
        <v>90</v>
      </c>
      <c r="AG437" s="268">
        <v>96</v>
      </c>
      <c r="AH437" s="268">
        <v>20</v>
      </c>
      <c r="AI437" s="269">
        <v>50</v>
      </c>
      <c r="AK437" s="92">
        <v>90</v>
      </c>
      <c r="AL437" s="268">
        <v>96</v>
      </c>
      <c r="AM437" s="268">
        <v>20</v>
      </c>
      <c r="AN437" s="269">
        <v>50</v>
      </c>
      <c r="AP437" s="92">
        <v>90</v>
      </c>
      <c r="AQ437" s="268">
        <v>96</v>
      </c>
      <c r="AR437" s="268">
        <v>25</v>
      </c>
      <c r="AS437" s="269">
        <v>50</v>
      </c>
      <c r="AT437" s="288"/>
      <c r="AU437" s="92">
        <v>45</v>
      </c>
      <c r="AV437" s="268">
        <v>89.2</v>
      </c>
      <c r="AW437" s="268">
        <v>64</v>
      </c>
      <c r="AX437" s="269">
        <v>17.5</v>
      </c>
      <c r="AZ437" s="92">
        <v>45</v>
      </c>
      <c r="BA437" s="268">
        <v>89.2</v>
      </c>
      <c r="BB437" s="268">
        <v>60</v>
      </c>
      <c r="BC437" s="269">
        <v>17.5</v>
      </c>
      <c r="BE437" s="92">
        <v>45</v>
      </c>
      <c r="BF437" s="268">
        <v>89.2</v>
      </c>
      <c r="BG437" s="268">
        <v>56</v>
      </c>
      <c r="BH437" s="269">
        <v>17.5</v>
      </c>
      <c r="BI437" s="288"/>
      <c r="BJ437" s="92">
        <v>45</v>
      </c>
      <c r="BK437" s="268">
        <v>9.75</v>
      </c>
      <c r="BL437" s="268">
        <v>64</v>
      </c>
      <c r="BM437" s="269">
        <v>17.5</v>
      </c>
      <c r="BO437" s="92">
        <v>45</v>
      </c>
      <c r="BP437" s="268">
        <v>9.75</v>
      </c>
      <c r="BQ437" s="268">
        <v>60</v>
      </c>
      <c r="BR437" s="269">
        <v>17.5</v>
      </c>
      <c r="BT437" s="92">
        <v>45</v>
      </c>
      <c r="BU437" s="268">
        <v>9.75</v>
      </c>
      <c r="BV437" s="268">
        <v>56</v>
      </c>
      <c r="BW437" s="269">
        <v>17.5</v>
      </c>
      <c r="BX437" s="288"/>
      <c r="CM437" s="96"/>
    </row>
    <row r="438" spans="1:91">
      <c r="A438" s="285"/>
      <c r="B438" s="92">
        <v>90</v>
      </c>
      <c r="C438" s="268">
        <v>54</v>
      </c>
      <c r="D438" s="268">
        <v>20</v>
      </c>
      <c r="E438" s="269">
        <v>50</v>
      </c>
      <c r="G438" s="92">
        <v>90</v>
      </c>
      <c r="H438" s="268">
        <v>54</v>
      </c>
      <c r="I438" s="268">
        <v>20</v>
      </c>
      <c r="J438" s="269">
        <v>50</v>
      </c>
      <c r="L438" s="92">
        <v>90</v>
      </c>
      <c r="M438" s="268">
        <v>54</v>
      </c>
      <c r="N438" s="268">
        <v>20</v>
      </c>
      <c r="O438" s="269">
        <v>50</v>
      </c>
      <c r="Q438" s="92">
        <v>90</v>
      </c>
      <c r="R438" s="268">
        <v>54</v>
      </c>
      <c r="S438" s="268">
        <v>20</v>
      </c>
      <c r="T438" s="269">
        <v>50</v>
      </c>
      <c r="V438" s="92">
        <v>90</v>
      </c>
      <c r="W438" s="268">
        <v>54</v>
      </c>
      <c r="X438" s="268">
        <v>20</v>
      </c>
      <c r="Y438" s="269">
        <v>50</v>
      </c>
      <c r="AA438" s="92">
        <v>90</v>
      </c>
      <c r="AB438" s="268">
        <v>54</v>
      </c>
      <c r="AC438" s="268">
        <v>20</v>
      </c>
      <c r="AD438" s="269">
        <v>50</v>
      </c>
      <c r="AF438" s="92">
        <v>90</v>
      </c>
      <c r="AG438" s="268">
        <v>54</v>
      </c>
      <c r="AH438" s="268">
        <v>20</v>
      </c>
      <c r="AI438" s="269">
        <v>50</v>
      </c>
      <c r="AK438" s="92">
        <v>90</v>
      </c>
      <c r="AL438" s="268">
        <v>54</v>
      </c>
      <c r="AM438" s="268">
        <v>20</v>
      </c>
      <c r="AN438" s="269">
        <v>50</v>
      </c>
      <c r="AP438" s="92">
        <v>90</v>
      </c>
      <c r="AQ438" s="268">
        <v>54</v>
      </c>
      <c r="AR438" s="268">
        <v>25</v>
      </c>
      <c r="AS438" s="269">
        <v>50</v>
      </c>
      <c r="AT438" s="288"/>
      <c r="AU438" s="92">
        <v>45</v>
      </c>
      <c r="AV438" s="268">
        <v>10.799999999999997</v>
      </c>
      <c r="AW438" s="268">
        <v>64</v>
      </c>
      <c r="AX438" s="269">
        <v>17.5</v>
      </c>
      <c r="AZ438" s="92">
        <v>45</v>
      </c>
      <c r="BA438" s="268">
        <v>10.799999999999997</v>
      </c>
      <c r="BB438" s="268">
        <v>60</v>
      </c>
      <c r="BC438" s="269">
        <v>17.5</v>
      </c>
      <c r="BE438" s="92">
        <v>45</v>
      </c>
      <c r="BF438" s="268">
        <v>10.799999999999997</v>
      </c>
      <c r="BG438" s="268">
        <v>56</v>
      </c>
      <c r="BH438" s="269">
        <v>17.5</v>
      </c>
      <c r="BI438" s="288"/>
      <c r="BJ438" s="92">
        <v>90</v>
      </c>
      <c r="BK438" s="268">
        <v>30</v>
      </c>
      <c r="BL438" s="268">
        <v>70</v>
      </c>
      <c r="BM438" s="269">
        <v>14</v>
      </c>
      <c r="BO438" s="92">
        <v>90</v>
      </c>
      <c r="BP438" s="268">
        <v>30</v>
      </c>
      <c r="BQ438" s="268">
        <v>70</v>
      </c>
      <c r="BR438" s="269">
        <v>14</v>
      </c>
      <c r="BT438" s="92">
        <v>90</v>
      </c>
      <c r="BU438" s="268">
        <v>30</v>
      </c>
      <c r="BV438" s="268">
        <v>70</v>
      </c>
      <c r="BW438" s="269">
        <v>14</v>
      </c>
      <c r="BX438" s="288"/>
      <c r="CM438" s="96"/>
    </row>
    <row r="439" spans="1:91">
      <c r="A439" s="285"/>
      <c r="B439" s="92">
        <v>90</v>
      </c>
      <c r="C439" s="268">
        <v>75</v>
      </c>
      <c r="D439" s="268">
        <v>65</v>
      </c>
      <c r="E439" s="269">
        <v>14</v>
      </c>
      <c r="G439" s="92">
        <v>90</v>
      </c>
      <c r="H439" s="268">
        <v>75</v>
      </c>
      <c r="I439" s="268">
        <v>65</v>
      </c>
      <c r="J439" s="269">
        <v>14</v>
      </c>
      <c r="L439" s="92">
        <v>45</v>
      </c>
      <c r="M439" s="268">
        <v>139.5</v>
      </c>
      <c r="N439" s="268">
        <v>61</v>
      </c>
      <c r="O439" s="269">
        <v>18</v>
      </c>
      <c r="Q439" s="92">
        <v>45</v>
      </c>
      <c r="R439" s="268">
        <v>139.5</v>
      </c>
      <c r="S439" s="268">
        <v>61</v>
      </c>
      <c r="T439" s="269">
        <v>18</v>
      </c>
      <c r="V439" s="92">
        <v>45</v>
      </c>
      <c r="W439" s="268">
        <v>139.5</v>
      </c>
      <c r="X439" s="268">
        <v>61</v>
      </c>
      <c r="Y439" s="269">
        <v>18</v>
      </c>
      <c r="AA439" s="92">
        <v>45</v>
      </c>
      <c r="AB439" s="268">
        <v>139.5</v>
      </c>
      <c r="AC439" s="268">
        <v>64</v>
      </c>
      <c r="AD439" s="269">
        <v>18</v>
      </c>
      <c r="AF439" s="92">
        <v>45</v>
      </c>
      <c r="AG439" s="268">
        <v>139.5</v>
      </c>
      <c r="AH439" s="268">
        <v>60</v>
      </c>
      <c r="AI439" s="269">
        <v>18</v>
      </c>
      <c r="AK439" s="92">
        <v>45</v>
      </c>
      <c r="AL439" s="268">
        <v>139.5</v>
      </c>
      <c r="AM439" s="268">
        <v>60</v>
      </c>
      <c r="AN439" s="269">
        <v>18</v>
      </c>
      <c r="AP439" s="92">
        <v>45</v>
      </c>
      <c r="AQ439" s="268">
        <v>140</v>
      </c>
      <c r="AR439" s="268">
        <v>50</v>
      </c>
      <c r="AS439" s="269">
        <v>18</v>
      </c>
      <c r="AT439" s="288"/>
      <c r="AU439" s="92">
        <v>90</v>
      </c>
      <c r="AV439" s="268">
        <v>70</v>
      </c>
      <c r="AW439" s="268">
        <v>75</v>
      </c>
      <c r="AX439" s="269">
        <v>14</v>
      </c>
      <c r="AZ439" s="92">
        <v>90</v>
      </c>
      <c r="BA439" s="268">
        <v>70</v>
      </c>
      <c r="BB439" s="268">
        <v>75</v>
      </c>
      <c r="BC439" s="269">
        <v>14</v>
      </c>
      <c r="BE439" s="92">
        <v>90</v>
      </c>
      <c r="BF439" s="268">
        <v>70</v>
      </c>
      <c r="BG439" s="268">
        <v>75</v>
      </c>
      <c r="BH439" s="269">
        <v>14</v>
      </c>
      <c r="BI439" s="288"/>
      <c r="BJ439" s="92">
        <v>45</v>
      </c>
      <c r="BK439" s="268">
        <v>50.25</v>
      </c>
      <c r="BL439" s="268">
        <v>84</v>
      </c>
      <c r="BM439" s="269">
        <v>17.5</v>
      </c>
      <c r="BO439" s="92">
        <v>45</v>
      </c>
      <c r="BP439" s="268">
        <v>50.25</v>
      </c>
      <c r="BQ439" s="268">
        <v>80</v>
      </c>
      <c r="BR439" s="269">
        <v>17.5</v>
      </c>
      <c r="BT439" s="92">
        <v>45</v>
      </c>
      <c r="BU439" s="268">
        <v>50.25</v>
      </c>
      <c r="BV439" s="268">
        <v>76</v>
      </c>
      <c r="BW439" s="269">
        <v>17.5</v>
      </c>
      <c r="BX439" s="288"/>
      <c r="CM439" s="96"/>
    </row>
    <row r="440" spans="1:91">
      <c r="A440" s="285"/>
      <c r="B440" s="92">
        <v>90</v>
      </c>
      <c r="C440" s="268">
        <v>118</v>
      </c>
      <c r="D440" s="268">
        <v>75</v>
      </c>
      <c r="E440" s="269">
        <v>14</v>
      </c>
      <c r="G440" s="92">
        <v>45</v>
      </c>
      <c r="H440" s="268">
        <v>139.5</v>
      </c>
      <c r="I440" s="268">
        <v>73</v>
      </c>
      <c r="J440" s="269">
        <v>18</v>
      </c>
      <c r="L440" s="92">
        <v>45</v>
      </c>
      <c r="M440" s="268">
        <v>10.5</v>
      </c>
      <c r="N440" s="268">
        <v>61</v>
      </c>
      <c r="O440" s="269">
        <v>18</v>
      </c>
      <c r="Q440" s="92">
        <v>45</v>
      </c>
      <c r="R440" s="268">
        <v>10.5</v>
      </c>
      <c r="S440" s="268">
        <v>61</v>
      </c>
      <c r="T440" s="269">
        <v>18</v>
      </c>
      <c r="V440" s="92">
        <v>45</v>
      </c>
      <c r="W440" s="268">
        <v>10.5</v>
      </c>
      <c r="X440" s="268">
        <v>61</v>
      </c>
      <c r="Y440" s="269">
        <v>18</v>
      </c>
      <c r="AA440" s="92">
        <v>45</v>
      </c>
      <c r="AB440" s="268">
        <v>10.5</v>
      </c>
      <c r="AC440" s="268">
        <v>64</v>
      </c>
      <c r="AD440" s="269">
        <v>18</v>
      </c>
      <c r="AF440" s="92">
        <v>45</v>
      </c>
      <c r="AG440" s="268">
        <v>10.5</v>
      </c>
      <c r="AH440" s="268">
        <v>60</v>
      </c>
      <c r="AI440" s="269">
        <v>18</v>
      </c>
      <c r="AK440" s="92">
        <v>45</v>
      </c>
      <c r="AL440" s="268">
        <v>10.5</v>
      </c>
      <c r="AM440" s="268">
        <v>60</v>
      </c>
      <c r="AN440" s="269">
        <v>18</v>
      </c>
      <c r="AP440" s="92">
        <v>45</v>
      </c>
      <c r="AQ440" s="268">
        <v>96</v>
      </c>
      <c r="AR440" s="268">
        <v>50</v>
      </c>
      <c r="AS440" s="269">
        <v>18</v>
      </c>
      <c r="AT440" s="288"/>
      <c r="AU440" s="92">
        <v>90</v>
      </c>
      <c r="AV440" s="268">
        <v>30</v>
      </c>
      <c r="AW440" s="268">
        <v>75</v>
      </c>
      <c r="AX440" s="269">
        <v>14</v>
      </c>
      <c r="AZ440" s="92">
        <v>90</v>
      </c>
      <c r="BA440" s="268">
        <v>30</v>
      </c>
      <c r="BB440" s="268">
        <v>75</v>
      </c>
      <c r="BC440" s="269">
        <v>14</v>
      </c>
      <c r="BE440" s="92">
        <v>90</v>
      </c>
      <c r="BF440" s="268">
        <v>30</v>
      </c>
      <c r="BG440" s="268">
        <v>75</v>
      </c>
      <c r="BH440" s="269">
        <v>14</v>
      </c>
      <c r="BI440" s="288"/>
      <c r="BJ440" s="92">
        <v>45</v>
      </c>
      <c r="BK440" s="268">
        <v>9.75</v>
      </c>
      <c r="BL440" s="268">
        <v>122</v>
      </c>
      <c r="BM440" s="269">
        <v>17.5</v>
      </c>
      <c r="BO440" s="92">
        <v>45</v>
      </c>
      <c r="BP440" s="268">
        <v>9.75</v>
      </c>
      <c r="BQ440" s="268">
        <v>118</v>
      </c>
      <c r="BR440" s="269">
        <v>17.5</v>
      </c>
      <c r="BT440" s="92">
        <v>45</v>
      </c>
      <c r="BU440" s="268">
        <v>9.75</v>
      </c>
      <c r="BV440" s="268">
        <v>114</v>
      </c>
      <c r="BW440" s="269">
        <v>17.5</v>
      </c>
      <c r="BX440" s="288"/>
      <c r="CM440" s="96"/>
    </row>
    <row r="441" spans="1:91">
      <c r="A441" s="285"/>
      <c r="B441" s="92">
        <v>90</v>
      </c>
      <c r="C441" s="268">
        <v>32</v>
      </c>
      <c r="D441" s="268">
        <v>75</v>
      </c>
      <c r="E441" s="269">
        <v>14</v>
      </c>
      <c r="G441" s="92">
        <v>45</v>
      </c>
      <c r="H441" s="268">
        <v>10.5</v>
      </c>
      <c r="I441" s="268">
        <v>73</v>
      </c>
      <c r="J441" s="269">
        <v>18</v>
      </c>
      <c r="L441" s="92">
        <v>90</v>
      </c>
      <c r="M441" s="268">
        <v>75</v>
      </c>
      <c r="N441" s="268">
        <v>65</v>
      </c>
      <c r="O441" s="269">
        <v>14</v>
      </c>
      <c r="Q441" s="92">
        <v>90</v>
      </c>
      <c r="R441" s="268">
        <v>75</v>
      </c>
      <c r="S441" s="268">
        <v>65</v>
      </c>
      <c r="T441" s="269">
        <v>14</v>
      </c>
      <c r="V441" s="92">
        <v>90</v>
      </c>
      <c r="W441" s="268">
        <v>75</v>
      </c>
      <c r="X441" s="268">
        <v>65</v>
      </c>
      <c r="Y441" s="269">
        <v>14</v>
      </c>
      <c r="AA441" s="92">
        <v>90</v>
      </c>
      <c r="AB441" s="268">
        <v>75</v>
      </c>
      <c r="AC441" s="268">
        <v>65</v>
      </c>
      <c r="AD441" s="269">
        <v>14</v>
      </c>
      <c r="AF441" s="92">
        <v>90</v>
      </c>
      <c r="AG441" s="268">
        <v>75</v>
      </c>
      <c r="AH441" s="268">
        <v>65</v>
      </c>
      <c r="AI441" s="269">
        <v>14</v>
      </c>
      <c r="AK441" s="92">
        <v>90</v>
      </c>
      <c r="AL441" s="268">
        <v>75</v>
      </c>
      <c r="AM441" s="268">
        <v>65</v>
      </c>
      <c r="AN441" s="269">
        <v>14</v>
      </c>
      <c r="AP441" s="92">
        <v>45</v>
      </c>
      <c r="AQ441" s="268">
        <v>54</v>
      </c>
      <c r="AR441" s="268">
        <v>50</v>
      </c>
      <c r="AS441" s="269">
        <v>18</v>
      </c>
      <c r="AT441" s="288"/>
      <c r="AU441" s="92">
        <v>45</v>
      </c>
      <c r="AV441" s="268">
        <v>50</v>
      </c>
      <c r="AW441" s="268">
        <v>92</v>
      </c>
      <c r="AX441" s="269">
        <v>17.5</v>
      </c>
      <c r="AZ441" s="92">
        <v>45</v>
      </c>
      <c r="BA441" s="268">
        <v>50</v>
      </c>
      <c r="BB441" s="268">
        <v>88</v>
      </c>
      <c r="BC441" s="269">
        <v>17.5</v>
      </c>
      <c r="BE441" s="92">
        <v>45</v>
      </c>
      <c r="BF441" s="268">
        <v>50</v>
      </c>
      <c r="BG441" s="268">
        <v>84</v>
      </c>
      <c r="BH441" s="269">
        <v>17.5</v>
      </c>
      <c r="BI441" s="288"/>
      <c r="BJ441" s="92">
        <v>45</v>
      </c>
      <c r="BK441" s="268">
        <v>50.25</v>
      </c>
      <c r="BL441" s="268">
        <v>142</v>
      </c>
      <c r="BM441" s="269">
        <v>17.5</v>
      </c>
      <c r="BO441" s="92">
        <v>45</v>
      </c>
      <c r="BP441" s="268">
        <v>50.25</v>
      </c>
      <c r="BQ441" s="268">
        <v>138</v>
      </c>
      <c r="BR441" s="269">
        <v>17.5</v>
      </c>
      <c r="BT441" s="92">
        <v>45</v>
      </c>
      <c r="BU441" s="268">
        <v>50.25</v>
      </c>
      <c r="BV441" s="268">
        <v>134</v>
      </c>
      <c r="BW441" s="269">
        <v>17.5</v>
      </c>
      <c r="BX441" s="288"/>
      <c r="CM441" s="96"/>
    </row>
    <row r="442" spans="1:91">
      <c r="A442" s="285"/>
      <c r="B442" s="92">
        <v>45</v>
      </c>
      <c r="C442" s="268">
        <v>139.5</v>
      </c>
      <c r="D442" s="268">
        <v>313</v>
      </c>
      <c r="E442" s="269">
        <v>18</v>
      </c>
      <c r="G442" s="92">
        <v>90</v>
      </c>
      <c r="H442" s="268">
        <v>118</v>
      </c>
      <c r="I442" s="268">
        <v>75</v>
      </c>
      <c r="J442" s="269">
        <v>14</v>
      </c>
      <c r="L442" s="92">
        <v>90</v>
      </c>
      <c r="M442" s="268">
        <v>118</v>
      </c>
      <c r="N442" s="268">
        <v>75</v>
      </c>
      <c r="O442" s="269">
        <v>14</v>
      </c>
      <c r="Q442" s="92">
        <v>90</v>
      </c>
      <c r="R442" s="268">
        <v>118</v>
      </c>
      <c r="S442" s="268">
        <v>75</v>
      </c>
      <c r="T442" s="269">
        <v>14</v>
      </c>
      <c r="V442" s="92">
        <v>90</v>
      </c>
      <c r="W442" s="268">
        <v>118</v>
      </c>
      <c r="X442" s="268">
        <v>75</v>
      </c>
      <c r="Y442" s="269">
        <v>14</v>
      </c>
      <c r="AA442" s="92">
        <v>90</v>
      </c>
      <c r="AB442" s="268">
        <v>118</v>
      </c>
      <c r="AC442" s="268">
        <v>75</v>
      </c>
      <c r="AD442" s="269">
        <v>14</v>
      </c>
      <c r="AF442" s="92">
        <v>90</v>
      </c>
      <c r="AG442" s="268">
        <v>118</v>
      </c>
      <c r="AH442" s="268">
        <v>75</v>
      </c>
      <c r="AI442" s="269">
        <v>14</v>
      </c>
      <c r="AK442" s="92">
        <v>90</v>
      </c>
      <c r="AL442" s="268">
        <v>118</v>
      </c>
      <c r="AM442" s="268">
        <v>75</v>
      </c>
      <c r="AN442" s="269">
        <v>14</v>
      </c>
      <c r="AP442" s="92">
        <v>45</v>
      </c>
      <c r="AQ442" s="268">
        <v>10</v>
      </c>
      <c r="AR442" s="268">
        <v>50</v>
      </c>
      <c r="AS442" s="269">
        <v>18</v>
      </c>
      <c r="AT442" s="288"/>
      <c r="AU442" s="92">
        <v>45</v>
      </c>
      <c r="AV442" s="268">
        <v>89.2</v>
      </c>
      <c r="AW442" s="268">
        <v>122</v>
      </c>
      <c r="AX442" s="269">
        <v>17.5</v>
      </c>
      <c r="AZ442" s="92">
        <v>45</v>
      </c>
      <c r="BA442" s="268">
        <v>89.2</v>
      </c>
      <c r="BB442" s="268">
        <v>118</v>
      </c>
      <c r="BC442" s="269">
        <v>17.5</v>
      </c>
      <c r="BE442" s="92">
        <v>45</v>
      </c>
      <c r="BF442" s="268">
        <v>89.2</v>
      </c>
      <c r="BG442" s="268">
        <v>114</v>
      </c>
      <c r="BH442" s="269">
        <v>17.5</v>
      </c>
      <c r="BI442" s="288"/>
      <c r="BJ442" s="92">
        <v>45</v>
      </c>
      <c r="BK442" s="268">
        <v>9.75</v>
      </c>
      <c r="BL442" s="268">
        <v>180</v>
      </c>
      <c r="BM442" s="269">
        <v>17.5</v>
      </c>
      <c r="BO442" s="92">
        <v>45</v>
      </c>
      <c r="BP442" s="268">
        <v>9.75</v>
      </c>
      <c r="BQ442" s="268">
        <v>176</v>
      </c>
      <c r="BR442" s="269">
        <v>17.5</v>
      </c>
      <c r="BT442" s="92">
        <v>45</v>
      </c>
      <c r="BU442" s="268">
        <v>9.75</v>
      </c>
      <c r="BV442" s="268">
        <v>172</v>
      </c>
      <c r="BW442" s="269">
        <v>17.5</v>
      </c>
      <c r="BX442" s="288"/>
      <c r="CM442" s="96"/>
    </row>
    <row r="443" spans="1:91">
      <c r="A443" s="285"/>
      <c r="B443" s="92">
        <v>45</v>
      </c>
      <c r="C443" s="268">
        <v>10.5</v>
      </c>
      <c r="D443" s="268">
        <v>313</v>
      </c>
      <c r="E443" s="269">
        <v>18</v>
      </c>
      <c r="G443" s="92">
        <v>90</v>
      </c>
      <c r="H443" s="268">
        <v>32</v>
      </c>
      <c r="I443" s="268">
        <v>75</v>
      </c>
      <c r="J443" s="269">
        <v>14</v>
      </c>
      <c r="L443" s="92">
        <v>90</v>
      </c>
      <c r="M443" s="268">
        <v>32</v>
      </c>
      <c r="N443" s="268">
        <v>75</v>
      </c>
      <c r="O443" s="269">
        <v>14</v>
      </c>
      <c r="Q443" s="92">
        <v>90</v>
      </c>
      <c r="R443" s="268">
        <v>32</v>
      </c>
      <c r="S443" s="268">
        <v>75</v>
      </c>
      <c r="T443" s="269">
        <v>14</v>
      </c>
      <c r="V443" s="92">
        <v>90</v>
      </c>
      <c r="W443" s="268">
        <v>32</v>
      </c>
      <c r="X443" s="268">
        <v>75</v>
      </c>
      <c r="Y443" s="269">
        <v>14</v>
      </c>
      <c r="AA443" s="92">
        <v>90</v>
      </c>
      <c r="AB443" s="268">
        <v>32</v>
      </c>
      <c r="AC443" s="268">
        <v>75</v>
      </c>
      <c r="AD443" s="269">
        <v>14</v>
      </c>
      <c r="AF443" s="92">
        <v>90</v>
      </c>
      <c r="AG443" s="268">
        <v>32</v>
      </c>
      <c r="AH443" s="268">
        <v>75</v>
      </c>
      <c r="AI443" s="269">
        <v>14</v>
      </c>
      <c r="AK443" s="92">
        <v>90</v>
      </c>
      <c r="AL443" s="268">
        <v>32</v>
      </c>
      <c r="AM443" s="268">
        <v>75</v>
      </c>
      <c r="AN443" s="269">
        <v>14</v>
      </c>
      <c r="AP443" s="92">
        <v>45</v>
      </c>
      <c r="AQ443" s="268">
        <v>140</v>
      </c>
      <c r="AR443" s="268">
        <v>107</v>
      </c>
      <c r="AS443" s="269">
        <v>18</v>
      </c>
      <c r="AT443" s="288"/>
      <c r="AU443" s="92">
        <v>45</v>
      </c>
      <c r="AV443" s="268">
        <v>10.799999999999997</v>
      </c>
      <c r="AW443" s="268">
        <v>122</v>
      </c>
      <c r="AX443" s="269">
        <v>17.5</v>
      </c>
      <c r="AZ443" s="92">
        <v>45</v>
      </c>
      <c r="BA443" s="268">
        <v>10.799999999999997</v>
      </c>
      <c r="BB443" s="268">
        <v>118</v>
      </c>
      <c r="BC443" s="269">
        <v>17.5</v>
      </c>
      <c r="BE443" s="92">
        <v>45</v>
      </c>
      <c r="BF443" s="268">
        <v>10.799999999999997</v>
      </c>
      <c r="BG443" s="268">
        <v>114</v>
      </c>
      <c r="BH443" s="269">
        <v>17.5</v>
      </c>
      <c r="BI443" s="288"/>
      <c r="BJ443" s="92">
        <v>45</v>
      </c>
      <c r="BK443" s="268">
        <v>50.25</v>
      </c>
      <c r="BL443" s="268">
        <v>200</v>
      </c>
      <c r="BM443" s="269">
        <v>17.5</v>
      </c>
      <c r="BO443" s="92">
        <v>45</v>
      </c>
      <c r="BP443" s="268">
        <v>50.25</v>
      </c>
      <c r="BQ443" s="268">
        <v>196</v>
      </c>
      <c r="BR443" s="269">
        <v>17.5</v>
      </c>
      <c r="BT443" s="92">
        <v>45</v>
      </c>
      <c r="BU443" s="268">
        <v>50.25</v>
      </c>
      <c r="BV443" s="268">
        <v>192</v>
      </c>
      <c r="BW443" s="269">
        <v>17.5</v>
      </c>
      <c r="BX443" s="288"/>
      <c r="CM443" s="96"/>
    </row>
    <row r="444" spans="1:91">
      <c r="A444" s="285"/>
      <c r="B444" s="270">
        <v>45</v>
      </c>
      <c r="C444" s="271">
        <v>96.5</v>
      </c>
      <c r="D444" s="271">
        <v>342</v>
      </c>
      <c r="E444" s="272">
        <v>18</v>
      </c>
      <c r="G444" s="270">
        <v>45</v>
      </c>
      <c r="H444" s="271">
        <v>96.5</v>
      </c>
      <c r="I444" s="271">
        <v>102</v>
      </c>
      <c r="J444" s="272">
        <v>18</v>
      </c>
      <c r="L444" s="270">
        <v>45</v>
      </c>
      <c r="M444" s="271">
        <v>96.5</v>
      </c>
      <c r="N444" s="271">
        <v>90</v>
      </c>
      <c r="O444" s="272">
        <v>18</v>
      </c>
      <c r="Q444" s="270">
        <v>45</v>
      </c>
      <c r="R444" s="271">
        <v>96.5</v>
      </c>
      <c r="S444" s="271">
        <v>90</v>
      </c>
      <c r="T444" s="272">
        <v>18</v>
      </c>
      <c r="V444" s="270">
        <v>45</v>
      </c>
      <c r="W444" s="271">
        <v>96.5</v>
      </c>
      <c r="X444" s="271">
        <v>89.5</v>
      </c>
      <c r="Y444" s="272">
        <v>18</v>
      </c>
      <c r="AA444" s="270">
        <v>45</v>
      </c>
      <c r="AB444" s="271">
        <v>96.5</v>
      </c>
      <c r="AC444" s="271">
        <v>92</v>
      </c>
      <c r="AD444" s="272">
        <v>18</v>
      </c>
      <c r="AF444" s="270">
        <v>45</v>
      </c>
      <c r="AG444" s="271">
        <v>96.5</v>
      </c>
      <c r="AH444" s="271">
        <v>88</v>
      </c>
      <c r="AI444" s="272">
        <v>18</v>
      </c>
      <c r="AK444" s="270">
        <v>45</v>
      </c>
      <c r="AL444" s="271">
        <v>96.5</v>
      </c>
      <c r="AM444" s="271">
        <v>84</v>
      </c>
      <c r="AN444" s="272">
        <v>18</v>
      </c>
      <c r="AP444" s="270">
        <v>45</v>
      </c>
      <c r="AQ444" s="271">
        <v>96</v>
      </c>
      <c r="AR444" s="271">
        <v>107</v>
      </c>
      <c r="AS444" s="272">
        <v>18</v>
      </c>
      <c r="AT444" s="288"/>
      <c r="AU444" s="270">
        <v>45</v>
      </c>
      <c r="AV444" s="271">
        <v>50</v>
      </c>
      <c r="AW444" s="271">
        <v>150</v>
      </c>
      <c r="AX444" s="272">
        <v>17.5</v>
      </c>
      <c r="AZ444" s="270">
        <v>45</v>
      </c>
      <c r="BA444" s="271">
        <v>50</v>
      </c>
      <c r="BB444" s="271">
        <v>146</v>
      </c>
      <c r="BC444" s="272">
        <v>17.5</v>
      </c>
      <c r="BE444" s="270">
        <v>45</v>
      </c>
      <c r="BF444" s="271">
        <v>50</v>
      </c>
      <c r="BG444" s="271">
        <v>142</v>
      </c>
      <c r="BH444" s="272">
        <v>17.5</v>
      </c>
      <c r="BI444" s="288"/>
      <c r="BJ444" s="270">
        <v>45</v>
      </c>
      <c r="BK444" s="271">
        <v>9.75</v>
      </c>
      <c r="BL444" s="271">
        <v>238</v>
      </c>
      <c r="BM444" s="272">
        <v>17.5</v>
      </c>
      <c r="BO444" s="270">
        <v>45</v>
      </c>
      <c r="BP444" s="271">
        <v>9.75</v>
      </c>
      <c r="BQ444" s="271">
        <v>234</v>
      </c>
      <c r="BR444" s="272">
        <v>17.5</v>
      </c>
      <c r="BT444" s="270">
        <v>45</v>
      </c>
      <c r="BU444" s="271">
        <v>9.75</v>
      </c>
      <c r="BV444" s="271">
        <v>230</v>
      </c>
      <c r="BW444" s="272">
        <v>17.5</v>
      </c>
      <c r="BX444" s="288"/>
      <c r="CM444" s="96"/>
    </row>
    <row r="445" spans="1:91">
      <c r="A445" s="285"/>
      <c r="B445" s="270">
        <v>45</v>
      </c>
      <c r="C445" s="271">
        <v>53.5</v>
      </c>
      <c r="D445" s="271">
        <v>342</v>
      </c>
      <c r="E445" s="272">
        <v>18</v>
      </c>
      <c r="G445" s="270">
        <v>45</v>
      </c>
      <c r="H445" s="271">
        <v>53.5</v>
      </c>
      <c r="I445" s="271">
        <v>102</v>
      </c>
      <c r="J445" s="272">
        <v>18</v>
      </c>
      <c r="L445" s="270">
        <v>45</v>
      </c>
      <c r="M445" s="271">
        <v>53.5</v>
      </c>
      <c r="N445" s="271">
        <v>90</v>
      </c>
      <c r="O445" s="272">
        <v>18</v>
      </c>
      <c r="Q445" s="270">
        <v>45</v>
      </c>
      <c r="R445" s="271">
        <v>53.5</v>
      </c>
      <c r="S445" s="271">
        <v>90</v>
      </c>
      <c r="T445" s="272">
        <v>18</v>
      </c>
      <c r="V445" s="270">
        <v>45</v>
      </c>
      <c r="W445" s="271">
        <v>53.5</v>
      </c>
      <c r="X445" s="271">
        <v>89.5</v>
      </c>
      <c r="Y445" s="272">
        <v>18</v>
      </c>
      <c r="AA445" s="270">
        <v>45</v>
      </c>
      <c r="AB445" s="271">
        <v>53.5</v>
      </c>
      <c r="AC445" s="271">
        <v>92</v>
      </c>
      <c r="AD445" s="272">
        <v>18</v>
      </c>
      <c r="AF445" s="270">
        <v>45</v>
      </c>
      <c r="AG445" s="271">
        <v>53.5</v>
      </c>
      <c r="AH445" s="271">
        <v>88</v>
      </c>
      <c r="AI445" s="272">
        <v>18</v>
      </c>
      <c r="AK445" s="270">
        <v>45</v>
      </c>
      <c r="AL445" s="271">
        <v>53.5</v>
      </c>
      <c r="AM445" s="271">
        <v>84</v>
      </c>
      <c r="AN445" s="272">
        <v>18</v>
      </c>
      <c r="AP445" s="270">
        <v>45</v>
      </c>
      <c r="AQ445" s="271">
        <v>54</v>
      </c>
      <c r="AR445" s="271">
        <v>107</v>
      </c>
      <c r="AS445" s="272">
        <v>18</v>
      </c>
      <c r="AT445" s="288"/>
      <c r="AU445" s="270">
        <v>45</v>
      </c>
      <c r="AV445" s="271">
        <v>89.2</v>
      </c>
      <c r="AW445" s="271">
        <v>180</v>
      </c>
      <c r="AX445" s="272">
        <v>17.5</v>
      </c>
      <c r="AZ445" s="270">
        <v>45</v>
      </c>
      <c r="BA445" s="271">
        <v>89.2</v>
      </c>
      <c r="BB445" s="271">
        <v>176</v>
      </c>
      <c r="BC445" s="272">
        <v>17.5</v>
      </c>
      <c r="BE445" s="270">
        <v>45</v>
      </c>
      <c r="BF445" s="271">
        <v>89.2</v>
      </c>
      <c r="BG445" s="271">
        <v>172</v>
      </c>
      <c r="BH445" s="272">
        <v>17.5</v>
      </c>
      <c r="BI445" s="288"/>
      <c r="BJ445" s="270">
        <v>45</v>
      </c>
      <c r="BK445" s="271">
        <v>50.25</v>
      </c>
      <c r="BL445" s="271">
        <v>258</v>
      </c>
      <c r="BM445" s="272">
        <v>17.5</v>
      </c>
      <c r="BO445" s="270">
        <v>45</v>
      </c>
      <c r="BP445" s="271">
        <v>50.25</v>
      </c>
      <c r="BQ445" s="271">
        <v>254</v>
      </c>
      <c r="BR445" s="272">
        <v>17.5</v>
      </c>
      <c r="BT445" s="270">
        <v>90</v>
      </c>
      <c r="BU445" s="271">
        <v>30</v>
      </c>
      <c r="BV445" s="271">
        <v>240</v>
      </c>
      <c r="BW445" s="272">
        <v>14</v>
      </c>
      <c r="BX445" s="288"/>
      <c r="CM445" s="96"/>
    </row>
    <row r="446" spans="1:91">
      <c r="A446" s="285"/>
      <c r="B446" s="270">
        <v>45</v>
      </c>
      <c r="C446" s="271">
        <v>139.5</v>
      </c>
      <c r="D446" s="271">
        <v>370</v>
      </c>
      <c r="E446" s="272">
        <v>18</v>
      </c>
      <c r="G446" s="270">
        <v>45</v>
      </c>
      <c r="H446" s="271">
        <v>139.5</v>
      </c>
      <c r="I446" s="271">
        <v>130</v>
      </c>
      <c r="J446" s="272">
        <v>18</v>
      </c>
      <c r="L446" s="270">
        <v>45</v>
      </c>
      <c r="M446" s="271">
        <v>139.5</v>
      </c>
      <c r="N446" s="271">
        <v>118</v>
      </c>
      <c r="O446" s="272">
        <v>18</v>
      </c>
      <c r="Q446" s="270">
        <v>45</v>
      </c>
      <c r="R446" s="271">
        <v>139.5</v>
      </c>
      <c r="S446" s="271">
        <v>118</v>
      </c>
      <c r="T446" s="272">
        <v>18</v>
      </c>
      <c r="V446" s="270">
        <v>45</v>
      </c>
      <c r="W446" s="271">
        <v>139.5</v>
      </c>
      <c r="X446" s="271">
        <v>118</v>
      </c>
      <c r="Y446" s="272">
        <v>18</v>
      </c>
      <c r="AA446" s="270">
        <v>45</v>
      </c>
      <c r="AB446" s="271">
        <v>139.5</v>
      </c>
      <c r="AC446" s="271">
        <v>122</v>
      </c>
      <c r="AD446" s="272">
        <v>18</v>
      </c>
      <c r="AF446" s="270">
        <v>45</v>
      </c>
      <c r="AG446" s="271">
        <v>139.5</v>
      </c>
      <c r="AH446" s="271">
        <v>118</v>
      </c>
      <c r="AI446" s="272">
        <v>18</v>
      </c>
      <c r="AK446" s="270">
        <v>45</v>
      </c>
      <c r="AL446" s="271">
        <v>139.5</v>
      </c>
      <c r="AM446" s="271">
        <v>118</v>
      </c>
      <c r="AN446" s="272">
        <v>18</v>
      </c>
      <c r="AP446" s="270">
        <v>45</v>
      </c>
      <c r="AQ446" s="271">
        <v>10</v>
      </c>
      <c r="AR446" s="271">
        <v>107</v>
      </c>
      <c r="AS446" s="272">
        <v>18</v>
      </c>
      <c r="AT446" s="288"/>
      <c r="AU446" s="270">
        <v>45</v>
      </c>
      <c r="AV446" s="271">
        <v>10.799999999999997</v>
      </c>
      <c r="AW446" s="271">
        <v>180</v>
      </c>
      <c r="AX446" s="272">
        <v>17.5</v>
      </c>
      <c r="AZ446" s="270">
        <v>45</v>
      </c>
      <c r="BA446" s="271">
        <v>10.799999999999997</v>
      </c>
      <c r="BB446" s="271">
        <v>176</v>
      </c>
      <c r="BC446" s="272">
        <v>17.5</v>
      </c>
      <c r="BE446" s="270">
        <v>45</v>
      </c>
      <c r="BF446" s="271">
        <v>10.799999999999997</v>
      </c>
      <c r="BG446" s="271">
        <v>172</v>
      </c>
      <c r="BH446" s="272">
        <v>17.5</v>
      </c>
      <c r="BI446" s="288"/>
      <c r="BJ446" s="270">
        <v>45</v>
      </c>
      <c r="BK446" s="271">
        <v>9.75</v>
      </c>
      <c r="BL446" s="271">
        <v>296</v>
      </c>
      <c r="BM446" s="272">
        <v>17.5</v>
      </c>
      <c r="BO446" s="270">
        <v>45</v>
      </c>
      <c r="BP446" s="271">
        <v>9.75</v>
      </c>
      <c r="BQ446" s="271">
        <v>292</v>
      </c>
      <c r="BR446" s="272">
        <v>17.5</v>
      </c>
      <c r="BT446" s="270">
        <v>90</v>
      </c>
      <c r="BU446" s="271">
        <v>50.25</v>
      </c>
      <c r="BV446" s="271">
        <v>250</v>
      </c>
      <c r="BW446" s="272">
        <v>16.5</v>
      </c>
      <c r="BX446" s="288"/>
      <c r="CM446" s="96"/>
    </row>
    <row r="447" spans="1:91">
      <c r="A447" s="285"/>
      <c r="B447" s="270">
        <v>45</v>
      </c>
      <c r="C447" s="271">
        <v>10.5</v>
      </c>
      <c r="D447" s="271">
        <v>370</v>
      </c>
      <c r="E447" s="272">
        <v>18</v>
      </c>
      <c r="G447" s="270">
        <v>45</v>
      </c>
      <c r="H447" s="271">
        <v>10.5</v>
      </c>
      <c r="I447" s="271">
        <v>130</v>
      </c>
      <c r="J447" s="272">
        <v>18</v>
      </c>
      <c r="L447" s="270">
        <v>45</v>
      </c>
      <c r="M447" s="271">
        <v>10.5</v>
      </c>
      <c r="N447" s="271">
        <v>118</v>
      </c>
      <c r="O447" s="272">
        <v>18</v>
      </c>
      <c r="Q447" s="270">
        <v>45</v>
      </c>
      <c r="R447" s="271">
        <v>10.5</v>
      </c>
      <c r="S447" s="271">
        <v>118</v>
      </c>
      <c r="T447" s="272">
        <v>18</v>
      </c>
      <c r="V447" s="270">
        <v>45</v>
      </c>
      <c r="W447" s="271">
        <v>10.5</v>
      </c>
      <c r="X447" s="271">
        <v>118</v>
      </c>
      <c r="Y447" s="272">
        <v>18</v>
      </c>
      <c r="AA447" s="270">
        <v>45</v>
      </c>
      <c r="AB447" s="271">
        <v>10.5</v>
      </c>
      <c r="AC447" s="271">
        <v>122</v>
      </c>
      <c r="AD447" s="272">
        <v>18</v>
      </c>
      <c r="AF447" s="270">
        <v>45</v>
      </c>
      <c r="AG447" s="271">
        <v>10.5</v>
      </c>
      <c r="AH447" s="271">
        <v>118</v>
      </c>
      <c r="AI447" s="272">
        <v>18</v>
      </c>
      <c r="AK447" s="270">
        <v>45</v>
      </c>
      <c r="AL447" s="271">
        <v>10.5</v>
      </c>
      <c r="AM447" s="271">
        <v>118</v>
      </c>
      <c r="AN447" s="272">
        <v>18</v>
      </c>
      <c r="AP447" s="270">
        <v>45</v>
      </c>
      <c r="AQ447" s="271">
        <v>139.5</v>
      </c>
      <c r="AR447" s="271">
        <v>211</v>
      </c>
      <c r="AS447" s="272">
        <v>18</v>
      </c>
      <c r="AT447" s="288"/>
      <c r="AU447" s="270">
        <v>45</v>
      </c>
      <c r="AV447" s="271">
        <v>50</v>
      </c>
      <c r="AW447" s="271">
        <v>208</v>
      </c>
      <c r="AX447" s="272">
        <v>17.5</v>
      </c>
      <c r="AZ447" s="270">
        <v>45</v>
      </c>
      <c r="BA447" s="271">
        <v>50</v>
      </c>
      <c r="BB447" s="271">
        <v>204</v>
      </c>
      <c r="BC447" s="272">
        <v>17.5</v>
      </c>
      <c r="BE447" s="270">
        <v>45</v>
      </c>
      <c r="BF447" s="271">
        <v>50</v>
      </c>
      <c r="BG447" s="271">
        <v>200</v>
      </c>
      <c r="BH447" s="272">
        <v>17.5</v>
      </c>
      <c r="BI447" s="288"/>
      <c r="BJ447" s="270">
        <v>45</v>
      </c>
      <c r="BK447" s="271">
        <v>50.25</v>
      </c>
      <c r="BL447" s="271">
        <v>316</v>
      </c>
      <c r="BM447" s="272">
        <v>17.5</v>
      </c>
      <c r="BO447" s="270">
        <v>45</v>
      </c>
      <c r="BP447" s="271">
        <v>50.25</v>
      </c>
      <c r="BQ447" s="271">
        <v>312</v>
      </c>
      <c r="BR447" s="272">
        <v>17.5</v>
      </c>
      <c r="BT447" s="270" t="str">
        <v/>
      </c>
      <c r="BU447" s="271" t="str">
        <v/>
      </c>
      <c r="BV447" s="271" t="str">
        <v/>
      </c>
      <c r="BW447" s="272" t="str">
        <v/>
      </c>
      <c r="BX447" s="288"/>
      <c r="CM447" s="96"/>
    </row>
    <row r="448" spans="1:91">
      <c r="A448" s="285"/>
      <c r="B448" s="270">
        <v>45</v>
      </c>
      <c r="C448" s="271">
        <v>96.5</v>
      </c>
      <c r="D448" s="271">
        <v>399</v>
      </c>
      <c r="E448" s="272">
        <v>18</v>
      </c>
      <c r="G448" s="270">
        <v>45</v>
      </c>
      <c r="H448" s="271">
        <v>96.5</v>
      </c>
      <c r="I448" s="271">
        <v>159</v>
      </c>
      <c r="J448" s="272">
        <v>18</v>
      </c>
      <c r="L448" s="270">
        <v>45</v>
      </c>
      <c r="M448" s="271">
        <v>96.5</v>
      </c>
      <c r="N448" s="271">
        <v>147</v>
      </c>
      <c r="O448" s="272">
        <v>18</v>
      </c>
      <c r="Q448" s="270">
        <v>45</v>
      </c>
      <c r="R448" s="271">
        <v>96.5</v>
      </c>
      <c r="S448" s="271">
        <v>147</v>
      </c>
      <c r="T448" s="272">
        <v>18</v>
      </c>
      <c r="V448" s="270">
        <v>45</v>
      </c>
      <c r="W448" s="271">
        <v>96.5</v>
      </c>
      <c r="X448" s="271">
        <v>146.5</v>
      </c>
      <c r="Y448" s="272">
        <v>18</v>
      </c>
      <c r="AA448" s="270">
        <v>45</v>
      </c>
      <c r="AB448" s="271">
        <v>96.5</v>
      </c>
      <c r="AC448" s="271">
        <v>150</v>
      </c>
      <c r="AD448" s="272">
        <v>18</v>
      </c>
      <c r="AF448" s="270">
        <v>45</v>
      </c>
      <c r="AG448" s="271">
        <v>96.5</v>
      </c>
      <c r="AH448" s="271">
        <v>146</v>
      </c>
      <c r="AI448" s="272">
        <v>18</v>
      </c>
      <c r="AK448" s="270">
        <v>45</v>
      </c>
      <c r="AL448" s="271">
        <v>96.5</v>
      </c>
      <c r="AM448" s="271">
        <v>142</v>
      </c>
      <c r="AN448" s="272">
        <v>18</v>
      </c>
      <c r="AP448" s="270">
        <v>45</v>
      </c>
      <c r="AQ448" s="271">
        <v>10.5</v>
      </c>
      <c r="AR448" s="271">
        <v>211</v>
      </c>
      <c r="AS448" s="272">
        <v>18</v>
      </c>
      <c r="AT448" s="288"/>
      <c r="AU448" s="270">
        <v>45</v>
      </c>
      <c r="AV448" s="271">
        <v>89.2</v>
      </c>
      <c r="AW448" s="271">
        <v>238</v>
      </c>
      <c r="AX448" s="272">
        <v>17.5</v>
      </c>
      <c r="AZ448" s="270">
        <v>45</v>
      </c>
      <c r="BA448" s="271">
        <v>89.2</v>
      </c>
      <c r="BB448" s="271">
        <v>234</v>
      </c>
      <c r="BC448" s="272">
        <v>17.5</v>
      </c>
      <c r="BE448" s="270">
        <v>90</v>
      </c>
      <c r="BF448" s="271">
        <v>89.2</v>
      </c>
      <c r="BG448" s="271">
        <v>230</v>
      </c>
      <c r="BH448" s="272">
        <v>16.5</v>
      </c>
      <c r="BI448" s="288"/>
      <c r="BJ448" s="270">
        <v>45</v>
      </c>
      <c r="BK448" s="271">
        <v>9.75</v>
      </c>
      <c r="BL448" s="271">
        <v>354</v>
      </c>
      <c r="BM448" s="272">
        <v>17.5</v>
      </c>
      <c r="BO448" s="270">
        <v>45</v>
      </c>
      <c r="BP448" s="271">
        <v>9.75</v>
      </c>
      <c r="BQ448" s="271">
        <v>350</v>
      </c>
      <c r="BR448" s="272">
        <v>17.5</v>
      </c>
      <c r="BT448" s="270" t="str">
        <v/>
      </c>
      <c r="BU448" s="271" t="str">
        <v/>
      </c>
      <c r="BV448" s="271" t="str">
        <v/>
      </c>
      <c r="BW448" s="272" t="str">
        <v/>
      </c>
      <c r="BX448" s="288"/>
      <c r="CM448" s="96"/>
    </row>
    <row r="449" spans="1:91">
      <c r="A449" s="285"/>
      <c r="B449" s="270">
        <v>45</v>
      </c>
      <c r="C449" s="271">
        <v>53.5</v>
      </c>
      <c r="D449" s="271">
        <v>399</v>
      </c>
      <c r="E449" s="272">
        <v>18</v>
      </c>
      <c r="G449" s="270">
        <v>45</v>
      </c>
      <c r="H449" s="271">
        <v>53.5</v>
      </c>
      <c r="I449" s="271">
        <v>159</v>
      </c>
      <c r="J449" s="272">
        <v>18</v>
      </c>
      <c r="L449" s="270">
        <v>45</v>
      </c>
      <c r="M449" s="271">
        <v>53.5</v>
      </c>
      <c r="N449" s="271">
        <v>147</v>
      </c>
      <c r="O449" s="272">
        <v>18</v>
      </c>
      <c r="Q449" s="270">
        <v>45</v>
      </c>
      <c r="R449" s="271">
        <v>53.5</v>
      </c>
      <c r="S449" s="271">
        <v>147</v>
      </c>
      <c r="T449" s="272">
        <v>18</v>
      </c>
      <c r="V449" s="270">
        <v>45</v>
      </c>
      <c r="W449" s="271">
        <v>53.5</v>
      </c>
      <c r="X449" s="271">
        <v>146.5</v>
      </c>
      <c r="Y449" s="272">
        <v>18</v>
      </c>
      <c r="AA449" s="270">
        <v>45</v>
      </c>
      <c r="AB449" s="271">
        <v>53.5</v>
      </c>
      <c r="AC449" s="271">
        <v>150</v>
      </c>
      <c r="AD449" s="272">
        <v>18</v>
      </c>
      <c r="AF449" s="270">
        <v>45</v>
      </c>
      <c r="AG449" s="271">
        <v>53.5</v>
      </c>
      <c r="AH449" s="271">
        <v>146</v>
      </c>
      <c r="AI449" s="272">
        <v>18</v>
      </c>
      <c r="AK449" s="270">
        <v>45</v>
      </c>
      <c r="AL449" s="271">
        <v>53.5</v>
      </c>
      <c r="AM449" s="271">
        <v>142</v>
      </c>
      <c r="AN449" s="272">
        <v>18</v>
      </c>
      <c r="AP449" s="270">
        <v>90</v>
      </c>
      <c r="AQ449" s="271">
        <v>75</v>
      </c>
      <c r="AR449" s="271">
        <v>215</v>
      </c>
      <c r="AS449" s="272">
        <v>14</v>
      </c>
      <c r="AT449" s="288"/>
      <c r="AU449" s="270">
        <v>45</v>
      </c>
      <c r="AV449" s="271">
        <v>10.799999999999997</v>
      </c>
      <c r="AW449" s="271">
        <v>238</v>
      </c>
      <c r="AX449" s="272">
        <v>17.5</v>
      </c>
      <c r="AZ449" s="270">
        <v>45</v>
      </c>
      <c r="BA449" s="271">
        <v>10.799999999999997</v>
      </c>
      <c r="BB449" s="271">
        <v>234</v>
      </c>
      <c r="BC449" s="272">
        <v>17.5</v>
      </c>
      <c r="BE449" s="270">
        <v>90</v>
      </c>
      <c r="BF449" s="271">
        <v>10.799999999999997</v>
      </c>
      <c r="BG449" s="271">
        <v>230</v>
      </c>
      <c r="BH449" s="272">
        <v>14</v>
      </c>
      <c r="BI449" s="288"/>
      <c r="BJ449" s="270">
        <v>45</v>
      </c>
      <c r="BK449" s="271">
        <v>50.25</v>
      </c>
      <c r="BL449" s="271">
        <v>374</v>
      </c>
      <c r="BM449" s="272">
        <v>17.5</v>
      </c>
      <c r="BO449" s="270">
        <v>90</v>
      </c>
      <c r="BP449" s="271">
        <v>30</v>
      </c>
      <c r="BQ449" s="271">
        <v>360</v>
      </c>
      <c r="BR449" s="272">
        <v>14</v>
      </c>
      <c r="BT449" s="270" t="str">
        <v/>
      </c>
      <c r="BU449" s="271" t="str">
        <v/>
      </c>
      <c r="BV449" s="271" t="str">
        <v/>
      </c>
      <c r="BW449" s="272" t="str">
        <v/>
      </c>
      <c r="BX449" s="288"/>
      <c r="CM449" s="96"/>
    </row>
    <row r="450" spans="1:91">
      <c r="A450" s="285"/>
      <c r="B450" s="92">
        <v>45</v>
      </c>
      <c r="C450" s="268">
        <v>139.5</v>
      </c>
      <c r="D450" s="268">
        <v>427</v>
      </c>
      <c r="E450" s="269">
        <v>18</v>
      </c>
      <c r="G450" s="92">
        <v>45</v>
      </c>
      <c r="H450" s="268">
        <v>139.5</v>
      </c>
      <c r="I450" s="268">
        <v>187</v>
      </c>
      <c r="J450" s="269">
        <v>18</v>
      </c>
      <c r="L450" s="92">
        <v>45</v>
      </c>
      <c r="M450" s="268">
        <v>139.5</v>
      </c>
      <c r="N450" s="268">
        <v>175</v>
      </c>
      <c r="O450" s="269">
        <v>18</v>
      </c>
      <c r="Q450" s="92">
        <v>45</v>
      </c>
      <c r="R450" s="268">
        <v>139.5</v>
      </c>
      <c r="S450" s="268">
        <v>175</v>
      </c>
      <c r="T450" s="269">
        <v>18</v>
      </c>
      <c r="V450" s="92">
        <v>45</v>
      </c>
      <c r="W450" s="268">
        <v>139.5</v>
      </c>
      <c r="X450" s="268">
        <v>175</v>
      </c>
      <c r="Y450" s="269">
        <v>18</v>
      </c>
      <c r="AA450" s="92">
        <v>45</v>
      </c>
      <c r="AB450" s="268">
        <v>139.5</v>
      </c>
      <c r="AC450" s="268">
        <v>180</v>
      </c>
      <c r="AD450" s="269">
        <v>18</v>
      </c>
      <c r="AF450" s="92">
        <v>45</v>
      </c>
      <c r="AG450" s="268">
        <v>139.5</v>
      </c>
      <c r="AH450" s="268">
        <v>176</v>
      </c>
      <c r="AI450" s="269">
        <v>18</v>
      </c>
      <c r="AK450" s="92">
        <v>45</v>
      </c>
      <c r="AL450" s="268">
        <v>139.5</v>
      </c>
      <c r="AM450" s="268">
        <v>176</v>
      </c>
      <c r="AN450" s="269">
        <v>18</v>
      </c>
      <c r="AP450" s="92">
        <v>90</v>
      </c>
      <c r="AQ450" s="268">
        <v>118</v>
      </c>
      <c r="AR450" s="268">
        <v>225</v>
      </c>
      <c r="AS450" s="269">
        <v>14</v>
      </c>
      <c r="AT450" s="288"/>
      <c r="AU450" s="92">
        <v>45</v>
      </c>
      <c r="AV450" s="268">
        <v>50</v>
      </c>
      <c r="AW450" s="268">
        <v>266</v>
      </c>
      <c r="AX450" s="269">
        <v>17.5</v>
      </c>
      <c r="AZ450" s="92">
        <v>45</v>
      </c>
      <c r="BA450" s="268">
        <v>50</v>
      </c>
      <c r="BB450" s="268">
        <v>262</v>
      </c>
      <c r="BC450" s="269">
        <v>17.5</v>
      </c>
      <c r="BE450" s="92">
        <v>90</v>
      </c>
      <c r="BF450" s="268">
        <v>70</v>
      </c>
      <c r="BG450" s="268">
        <v>245</v>
      </c>
      <c r="BH450" s="269">
        <v>14</v>
      </c>
      <c r="BI450" s="288"/>
      <c r="BJ450" s="92">
        <v>45</v>
      </c>
      <c r="BK450" s="268">
        <v>9.75</v>
      </c>
      <c r="BL450" s="268">
        <v>412</v>
      </c>
      <c r="BM450" s="269">
        <v>17.5</v>
      </c>
      <c r="BO450" s="92">
        <v>90</v>
      </c>
      <c r="BP450" s="268">
        <v>50.25</v>
      </c>
      <c r="BQ450" s="268">
        <v>370</v>
      </c>
      <c r="BR450" s="269">
        <v>16.5</v>
      </c>
      <c r="BT450" s="92" t="str">
        <v/>
      </c>
      <c r="BU450" s="268" t="str">
        <v/>
      </c>
      <c r="BV450" s="268" t="str">
        <v/>
      </c>
      <c r="BW450" s="269" t="str">
        <v/>
      </c>
      <c r="BX450" s="288"/>
      <c r="CM450" s="96"/>
    </row>
    <row r="451" spans="1:91">
      <c r="A451" s="285"/>
      <c r="B451" s="92">
        <v>45</v>
      </c>
      <c r="C451" s="268">
        <v>10.5</v>
      </c>
      <c r="D451" s="268">
        <v>427</v>
      </c>
      <c r="E451" s="269">
        <v>18</v>
      </c>
      <c r="G451" s="92">
        <v>45</v>
      </c>
      <c r="H451" s="268">
        <v>10.5</v>
      </c>
      <c r="I451" s="268">
        <v>187</v>
      </c>
      <c r="J451" s="269">
        <v>18</v>
      </c>
      <c r="L451" s="92">
        <v>45</v>
      </c>
      <c r="M451" s="268">
        <v>10.5</v>
      </c>
      <c r="N451" s="268">
        <v>175</v>
      </c>
      <c r="O451" s="269">
        <v>18</v>
      </c>
      <c r="Q451" s="92">
        <v>45</v>
      </c>
      <c r="R451" s="268">
        <v>10.5</v>
      </c>
      <c r="S451" s="268">
        <v>175</v>
      </c>
      <c r="T451" s="269">
        <v>18</v>
      </c>
      <c r="V451" s="92">
        <v>45</v>
      </c>
      <c r="W451" s="268">
        <v>10.5</v>
      </c>
      <c r="X451" s="268">
        <v>175</v>
      </c>
      <c r="Y451" s="269">
        <v>18</v>
      </c>
      <c r="AA451" s="92">
        <v>45</v>
      </c>
      <c r="AB451" s="268">
        <v>10.5</v>
      </c>
      <c r="AC451" s="268">
        <v>180</v>
      </c>
      <c r="AD451" s="269">
        <v>18</v>
      </c>
      <c r="AF451" s="92">
        <v>45</v>
      </c>
      <c r="AG451" s="268">
        <v>10.5</v>
      </c>
      <c r="AH451" s="268">
        <v>176</v>
      </c>
      <c r="AI451" s="269">
        <v>18</v>
      </c>
      <c r="AK451" s="92">
        <v>45</v>
      </c>
      <c r="AL451" s="268">
        <v>10.5</v>
      </c>
      <c r="AM451" s="268">
        <v>176</v>
      </c>
      <c r="AN451" s="269">
        <v>18</v>
      </c>
      <c r="AP451" s="92">
        <v>90</v>
      </c>
      <c r="AQ451" s="268">
        <v>32</v>
      </c>
      <c r="AR451" s="268">
        <v>225</v>
      </c>
      <c r="AS451" s="269">
        <v>14</v>
      </c>
      <c r="AT451" s="288"/>
      <c r="AU451" s="92">
        <v>45</v>
      </c>
      <c r="AV451" s="268">
        <v>89.2</v>
      </c>
      <c r="AW451" s="268">
        <v>296</v>
      </c>
      <c r="AX451" s="269">
        <v>17.5</v>
      </c>
      <c r="AZ451" s="92">
        <v>45</v>
      </c>
      <c r="BA451" s="268">
        <v>89.2</v>
      </c>
      <c r="BB451" s="268">
        <v>292</v>
      </c>
      <c r="BC451" s="269">
        <v>17.5</v>
      </c>
      <c r="BE451" s="92">
        <v>90</v>
      </c>
      <c r="BF451" s="268">
        <v>30</v>
      </c>
      <c r="BG451" s="268">
        <v>245</v>
      </c>
      <c r="BH451" s="269">
        <v>14</v>
      </c>
      <c r="BI451" s="288"/>
      <c r="BJ451" s="92">
        <v>45</v>
      </c>
      <c r="BK451" s="268">
        <v>50.25</v>
      </c>
      <c r="BL451" s="268">
        <v>432</v>
      </c>
      <c r="BM451" s="269">
        <v>17.5</v>
      </c>
      <c r="BO451" s="92" t="str">
        <v/>
      </c>
      <c r="BP451" s="268" t="str">
        <v/>
      </c>
      <c r="BQ451" s="268" t="str">
        <v/>
      </c>
      <c r="BR451" s="269" t="str">
        <v/>
      </c>
      <c r="BT451" s="92" t="str">
        <v/>
      </c>
      <c r="BU451" s="268" t="str">
        <v/>
      </c>
      <c r="BV451" s="268" t="str">
        <v/>
      </c>
      <c r="BW451" s="269" t="str">
        <v/>
      </c>
      <c r="BX451" s="288"/>
      <c r="CM451" s="96"/>
    </row>
    <row r="452" spans="1:91">
      <c r="A452" s="285"/>
      <c r="B452" s="92">
        <v>45</v>
      </c>
      <c r="C452" s="268">
        <v>96.5</v>
      </c>
      <c r="D452" s="268">
        <v>456</v>
      </c>
      <c r="E452" s="269">
        <v>18</v>
      </c>
      <c r="G452" s="92">
        <v>45</v>
      </c>
      <c r="H452" s="268">
        <v>96.5</v>
      </c>
      <c r="I452" s="268">
        <v>216</v>
      </c>
      <c r="J452" s="269">
        <v>18</v>
      </c>
      <c r="L452" s="92">
        <v>45</v>
      </c>
      <c r="M452" s="268">
        <v>96.5</v>
      </c>
      <c r="N452" s="268">
        <v>204</v>
      </c>
      <c r="O452" s="269">
        <v>18</v>
      </c>
      <c r="Q452" s="92">
        <v>45</v>
      </c>
      <c r="R452" s="268">
        <v>96.5</v>
      </c>
      <c r="S452" s="268">
        <v>204</v>
      </c>
      <c r="T452" s="269">
        <v>18</v>
      </c>
      <c r="V452" s="92">
        <v>45</v>
      </c>
      <c r="W452" s="268">
        <v>96.5</v>
      </c>
      <c r="X452" s="268">
        <v>203.5</v>
      </c>
      <c r="Y452" s="269">
        <v>18</v>
      </c>
      <c r="AA452" s="92">
        <v>45</v>
      </c>
      <c r="AB452" s="268">
        <v>96.5</v>
      </c>
      <c r="AC452" s="268">
        <v>208</v>
      </c>
      <c r="AD452" s="269">
        <v>18</v>
      </c>
      <c r="AF452" s="92">
        <v>45</v>
      </c>
      <c r="AG452" s="268">
        <v>96.5</v>
      </c>
      <c r="AH452" s="268">
        <v>204</v>
      </c>
      <c r="AI452" s="269">
        <v>18</v>
      </c>
      <c r="AK452" s="92">
        <v>45</v>
      </c>
      <c r="AL452" s="268">
        <v>96.5</v>
      </c>
      <c r="AM452" s="268">
        <v>200</v>
      </c>
      <c r="AN452" s="269">
        <v>18</v>
      </c>
      <c r="AP452" s="92">
        <v>45</v>
      </c>
      <c r="AQ452" s="268">
        <v>96.5</v>
      </c>
      <c r="AR452" s="268">
        <v>240</v>
      </c>
      <c r="AS452" s="269">
        <v>18</v>
      </c>
      <c r="AT452" s="288"/>
      <c r="AU452" s="92">
        <v>45</v>
      </c>
      <c r="AV452" s="268">
        <v>10.799999999999997</v>
      </c>
      <c r="AW452" s="268">
        <v>296</v>
      </c>
      <c r="AX452" s="269">
        <v>17.5</v>
      </c>
      <c r="AZ452" s="92">
        <v>45</v>
      </c>
      <c r="BA452" s="268">
        <v>10.799999999999997</v>
      </c>
      <c r="BB452" s="268">
        <v>292</v>
      </c>
      <c r="BC452" s="269">
        <v>17.5</v>
      </c>
      <c r="BE452" s="92" t="str">
        <v/>
      </c>
      <c r="BF452" s="268" t="str">
        <v/>
      </c>
      <c r="BG452" s="268" t="str">
        <v/>
      </c>
      <c r="BH452" s="269" t="str">
        <v/>
      </c>
      <c r="BI452" s="288"/>
      <c r="BJ452" s="92">
        <v>45</v>
      </c>
      <c r="BK452" s="268">
        <v>9.75</v>
      </c>
      <c r="BL452" s="268">
        <v>470</v>
      </c>
      <c r="BM452" s="269">
        <v>17.5</v>
      </c>
      <c r="BO452" s="92" t="str">
        <v/>
      </c>
      <c r="BP452" s="268" t="str">
        <v/>
      </c>
      <c r="BQ452" s="268" t="str">
        <v/>
      </c>
      <c r="BR452" s="269" t="str">
        <v/>
      </c>
      <c r="BT452" s="92" t="str">
        <v/>
      </c>
      <c r="BU452" s="268" t="str">
        <v/>
      </c>
      <c r="BV452" s="268" t="str">
        <v/>
      </c>
      <c r="BW452" s="269" t="str">
        <v/>
      </c>
      <c r="BX452" s="288"/>
      <c r="CM452" s="96"/>
    </row>
    <row r="453" spans="1:91">
      <c r="A453" s="285"/>
      <c r="B453" s="92">
        <v>45</v>
      </c>
      <c r="C453" s="268">
        <v>53.5</v>
      </c>
      <c r="D453" s="268">
        <v>456</v>
      </c>
      <c r="E453" s="269">
        <v>18</v>
      </c>
      <c r="G453" s="92">
        <v>45</v>
      </c>
      <c r="H453" s="268">
        <v>53.5</v>
      </c>
      <c r="I453" s="268">
        <v>216</v>
      </c>
      <c r="J453" s="269">
        <v>18</v>
      </c>
      <c r="L453" s="92">
        <v>45</v>
      </c>
      <c r="M453" s="268">
        <v>53.5</v>
      </c>
      <c r="N453" s="268">
        <v>204</v>
      </c>
      <c r="O453" s="269">
        <v>18</v>
      </c>
      <c r="Q453" s="92">
        <v>45</v>
      </c>
      <c r="R453" s="268">
        <v>53.5</v>
      </c>
      <c r="S453" s="268">
        <v>204</v>
      </c>
      <c r="T453" s="269">
        <v>18</v>
      </c>
      <c r="V453" s="92">
        <v>45</v>
      </c>
      <c r="W453" s="268">
        <v>53.5</v>
      </c>
      <c r="X453" s="268">
        <v>203.5</v>
      </c>
      <c r="Y453" s="269">
        <v>18</v>
      </c>
      <c r="AA453" s="92">
        <v>45</v>
      </c>
      <c r="AB453" s="268">
        <v>53.5</v>
      </c>
      <c r="AC453" s="268">
        <v>208</v>
      </c>
      <c r="AD453" s="269">
        <v>18</v>
      </c>
      <c r="AF453" s="92">
        <v>45</v>
      </c>
      <c r="AG453" s="268">
        <v>53.5</v>
      </c>
      <c r="AH453" s="268">
        <v>204</v>
      </c>
      <c r="AI453" s="269">
        <v>18</v>
      </c>
      <c r="AK453" s="92">
        <v>45</v>
      </c>
      <c r="AL453" s="268">
        <v>53.5</v>
      </c>
      <c r="AM453" s="268">
        <v>200</v>
      </c>
      <c r="AN453" s="269">
        <v>18</v>
      </c>
      <c r="AP453" s="92">
        <v>45</v>
      </c>
      <c r="AQ453" s="268">
        <v>53.5</v>
      </c>
      <c r="AR453" s="268">
        <v>240</v>
      </c>
      <c r="AS453" s="269">
        <v>18</v>
      </c>
      <c r="AT453" s="288"/>
      <c r="AU453" s="92">
        <v>45</v>
      </c>
      <c r="AV453" s="268">
        <v>50</v>
      </c>
      <c r="AW453" s="268">
        <v>324</v>
      </c>
      <c r="AX453" s="269">
        <v>17.5</v>
      </c>
      <c r="AZ453" s="92">
        <v>45</v>
      </c>
      <c r="BA453" s="268">
        <v>50</v>
      </c>
      <c r="BB453" s="268">
        <v>320</v>
      </c>
      <c r="BC453" s="269">
        <v>17.5</v>
      </c>
      <c r="BE453" s="92" t="str">
        <v/>
      </c>
      <c r="BF453" s="268" t="str">
        <v/>
      </c>
      <c r="BG453" s="268" t="str">
        <v/>
      </c>
      <c r="BH453" s="269" t="str">
        <v/>
      </c>
      <c r="BI453" s="288"/>
      <c r="BJ453" s="92">
        <v>90</v>
      </c>
      <c r="BK453" s="268">
        <v>30</v>
      </c>
      <c r="BL453" s="268">
        <v>480</v>
      </c>
      <c r="BM453" s="269">
        <v>14</v>
      </c>
      <c r="BO453" s="92" t="str">
        <v/>
      </c>
      <c r="BP453" s="268" t="str">
        <v/>
      </c>
      <c r="BQ453" s="268" t="str">
        <v/>
      </c>
      <c r="BR453" s="269" t="str">
        <v/>
      </c>
      <c r="BT453" s="92" t="str">
        <v/>
      </c>
      <c r="BU453" s="268" t="str">
        <v/>
      </c>
      <c r="BV453" s="268" t="str">
        <v/>
      </c>
      <c r="BW453" s="269" t="str">
        <v/>
      </c>
      <c r="BX453" s="288"/>
      <c r="CM453" s="96"/>
    </row>
    <row r="454" spans="1:91">
      <c r="A454" s="285"/>
      <c r="B454" s="92">
        <v>45</v>
      </c>
      <c r="C454" s="268">
        <v>139.5</v>
      </c>
      <c r="D454" s="268">
        <v>484</v>
      </c>
      <c r="E454" s="269">
        <v>18</v>
      </c>
      <c r="G454" s="92">
        <v>45</v>
      </c>
      <c r="H454" s="268">
        <v>139.5</v>
      </c>
      <c r="I454" s="268">
        <v>244</v>
      </c>
      <c r="J454" s="269">
        <v>18</v>
      </c>
      <c r="L454" s="92">
        <v>45</v>
      </c>
      <c r="M454" s="268">
        <v>139.5</v>
      </c>
      <c r="N454" s="268">
        <v>232</v>
      </c>
      <c r="O454" s="269">
        <v>18</v>
      </c>
      <c r="Q454" s="92">
        <v>45</v>
      </c>
      <c r="R454" s="268">
        <v>139.5</v>
      </c>
      <c r="S454" s="268">
        <v>232</v>
      </c>
      <c r="T454" s="269">
        <v>18</v>
      </c>
      <c r="V454" s="92">
        <v>45</v>
      </c>
      <c r="W454" s="268">
        <v>139.5</v>
      </c>
      <c r="X454" s="268">
        <v>232</v>
      </c>
      <c r="Y454" s="269">
        <v>18</v>
      </c>
      <c r="AA454" s="92">
        <v>45</v>
      </c>
      <c r="AB454" s="268">
        <v>139.5</v>
      </c>
      <c r="AC454" s="268">
        <v>238</v>
      </c>
      <c r="AD454" s="269">
        <v>18</v>
      </c>
      <c r="AF454" s="92">
        <v>45</v>
      </c>
      <c r="AG454" s="268">
        <v>139.5</v>
      </c>
      <c r="AH454" s="268">
        <v>234</v>
      </c>
      <c r="AI454" s="269">
        <v>18</v>
      </c>
      <c r="AK454" s="92">
        <v>90</v>
      </c>
      <c r="AL454" s="268">
        <v>139.5</v>
      </c>
      <c r="AM454" s="268">
        <v>230</v>
      </c>
      <c r="AN454" s="269">
        <v>20</v>
      </c>
      <c r="AP454" s="92">
        <v>45</v>
      </c>
      <c r="AQ454" s="268">
        <v>139.5</v>
      </c>
      <c r="AR454" s="268">
        <v>268</v>
      </c>
      <c r="AS454" s="269">
        <v>18</v>
      </c>
      <c r="AT454" s="288"/>
      <c r="AU454" s="92">
        <v>45</v>
      </c>
      <c r="AV454" s="268">
        <v>89.2</v>
      </c>
      <c r="AW454" s="268">
        <v>354</v>
      </c>
      <c r="AX454" s="269">
        <v>17.5</v>
      </c>
      <c r="AZ454" s="92">
        <v>90</v>
      </c>
      <c r="BA454" s="268">
        <v>89.2</v>
      </c>
      <c r="BB454" s="268">
        <v>350</v>
      </c>
      <c r="BC454" s="269">
        <v>16.5</v>
      </c>
      <c r="BE454" s="92" t="str">
        <v/>
      </c>
      <c r="BF454" s="268" t="str">
        <v/>
      </c>
      <c r="BG454" s="268" t="str">
        <v/>
      </c>
      <c r="BH454" s="269" t="str">
        <v/>
      </c>
      <c r="BI454" s="288"/>
      <c r="BJ454" s="92">
        <v>90</v>
      </c>
      <c r="BK454" s="268">
        <v>50.25</v>
      </c>
      <c r="BL454" s="268">
        <v>490</v>
      </c>
      <c r="BM454" s="269">
        <v>16.5</v>
      </c>
      <c r="BO454" s="92" t="str">
        <v/>
      </c>
      <c r="BP454" s="268" t="str">
        <v/>
      </c>
      <c r="BQ454" s="268" t="str">
        <v/>
      </c>
      <c r="BR454" s="269" t="str">
        <v/>
      </c>
      <c r="BT454" s="92" t="str">
        <v/>
      </c>
      <c r="BU454" s="268" t="str">
        <v/>
      </c>
      <c r="BV454" s="268" t="str">
        <v/>
      </c>
      <c r="BW454" s="269" t="str">
        <v/>
      </c>
      <c r="BX454" s="288"/>
      <c r="CM454" s="96"/>
    </row>
    <row r="455" spans="1:91">
      <c r="A455" s="285"/>
      <c r="B455" s="92">
        <v>45</v>
      </c>
      <c r="C455" s="268">
        <v>10.5</v>
      </c>
      <c r="D455" s="268">
        <v>484</v>
      </c>
      <c r="E455" s="269">
        <v>18</v>
      </c>
      <c r="G455" s="92">
        <v>45</v>
      </c>
      <c r="H455" s="268">
        <v>10.5</v>
      </c>
      <c r="I455" s="268">
        <v>244</v>
      </c>
      <c r="J455" s="269">
        <v>18</v>
      </c>
      <c r="L455" s="92">
        <v>45</v>
      </c>
      <c r="M455" s="268">
        <v>10.5</v>
      </c>
      <c r="N455" s="268">
        <v>232</v>
      </c>
      <c r="O455" s="269">
        <v>18</v>
      </c>
      <c r="Q455" s="92">
        <v>45</v>
      </c>
      <c r="R455" s="268">
        <v>10.5</v>
      </c>
      <c r="S455" s="268">
        <v>232</v>
      </c>
      <c r="T455" s="269">
        <v>18</v>
      </c>
      <c r="V455" s="92">
        <v>45</v>
      </c>
      <c r="W455" s="268">
        <v>10.5</v>
      </c>
      <c r="X455" s="268">
        <v>232</v>
      </c>
      <c r="Y455" s="269">
        <v>18</v>
      </c>
      <c r="AA455" s="92">
        <v>45</v>
      </c>
      <c r="AB455" s="268">
        <v>10.5</v>
      </c>
      <c r="AC455" s="268">
        <v>238</v>
      </c>
      <c r="AD455" s="269">
        <v>18</v>
      </c>
      <c r="AF455" s="92">
        <v>45</v>
      </c>
      <c r="AG455" s="268">
        <v>10.5</v>
      </c>
      <c r="AH455" s="268">
        <v>234</v>
      </c>
      <c r="AI455" s="269">
        <v>18</v>
      </c>
      <c r="AK455" s="92">
        <v>90</v>
      </c>
      <c r="AL455" s="268">
        <v>10.5</v>
      </c>
      <c r="AM455" s="268">
        <v>230</v>
      </c>
      <c r="AN455" s="269">
        <v>20</v>
      </c>
      <c r="AP455" s="92">
        <v>45</v>
      </c>
      <c r="AQ455" s="268">
        <v>10.5</v>
      </c>
      <c r="AR455" s="268">
        <v>268</v>
      </c>
      <c r="AS455" s="269">
        <v>18</v>
      </c>
      <c r="AT455" s="288"/>
      <c r="AU455" s="92">
        <v>45</v>
      </c>
      <c r="AV455" s="268">
        <v>10.799999999999997</v>
      </c>
      <c r="AW455" s="268">
        <v>354</v>
      </c>
      <c r="AX455" s="269">
        <v>17.5</v>
      </c>
      <c r="AZ455" s="92">
        <v>90</v>
      </c>
      <c r="BA455" s="268">
        <v>10.799999999999997</v>
      </c>
      <c r="BB455" s="268">
        <v>350</v>
      </c>
      <c r="BC455" s="269">
        <v>14</v>
      </c>
      <c r="BE455" s="92" t="str">
        <v/>
      </c>
      <c r="BF455" s="268" t="str">
        <v/>
      </c>
      <c r="BG455" s="268" t="str">
        <v/>
      </c>
      <c r="BH455" s="269" t="str">
        <v/>
      </c>
      <c r="BI455" s="288"/>
      <c r="BJ455" s="92" t="str">
        <v/>
      </c>
      <c r="BK455" s="268" t="str">
        <v/>
      </c>
      <c r="BL455" s="268" t="str">
        <v/>
      </c>
      <c r="BM455" s="269" t="str">
        <v/>
      </c>
      <c r="BO455" s="92" t="str">
        <v/>
      </c>
      <c r="BP455" s="268" t="str">
        <v/>
      </c>
      <c r="BQ455" s="268" t="str">
        <v/>
      </c>
      <c r="BR455" s="269" t="str">
        <v/>
      </c>
      <c r="BT455" s="92" t="str">
        <v/>
      </c>
      <c r="BU455" s="268" t="str">
        <v/>
      </c>
      <c r="BV455" s="268" t="str">
        <v/>
      </c>
      <c r="BW455" s="269" t="str">
        <v/>
      </c>
      <c r="BX455" s="288"/>
      <c r="CM455" s="96"/>
    </row>
    <row r="456" spans="1:91">
      <c r="A456" s="285"/>
      <c r="B456" s="92">
        <v>45</v>
      </c>
      <c r="C456" s="268">
        <v>96.5</v>
      </c>
      <c r="D456" s="268">
        <v>513</v>
      </c>
      <c r="E456" s="269">
        <v>18</v>
      </c>
      <c r="G456" s="92">
        <v>45</v>
      </c>
      <c r="H456" s="268">
        <v>96.5</v>
      </c>
      <c r="I456" s="268">
        <v>273</v>
      </c>
      <c r="J456" s="269">
        <v>18</v>
      </c>
      <c r="L456" s="92">
        <v>45</v>
      </c>
      <c r="M456" s="268">
        <v>96.5</v>
      </c>
      <c r="N456" s="268">
        <v>261</v>
      </c>
      <c r="O456" s="269">
        <v>18</v>
      </c>
      <c r="Q456" s="92">
        <v>45</v>
      </c>
      <c r="R456" s="268">
        <v>96.5</v>
      </c>
      <c r="S456" s="268">
        <v>261</v>
      </c>
      <c r="T456" s="269">
        <v>18</v>
      </c>
      <c r="V456" s="92">
        <v>45</v>
      </c>
      <c r="W456" s="268">
        <v>96.5</v>
      </c>
      <c r="X456" s="268">
        <v>260.5</v>
      </c>
      <c r="Y456" s="269">
        <v>18</v>
      </c>
      <c r="AA456" s="92">
        <v>45</v>
      </c>
      <c r="AB456" s="268">
        <v>96.5</v>
      </c>
      <c r="AC456" s="268">
        <v>266</v>
      </c>
      <c r="AD456" s="269">
        <v>18</v>
      </c>
      <c r="AF456" s="92">
        <v>45</v>
      </c>
      <c r="AG456" s="268">
        <v>96.5</v>
      </c>
      <c r="AH456" s="268">
        <v>262</v>
      </c>
      <c r="AI456" s="269">
        <v>18</v>
      </c>
      <c r="AK456" s="92">
        <v>90</v>
      </c>
      <c r="AL456" s="268">
        <v>75</v>
      </c>
      <c r="AM456" s="268">
        <v>235</v>
      </c>
      <c r="AN456" s="269">
        <v>14</v>
      </c>
      <c r="AP456" s="92">
        <v>45</v>
      </c>
      <c r="AQ456" s="268">
        <v>96.5</v>
      </c>
      <c r="AR456" s="268">
        <v>297</v>
      </c>
      <c r="AS456" s="269">
        <v>18</v>
      </c>
      <c r="AT456" s="288"/>
      <c r="AU456" s="92">
        <v>45</v>
      </c>
      <c r="AV456" s="268">
        <v>50</v>
      </c>
      <c r="AW456" s="268">
        <v>382</v>
      </c>
      <c r="AX456" s="269">
        <v>17.5</v>
      </c>
      <c r="AZ456" s="92">
        <v>90</v>
      </c>
      <c r="BA456" s="268">
        <v>70</v>
      </c>
      <c r="BB456" s="268">
        <v>365</v>
      </c>
      <c r="BC456" s="269">
        <v>14</v>
      </c>
      <c r="BE456" s="92" t="str">
        <v/>
      </c>
      <c r="BF456" s="268" t="str">
        <v/>
      </c>
      <c r="BG456" s="268" t="str">
        <v/>
      </c>
      <c r="BH456" s="269" t="str">
        <v/>
      </c>
      <c r="BI456" s="288"/>
      <c r="BJ456" s="92" t="str">
        <v/>
      </c>
      <c r="BK456" s="268" t="str">
        <v/>
      </c>
      <c r="BL456" s="268" t="str">
        <v/>
      </c>
      <c r="BM456" s="269" t="str">
        <v/>
      </c>
      <c r="BO456" s="92" t="str">
        <v/>
      </c>
      <c r="BP456" s="268" t="str">
        <v/>
      </c>
      <c r="BQ456" s="268" t="str">
        <v/>
      </c>
      <c r="BR456" s="269" t="str">
        <v/>
      </c>
      <c r="BT456" s="92" t="str">
        <v/>
      </c>
      <c r="BU456" s="268" t="str">
        <v/>
      </c>
      <c r="BV456" s="268" t="str">
        <v/>
      </c>
      <c r="BW456" s="269" t="str">
        <v/>
      </c>
      <c r="BX456" s="288"/>
      <c r="CM456" s="96"/>
    </row>
    <row r="457" spans="1:91">
      <c r="A457" s="285"/>
      <c r="B457" s="92">
        <v>45</v>
      </c>
      <c r="C457" s="268">
        <v>53.5</v>
      </c>
      <c r="D457" s="268">
        <v>513</v>
      </c>
      <c r="E457" s="269">
        <v>18</v>
      </c>
      <c r="G457" s="92">
        <v>45</v>
      </c>
      <c r="H457" s="268">
        <v>53.5</v>
      </c>
      <c r="I457" s="268">
        <v>273</v>
      </c>
      <c r="J457" s="269">
        <v>18</v>
      </c>
      <c r="L457" s="92">
        <v>45</v>
      </c>
      <c r="M457" s="268">
        <v>53.5</v>
      </c>
      <c r="N457" s="268">
        <v>261</v>
      </c>
      <c r="O457" s="269">
        <v>18</v>
      </c>
      <c r="Q457" s="92">
        <v>45</v>
      </c>
      <c r="R457" s="268">
        <v>53.5</v>
      </c>
      <c r="S457" s="268">
        <v>261</v>
      </c>
      <c r="T457" s="269">
        <v>18</v>
      </c>
      <c r="V457" s="92">
        <v>45</v>
      </c>
      <c r="W457" s="268">
        <v>53.5</v>
      </c>
      <c r="X457" s="268">
        <v>260.5</v>
      </c>
      <c r="Y457" s="269">
        <v>18</v>
      </c>
      <c r="AA457" s="92">
        <v>45</v>
      </c>
      <c r="AB457" s="268">
        <v>53.5</v>
      </c>
      <c r="AC457" s="268">
        <v>266</v>
      </c>
      <c r="AD457" s="269">
        <v>18</v>
      </c>
      <c r="AF457" s="92">
        <v>45</v>
      </c>
      <c r="AG457" s="268">
        <v>53.5</v>
      </c>
      <c r="AH457" s="268">
        <v>262</v>
      </c>
      <c r="AI457" s="269">
        <v>18</v>
      </c>
      <c r="AK457" s="92">
        <v>90</v>
      </c>
      <c r="AL457" s="268">
        <v>118</v>
      </c>
      <c r="AM457" s="268">
        <v>245</v>
      </c>
      <c r="AN457" s="269">
        <v>14</v>
      </c>
      <c r="AP457" s="92">
        <v>45</v>
      </c>
      <c r="AQ457" s="268">
        <v>53.5</v>
      </c>
      <c r="AR457" s="268">
        <v>297</v>
      </c>
      <c r="AS457" s="269">
        <v>18</v>
      </c>
      <c r="AT457" s="288"/>
      <c r="AU457" s="92">
        <v>45</v>
      </c>
      <c r="AV457" s="268">
        <v>89.2</v>
      </c>
      <c r="AW457" s="268">
        <v>412</v>
      </c>
      <c r="AX457" s="269">
        <v>17.5</v>
      </c>
      <c r="AZ457" s="92">
        <v>90</v>
      </c>
      <c r="BA457" s="268">
        <v>30</v>
      </c>
      <c r="BB457" s="268">
        <v>365</v>
      </c>
      <c r="BC457" s="269">
        <v>14</v>
      </c>
      <c r="BE457" s="92" t="str">
        <v/>
      </c>
      <c r="BF457" s="268" t="str">
        <v/>
      </c>
      <c r="BG457" s="268" t="str">
        <v/>
      </c>
      <c r="BH457" s="269" t="str">
        <v/>
      </c>
      <c r="BI457" s="288"/>
      <c r="BJ457" s="92" t="str">
        <v/>
      </c>
      <c r="BK457" s="268" t="str">
        <v/>
      </c>
      <c r="BL457" s="268" t="str">
        <v/>
      </c>
      <c r="BM457" s="269" t="str">
        <v/>
      </c>
      <c r="BO457" s="92" t="str">
        <v/>
      </c>
      <c r="BP457" s="268" t="str">
        <v/>
      </c>
      <c r="BQ457" s="268" t="str">
        <v/>
      </c>
      <c r="BR457" s="269" t="str">
        <v/>
      </c>
      <c r="BT457" s="92" t="str">
        <v/>
      </c>
      <c r="BU457" s="268" t="str">
        <v/>
      </c>
      <c r="BV457" s="268" t="str">
        <v/>
      </c>
      <c r="BW457" s="269" t="str">
        <v/>
      </c>
      <c r="BX457" s="288"/>
      <c r="CM457" s="96"/>
    </row>
    <row r="458" spans="1:91">
      <c r="A458" s="285"/>
      <c r="B458" s="92">
        <v>45</v>
      </c>
      <c r="C458" s="268">
        <v>139.5</v>
      </c>
      <c r="D458" s="268">
        <v>541</v>
      </c>
      <c r="E458" s="269">
        <v>18</v>
      </c>
      <c r="G458" s="92">
        <v>45</v>
      </c>
      <c r="H458" s="268">
        <v>139.5</v>
      </c>
      <c r="I458" s="268">
        <v>301</v>
      </c>
      <c r="J458" s="269">
        <v>18</v>
      </c>
      <c r="L458" s="92">
        <v>45</v>
      </c>
      <c r="M458" s="268">
        <v>139.5</v>
      </c>
      <c r="N458" s="268">
        <v>289</v>
      </c>
      <c r="O458" s="269">
        <v>18</v>
      </c>
      <c r="Q458" s="92">
        <v>45</v>
      </c>
      <c r="R458" s="268">
        <v>139.5</v>
      </c>
      <c r="S458" s="268">
        <v>289</v>
      </c>
      <c r="T458" s="269">
        <v>18</v>
      </c>
      <c r="V458" s="92">
        <v>45</v>
      </c>
      <c r="W458" s="268">
        <v>139.5</v>
      </c>
      <c r="X458" s="268">
        <v>289</v>
      </c>
      <c r="Y458" s="269">
        <v>18</v>
      </c>
      <c r="AA458" s="92">
        <v>45</v>
      </c>
      <c r="AB458" s="268">
        <v>139.5</v>
      </c>
      <c r="AC458" s="268">
        <v>296</v>
      </c>
      <c r="AD458" s="269">
        <v>18</v>
      </c>
      <c r="AF458" s="92">
        <v>45</v>
      </c>
      <c r="AG458" s="268">
        <v>139.5</v>
      </c>
      <c r="AH458" s="268">
        <v>292</v>
      </c>
      <c r="AI458" s="269">
        <v>18</v>
      </c>
      <c r="AK458" s="92">
        <v>90</v>
      </c>
      <c r="AL458" s="268">
        <v>32</v>
      </c>
      <c r="AM458" s="268">
        <v>245</v>
      </c>
      <c r="AN458" s="269">
        <v>14</v>
      </c>
      <c r="AP458" s="92">
        <v>45</v>
      </c>
      <c r="AQ458" s="268">
        <v>139.5</v>
      </c>
      <c r="AR458" s="268">
        <v>325</v>
      </c>
      <c r="AS458" s="269">
        <v>18</v>
      </c>
      <c r="AT458" s="288"/>
      <c r="AU458" s="92">
        <v>45</v>
      </c>
      <c r="AV458" s="268">
        <v>10.799999999999997</v>
      </c>
      <c r="AW458" s="268">
        <v>412</v>
      </c>
      <c r="AX458" s="269">
        <v>17.5</v>
      </c>
      <c r="AZ458" s="92" t="str">
        <v/>
      </c>
      <c r="BA458" s="268" t="str">
        <v/>
      </c>
      <c r="BB458" s="268" t="str">
        <v/>
      </c>
      <c r="BC458" s="269" t="str">
        <v/>
      </c>
      <c r="BE458" s="92" t="str">
        <v/>
      </c>
      <c r="BF458" s="268" t="str">
        <v/>
      </c>
      <c r="BG458" s="268" t="str">
        <v/>
      </c>
      <c r="BH458" s="269" t="str">
        <v/>
      </c>
      <c r="BI458" s="288"/>
      <c r="BJ458" s="92" t="str">
        <v/>
      </c>
      <c r="BK458" s="268" t="str">
        <v/>
      </c>
      <c r="BL458" s="268" t="str">
        <v/>
      </c>
      <c r="BM458" s="269" t="str">
        <v/>
      </c>
      <c r="BO458" s="92" t="str">
        <v/>
      </c>
      <c r="BP458" s="268" t="str">
        <v/>
      </c>
      <c r="BQ458" s="268" t="str">
        <v/>
      </c>
      <c r="BR458" s="269" t="str">
        <v/>
      </c>
      <c r="BT458" s="92" t="str">
        <v/>
      </c>
      <c r="BU458" s="268" t="str">
        <v/>
      </c>
      <c r="BV458" s="268" t="str">
        <v/>
      </c>
      <c r="BW458" s="269" t="str">
        <v/>
      </c>
      <c r="BX458" s="288"/>
      <c r="CM458" s="96"/>
    </row>
    <row r="459" spans="1:91">
      <c r="A459" s="285"/>
      <c r="B459" s="92">
        <v>45</v>
      </c>
      <c r="C459" s="268">
        <v>10.5</v>
      </c>
      <c r="D459" s="268">
        <v>541</v>
      </c>
      <c r="E459" s="269">
        <v>18</v>
      </c>
      <c r="G459" s="92">
        <v>45</v>
      </c>
      <c r="H459" s="268">
        <v>10.5</v>
      </c>
      <c r="I459" s="268">
        <v>301</v>
      </c>
      <c r="J459" s="269">
        <v>18</v>
      </c>
      <c r="L459" s="92">
        <v>45</v>
      </c>
      <c r="M459" s="268">
        <v>10.5</v>
      </c>
      <c r="N459" s="268">
        <v>289</v>
      </c>
      <c r="O459" s="269">
        <v>18</v>
      </c>
      <c r="Q459" s="92">
        <v>45</v>
      </c>
      <c r="R459" s="268">
        <v>10.5</v>
      </c>
      <c r="S459" s="268">
        <v>289</v>
      </c>
      <c r="T459" s="269">
        <v>18</v>
      </c>
      <c r="V459" s="92">
        <v>45</v>
      </c>
      <c r="W459" s="268">
        <v>10.5</v>
      </c>
      <c r="X459" s="268">
        <v>289</v>
      </c>
      <c r="Y459" s="269">
        <v>18</v>
      </c>
      <c r="AA459" s="92">
        <v>45</v>
      </c>
      <c r="AB459" s="268">
        <v>10.5</v>
      </c>
      <c r="AC459" s="268">
        <v>296</v>
      </c>
      <c r="AD459" s="269">
        <v>18</v>
      </c>
      <c r="AF459" s="92">
        <v>45</v>
      </c>
      <c r="AG459" s="268">
        <v>10.5</v>
      </c>
      <c r="AH459" s="268">
        <v>292</v>
      </c>
      <c r="AI459" s="269">
        <v>18</v>
      </c>
      <c r="AK459" s="92" t="str">
        <v/>
      </c>
      <c r="AL459" s="268" t="str">
        <v/>
      </c>
      <c r="AM459" s="268" t="str">
        <v/>
      </c>
      <c r="AN459" s="269" t="str">
        <v/>
      </c>
      <c r="AP459" s="92">
        <v>45</v>
      </c>
      <c r="AQ459" s="268">
        <v>10.5</v>
      </c>
      <c r="AR459" s="268">
        <v>325</v>
      </c>
      <c r="AS459" s="269">
        <v>18</v>
      </c>
      <c r="AT459" s="288"/>
      <c r="AU459" s="92">
        <v>45</v>
      </c>
      <c r="AV459" s="268">
        <v>50</v>
      </c>
      <c r="AW459" s="268">
        <v>440</v>
      </c>
      <c r="AX459" s="269">
        <v>17.5</v>
      </c>
      <c r="AZ459" s="92" t="str">
        <v/>
      </c>
      <c r="BA459" s="268" t="str">
        <v/>
      </c>
      <c r="BB459" s="268" t="str">
        <v/>
      </c>
      <c r="BC459" s="269" t="str">
        <v/>
      </c>
      <c r="BE459" s="92" t="str">
        <v/>
      </c>
      <c r="BF459" s="268" t="str">
        <v/>
      </c>
      <c r="BG459" s="268" t="str">
        <v/>
      </c>
      <c r="BH459" s="269" t="str">
        <v/>
      </c>
      <c r="BI459" s="288"/>
      <c r="BJ459" s="92" t="str">
        <v/>
      </c>
      <c r="BK459" s="268" t="str">
        <v/>
      </c>
      <c r="BL459" s="268" t="str">
        <v/>
      </c>
      <c r="BM459" s="269" t="str">
        <v/>
      </c>
      <c r="BO459" s="92" t="str">
        <v/>
      </c>
      <c r="BP459" s="268" t="str">
        <v/>
      </c>
      <c r="BQ459" s="268" t="str">
        <v/>
      </c>
      <c r="BR459" s="269" t="str">
        <v/>
      </c>
      <c r="BT459" s="92" t="str">
        <v/>
      </c>
      <c r="BU459" s="268" t="str">
        <v/>
      </c>
      <c r="BV459" s="268" t="str">
        <v/>
      </c>
      <c r="BW459" s="269" t="str">
        <v/>
      </c>
      <c r="BX459" s="288"/>
      <c r="CM459" s="96"/>
    </row>
    <row r="460" spans="1:91">
      <c r="A460" s="285"/>
      <c r="B460" s="92">
        <v>90</v>
      </c>
      <c r="C460" s="268">
        <v>75</v>
      </c>
      <c r="D460" s="268">
        <v>550</v>
      </c>
      <c r="E460" s="269">
        <v>14</v>
      </c>
      <c r="G460" s="92">
        <v>45</v>
      </c>
      <c r="H460" s="268">
        <v>96.5</v>
      </c>
      <c r="I460" s="268">
        <v>330</v>
      </c>
      <c r="J460" s="269">
        <v>18</v>
      </c>
      <c r="L460" s="92">
        <v>45</v>
      </c>
      <c r="M460" s="268">
        <v>96.5</v>
      </c>
      <c r="N460" s="268">
        <v>318</v>
      </c>
      <c r="O460" s="269">
        <v>18</v>
      </c>
      <c r="Q460" s="92">
        <v>45</v>
      </c>
      <c r="R460" s="268">
        <v>96.5</v>
      </c>
      <c r="S460" s="268">
        <v>318</v>
      </c>
      <c r="T460" s="269">
        <v>18</v>
      </c>
      <c r="V460" s="92">
        <v>45</v>
      </c>
      <c r="W460" s="268">
        <v>96.5</v>
      </c>
      <c r="X460" s="268">
        <v>317.5</v>
      </c>
      <c r="Y460" s="269">
        <v>18</v>
      </c>
      <c r="AA460" s="92">
        <v>45</v>
      </c>
      <c r="AB460" s="268">
        <v>96.5</v>
      </c>
      <c r="AC460" s="268">
        <v>324</v>
      </c>
      <c r="AD460" s="269">
        <v>18</v>
      </c>
      <c r="AF460" s="92">
        <v>45</v>
      </c>
      <c r="AG460" s="268">
        <v>96.5</v>
      </c>
      <c r="AH460" s="268">
        <v>320</v>
      </c>
      <c r="AI460" s="269">
        <v>18</v>
      </c>
      <c r="AK460" s="92" t="str">
        <v/>
      </c>
      <c r="AL460" s="268" t="str">
        <v/>
      </c>
      <c r="AM460" s="268" t="str">
        <v/>
      </c>
      <c r="AN460" s="269" t="str">
        <v/>
      </c>
      <c r="AP460" s="92">
        <v>45</v>
      </c>
      <c r="AQ460" s="268">
        <v>96.5</v>
      </c>
      <c r="AR460" s="268">
        <v>354</v>
      </c>
      <c r="AS460" s="269">
        <v>18</v>
      </c>
      <c r="AT460" s="288"/>
      <c r="AU460" s="92">
        <v>90</v>
      </c>
      <c r="AV460" s="268">
        <v>89.2</v>
      </c>
      <c r="AW460" s="268">
        <v>470</v>
      </c>
      <c r="AX460" s="269">
        <v>16.5</v>
      </c>
      <c r="AZ460" s="92" t="str">
        <v/>
      </c>
      <c r="BA460" s="268" t="str">
        <v/>
      </c>
      <c r="BB460" s="268" t="str">
        <v/>
      </c>
      <c r="BC460" s="269" t="str">
        <v/>
      </c>
      <c r="BE460" s="92" t="str">
        <v/>
      </c>
      <c r="BF460" s="268" t="str">
        <v/>
      </c>
      <c r="BG460" s="268" t="str">
        <v/>
      </c>
      <c r="BH460" s="269" t="str">
        <v/>
      </c>
      <c r="BI460" s="288"/>
      <c r="BJ460" s="92" t="str">
        <v/>
      </c>
      <c r="BK460" s="268" t="str">
        <v/>
      </c>
      <c r="BL460" s="268" t="str">
        <v/>
      </c>
      <c r="BM460" s="269" t="str">
        <v/>
      </c>
      <c r="BO460" s="92" t="str">
        <v/>
      </c>
      <c r="BP460" s="268" t="str">
        <v/>
      </c>
      <c r="BQ460" s="268" t="str">
        <v/>
      </c>
      <c r="BR460" s="269" t="str">
        <v/>
      </c>
      <c r="BT460" s="92" t="str">
        <v/>
      </c>
      <c r="BU460" s="268" t="str">
        <v/>
      </c>
      <c r="BV460" s="268" t="str">
        <v/>
      </c>
      <c r="BW460" s="269" t="str">
        <v/>
      </c>
      <c r="BX460" s="288"/>
      <c r="CM460" s="96"/>
    </row>
    <row r="461" spans="1:91">
      <c r="A461" s="285"/>
      <c r="B461" s="92">
        <v>90</v>
      </c>
      <c r="C461" s="268">
        <v>118</v>
      </c>
      <c r="D461" s="268">
        <v>560</v>
      </c>
      <c r="E461" s="269">
        <v>14</v>
      </c>
      <c r="G461" s="92">
        <v>45</v>
      </c>
      <c r="H461" s="268">
        <v>53.5</v>
      </c>
      <c r="I461" s="268">
        <v>330</v>
      </c>
      <c r="J461" s="269">
        <v>18</v>
      </c>
      <c r="L461" s="92">
        <v>45</v>
      </c>
      <c r="M461" s="268">
        <v>53.5</v>
      </c>
      <c r="N461" s="268">
        <v>318</v>
      </c>
      <c r="O461" s="269">
        <v>18</v>
      </c>
      <c r="Q461" s="92">
        <v>45</v>
      </c>
      <c r="R461" s="268">
        <v>53.5</v>
      </c>
      <c r="S461" s="268">
        <v>318</v>
      </c>
      <c r="T461" s="269">
        <v>18</v>
      </c>
      <c r="V461" s="92">
        <v>45</v>
      </c>
      <c r="W461" s="268">
        <v>53.5</v>
      </c>
      <c r="X461" s="268">
        <v>317.5</v>
      </c>
      <c r="Y461" s="269">
        <v>18</v>
      </c>
      <c r="AA461" s="92">
        <v>45</v>
      </c>
      <c r="AB461" s="268">
        <v>53.5</v>
      </c>
      <c r="AC461" s="268">
        <v>324</v>
      </c>
      <c r="AD461" s="269">
        <v>18</v>
      </c>
      <c r="AF461" s="92">
        <v>45</v>
      </c>
      <c r="AG461" s="268">
        <v>53.5</v>
      </c>
      <c r="AH461" s="268">
        <v>320</v>
      </c>
      <c r="AI461" s="269">
        <v>18</v>
      </c>
      <c r="AK461" s="92" t="str">
        <v/>
      </c>
      <c r="AL461" s="268" t="str">
        <v/>
      </c>
      <c r="AM461" s="268" t="str">
        <v/>
      </c>
      <c r="AN461" s="269" t="str">
        <v/>
      </c>
      <c r="AP461" s="92">
        <v>45</v>
      </c>
      <c r="AQ461" s="268">
        <v>53.5</v>
      </c>
      <c r="AR461" s="268">
        <v>354</v>
      </c>
      <c r="AS461" s="269">
        <v>18</v>
      </c>
      <c r="AT461" s="288"/>
      <c r="AU461" s="92">
        <v>90</v>
      </c>
      <c r="AV461" s="268">
        <v>10.799999999999997</v>
      </c>
      <c r="AW461" s="268">
        <v>470</v>
      </c>
      <c r="AX461" s="269">
        <v>14</v>
      </c>
      <c r="AZ461" s="92" t="str">
        <v/>
      </c>
      <c r="BA461" s="268" t="str">
        <v/>
      </c>
      <c r="BB461" s="268" t="str">
        <v/>
      </c>
      <c r="BC461" s="269" t="str">
        <v/>
      </c>
      <c r="BE461" s="92" t="str">
        <v/>
      </c>
      <c r="BF461" s="268" t="str">
        <v/>
      </c>
      <c r="BG461" s="268" t="str">
        <v/>
      </c>
      <c r="BH461" s="269" t="str">
        <v/>
      </c>
      <c r="BI461" s="288"/>
      <c r="BJ461" s="92" t="str">
        <v/>
      </c>
      <c r="BK461" s="268" t="str">
        <v/>
      </c>
      <c r="BL461" s="268" t="str">
        <v/>
      </c>
      <c r="BM461" s="269" t="str">
        <v/>
      </c>
      <c r="BO461" s="92" t="str">
        <v/>
      </c>
      <c r="BP461" s="268" t="str">
        <v/>
      </c>
      <c r="BQ461" s="268" t="str">
        <v/>
      </c>
      <c r="BR461" s="269" t="str">
        <v/>
      </c>
      <c r="BT461" s="92" t="str">
        <v/>
      </c>
      <c r="BU461" s="268" t="str">
        <v/>
      </c>
      <c r="BV461" s="268" t="str">
        <v/>
      </c>
      <c r="BW461" s="269" t="str">
        <v/>
      </c>
      <c r="BX461" s="288"/>
      <c r="CM461" s="96"/>
    </row>
    <row r="462" spans="1:91">
      <c r="A462" s="285"/>
      <c r="B462" s="92">
        <v>90</v>
      </c>
      <c r="C462" s="268">
        <v>32</v>
      </c>
      <c r="D462" s="268">
        <v>560</v>
      </c>
      <c r="E462" s="269">
        <v>14</v>
      </c>
      <c r="G462" s="92">
        <v>45</v>
      </c>
      <c r="H462" s="268">
        <v>139.5</v>
      </c>
      <c r="I462" s="268">
        <v>358</v>
      </c>
      <c r="J462" s="269">
        <v>18</v>
      </c>
      <c r="L462" s="92">
        <v>45</v>
      </c>
      <c r="M462" s="268">
        <v>139.5</v>
      </c>
      <c r="N462" s="268">
        <v>346</v>
      </c>
      <c r="O462" s="269">
        <v>18</v>
      </c>
      <c r="Q462" s="92">
        <v>45</v>
      </c>
      <c r="R462" s="268">
        <v>139.5</v>
      </c>
      <c r="S462" s="268">
        <v>346</v>
      </c>
      <c r="T462" s="269">
        <v>18</v>
      </c>
      <c r="V462" s="92">
        <v>45</v>
      </c>
      <c r="W462" s="268">
        <v>139.5</v>
      </c>
      <c r="X462" s="268">
        <v>346</v>
      </c>
      <c r="Y462" s="269">
        <v>18</v>
      </c>
      <c r="AA462" s="92">
        <v>45</v>
      </c>
      <c r="AB462" s="268">
        <v>139.5</v>
      </c>
      <c r="AC462" s="268">
        <v>354</v>
      </c>
      <c r="AD462" s="269">
        <v>18</v>
      </c>
      <c r="AF462" s="92">
        <v>90</v>
      </c>
      <c r="AG462" s="268">
        <v>139.5</v>
      </c>
      <c r="AH462" s="268">
        <v>350</v>
      </c>
      <c r="AI462" s="269">
        <v>20</v>
      </c>
      <c r="AK462" s="92" t="str">
        <v/>
      </c>
      <c r="AL462" s="268" t="str">
        <v/>
      </c>
      <c r="AM462" s="268" t="str">
        <v/>
      </c>
      <c r="AN462" s="269" t="str">
        <v/>
      </c>
      <c r="AP462" s="92">
        <v>45</v>
      </c>
      <c r="AQ462" s="268">
        <v>139.5</v>
      </c>
      <c r="AR462" s="268">
        <v>382</v>
      </c>
      <c r="AS462" s="269">
        <v>18</v>
      </c>
      <c r="AT462" s="288"/>
      <c r="AU462" s="92">
        <v>90</v>
      </c>
      <c r="AV462" s="268">
        <v>70</v>
      </c>
      <c r="AW462" s="268">
        <v>485</v>
      </c>
      <c r="AX462" s="269">
        <v>14</v>
      </c>
      <c r="AZ462" s="92" t="str">
        <v/>
      </c>
      <c r="BA462" s="268" t="str">
        <v/>
      </c>
      <c r="BB462" s="268" t="str">
        <v/>
      </c>
      <c r="BC462" s="269" t="str">
        <v/>
      </c>
      <c r="BE462" s="92" t="str">
        <v/>
      </c>
      <c r="BF462" s="268" t="str">
        <v/>
      </c>
      <c r="BG462" s="268" t="str">
        <v/>
      </c>
      <c r="BH462" s="269" t="str">
        <v/>
      </c>
      <c r="BI462" s="288"/>
      <c r="BJ462" s="92" t="str">
        <v/>
      </c>
      <c r="BK462" s="268" t="str">
        <v/>
      </c>
      <c r="BL462" s="268" t="str">
        <v/>
      </c>
      <c r="BM462" s="269" t="str">
        <v/>
      </c>
      <c r="BO462" s="92" t="str">
        <v/>
      </c>
      <c r="BP462" s="268" t="str">
        <v/>
      </c>
      <c r="BQ462" s="268" t="str">
        <v/>
      </c>
      <c r="BR462" s="269" t="str">
        <v/>
      </c>
      <c r="BT462" s="92" t="str">
        <v/>
      </c>
      <c r="BU462" s="268" t="str">
        <v/>
      </c>
      <c r="BV462" s="268" t="str">
        <v/>
      </c>
      <c r="BW462" s="269" t="str">
        <v/>
      </c>
      <c r="BX462" s="288"/>
      <c r="CM462" s="96"/>
    </row>
    <row r="463" spans="1:91">
      <c r="A463" s="285"/>
      <c r="B463" s="92">
        <v>45</v>
      </c>
      <c r="C463" s="268">
        <v>96.5</v>
      </c>
      <c r="D463" s="268">
        <v>570</v>
      </c>
      <c r="E463" s="269">
        <v>18</v>
      </c>
      <c r="G463" s="92">
        <v>45</v>
      </c>
      <c r="H463" s="268">
        <v>10.5</v>
      </c>
      <c r="I463" s="268">
        <v>358</v>
      </c>
      <c r="J463" s="269">
        <v>18</v>
      </c>
      <c r="L463" s="92">
        <v>45</v>
      </c>
      <c r="M463" s="268">
        <v>10.5</v>
      </c>
      <c r="N463" s="268">
        <v>346</v>
      </c>
      <c r="O463" s="269">
        <v>18</v>
      </c>
      <c r="Q463" s="92">
        <v>45</v>
      </c>
      <c r="R463" s="268">
        <v>10.5</v>
      </c>
      <c r="S463" s="268">
        <v>346</v>
      </c>
      <c r="T463" s="269">
        <v>18</v>
      </c>
      <c r="V463" s="92">
        <v>45</v>
      </c>
      <c r="W463" s="268">
        <v>10.5</v>
      </c>
      <c r="X463" s="268">
        <v>346</v>
      </c>
      <c r="Y463" s="269">
        <v>18</v>
      </c>
      <c r="AA463" s="92">
        <v>45</v>
      </c>
      <c r="AB463" s="268">
        <v>10.5</v>
      </c>
      <c r="AC463" s="268">
        <v>354</v>
      </c>
      <c r="AD463" s="269">
        <v>18</v>
      </c>
      <c r="AF463" s="92">
        <v>90</v>
      </c>
      <c r="AG463" s="268">
        <v>10.5</v>
      </c>
      <c r="AH463" s="268">
        <v>350</v>
      </c>
      <c r="AI463" s="269">
        <v>20</v>
      </c>
      <c r="AK463" s="92" t="str">
        <v/>
      </c>
      <c r="AL463" s="268" t="str">
        <v/>
      </c>
      <c r="AM463" s="268" t="str">
        <v/>
      </c>
      <c r="AN463" s="269" t="str">
        <v/>
      </c>
      <c r="AP463" s="92">
        <v>45</v>
      </c>
      <c r="AQ463" s="268">
        <v>10.5</v>
      </c>
      <c r="AR463" s="268">
        <v>382</v>
      </c>
      <c r="AS463" s="269">
        <v>18</v>
      </c>
      <c r="AT463" s="288"/>
      <c r="AU463" s="92">
        <v>90</v>
      </c>
      <c r="AV463" s="268">
        <v>30</v>
      </c>
      <c r="AW463" s="268">
        <v>485</v>
      </c>
      <c r="AX463" s="269">
        <v>14</v>
      </c>
      <c r="AZ463" s="92" t="str">
        <v/>
      </c>
      <c r="BA463" s="268" t="str">
        <v/>
      </c>
      <c r="BB463" s="268" t="str">
        <v/>
      </c>
      <c r="BC463" s="269" t="str">
        <v/>
      </c>
      <c r="BE463" s="92" t="str">
        <v/>
      </c>
      <c r="BF463" s="268" t="str">
        <v/>
      </c>
      <c r="BG463" s="268" t="str">
        <v/>
      </c>
      <c r="BH463" s="269" t="str">
        <v/>
      </c>
      <c r="BI463" s="288"/>
      <c r="BJ463" s="92" t="str">
        <v/>
      </c>
      <c r="BK463" s="268" t="str">
        <v/>
      </c>
      <c r="BL463" s="268" t="str">
        <v/>
      </c>
      <c r="BM463" s="269" t="str">
        <v/>
      </c>
      <c r="BO463" s="92" t="str">
        <v/>
      </c>
      <c r="BP463" s="268" t="str">
        <v/>
      </c>
      <c r="BQ463" s="268" t="str">
        <v/>
      </c>
      <c r="BR463" s="269" t="str">
        <v/>
      </c>
      <c r="BT463" s="92" t="str">
        <v/>
      </c>
      <c r="BU463" s="268" t="str">
        <v/>
      </c>
      <c r="BV463" s="268" t="str">
        <v/>
      </c>
      <c r="BW463" s="269" t="str">
        <v/>
      </c>
      <c r="BX463" s="288"/>
      <c r="CM463" s="96"/>
    </row>
    <row r="464" spans="1:91">
      <c r="A464" s="285"/>
      <c r="B464" s="92">
        <v>45</v>
      </c>
      <c r="C464" s="268">
        <v>53.5</v>
      </c>
      <c r="D464" s="268">
        <v>570</v>
      </c>
      <c r="E464" s="269">
        <v>18</v>
      </c>
      <c r="G464" s="92">
        <v>45</v>
      </c>
      <c r="H464" s="268">
        <v>96.5</v>
      </c>
      <c r="I464" s="268">
        <v>387</v>
      </c>
      <c r="J464" s="269">
        <v>18</v>
      </c>
      <c r="L464" s="92">
        <v>45</v>
      </c>
      <c r="M464" s="268">
        <v>96.5</v>
      </c>
      <c r="N464" s="268">
        <v>375</v>
      </c>
      <c r="O464" s="269">
        <v>18</v>
      </c>
      <c r="Q464" s="92">
        <v>45</v>
      </c>
      <c r="R464" s="268">
        <v>96.5</v>
      </c>
      <c r="S464" s="268">
        <v>375</v>
      </c>
      <c r="T464" s="269">
        <v>18</v>
      </c>
      <c r="V464" s="92">
        <v>45</v>
      </c>
      <c r="W464" s="268">
        <v>96.5</v>
      </c>
      <c r="X464" s="268">
        <v>374.5</v>
      </c>
      <c r="Y464" s="269">
        <v>18</v>
      </c>
      <c r="AA464" s="92">
        <v>45</v>
      </c>
      <c r="AB464" s="268">
        <v>96.5</v>
      </c>
      <c r="AC464" s="268">
        <v>382</v>
      </c>
      <c r="AD464" s="269">
        <v>18</v>
      </c>
      <c r="AF464" s="92">
        <v>90</v>
      </c>
      <c r="AG464" s="268">
        <v>75</v>
      </c>
      <c r="AH464" s="268">
        <v>355</v>
      </c>
      <c r="AI464" s="269">
        <v>14</v>
      </c>
      <c r="AK464" s="92" t="str">
        <v/>
      </c>
      <c r="AL464" s="268" t="str">
        <v/>
      </c>
      <c r="AM464" s="268" t="str">
        <v/>
      </c>
      <c r="AN464" s="269" t="str">
        <v/>
      </c>
      <c r="AP464" s="92">
        <v>45</v>
      </c>
      <c r="AQ464" s="268">
        <v>96.5</v>
      </c>
      <c r="AR464" s="268">
        <v>411</v>
      </c>
      <c r="AS464" s="269">
        <v>18</v>
      </c>
      <c r="AT464" s="288"/>
      <c r="AU464" s="92" t="str">
        <v/>
      </c>
      <c r="AV464" s="268" t="str">
        <v/>
      </c>
      <c r="AW464" s="268" t="str">
        <v/>
      </c>
      <c r="AX464" s="269" t="str">
        <v/>
      </c>
      <c r="AZ464" s="92" t="str">
        <v/>
      </c>
      <c r="BA464" s="268" t="str">
        <v/>
      </c>
      <c r="BB464" s="268" t="str">
        <v/>
      </c>
      <c r="BC464" s="269" t="str">
        <v/>
      </c>
      <c r="BE464" s="92" t="str">
        <v/>
      </c>
      <c r="BF464" s="268" t="str">
        <v/>
      </c>
      <c r="BG464" s="268" t="str">
        <v/>
      </c>
      <c r="BH464" s="269" t="str">
        <v/>
      </c>
      <c r="BI464" s="288"/>
      <c r="BJ464" s="92" t="str">
        <v/>
      </c>
      <c r="BK464" s="268" t="str">
        <v/>
      </c>
      <c r="BL464" s="268" t="str">
        <v/>
      </c>
      <c r="BM464" s="269" t="str">
        <v/>
      </c>
      <c r="BO464" s="92" t="str">
        <v/>
      </c>
      <c r="BP464" s="268" t="str">
        <v/>
      </c>
      <c r="BQ464" s="268" t="str">
        <v/>
      </c>
      <c r="BR464" s="269" t="str">
        <v/>
      </c>
      <c r="BT464" s="92" t="str">
        <v/>
      </c>
      <c r="BU464" s="268" t="str">
        <v/>
      </c>
      <c r="BV464" s="268" t="str">
        <v/>
      </c>
      <c r="BW464" s="269" t="str">
        <v/>
      </c>
      <c r="BX464" s="288"/>
      <c r="CM464" s="96"/>
    </row>
    <row r="465" spans="1:91">
      <c r="A465" s="285"/>
      <c r="B465" s="92">
        <v>45</v>
      </c>
      <c r="C465" s="268">
        <v>139.5</v>
      </c>
      <c r="D465" s="268">
        <v>598</v>
      </c>
      <c r="E465" s="269">
        <v>18</v>
      </c>
      <c r="G465" s="92">
        <v>45</v>
      </c>
      <c r="H465" s="268">
        <v>53.5</v>
      </c>
      <c r="I465" s="268">
        <v>387</v>
      </c>
      <c r="J465" s="269">
        <v>18</v>
      </c>
      <c r="L465" s="92">
        <v>45</v>
      </c>
      <c r="M465" s="268">
        <v>53.5</v>
      </c>
      <c r="N465" s="268">
        <v>375</v>
      </c>
      <c r="O465" s="269">
        <v>18</v>
      </c>
      <c r="Q465" s="92">
        <v>45</v>
      </c>
      <c r="R465" s="268">
        <v>53.5</v>
      </c>
      <c r="S465" s="268">
        <v>375</v>
      </c>
      <c r="T465" s="269">
        <v>18</v>
      </c>
      <c r="V465" s="92">
        <v>45</v>
      </c>
      <c r="W465" s="268">
        <v>53.5</v>
      </c>
      <c r="X465" s="268">
        <v>374.5</v>
      </c>
      <c r="Y465" s="269">
        <v>18</v>
      </c>
      <c r="AA465" s="92">
        <v>45</v>
      </c>
      <c r="AB465" s="268">
        <v>53.5</v>
      </c>
      <c r="AC465" s="268">
        <v>382</v>
      </c>
      <c r="AD465" s="269">
        <v>18</v>
      </c>
      <c r="AF465" s="92">
        <v>90</v>
      </c>
      <c r="AG465" s="268">
        <v>118</v>
      </c>
      <c r="AH465" s="268">
        <v>365</v>
      </c>
      <c r="AI465" s="269">
        <v>14</v>
      </c>
      <c r="AK465" s="92" t="str">
        <v/>
      </c>
      <c r="AL465" s="268" t="str">
        <v/>
      </c>
      <c r="AM465" s="268" t="str">
        <v/>
      </c>
      <c r="AN465" s="269" t="str">
        <v/>
      </c>
      <c r="AP465" s="92">
        <v>45</v>
      </c>
      <c r="AQ465" s="268">
        <v>53.5</v>
      </c>
      <c r="AR465" s="268">
        <v>411</v>
      </c>
      <c r="AS465" s="269">
        <v>18</v>
      </c>
      <c r="AT465" s="288"/>
      <c r="AU465" s="92" t="str">
        <v/>
      </c>
      <c r="AV465" s="268" t="str">
        <v/>
      </c>
      <c r="AW465" s="268" t="str">
        <v/>
      </c>
      <c r="AX465" s="269" t="str">
        <v/>
      </c>
      <c r="AZ465" s="92" t="str">
        <v/>
      </c>
      <c r="BA465" s="268" t="str">
        <v/>
      </c>
      <c r="BB465" s="268" t="str">
        <v/>
      </c>
      <c r="BC465" s="269" t="str">
        <v/>
      </c>
      <c r="BE465" s="92" t="str">
        <v/>
      </c>
      <c r="BF465" s="268" t="str">
        <v/>
      </c>
      <c r="BG465" s="268" t="str">
        <v/>
      </c>
      <c r="BH465" s="269" t="str">
        <v/>
      </c>
      <c r="BI465" s="288"/>
      <c r="BJ465" s="92" t="str">
        <v/>
      </c>
      <c r="BK465" s="268" t="str">
        <v/>
      </c>
      <c r="BL465" s="268" t="str">
        <v/>
      </c>
      <c r="BM465" s="269" t="str">
        <v/>
      </c>
      <c r="BO465" s="92" t="str">
        <v/>
      </c>
      <c r="BP465" s="268" t="str">
        <v/>
      </c>
      <c r="BQ465" s="268" t="str">
        <v/>
      </c>
      <c r="BR465" s="269" t="str">
        <v/>
      </c>
      <c r="BT465" s="92" t="str">
        <v/>
      </c>
      <c r="BU465" s="268" t="str">
        <v/>
      </c>
      <c r="BV465" s="268" t="str">
        <v/>
      </c>
      <c r="BW465" s="269" t="str">
        <v/>
      </c>
      <c r="BX465" s="288"/>
      <c r="CM465" s="96"/>
    </row>
    <row r="466" spans="1:91">
      <c r="A466" s="285"/>
      <c r="B466" s="92">
        <v>45</v>
      </c>
      <c r="C466" s="268">
        <v>10.5</v>
      </c>
      <c r="D466" s="268">
        <v>598</v>
      </c>
      <c r="E466" s="269">
        <v>18</v>
      </c>
      <c r="G466" s="92">
        <v>45</v>
      </c>
      <c r="H466" s="268">
        <v>139.5</v>
      </c>
      <c r="I466" s="268">
        <v>415</v>
      </c>
      <c r="J466" s="269">
        <v>18</v>
      </c>
      <c r="L466" s="92">
        <v>45</v>
      </c>
      <c r="M466" s="268">
        <v>139.5</v>
      </c>
      <c r="N466" s="268">
        <v>403</v>
      </c>
      <c r="O466" s="269">
        <v>18</v>
      </c>
      <c r="Q466" s="92">
        <v>45</v>
      </c>
      <c r="R466" s="268">
        <v>139.5</v>
      </c>
      <c r="S466" s="268">
        <v>403</v>
      </c>
      <c r="T466" s="269">
        <v>18</v>
      </c>
      <c r="V466" s="92">
        <v>45</v>
      </c>
      <c r="W466" s="268">
        <v>139.5</v>
      </c>
      <c r="X466" s="268">
        <v>403</v>
      </c>
      <c r="Y466" s="269">
        <v>18</v>
      </c>
      <c r="AA466" s="92">
        <v>45</v>
      </c>
      <c r="AB466" s="268">
        <v>139.5</v>
      </c>
      <c r="AC466" s="268">
        <v>412</v>
      </c>
      <c r="AD466" s="269">
        <v>18</v>
      </c>
      <c r="AF466" s="92">
        <v>90</v>
      </c>
      <c r="AG466" s="268">
        <v>32</v>
      </c>
      <c r="AH466" s="268">
        <v>365</v>
      </c>
      <c r="AI466" s="269">
        <v>14</v>
      </c>
      <c r="AK466" s="92" t="str">
        <v/>
      </c>
      <c r="AL466" s="268" t="str">
        <v/>
      </c>
      <c r="AM466" s="268" t="str">
        <v/>
      </c>
      <c r="AN466" s="269" t="str">
        <v/>
      </c>
      <c r="AP466" s="92">
        <v>45</v>
      </c>
      <c r="AQ466" s="268">
        <v>139.5</v>
      </c>
      <c r="AR466" s="268">
        <v>439</v>
      </c>
      <c r="AS466" s="269">
        <v>18</v>
      </c>
      <c r="AT466" s="288"/>
      <c r="AU466" s="92" t="str">
        <v/>
      </c>
      <c r="AV466" s="268" t="str">
        <v/>
      </c>
      <c r="AW466" s="268" t="str">
        <v/>
      </c>
      <c r="AX466" s="269" t="str">
        <v/>
      </c>
      <c r="AZ466" s="92" t="str">
        <v/>
      </c>
      <c r="BA466" s="268" t="str">
        <v/>
      </c>
      <c r="BB466" s="268" t="str">
        <v/>
      </c>
      <c r="BC466" s="269" t="str">
        <v/>
      </c>
      <c r="BE466" s="92" t="str">
        <v/>
      </c>
      <c r="BF466" s="268" t="str">
        <v/>
      </c>
      <c r="BG466" s="268" t="str">
        <v/>
      </c>
      <c r="BH466" s="269" t="str">
        <v/>
      </c>
      <c r="BI466" s="288"/>
      <c r="BJ466" s="92" t="str">
        <v/>
      </c>
      <c r="BK466" s="268" t="str">
        <v/>
      </c>
      <c r="BL466" s="268" t="str">
        <v/>
      </c>
      <c r="BM466" s="269" t="str">
        <v/>
      </c>
      <c r="BO466" s="92" t="str">
        <v/>
      </c>
      <c r="BP466" s="268" t="str">
        <v/>
      </c>
      <c r="BQ466" s="268" t="str">
        <v/>
      </c>
      <c r="BR466" s="269" t="str">
        <v/>
      </c>
      <c r="BT466" s="92" t="str">
        <v/>
      </c>
      <c r="BU466" s="268" t="str">
        <v/>
      </c>
      <c r="BV466" s="268" t="str">
        <v/>
      </c>
      <c r="BW466" s="269" t="str">
        <v/>
      </c>
      <c r="BX466" s="288"/>
      <c r="CM466" s="96"/>
    </row>
    <row r="467" spans="1:91">
      <c r="A467" s="285"/>
      <c r="B467" s="92">
        <v>45</v>
      </c>
      <c r="C467" s="268">
        <v>96.5</v>
      </c>
      <c r="D467" s="268">
        <v>627</v>
      </c>
      <c r="E467" s="269">
        <v>18</v>
      </c>
      <c r="G467" s="92">
        <v>45</v>
      </c>
      <c r="H467" s="268">
        <v>10.5</v>
      </c>
      <c r="I467" s="268">
        <v>415</v>
      </c>
      <c r="J467" s="269">
        <v>18</v>
      </c>
      <c r="L467" s="92">
        <v>45</v>
      </c>
      <c r="M467" s="268">
        <v>10.5</v>
      </c>
      <c r="N467" s="268">
        <v>403</v>
      </c>
      <c r="O467" s="269">
        <v>18</v>
      </c>
      <c r="Q467" s="92">
        <v>45</v>
      </c>
      <c r="R467" s="268">
        <v>10.5</v>
      </c>
      <c r="S467" s="268">
        <v>403</v>
      </c>
      <c r="T467" s="269">
        <v>18</v>
      </c>
      <c r="V467" s="92">
        <v>45</v>
      </c>
      <c r="W467" s="268">
        <v>10.5</v>
      </c>
      <c r="X467" s="268">
        <v>403</v>
      </c>
      <c r="Y467" s="269">
        <v>18</v>
      </c>
      <c r="AA467" s="92">
        <v>45</v>
      </c>
      <c r="AB467" s="268">
        <v>10.5</v>
      </c>
      <c r="AC467" s="268">
        <v>412</v>
      </c>
      <c r="AD467" s="269">
        <v>18</v>
      </c>
      <c r="AF467" s="92" t="str">
        <v/>
      </c>
      <c r="AG467" s="268" t="str">
        <v/>
      </c>
      <c r="AH467" s="268" t="str">
        <v/>
      </c>
      <c r="AI467" s="269" t="str">
        <v/>
      </c>
      <c r="AK467" s="92" t="str">
        <v/>
      </c>
      <c r="AL467" s="268" t="str">
        <v/>
      </c>
      <c r="AM467" s="268" t="str">
        <v/>
      </c>
      <c r="AN467" s="269" t="str">
        <v/>
      </c>
      <c r="AP467" s="92">
        <v>45</v>
      </c>
      <c r="AQ467" s="268">
        <v>10.5</v>
      </c>
      <c r="AR467" s="268">
        <v>439</v>
      </c>
      <c r="AS467" s="269">
        <v>18</v>
      </c>
      <c r="AT467" s="288"/>
      <c r="AU467" s="92" t="str">
        <v/>
      </c>
      <c r="AV467" s="268" t="str">
        <v/>
      </c>
      <c r="AW467" s="268" t="str">
        <v/>
      </c>
      <c r="AX467" s="269" t="str">
        <v/>
      </c>
      <c r="AZ467" s="92" t="str">
        <v/>
      </c>
      <c r="BA467" s="268" t="str">
        <v/>
      </c>
      <c r="BB467" s="268" t="str">
        <v/>
      </c>
      <c r="BC467" s="269" t="str">
        <v/>
      </c>
      <c r="BE467" s="92" t="str">
        <v/>
      </c>
      <c r="BF467" s="268" t="str">
        <v/>
      </c>
      <c r="BG467" s="268" t="str">
        <v/>
      </c>
      <c r="BH467" s="269" t="str">
        <v/>
      </c>
      <c r="BI467" s="288"/>
      <c r="BJ467" s="92" t="str">
        <v/>
      </c>
      <c r="BK467" s="268" t="str">
        <v/>
      </c>
      <c r="BL467" s="268" t="str">
        <v/>
      </c>
      <c r="BM467" s="269" t="str">
        <v/>
      </c>
      <c r="BO467" s="92" t="str">
        <v/>
      </c>
      <c r="BP467" s="268" t="str">
        <v/>
      </c>
      <c r="BQ467" s="268" t="str">
        <v/>
      </c>
      <c r="BR467" s="269" t="str">
        <v/>
      </c>
      <c r="BT467" s="92" t="str">
        <v/>
      </c>
      <c r="BU467" s="268" t="str">
        <v/>
      </c>
      <c r="BV467" s="268" t="str">
        <v/>
      </c>
      <c r="BW467" s="269" t="str">
        <v/>
      </c>
      <c r="BX467" s="288"/>
      <c r="CM467" s="96"/>
    </row>
    <row r="468" spans="1:91">
      <c r="A468" s="285"/>
      <c r="B468" s="92">
        <v>45</v>
      </c>
      <c r="C468" s="268">
        <v>53.5</v>
      </c>
      <c r="D468" s="268">
        <v>627</v>
      </c>
      <c r="E468" s="269">
        <v>18</v>
      </c>
      <c r="G468" s="92">
        <v>90</v>
      </c>
      <c r="H468" s="268">
        <v>75</v>
      </c>
      <c r="I468" s="268">
        <v>420</v>
      </c>
      <c r="J468" s="269">
        <v>14</v>
      </c>
      <c r="L468" s="92">
        <v>45</v>
      </c>
      <c r="M468" s="268">
        <v>96.5</v>
      </c>
      <c r="N468" s="268">
        <v>432</v>
      </c>
      <c r="O468" s="269">
        <v>18</v>
      </c>
      <c r="Q468" s="92">
        <v>45</v>
      </c>
      <c r="R468" s="268">
        <v>96.5</v>
      </c>
      <c r="S468" s="268">
        <v>432</v>
      </c>
      <c r="T468" s="269">
        <v>18</v>
      </c>
      <c r="V468" s="92">
        <v>45</v>
      </c>
      <c r="W468" s="268">
        <v>96.5</v>
      </c>
      <c r="X468" s="268">
        <v>431.5</v>
      </c>
      <c r="Y468" s="269">
        <v>18</v>
      </c>
      <c r="AA468" s="92">
        <v>45</v>
      </c>
      <c r="AB468" s="268">
        <v>96.5</v>
      </c>
      <c r="AC468" s="268">
        <v>440</v>
      </c>
      <c r="AD468" s="269">
        <v>18</v>
      </c>
      <c r="AF468" s="92" t="str">
        <v/>
      </c>
      <c r="AG468" s="268" t="str">
        <v/>
      </c>
      <c r="AH468" s="268" t="str">
        <v/>
      </c>
      <c r="AI468" s="269" t="str">
        <v/>
      </c>
      <c r="AK468" s="92" t="str">
        <v/>
      </c>
      <c r="AL468" s="268" t="str">
        <v/>
      </c>
      <c r="AM468" s="268" t="str">
        <v/>
      </c>
      <c r="AN468" s="269" t="str">
        <v/>
      </c>
      <c r="AP468" s="92">
        <v>45</v>
      </c>
      <c r="AQ468" s="268">
        <v>96.5</v>
      </c>
      <c r="AR468" s="268">
        <v>468</v>
      </c>
      <c r="AS468" s="269">
        <v>18</v>
      </c>
      <c r="AT468" s="288"/>
      <c r="AU468" s="92" t="str">
        <v/>
      </c>
      <c r="AV468" s="268" t="str">
        <v/>
      </c>
      <c r="AW468" s="268" t="str">
        <v/>
      </c>
      <c r="AX468" s="269" t="str">
        <v/>
      </c>
      <c r="AZ468" s="92" t="str">
        <v/>
      </c>
      <c r="BA468" s="268" t="str">
        <v/>
      </c>
      <c r="BB468" s="268" t="str">
        <v/>
      </c>
      <c r="BC468" s="269" t="str">
        <v/>
      </c>
      <c r="BE468" s="92" t="str">
        <v/>
      </c>
      <c r="BF468" s="268" t="str">
        <v/>
      </c>
      <c r="BG468" s="268" t="str">
        <v/>
      </c>
      <c r="BH468" s="269" t="str">
        <v/>
      </c>
      <c r="BI468" s="288"/>
      <c r="BJ468" s="92" t="str">
        <v/>
      </c>
      <c r="BK468" s="268" t="str">
        <v/>
      </c>
      <c r="BL468" s="268" t="str">
        <v/>
      </c>
      <c r="BM468" s="269" t="str">
        <v/>
      </c>
      <c r="BO468" s="92" t="str">
        <v/>
      </c>
      <c r="BP468" s="268" t="str">
        <v/>
      </c>
      <c r="BQ468" s="268" t="str">
        <v/>
      </c>
      <c r="BR468" s="269" t="str">
        <v/>
      </c>
      <c r="BT468" s="92" t="str">
        <v/>
      </c>
      <c r="BU468" s="268" t="str">
        <v/>
      </c>
      <c r="BV468" s="268" t="str">
        <v/>
      </c>
      <c r="BW468" s="269" t="str">
        <v/>
      </c>
      <c r="BX468" s="288"/>
      <c r="CM468" s="96"/>
    </row>
    <row r="469" spans="1:91">
      <c r="A469" s="285"/>
      <c r="B469" s="92">
        <v>45</v>
      </c>
      <c r="C469" s="268">
        <v>139.5</v>
      </c>
      <c r="D469" s="268">
        <v>655</v>
      </c>
      <c r="E469" s="269">
        <v>18</v>
      </c>
      <c r="G469" s="92">
        <v>90</v>
      </c>
      <c r="H469" s="268">
        <v>118</v>
      </c>
      <c r="I469" s="268">
        <v>430</v>
      </c>
      <c r="J469" s="269">
        <v>14</v>
      </c>
      <c r="L469" s="92">
        <v>45</v>
      </c>
      <c r="M469" s="268">
        <v>53.5</v>
      </c>
      <c r="N469" s="268">
        <v>432</v>
      </c>
      <c r="O469" s="269">
        <v>18</v>
      </c>
      <c r="Q469" s="92">
        <v>45</v>
      </c>
      <c r="R469" s="268">
        <v>53.5</v>
      </c>
      <c r="S469" s="268">
        <v>432</v>
      </c>
      <c r="T469" s="269">
        <v>18</v>
      </c>
      <c r="V469" s="92">
        <v>45</v>
      </c>
      <c r="W469" s="268">
        <v>53.5</v>
      </c>
      <c r="X469" s="268">
        <v>431.5</v>
      </c>
      <c r="Y469" s="269">
        <v>18</v>
      </c>
      <c r="AA469" s="92">
        <v>45</v>
      </c>
      <c r="AB469" s="268">
        <v>53.5</v>
      </c>
      <c r="AC469" s="268">
        <v>440</v>
      </c>
      <c r="AD469" s="269">
        <v>18</v>
      </c>
      <c r="AF469" s="92" t="str">
        <v/>
      </c>
      <c r="AG469" s="268" t="str">
        <v/>
      </c>
      <c r="AH469" s="268" t="str">
        <v/>
      </c>
      <c r="AI469" s="269" t="str">
        <v/>
      </c>
      <c r="AK469" s="92" t="str">
        <v/>
      </c>
      <c r="AL469" s="268" t="str">
        <v/>
      </c>
      <c r="AM469" s="268" t="str">
        <v/>
      </c>
      <c r="AN469" s="269" t="str">
        <v/>
      </c>
      <c r="AP469" s="92">
        <v>45</v>
      </c>
      <c r="AQ469" s="268">
        <v>53.5</v>
      </c>
      <c r="AR469" s="268">
        <v>468</v>
      </c>
      <c r="AS469" s="269">
        <v>18</v>
      </c>
      <c r="AT469" s="288"/>
      <c r="AU469" s="92" t="str">
        <v/>
      </c>
      <c r="AV469" s="268" t="str">
        <v/>
      </c>
      <c r="AW469" s="268" t="str">
        <v/>
      </c>
      <c r="AX469" s="269" t="str">
        <v/>
      </c>
      <c r="AZ469" s="92" t="str">
        <v/>
      </c>
      <c r="BA469" s="268" t="str">
        <v/>
      </c>
      <c r="BB469" s="268" t="str">
        <v/>
      </c>
      <c r="BC469" s="269" t="str">
        <v/>
      </c>
      <c r="BE469" s="92" t="str">
        <v/>
      </c>
      <c r="BF469" s="268" t="str">
        <v/>
      </c>
      <c r="BG469" s="268" t="str">
        <v/>
      </c>
      <c r="BH469" s="269" t="str">
        <v/>
      </c>
      <c r="BI469" s="288"/>
      <c r="BJ469" s="92" t="str">
        <v/>
      </c>
      <c r="BK469" s="268" t="str">
        <v/>
      </c>
      <c r="BL469" s="268" t="str">
        <v/>
      </c>
      <c r="BM469" s="269" t="str">
        <v/>
      </c>
      <c r="BO469" s="92" t="str">
        <v/>
      </c>
      <c r="BP469" s="268" t="str">
        <v/>
      </c>
      <c r="BQ469" s="268" t="str">
        <v/>
      </c>
      <c r="BR469" s="269" t="str">
        <v/>
      </c>
      <c r="BT469" s="92" t="str">
        <v/>
      </c>
      <c r="BU469" s="268" t="str">
        <v/>
      </c>
      <c r="BV469" s="268" t="str">
        <v/>
      </c>
      <c r="BW469" s="269" t="str">
        <v/>
      </c>
      <c r="BX469" s="288"/>
      <c r="CM469" s="96"/>
    </row>
    <row r="470" spans="1:91">
      <c r="A470" s="285"/>
      <c r="B470" s="92">
        <v>45</v>
      </c>
      <c r="C470" s="268">
        <v>10.5</v>
      </c>
      <c r="D470" s="268">
        <v>655</v>
      </c>
      <c r="E470" s="269">
        <v>18</v>
      </c>
      <c r="G470" s="92">
        <v>90</v>
      </c>
      <c r="H470" s="268">
        <v>32</v>
      </c>
      <c r="I470" s="268">
        <v>430</v>
      </c>
      <c r="J470" s="269">
        <v>14</v>
      </c>
      <c r="L470" s="92">
        <v>45</v>
      </c>
      <c r="M470" s="268">
        <v>139.5</v>
      </c>
      <c r="N470" s="268">
        <v>460</v>
      </c>
      <c r="O470" s="269">
        <v>18</v>
      </c>
      <c r="Q470" s="92">
        <v>45</v>
      </c>
      <c r="R470" s="268">
        <v>139.5</v>
      </c>
      <c r="S470" s="268">
        <v>460</v>
      </c>
      <c r="T470" s="269">
        <v>18</v>
      </c>
      <c r="V470" s="92">
        <v>45</v>
      </c>
      <c r="W470" s="268">
        <v>139.5</v>
      </c>
      <c r="X470" s="268">
        <v>460</v>
      </c>
      <c r="Y470" s="269">
        <v>18</v>
      </c>
      <c r="AA470" s="92">
        <v>90</v>
      </c>
      <c r="AB470" s="268">
        <v>139.5</v>
      </c>
      <c r="AC470" s="268">
        <v>470</v>
      </c>
      <c r="AD470" s="269">
        <v>20</v>
      </c>
      <c r="AF470" s="92" t="str">
        <v/>
      </c>
      <c r="AG470" s="268" t="str">
        <v/>
      </c>
      <c r="AH470" s="268" t="str">
        <v/>
      </c>
      <c r="AI470" s="269" t="str">
        <v/>
      </c>
      <c r="AK470" s="92" t="str">
        <v/>
      </c>
      <c r="AL470" s="268" t="str">
        <v/>
      </c>
      <c r="AM470" s="268" t="str">
        <v/>
      </c>
      <c r="AN470" s="269" t="str">
        <v/>
      </c>
      <c r="AP470" s="92">
        <v>45</v>
      </c>
      <c r="AQ470" s="268">
        <v>139.5</v>
      </c>
      <c r="AR470" s="268">
        <v>496</v>
      </c>
      <c r="AS470" s="269">
        <v>18</v>
      </c>
      <c r="AT470" s="288"/>
      <c r="AU470" s="92" t="str">
        <v/>
      </c>
      <c r="AV470" s="268" t="str">
        <v/>
      </c>
      <c r="AW470" s="268" t="str">
        <v/>
      </c>
      <c r="AX470" s="269" t="str">
        <v/>
      </c>
      <c r="AZ470" s="92" t="str">
        <v/>
      </c>
      <c r="BA470" s="268" t="str">
        <v/>
      </c>
      <c r="BB470" s="268" t="str">
        <v/>
      </c>
      <c r="BC470" s="269" t="str">
        <v/>
      </c>
      <c r="BE470" s="92" t="str">
        <v/>
      </c>
      <c r="BF470" s="268" t="str">
        <v/>
      </c>
      <c r="BG470" s="268" t="str">
        <v/>
      </c>
      <c r="BH470" s="269" t="str">
        <v/>
      </c>
      <c r="BI470" s="288"/>
      <c r="BJ470" s="92" t="str">
        <v/>
      </c>
      <c r="BK470" s="268" t="str">
        <v/>
      </c>
      <c r="BL470" s="268" t="str">
        <v/>
      </c>
      <c r="BM470" s="269" t="str">
        <v/>
      </c>
      <c r="BO470" s="92" t="str">
        <v/>
      </c>
      <c r="BP470" s="268" t="str">
        <v/>
      </c>
      <c r="BQ470" s="268" t="str">
        <v/>
      </c>
      <c r="BR470" s="269" t="str">
        <v/>
      </c>
      <c r="BT470" s="92" t="str">
        <v/>
      </c>
      <c r="BU470" s="268" t="str">
        <v/>
      </c>
      <c r="BV470" s="268" t="str">
        <v/>
      </c>
      <c r="BW470" s="269" t="str">
        <v/>
      </c>
      <c r="BX470" s="288"/>
      <c r="CM470" s="96"/>
    </row>
    <row r="471" spans="1:91">
      <c r="A471" s="285"/>
      <c r="B471" s="92">
        <v>45</v>
      </c>
      <c r="C471" s="268">
        <v>96.5</v>
      </c>
      <c r="D471" s="268">
        <v>684</v>
      </c>
      <c r="E471" s="269">
        <v>18</v>
      </c>
      <c r="G471" s="92">
        <v>45</v>
      </c>
      <c r="H471" s="268">
        <v>96.5</v>
      </c>
      <c r="I471" s="268">
        <v>444</v>
      </c>
      <c r="J471" s="269">
        <v>18</v>
      </c>
      <c r="L471" s="92">
        <v>45</v>
      </c>
      <c r="M471" s="268">
        <v>10.5</v>
      </c>
      <c r="N471" s="268">
        <v>460</v>
      </c>
      <c r="O471" s="269">
        <v>18</v>
      </c>
      <c r="Q471" s="92">
        <v>45</v>
      </c>
      <c r="R471" s="268">
        <v>10.5</v>
      </c>
      <c r="S471" s="268">
        <v>460</v>
      </c>
      <c r="T471" s="269">
        <v>18</v>
      </c>
      <c r="V471" s="92">
        <v>45</v>
      </c>
      <c r="W471" s="268">
        <v>10.5</v>
      </c>
      <c r="X471" s="268">
        <v>460</v>
      </c>
      <c r="Y471" s="269">
        <v>18</v>
      </c>
      <c r="AA471" s="92">
        <v>90</v>
      </c>
      <c r="AB471" s="268">
        <v>10.5</v>
      </c>
      <c r="AC471" s="268">
        <v>470</v>
      </c>
      <c r="AD471" s="269">
        <v>20</v>
      </c>
      <c r="AF471" s="92" t="str">
        <v/>
      </c>
      <c r="AG471" s="268" t="str">
        <v/>
      </c>
      <c r="AH471" s="268" t="str">
        <v/>
      </c>
      <c r="AI471" s="269" t="str">
        <v/>
      </c>
      <c r="AK471" s="92" t="str">
        <v/>
      </c>
      <c r="AL471" s="268" t="str">
        <v/>
      </c>
      <c r="AM471" s="268" t="str">
        <v/>
      </c>
      <c r="AN471" s="269" t="str">
        <v/>
      </c>
      <c r="AP471" s="92">
        <v>45</v>
      </c>
      <c r="AQ471" s="268">
        <v>10.5</v>
      </c>
      <c r="AR471" s="268">
        <v>496</v>
      </c>
      <c r="AS471" s="269">
        <v>18</v>
      </c>
      <c r="AT471" s="288"/>
      <c r="AU471" s="92" t="str">
        <v/>
      </c>
      <c r="AV471" s="268" t="str">
        <v/>
      </c>
      <c r="AW471" s="268" t="str">
        <v/>
      </c>
      <c r="AX471" s="269" t="str">
        <v/>
      </c>
      <c r="AZ471" s="92" t="str">
        <v/>
      </c>
      <c r="BA471" s="268" t="str">
        <v/>
      </c>
      <c r="BB471" s="268" t="str">
        <v/>
      </c>
      <c r="BC471" s="269" t="str">
        <v/>
      </c>
      <c r="BE471" s="92" t="str">
        <v/>
      </c>
      <c r="BF471" s="268" t="str">
        <v/>
      </c>
      <c r="BG471" s="268" t="str">
        <v/>
      </c>
      <c r="BH471" s="269" t="str">
        <v/>
      </c>
      <c r="BI471" s="288"/>
      <c r="BJ471" s="92" t="str">
        <v/>
      </c>
      <c r="BK471" s="268" t="str">
        <v/>
      </c>
      <c r="BL471" s="268" t="str">
        <v/>
      </c>
      <c r="BM471" s="269" t="str">
        <v/>
      </c>
      <c r="BO471" s="92" t="str">
        <v/>
      </c>
      <c r="BP471" s="268" t="str">
        <v/>
      </c>
      <c r="BQ471" s="268" t="str">
        <v/>
      </c>
      <c r="BR471" s="269" t="str">
        <v/>
      </c>
      <c r="BT471" s="92" t="str">
        <v/>
      </c>
      <c r="BU471" s="268" t="str">
        <v/>
      </c>
      <c r="BV471" s="268" t="str">
        <v/>
      </c>
      <c r="BW471" s="269" t="str">
        <v/>
      </c>
      <c r="BX471" s="288"/>
      <c r="CM471" s="96"/>
    </row>
    <row r="472" spans="1:91">
      <c r="A472" s="285"/>
      <c r="B472" s="92">
        <v>45</v>
      </c>
      <c r="C472" s="268">
        <v>53.5</v>
      </c>
      <c r="D472" s="268">
        <v>684</v>
      </c>
      <c r="E472" s="269">
        <v>18</v>
      </c>
      <c r="G472" s="92">
        <v>45</v>
      </c>
      <c r="H472" s="268">
        <v>53.5</v>
      </c>
      <c r="I472" s="268">
        <v>444</v>
      </c>
      <c r="J472" s="269">
        <v>18</v>
      </c>
      <c r="L472" s="92">
        <v>45</v>
      </c>
      <c r="M472" s="268">
        <v>96.5</v>
      </c>
      <c r="N472" s="268">
        <v>489</v>
      </c>
      <c r="O472" s="269">
        <v>18</v>
      </c>
      <c r="Q472" s="92">
        <v>45</v>
      </c>
      <c r="R472" s="268">
        <v>96.5</v>
      </c>
      <c r="S472" s="268">
        <v>489</v>
      </c>
      <c r="T472" s="269">
        <v>18</v>
      </c>
      <c r="V472" s="92">
        <v>45</v>
      </c>
      <c r="W472" s="268">
        <v>96.5</v>
      </c>
      <c r="X472" s="268">
        <v>488.5</v>
      </c>
      <c r="Y472" s="269">
        <v>18</v>
      </c>
      <c r="AA472" s="92">
        <v>90</v>
      </c>
      <c r="AB472" s="268">
        <v>75</v>
      </c>
      <c r="AC472" s="268">
        <v>475</v>
      </c>
      <c r="AD472" s="269">
        <v>14</v>
      </c>
      <c r="AF472" s="92" t="str">
        <v/>
      </c>
      <c r="AG472" s="268" t="str">
        <v/>
      </c>
      <c r="AH472" s="268" t="str">
        <v/>
      </c>
      <c r="AI472" s="269" t="str">
        <v/>
      </c>
      <c r="AK472" s="92" t="str">
        <v/>
      </c>
      <c r="AL472" s="268" t="str">
        <v/>
      </c>
      <c r="AM472" s="268" t="str">
        <v/>
      </c>
      <c r="AN472" s="269" t="str">
        <v/>
      </c>
      <c r="AP472" s="92">
        <v>45</v>
      </c>
      <c r="AQ472" s="268">
        <v>96.5</v>
      </c>
      <c r="AR472" s="268">
        <v>525</v>
      </c>
      <c r="AS472" s="269">
        <v>18</v>
      </c>
      <c r="AT472" s="288"/>
      <c r="AU472" s="92" t="str">
        <v/>
      </c>
      <c r="AV472" s="268" t="str">
        <v/>
      </c>
      <c r="AW472" s="268" t="str">
        <v/>
      </c>
      <c r="AX472" s="269" t="str">
        <v/>
      </c>
      <c r="AZ472" s="92" t="str">
        <v/>
      </c>
      <c r="BA472" s="268" t="str">
        <v/>
      </c>
      <c r="BB472" s="268" t="str">
        <v/>
      </c>
      <c r="BC472" s="269" t="str">
        <v/>
      </c>
      <c r="BE472" s="92" t="str">
        <v/>
      </c>
      <c r="BF472" s="268" t="str">
        <v/>
      </c>
      <c r="BG472" s="268" t="str">
        <v/>
      </c>
      <c r="BH472" s="269" t="str">
        <v/>
      </c>
      <c r="BI472" s="288"/>
      <c r="BJ472" s="92" t="str">
        <v/>
      </c>
      <c r="BK472" s="268" t="str">
        <v/>
      </c>
      <c r="BL472" s="268" t="str">
        <v/>
      </c>
      <c r="BM472" s="269" t="str">
        <v/>
      </c>
      <c r="BO472" s="92" t="str">
        <v/>
      </c>
      <c r="BP472" s="268" t="str">
        <v/>
      </c>
      <c r="BQ472" s="268" t="str">
        <v/>
      </c>
      <c r="BR472" s="269" t="str">
        <v/>
      </c>
      <c r="BT472" s="92" t="str">
        <v/>
      </c>
      <c r="BU472" s="268" t="str">
        <v/>
      </c>
      <c r="BV472" s="268" t="str">
        <v/>
      </c>
      <c r="BW472" s="269" t="str">
        <v/>
      </c>
      <c r="BX472" s="288"/>
      <c r="CM472" s="96"/>
    </row>
    <row r="473" spans="1:91">
      <c r="A473" s="285"/>
      <c r="B473" s="92">
        <v>45</v>
      </c>
      <c r="C473" s="268">
        <v>139.5</v>
      </c>
      <c r="D473" s="268">
        <v>712</v>
      </c>
      <c r="E473" s="269">
        <v>18</v>
      </c>
      <c r="G473" s="92">
        <v>45</v>
      </c>
      <c r="H473" s="268">
        <v>139.5</v>
      </c>
      <c r="I473" s="268">
        <v>472</v>
      </c>
      <c r="J473" s="269">
        <v>18</v>
      </c>
      <c r="L473" s="92">
        <v>45</v>
      </c>
      <c r="M473" s="268">
        <v>53.5</v>
      </c>
      <c r="N473" s="268">
        <v>489</v>
      </c>
      <c r="O473" s="269">
        <v>18</v>
      </c>
      <c r="Q473" s="92">
        <v>45</v>
      </c>
      <c r="R473" s="268">
        <v>53.5</v>
      </c>
      <c r="S473" s="268">
        <v>489</v>
      </c>
      <c r="T473" s="269">
        <v>18</v>
      </c>
      <c r="V473" s="92">
        <v>45</v>
      </c>
      <c r="W473" s="268">
        <v>53.5</v>
      </c>
      <c r="X473" s="268">
        <v>488.5</v>
      </c>
      <c r="Y473" s="269">
        <v>18</v>
      </c>
      <c r="AA473" s="92">
        <v>90</v>
      </c>
      <c r="AB473" s="268">
        <v>118</v>
      </c>
      <c r="AC473" s="268">
        <v>485</v>
      </c>
      <c r="AD473" s="269">
        <v>14</v>
      </c>
      <c r="AF473" s="92" t="str">
        <v/>
      </c>
      <c r="AG473" s="268" t="str">
        <v/>
      </c>
      <c r="AH473" s="268" t="str">
        <v/>
      </c>
      <c r="AI473" s="269" t="str">
        <v/>
      </c>
      <c r="AK473" s="92" t="str">
        <v/>
      </c>
      <c r="AL473" s="268" t="str">
        <v/>
      </c>
      <c r="AM473" s="268" t="str">
        <v/>
      </c>
      <c r="AN473" s="269" t="str">
        <v/>
      </c>
      <c r="AP473" s="92">
        <v>45</v>
      </c>
      <c r="AQ473" s="268">
        <v>53.5</v>
      </c>
      <c r="AR473" s="268">
        <v>525</v>
      </c>
      <c r="AS473" s="269">
        <v>18</v>
      </c>
      <c r="AT473" s="288"/>
      <c r="AU473" s="92" t="str">
        <v/>
      </c>
      <c r="AV473" s="268" t="str">
        <v/>
      </c>
      <c r="AW473" s="268" t="str">
        <v/>
      </c>
      <c r="AX473" s="269" t="str">
        <v/>
      </c>
      <c r="AZ473" s="92" t="str">
        <v/>
      </c>
      <c r="BA473" s="268" t="str">
        <v/>
      </c>
      <c r="BB473" s="268" t="str">
        <v/>
      </c>
      <c r="BC473" s="269" t="str">
        <v/>
      </c>
      <c r="BE473" s="92" t="str">
        <v/>
      </c>
      <c r="BF473" s="268" t="str">
        <v/>
      </c>
      <c r="BG473" s="268" t="str">
        <v/>
      </c>
      <c r="BH473" s="269" t="str">
        <v/>
      </c>
      <c r="BI473" s="288"/>
      <c r="BJ473" s="92" t="str">
        <v/>
      </c>
      <c r="BK473" s="268" t="str">
        <v/>
      </c>
      <c r="BL473" s="268" t="str">
        <v/>
      </c>
      <c r="BM473" s="269" t="str">
        <v/>
      </c>
      <c r="BO473" s="92" t="str">
        <v/>
      </c>
      <c r="BP473" s="268" t="str">
        <v/>
      </c>
      <c r="BQ473" s="268" t="str">
        <v/>
      </c>
      <c r="BR473" s="269" t="str">
        <v/>
      </c>
      <c r="BT473" s="92" t="str">
        <v/>
      </c>
      <c r="BU473" s="268" t="str">
        <v/>
      </c>
      <c r="BV473" s="268" t="str">
        <v/>
      </c>
      <c r="BW473" s="269" t="str">
        <v/>
      </c>
      <c r="BX473" s="288"/>
      <c r="CM473" s="96"/>
    </row>
    <row r="474" spans="1:91">
      <c r="A474" s="285"/>
      <c r="B474" s="92">
        <v>45</v>
      </c>
      <c r="C474" s="268">
        <v>10.5</v>
      </c>
      <c r="D474" s="268">
        <v>712</v>
      </c>
      <c r="E474" s="269">
        <v>18</v>
      </c>
      <c r="G474" s="92">
        <v>45</v>
      </c>
      <c r="H474" s="268">
        <v>10.5</v>
      </c>
      <c r="I474" s="268">
        <v>472</v>
      </c>
      <c r="J474" s="269">
        <v>18</v>
      </c>
      <c r="L474" s="92">
        <v>45</v>
      </c>
      <c r="M474" s="268">
        <v>139.5</v>
      </c>
      <c r="N474" s="268">
        <v>517</v>
      </c>
      <c r="O474" s="269">
        <v>18</v>
      </c>
      <c r="Q474" s="92">
        <v>45</v>
      </c>
      <c r="R474" s="268">
        <v>139.5</v>
      </c>
      <c r="S474" s="268">
        <v>517</v>
      </c>
      <c r="T474" s="269">
        <v>18</v>
      </c>
      <c r="V474" s="92">
        <v>90</v>
      </c>
      <c r="W474" s="268">
        <v>139.5</v>
      </c>
      <c r="X474" s="268">
        <v>530</v>
      </c>
      <c r="Y474" s="269">
        <v>20</v>
      </c>
      <c r="AA474" s="92">
        <v>90</v>
      </c>
      <c r="AB474" s="268">
        <v>32</v>
      </c>
      <c r="AC474" s="268">
        <v>485</v>
      </c>
      <c r="AD474" s="269">
        <v>14</v>
      </c>
      <c r="AF474" s="92" t="str">
        <v/>
      </c>
      <c r="AG474" s="268" t="str">
        <v/>
      </c>
      <c r="AH474" s="268" t="str">
        <v/>
      </c>
      <c r="AI474" s="269" t="str">
        <v/>
      </c>
      <c r="AK474" s="92" t="str">
        <v/>
      </c>
      <c r="AL474" s="268" t="str">
        <v/>
      </c>
      <c r="AM474" s="268" t="str">
        <v/>
      </c>
      <c r="AN474" s="269" t="str">
        <v/>
      </c>
      <c r="AP474" s="92">
        <v>45</v>
      </c>
      <c r="AQ474" s="268">
        <v>139.5</v>
      </c>
      <c r="AR474" s="268">
        <v>553</v>
      </c>
      <c r="AS474" s="269">
        <v>18</v>
      </c>
      <c r="AT474" s="288"/>
      <c r="AU474" s="92" t="str">
        <v/>
      </c>
      <c r="AV474" s="268" t="str">
        <v/>
      </c>
      <c r="AW474" s="268" t="str">
        <v/>
      </c>
      <c r="AX474" s="269" t="str">
        <v/>
      </c>
      <c r="AZ474" s="92" t="str">
        <v/>
      </c>
      <c r="BA474" s="268" t="str">
        <v/>
      </c>
      <c r="BB474" s="268" t="str">
        <v/>
      </c>
      <c r="BC474" s="269" t="str">
        <v/>
      </c>
      <c r="BE474" s="92" t="str">
        <v/>
      </c>
      <c r="BF474" s="268" t="str">
        <v/>
      </c>
      <c r="BG474" s="268" t="str">
        <v/>
      </c>
      <c r="BH474" s="269" t="str">
        <v/>
      </c>
      <c r="BI474" s="288"/>
      <c r="BJ474" s="92" t="str">
        <v/>
      </c>
      <c r="BK474" s="268" t="str">
        <v/>
      </c>
      <c r="BL474" s="268" t="str">
        <v/>
      </c>
      <c r="BM474" s="269" t="str">
        <v/>
      </c>
      <c r="BO474" s="92" t="str">
        <v/>
      </c>
      <c r="BP474" s="268" t="str">
        <v/>
      </c>
      <c r="BQ474" s="268" t="str">
        <v/>
      </c>
      <c r="BR474" s="269" t="str">
        <v/>
      </c>
      <c r="BT474" s="92" t="str">
        <v/>
      </c>
      <c r="BU474" s="268" t="str">
        <v/>
      </c>
      <c r="BV474" s="268" t="str">
        <v/>
      </c>
      <c r="BW474" s="269" t="str">
        <v/>
      </c>
      <c r="BX474" s="288"/>
      <c r="CM474" s="96"/>
    </row>
    <row r="475" spans="1:91">
      <c r="A475" s="285"/>
      <c r="B475" s="92">
        <v>45</v>
      </c>
      <c r="C475" s="268">
        <v>96.5</v>
      </c>
      <c r="D475" s="268">
        <v>741</v>
      </c>
      <c r="E475" s="269">
        <v>18</v>
      </c>
      <c r="G475" s="92">
        <v>45</v>
      </c>
      <c r="H475" s="268">
        <v>96.5</v>
      </c>
      <c r="I475" s="268">
        <v>501</v>
      </c>
      <c r="J475" s="269">
        <v>18</v>
      </c>
      <c r="L475" s="92">
        <v>45</v>
      </c>
      <c r="M475" s="268">
        <v>10.5</v>
      </c>
      <c r="N475" s="268">
        <v>517</v>
      </c>
      <c r="O475" s="269">
        <v>18</v>
      </c>
      <c r="Q475" s="92">
        <v>45</v>
      </c>
      <c r="R475" s="268">
        <v>10.5</v>
      </c>
      <c r="S475" s="268">
        <v>517</v>
      </c>
      <c r="T475" s="269">
        <v>18</v>
      </c>
      <c r="V475" s="92">
        <v>90</v>
      </c>
      <c r="W475" s="268">
        <v>10.5</v>
      </c>
      <c r="X475" s="268">
        <v>530</v>
      </c>
      <c r="Y475" s="269">
        <v>20</v>
      </c>
      <c r="AA475" s="92" t="str">
        <v/>
      </c>
      <c r="AB475" s="268" t="str">
        <v/>
      </c>
      <c r="AC475" s="268" t="str">
        <v/>
      </c>
      <c r="AD475" s="269" t="str">
        <v/>
      </c>
      <c r="AF475" s="92" t="str">
        <v/>
      </c>
      <c r="AG475" s="268" t="str">
        <v/>
      </c>
      <c r="AH475" s="268" t="str">
        <v/>
      </c>
      <c r="AI475" s="269" t="str">
        <v/>
      </c>
      <c r="AK475" s="92" t="str">
        <v/>
      </c>
      <c r="AL475" s="268" t="str">
        <v/>
      </c>
      <c r="AM475" s="268" t="str">
        <v/>
      </c>
      <c r="AN475" s="269" t="str">
        <v/>
      </c>
      <c r="AP475" s="92">
        <v>45</v>
      </c>
      <c r="AQ475" s="268">
        <v>10.5</v>
      </c>
      <c r="AR475" s="268">
        <v>553</v>
      </c>
      <c r="AS475" s="269">
        <v>18</v>
      </c>
      <c r="AT475" s="288"/>
      <c r="AU475" s="92" t="str">
        <v/>
      </c>
      <c r="AV475" s="268" t="str">
        <v/>
      </c>
      <c r="AW475" s="268" t="str">
        <v/>
      </c>
      <c r="AX475" s="269" t="str">
        <v/>
      </c>
      <c r="AZ475" s="92" t="str">
        <v/>
      </c>
      <c r="BA475" s="268" t="str">
        <v/>
      </c>
      <c r="BB475" s="268" t="str">
        <v/>
      </c>
      <c r="BC475" s="269" t="str">
        <v/>
      </c>
      <c r="BE475" s="92" t="str">
        <v/>
      </c>
      <c r="BF475" s="268" t="str">
        <v/>
      </c>
      <c r="BG475" s="268" t="str">
        <v/>
      </c>
      <c r="BH475" s="269" t="str">
        <v/>
      </c>
      <c r="BI475" s="288"/>
      <c r="BJ475" s="92" t="str">
        <v/>
      </c>
      <c r="BK475" s="268" t="str">
        <v/>
      </c>
      <c r="BL475" s="268" t="str">
        <v/>
      </c>
      <c r="BM475" s="269" t="str">
        <v/>
      </c>
      <c r="BO475" s="92" t="str">
        <v/>
      </c>
      <c r="BP475" s="268" t="str">
        <v/>
      </c>
      <c r="BQ475" s="268" t="str">
        <v/>
      </c>
      <c r="BR475" s="269" t="str">
        <v/>
      </c>
      <c r="BT475" s="92" t="str">
        <v/>
      </c>
      <c r="BU475" s="268" t="str">
        <v/>
      </c>
      <c r="BV475" s="268" t="str">
        <v/>
      </c>
      <c r="BW475" s="269" t="str">
        <v/>
      </c>
      <c r="BX475" s="288"/>
      <c r="CM475" s="96"/>
    </row>
    <row r="476" spans="1:91">
      <c r="A476" s="285"/>
      <c r="B476" s="92">
        <v>45</v>
      </c>
      <c r="C476" s="268">
        <v>53.5</v>
      </c>
      <c r="D476" s="268">
        <v>741</v>
      </c>
      <c r="E476" s="269">
        <v>18</v>
      </c>
      <c r="G476" s="92">
        <v>45</v>
      </c>
      <c r="H476" s="268">
        <v>53.5</v>
      </c>
      <c r="I476" s="268">
        <v>501</v>
      </c>
      <c r="J476" s="269">
        <v>18</v>
      </c>
      <c r="L476" s="92">
        <v>45</v>
      </c>
      <c r="M476" s="268">
        <v>96.5</v>
      </c>
      <c r="N476" s="268">
        <v>546</v>
      </c>
      <c r="O476" s="269">
        <v>18</v>
      </c>
      <c r="Q476" s="92">
        <v>45</v>
      </c>
      <c r="R476" s="268">
        <v>96.5</v>
      </c>
      <c r="S476" s="268">
        <v>546</v>
      </c>
      <c r="T476" s="269">
        <v>18</v>
      </c>
      <c r="V476" s="92">
        <v>90</v>
      </c>
      <c r="W476" s="268">
        <v>75</v>
      </c>
      <c r="X476" s="268">
        <v>535</v>
      </c>
      <c r="Y476" s="269">
        <v>14</v>
      </c>
      <c r="AA476" s="92" t="str">
        <v/>
      </c>
      <c r="AB476" s="268" t="str">
        <v/>
      </c>
      <c r="AC476" s="268" t="str">
        <v/>
      </c>
      <c r="AD476" s="269" t="str">
        <v/>
      </c>
      <c r="AF476" s="92" t="str">
        <v/>
      </c>
      <c r="AG476" s="268" t="str">
        <v/>
      </c>
      <c r="AH476" s="268" t="str">
        <v/>
      </c>
      <c r="AI476" s="269" t="str">
        <v/>
      </c>
      <c r="AK476" s="92" t="str">
        <v/>
      </c>
      <c r="AL476" s="268" t="str">
        <v/>
      </c>
      <c r="AM476" s="268" t="str">
        <v/>
      </c>
      <c r="AN476" s="269" t="str">
        <v/>
      </c>
      <c r="AP476" s="92">
        <v>45</v>
      </c>
      <c r="AQ476" s="268">
        <v>96.5</v>
      </c>
      <c r="AR476" s="268">
        <v>582</v>
      </c>
      <c r="AS476" s="269">
        <v>18</v>
      </c>
      <c r="AT476" s="288"/>
      <c r="AU476" s="92" t="str">
        <v/>
      </c>
      <c r="AV476" s="268" t="str">
        <v/>
      </c>
      <c r="AW476" s="268" t="str">
        <v/>
      </c>
      <c r="AX476" s="269" t="str">
        <v/>
      </c>
      <c r="AZ476" s="92" t="str">
        <v/>
      </c>
      <c r="BA476" s="268" t="str">
        <v/>
      </c>
      <c r="BB476" s="268" t="str">
        <v/>
      </c>
      <c r="BC476" s="269" t="str">
        <v/>
      </c>
      <c r="BE476" s="92" t="str">
        <v/>
      </c>
      <c r="BF476" s="268" t="str">
        <v/>
      </c>
      <c r="BG476" s="268" t="str">
        <v/>
      </c>
      <c r="BH476" s="269" t="str">
        <v/>
      </c>
      <c r="BI476" s="288"/>
      <c r="BJ476" s="92" t="str">
        <v/>
      </c>
      <c r="BK476" s="268" t="str">
        <v/>
      </c>
      <c r="BL476" s="268" t="str">
        <v/>
      </c>
      <c r="BM476" s="269" t="str">
        <v/>
      </c>
      <c r="BO476" s="92" t="str">
        <v/>
      </c>
      <c r="BP476" s="268" t="str">
        <v/>
      </c>
      <c r="BQ476" s="268" t="str">
        <v/>
      </c>
      <c r="BR476" s="269" t="str">
        <v/>
      </c>
      <c r="BT476" s="92" t="str">
        <v/>
      </c>
      <c r="BU476" s="268" t="str">
        <v/>
      </c>
      <c r="BV476" s="268" t="str">
        <v/>
      </c>
      <c r="BW476" s="269" t="str">
        <v/>
      </c>
      <c r="BX476" s="288"/>
      <c r="CM476" s="96"/>
    </row>
    <row r="477" spans="1:91">
      <c r="A477" s="285"/>
      <c r="B477" s="92">
        <v>45</v>
      </c>
      <c r="C477" s="268">
        <v>139.5</v>
      </c>
      <c r="D477" s="268">
        <v>769</v>
      </c>
      <c r="E477" s="269">
        <v>18</v>
      </c>
      <c r="G477" s="92">
        <v>45</v>
      </c>
      <c r="H477" s="268">
        <v>139.5</v>
      </c>
      <c r="I477" s="268">
        <v>529</v>
      </c>
      <c r="J477" s="269">
        <v>18</v>
      </c>
      <c r="L477" s="92">
        <v>45</v>
      </c>
      <c r="M477" s="268">
        <v>53.5</v>
      </c>
      <c r="N477" s="268">
        <v>546</v>
      </c>
      <c r="O477" s="269">
        <v>18</v>
      </c>
      <c r="Q477" s="92">
        <v>45</v>
      </c>
      <c r="R477" s="268">
        <v>53.5</v>
      </c>
      <c r="S477" s="268">
        <v>546</v>
      </c>
      <c r="T477" s="269">
        <v>18</v>
      </c>
      <c r="V477" s="92">
        <v>90</v>
      </c>
      <c r="W477" s="268">
        <v>118</v>
      </c>
      <c r="X477" s="268">
        <v>545</v>
      </c>
      <c r="Y477" s="269">
        <v>14</v>
      </c>
      <c r="AA477" s="92" t="str">
        <v/>
      </c>
      <c r="AB477" s="268" t="str">
        <v/>
      </c>
      <c r="AC477" s="268" t="str">
        <v/>
      </c>
      <c r="AD477" s="269" t="str">
        <v/>
      </c>
      <c r="AF477" s="92" t="str">
        <v/>
      </c>
      <c r="AG477" s="268" t="str">
        <v/>
      </c>
      <c r="AH477" s="268" t="str">
        <v/>
      </c>
      <c r="AI477" s="269" t="str">
        <v/>
      </c>
      <c r="AK477" s="92" t="str">
        <v/>
      </c>
      <c r="AL477" s="268" t="str">
        <v/>
      </c>
      <c r="AM477" s="268" t="str">
        <v/>
      </c>
      <c r="AN477" s="269" t="str">
        <v/>
      </c>
      <c r="AP477" s="92">
        <v>45</v>
      </c>
      <c r="AQ477" s="268">
        <v>53.5</v>
      </c>
      <c r="AR477" s="268">
        <v>582</v>
      </c>
      <c r="AS477" s="269">
        <v>18</v>
      </c>
      <c r="AT477" s="288"/>
      <c r="AU477" s="92" t="str">
        <v/>
      </c>
      <c r="AV477" s="268" t="str">
        <v/>
      </c>
      <c r="AW477" s="268" t="str">
        <v/>
      </c>
      <c r="AX477" s="269" t="str">
        <v/>
      </c>
      <c r="AZ477" s="92" t="str">
        <v/>
      </c>
      <c r="BA477" s="268" t="str">
        <v/>
      </c>
      <c r="BB477" s="268" t="str">
        <v/>
      </c>
      <c r="BC477" s="269" t="str">
        <v/>
      </c>
      <c r="BE477" s="92" t="str">
        <v/>
      </c>
      <c r="BF477" s="268" t="str">
        <v/>
      </c>
      <c r="BG477" s="268" t="str">
        <v/>
      </c>
      <c r="BH477" s="269" t="str">
        <v/>
      </c>
      <c r="BI477" s="288"/>
      <c r="BJ477" s="92" t="str">
        <v/>
      </c>
      <c r="BK477" s="268" t="str">
        <v/>
      </c>
      <c r="BL477" s="268" t="str">
        <v/>
      </c>
      <c r="BM477" s="269" t="str">
        <v/>
      </c>
      <c r="BO477" s="92" t="str">
        <v/>
      </c>
      <c r="BP477" s="268" t="str">
        <v/>
      </c>
      <c r="BQ477" s="268" t="str">
        <v/>
      </c>
      <c r="BR477" s="269" t="str">
        <v/>
      </c>
      <c r="BT477" s="92" t="str">
        <v/>
      </c>
      <c r="BU477" s="268" t="str">
        <v/>
      </c>
      <c r="BV477" s="268" t="str">
        <v/>
      </c>
      <c r="BW477" s="269" t="str">
        <v/>
      </c>
      <c r="BX477" s="288"/>
      <c r="CM477" s="96"/>
    </row>
    <row r="478" spans="1:91">
      <c r="A478" s="285"/>
      <c r="B478" s="92">
        <v>45</v>
      </c>
      <c r="C478" s="268">
        <v>10.5</v>
      </c>
      <c r="D478" s="268">
        <v>769</v>
      </c>
      <c r="E478" s="269">
        <v>18</v>
      </c>
      <c r="G478" s="92">
        <v>45</v>
      </c>
      <c r="H478" s="268">
        <v>10.5</v>
      </c>
      <c r="I478" s="268">
        <v>529</v>
      </c>
      <c r="J478" s="269">
        <v>18</v>
      </c>
      <c r="L478" s="92">
        <v>45</v>
      </c>
      <c r="M478" s="268">
        <v>139.5</v>
      </c>
      <c r="N478" s="268">
        <v>574</v>
      </c>
      <c r="O478" s="269">
        <v>18</v>
      </c>
      <c r="Q478" s="92">
        <v>45</v>
      </c>
      <c r="R478" s="268">
        <v>139.5</v>
      </c>
      <c r="S478" s="268">
        <v>574</v>
      </c>
      <c r="T478" s="269">
        <v>18</v>
      </c>
      <c r="V478" s="92">
        <v>90</v>
      </c>
      <c r="W478" s="268">
        <v>32</v>
      </c>
      <c r="X478" s="268">
        <v>545</v>
      </c>
      <c r="Y478" s="269">
        <v>14</v>
      </c>
      <c r="AA478" s="92" t="str">
        <v/>
      </c>
      <c r="AB478" s="268" t="str">
        <v/>
      </c>
      <c r="AC478" s="268" t="str">
        <v/>
      </c>
      <c r="AD478" s="269" t="str">
        <v/>
      </c>
      <c r="AF478" s="92" t="str">
        <v/>
      </c>
      <c r="AG478" s="268" t="str">
        <v/>
      </c>
      <c r="AH478" s="268" t="str">
        <v/>
      </c>
      <c r="AI478" s="269" t="str">
        <v/>
      </c>
      <c r="AK478" s="92" t="str">
        <v/>
      </c>
      <c r="AL478" s="268" t="str">
        <v/>
      </c>
      <c r="AM478" s="268" t="str">
        <v/>
      </c>
      <c r="AN478" s="269" t="str">
        <v/>
      </c>
      <c r="AP478" s="92">
        <v>45</v>
      </c>
      <c r="AQ478" s="268">
        <v>139.5</v>
      </c>
      <c r="AR478" s="268">
        <v>610</v>
      </c>
      <c r="AS478" s="269">
        <v>18</v>
      </c>
      <c r="AT478" s="288"/>
      <c r="AU478" s="92" t="str">
        <v/>
      </c>
      <c r="AV478" s="268" t="str">
        <v/>
      </c>
      <c r="AW478" s="268" t="str">
        <v/>
      </c>
      <c r="AX478" s="269" t="str">
        <v/>
      </c>
      <c r="AZ478" s="92" t="str">
        <v/>
      </c>
      <c r="BA478" s="268" t="str">
        <v/>
      </c>
      <c r="BB478" s="268" t="str">
        <v/>
      </c>
      <c r="BC478" s="269" t="str">
        <v/>
      </c>
      <c r="BE478" s="92" t="str">
        <v/>
      </c>
      <c r="BF478" s="268" t="str">
        <v/>
      </c>
      <c r="BG478" s="268" t="str">
        <v/>
      </c>
      <c r="BH478" s="269" t="str">
        <v/>
      </c>
      <c r="BI478" s="288"/>
      <c r="BJ478" s="92" t="str">
        <v/>
      </c>
      <c r="BK478" s="268" t="str">
        <v/>
      </c>
      <c r="BL478" s="268" t="str">
        <v/>
      </c>
      <c r="BM478" s="269" t="str">
        <v/>
      </c>
      <c r="BO478" s="92" t="str">
        <v/>
      </c>
      <c r="BP478" s="268" t="str">
        <v/>
      </c>
      <c r="BQ478" s="268" t="str">
        <v/>
      </c>
      <c r="BR478" s="269" t="str">
        <v/>
      </c>
      <c r="BT478" s="92" t="str">
        <v/>
      </c>
      <c r="BU478" s="268" t="str">
        <v/>
      </c>
      <c r="BV478" s="268" t="str">
        <v/>
      </c>
      <c r="BW478" s="269" t="str">
        <v/>
      </c>
      <c r="BX478" s="288"/>
      <c r="CM478" s="96"/>
    </row>
    <row r="479" spans="1:91">
      <c r="A479" s="285"/>
      <c r="B479" s="92">
        <v>45</v>
      </c>
      <c r="C479" s="268">
        <v>96.5</v>
      </c>
      <c r="D479" s="268">
        <v>798</v>
      </c>
      <c r="E479" s="269">
        <v>18</v>
      </c>
      <c r="G479" s="92">
        <v>45</v>
      </c>
      <c r="H479" s="268">
        <v>96.5</v>
      </c>
      <c r="I479" s="268">
        <v>558</v>
      </c>
      <c r="J479" s="269">
        <v>18</v>
      </c>
      <c r="L479" s="92">
        <v>45</v>
      </c>
      <c r="M479" s="268">
        <v>10.5</v>
      </c>
      <c r="N479" s="268">
        <v>574</v>
      </c>
      <c r="O479" s="269">
        <v>18</v>
      </c>
      <c r="Q479" s="92">
        <v>45</v>
      </c>
      <c r="R479" s="268">
        <v>10.5</v>
      </c>
      <c r="S479" s="268">
        <v>574</v>
      </c>
      <c r="T479" s="269">
        <v>18</v>
      </c>
      <c r="V479" s="92" t="str">
        <v/>
      </c>
      <c r="W479" s="268" t="str">
        <v/>
      </c>
      <c r="X479" s="268" t="str">
        <v/>
      </c>
      <c r="Y479" s="269" t="str">
        <v/>
      </c>
      <c r="AA479" s="92" t="str">
        <v/>
      </c>
      <c r="AB479" s="268" t="str">
        <v/>
      </c>
      <c r="AC479" s="268" t="str">
        <v/>
      </c>
      <c r="AD479" s="269" t="str">
        <v/>
      </c>
      <c r="AF479" s="92" t="str">
        <v/>
      </c>
      <c r="AG479" s="268" t="str">
        <v/>
      </c>
      <c r="AH479" s="268" t="str">
        <v/>
      </c>
      <c r="AI479" s="269" t="str">
        <v/>
      </c>
      <c r="AK479" s="92" t="str">
        <v/>
      </c>
      <c r="AL479" s="268" t="str">
        <v/>
      </c>
      <c r="AM479" s="268" t="str">
        <v/>
      </c>
      <c r="AN479" s="269" t="str">
        <v/>
      </c>
      <c r="AP479" s="92">
        <v>45</v>
      </c>
      <c r="AQ479" s="268">
        <v>10.5</v>
      </c>
      <c r="AR479" s="268">
        <v>610</v>
      </c>
      <c r="AS479" s="269">
        <v>18</v>
      </c>
      <c r="AT479" s="288"/>
      <c r="AU479" s="92" t="str">
        <v/>
      </c>
      <c r="AV479" s="268" t="str">
        <v/>
      </c>
      <c r="AW479" s="268" t="str">
        <v/>
      </c>
      <c r="AX479" s="269" t="str">
        <v/>
      </c>
      <c r="AZ479" s="92" t="str">
        <v/>
      </c>
      <c r="BA479" s="268" t="str">
        <v/>
      </c>
      <c r="BB479" s="268" t="str">
        <v/>
      </c>
      <c r="BC479" s="269" t="str">
        <v/>
      </c>
      <c r="BE479" s="92" t="str">
        <v/>
      </c>
      <c r="BF479" s="268" t="str">
        <v/>
      </c>
      <c r="BG479" s="268" t="str">
        <v/>
      </c>
      <c r="BH479" s="269" t="str">
        <v/>
      </c>
      <c r="BI479" s="288"/>
      <c r="BJ479" s="92" t="str">
        <v/>
      </c>
      <c r="BK479" s="268" t="str">
        <v/>
      </c>
      <c r="BL479" s="268" t="str">
        <v/>
      </c>
      <c r="BM479" s="269" t="str">
        <v/>
      </c>
      <c r="BO479" s="92" t="str">
        <v/>
      </c>
      <c r="BP479" s="268" t="str">
        <v/>
      </c>
      <c r="BQ479" s="268" t="str">
        <v/>
      </c>
      <c r="BR479" s="269" t="str">
        <v/>
      </c>
      <c r="BT479" s="92" t="str">
        <v/>
      </c>
      <c r="BU479" s="268" t="str">
        <v/>
      </c>
      <c r="BV479" s="268" t="str">
        <v/>
      </c>
      <c r="BW479" s="269" t="str">
        <v/>
      </c>
      <c r="BX479" s="288"/>
      <c r="CM479" s="96"/>
    </row>
    <row r="480" spans="1:91">
      <c r="A480" s="285"/>
      <c r="B480" s="92">
        <v>45</v>
      </c>
      <c r="C480" s="268">
        <v>53.5</v>
      </c>
      <c r="D480" s="268">
        <v>798</v>
      </c>
      <c r="E480" s="269">
        <v>18</v>
      </c>
      <c r="G480" s="92">
        <v>45</v>
      </c>
      <c r="H480" s="268">
        <v>53.5</v>
      </c>
      <c r="I480" s="268">
        <v>558</v>
      </c>
      <c r="J480" s="269">
        <v>18</v>
      </c>
      <c r="L480" s="92">
        <v>45</v>
      </c>
      <c r="M480" s="268">
        <v>96.5</v>
      </c>
      <c r="N480" s="268">
        <v>603</v>
      </c>
      <c r="O480" s="269">
        <v>18</v>
      </c>
      <c r="Q480" s="92">
        <v>45</v>
      </c>
      <c r="R480" s="268">
        <v>96.5</v>
      </c>
      <c r="S480" s="268">
        <v>603</v>
      </c>
      <c r="T480" s="269">
        <v>18</v>
      </c>
      <c r="V480" s="92" t="str">
        <v/>
      </c>
      <c r="W480" s="268" t="str">
        <v/>
      </c>
      <c r="X480" s="268" t="str">
        <v/>
      </c>
      <c r="Y480" s="269" t="str">
        <v/>
      </c>
      <c r="AA480" s="92" t="str">
        <v/>
      </c>
      <c r="AB480" s="268" t="str">
        <v/>
      </c>
      <c r="AC480" s="268" t="str">
        <v/>
      </c>
      <c r="AD480" s="269" t="str">
        <v/>
      </c>
      <c r="AF480" s="92" t="str">
        <v/>
      </c>
      <c r="AG480" s="268" t="str">
        <v/>
      </c>
      <c r="AH480" s="268" t="str">
        <v/>
      </c>
      <c r="AI480" s="269" t="str">
        <v/>
      </c>
      <c r="AK480" s="92" t="str">
        <v/>
      </c>
      <c r="AL480" s="268" t="str">
        <v/>
      </c>
      <c r="AM480" s="268" t="str">
        <v/>
      </c>
      <c r="AN480" s="269" t="str">
        <v/>
      </c>
      <c r="AP480" s="92">
        <v>45</v>
      </c>
      <c r="AQ480" s="268">
        <v>96.5</v>
      </c>
      <c r="AR480" s="268">
        <v>639</v>
      </c>
      <c r="AS480" s="269">
        <v>18</v>
      </c>
      <c r="AT480" s="288"/>
      <c r="AU480" s="92" t="str">
        <v/>
      </c>
      <c r="AV480" s="268" t="str">
        <v/>
      </c>
      <c r="AW480" s="268" t="str">
        <v/>
      </c>
      <c r="AX480" s="269" t="str">
        <v/>
      </c>
      <c r="AZ480" s="92" t="str">
        <v/>
      </c>
      <c r="BA480" s="268" t="str">
        <v/>
      </c>
      <c r="BB480" s="268" t="str">
        <v/>
      </c>
      <c r="BC480" s="269" t="str">
        <v/>
      </c>
      <c r="BE480" s="92" t="str">
        <v/>
      </c>
      <c r="BF480" s="268" t="str">
        <v/>
      </c>
      <c r="BG480" s="268" t="str">
        <v/>
      </c>
      <c r="BH480" s="269" t="str">
        <v/>
      </c>
      <c r="BI480" s="288"/>
      <c r="BJ480" s="92" t="str">
        <v/>
      </c>
      <c r="BK480" s="268" t="str">
        <v/>
      </c>
      <c r="BL480" s="268" t="str">
        <v/>
      </c>
      <c r="BM480" s="269" t="str">
        <v/>
      </c>
      <c r="BO480" s="92" t="str">
        <v/>
      </c>
      <c r="BP480" s="268" t="str">
        <v/>
      </c>
      <c r="BQ480" s="268" t="str">
        <v/>
      </c>
      <c r="BR480" s="269" t="str">
        <v/>
      </c>
      <c r="BT480" s="92" t="str">
        <v/>
      </c>
      <c r="BU480" s="268" t="str">
        <v/>
      </c>
      <c r="BV480" s="268" t="str">
        <v/>
      </c>
      <c r="BW480" s="269" t="str">
        <v/>
      </c>
      <c r="BX480" s="288"/>
      <c r="CM480" s="96"/>
    </row>
    <row r="481" spans="1:91">
      <c r="A481" s="285"/>
      <c r="B481" s="92">
        <v>45</v>
      </c>
      <c r="C481" s="268">
        <v>139.5</v>
      </c>
      <c r="D481" s="268">
        <v>826</v>
      </c>
      <c r="E481" s="269">
        <v>18</v>
      </c>
      <c r="G481" s="92">
        <v>45</v>
      </c>
      <c r="H481" s="268">
        <v>139.5</v>
      </c>
      <c r="I481" s="268">
        <v>586</v>
      </c>
      <c r="J481" s="269">
        <v>18</v>
      </c>
      <c r="L481" s="92">
        <v>45</v>
      </c>
      <c r="M481" s="268">
        <v>53.5</v>
      </c>
      <c r="N481" s="268">
        <v>603</v>
      </c>
      <c r="O481" s="269">
        <v>18</v>
      </c>
      <c r="Q481" s="92">
        <v>45</v>
      </c>
      <c r="R481" s="268">
        <v>53.5</v>
      </c>
      <c r="S481" s="268">
        <v>603</v>
      </c>
      <c r="T481" s="269">
        <v>18</v>
      </c>
      <c r="V481" s="92" t="str">
        <v/>
      </c>
      <c r="W481" s="268" t="str">
        <v/>
      </c>
      <c r="X481" s="268" t="str">
        <v/>
      </c>
      <c r="Y481" s="269" t="str">
        <v/>
      </c>
      <c r="AA481" s="92" t="str">
        <v/>
      </c>
      <c r="AB481" s="268" t="str">
        <v/>
      </c>
      <c r="AC481" s="268" t="str">
        <v/>
      </c>
      <c r="AD481" s="269" t="str">
        <v/>
      </c>
      <c r="AF481" s="92" t="str">
        <v/>
      </c>
      <c r="AG481" s="268" t="str">
        <v/>
      </c>
      <c r="AH481" s="268" t="str">
        <v/>
      </c>
      <c r="AI481" s="269" t="str">
        <v/>
      </c>
      <c r="AK481" s="92" t="str">
        <v/>
      </c>
      <c r="AL481" s="268" t="str">
        <v/>
      </c>
      <c r="AM481" s="268" t="str">
        <v/>
      </c>
      <c r="AN481" s="269" t="str">
        <v/>
      </c>
      <c r="AP481" s="92">
        <v>45</v>
      </c>
      <c r="AQ481" s="268">
        <v>53.5</v>
      </c>
      <c r="AR481" s="268">
        <v>639</v>
      </c>
      <c r="AS481" s="269">
        <v>18</v>
      </c>
      <c r="AT481" s="288"/>
      <c r="AU481" s="92" t="str">
        <v/>
      </c>
      <c r="AV481" s="268" t="str">
        <v/>
      </c>
      <c r="AW481" s="268" t="str">
        <v/>
      </c>
      <c r="AX481" s="269" t="str">
        <v/>
      </c>
      <c r="AZ481" s="92" t="str">
        <v/>
      </c>
      <c r="BA481" s="268" t="str">
        <v/>
      </c>
      <c r="BB481" s="268" t="str">
        <v/>
      </c>
      <c r="BC481" s="269" t="str">
        <v/>
      </c>
      <c r="BE481" s="92" t="str">
        <v/>
      </c>
      <c r="BF481" s="268" t="str">
        <v/>
      </c>
      <c r="BG481" s="268" t="str">
        <v/>
      </c>
      <c r="BH481" s="269" t="str">
        <v/>
      </c>
      <c r="BI481" s="288"/>
      <c r="BJ481" s="92" t="str">
        <v/>
      </c>
      <c r="BK481" s="268" t="str">
        <v/>
      </c>
      <c r="BL481" s="268" t="str">
        <v/>
      </c>
      <c r="BM481" s="269" t="str">
        <v/>
      </c>
      <c r="BO481" s="92" t="str">
        <v/>
      </c>
      <c r="BP481" s="268" t="str">
        <v/>
      </c>
      <c r="BQ481" s="268" t="str">
        <v/>
      </c>
      <c r="BR481" s="269" t="str">
        <v/>
      </c>
      <c r="BT481" s="92" t="str">
        <v/>
      </c>
      <c r="BU481" s="268" t="str">
        <v/>
      </c>
      <c r="BV481" s="268" t="str">
        <v/>
      </c>
      <c r="BW481" s="269" t="str">
        <v/>
      </c>
      <c r="BX481" s="288"/>
      <c r="CM481" s="96"/>
    </row>
    <row r="482" spans="1:91">
      <c r="A482" s="285"/>
      <c r="B482" s="92">
        <v>45</v>
      </c>
      <c r="C482" s="268">
        <v>10.5</v>
      </c>
      <c r="D482" s="268">
        <v>826</v>
      </c>
      <c r="E482" s="269">
        <v>18</v>
      </c>
      <c r="G482" s="92">
        <v>45</v>
      </c>
      <c r="H482" s="268">
        <v>10.5</v>
      </c>
      <c r="I482" s="268">
        <v>586</v>
      </c>
      <c r="J482" s="269">
        <v>18</v>
      </c>
      <c r="L482" s="92">
        <v>45</v>
      </c>
      <c r="M482" s="268">
        <v>139.5</v>
      </c>
      <c r="N482" s="268">
        <v>631</v>
      </c>
      <c r="O482" s="269">
        <v>18</v>
      </c>
      <c r="Q482" s="92">
        <v>90</v>
      </c>
      <c r="R482" s="268">
        <v>139.5</v>
      </c>
      <c r="S482" s="268">
        <v>650</v>
      </c>
      <c r="T482" s="269">
        <v>20</v>
      </c>
      <c r="V482" s="92" t="str">
        <v/>
      </c>
      <c r="W482" s="268" t="str">
        <v/>
      </c>
      <c r="X482" s="268" t="str">
        <v/>
      </c>
      <c r="Y482" s="269" t="str">
        <v/>
      </c>
      <c r="AA482" s="92" t="str">
        <v/>
      </c>
      <c r="AB482" s="268" t="str">
        <v/>
      </c>
      <c r="AC482" s="268" t="str">
        <v/>
      </c>
      <c r="AD482" s="269" t="str">
        <v/>
      </c>
      <c r="AF482" s="92" t="str">
        <v/>
      </c>
      <c r="AG482" s="268" t="str">
        <v/>
      </c>
      <c r="AH482" s="268" t="str">
        <v/>
      </c>
      <c r="AI482" s="269" t="str">
        <v/>
      </c>
      <c r="AK482" s="92" t="str">
        <v/>
      </c>
      <c r="AL482" s="268" t="str">
        <v/>
      </c>
      <c r="AM482" s="268" t="str">
        <v/>
      </c>
      <c r="AN482" s="269" t="str">
        <v/>
      </c>
      <c r="AP482" s="92">
        <v>45</v>
      </c>
      <c r="AQ482" s="268">
        <v>139.5</v>
      </c>
      <c r="AR482" s="268">
        <v>667</v>
      </c>
      <c r="AS482" s="269">
        <v>18</v>
      </c>
      <c r="AT482" s="288"/>
      <c r="AU482" s="92" t="str">
        <v/>
      </c>
      <c r="AV482" s="268" t="str">
        <v/>
      </c>
      <c r="AW482" s="268" t="str">
        <v/>
      </c>
      <c r="AX482" s="269" t="str">
        <v/>
      </c>
      <c r="AZ482" s="92" t="str">
        <v/>
      </c>
      <c r="BA482" s="268" t="str">
        <v/>
      </c>
      <c r="BB482" s="268" t="str">
        <v/>
      </c>
      <c r="BC482" s="269" t="str">
        <v/>
      </c>
      <c r="BE482" s="92" t="str">
        <v/>
      </c>
      <c r="BF482" s="268" t="str">
        <v/>
      </c>
      <c r="BG482" s="268" t="str">
        <v/>
      </c>
      <c r="BH482" s="269" t="str">
        <v/>
      </c>
      <c r="BI482" s="288"/>
      <c r="BJ482" s="92" t="str">
        <v/>
      </c>
      <c r="BK482" s="268" t="str">
        <v/>
      </c>
      <c r="BL482" s="268" t="str">
        <v/>
      </c>
      <c r="BM482" s="269" t="str">
        <v/>
      </c>
      <c r="BO482" s="92" t="str">
        <v/>
      </c>
      <c r="BP482" s="268" t="str">
        <v/>
      </c>
      <c r="BQ482" s="268" t="str">
        <v/>
      </c>
      <c r="BR482" s="269" t="str">
        <v/>
      </c>
      <c r="BT482" s="92" t="str">
        <v/>
      </c>
      <c r="BU482" s="268" t="str">
        <v/>
      </c>
      <c r="BV482" s="268" t="str">
        <v/>
      </c>
      <c r="BW482" s="269" t="str">
        <v/>
      </c>
      <c r="BX482" s="288"/>
      <c r="CM482" s="96"/>
    </row>
    <row r="483" spans="1:91">
      <c r="A483" s="285"/>
      <c r="B483" s="92">
        <v>45</v>
      </c>
      <c r="C483" s="268">
        <v>96.5</v>
      </c>
      <c r="D483" s="268">
        <v>855</v>
      </c>
      <c r="E483" s="269">
        <v>18</v>
      </c>
      <c r="G483" s="92">
        <v>45</v>
      </c>
      <c r="H483" s="268">
        <v>96.5</v>
      </c>
      <c r="I483" s="268">
        <v>615</v>
      </c>
      <c r="J483" s="269">
        <v>18</v>
      </c>
      <c r="L483" s="92">
        <v>45</v>
      </c>
      <c r="M483" s="268">
        <v>10.5</v>
      </c>
      <c r="N483" s="268">
        <v>631</v>
      </c>
      <c r="O483" s="269">
        <v>18</v>
      </c>
      <c r="Q483" s="92">
        <v>90</v>
      </c>
      <c r="R483" s="268">
        <v>10.5</v>
      </c>
      <c r="S483" s="268">
        <v>650</v>
      </c>
      <c r="T483" s="269">
        <v>20</v>
      </c>
      <c r="V483" s="92" t="str">
        <v/>
      </c>
      <c r="W483" s="268" t="str">
        <v/>
      </c>
      <c r="X483" s="268" t="str">
        <v/>
      </c>
      <c r="Y483" s="269" t="str">
        <v/>
      </c>
      <c r="AA483" s="92" t="str">
        <v/>
      </c>
      <c r="AB483" s="268" t="str">
        <v/>
      </c>
      <c r="AC483" s="268" t="str">
        <v/>
      </c>
      <c r="AD483" s="269" t="str">
        <v/>
      </c>
      <c r="AF483" s="92" t="str">
        <v/>
      </c>
      <c r="AG483" s="268" t="str">
        <v/>
      </c>
      <c r="AH483" s="268" t="str">
        <v/>
      </c>
      <c r="AI483" s="269" t="str">
        <v/>
      </c>
      <c r="AK483" s="92" t="str">
        <v/>
      </c>
      <c r="AL483" s="268" t="str">
        <v/>
      </c>
      <c r="AM483" s="268" t="str">
        <v/>
      </c>
      <c r="AN483" s="269" t="str">
        <v/>
      </c>
      <c r="AP483" s="92">
        <v>45</v>
      </c>
      <c r="AQ483" s="268">
        <v>10.5</v>
      </c>
      <c r="AR483" s="268">
        <v>667</v>
      </c>
      <c r="AS483" s="269">
        <v>18</v>
      </c>
      <c r="AT483" s="288"/>
      <c r="AU483" s="92" t="str">
        <v/>
      </c>
      <c r="AV483" s="268" t="str">
        <v/>
      </c>
      <c r="AW483" s="268" t="str">
        <v/>
      </c>
      <c r="AX483" s="269" t="str">
        <v/>
      </c>
      <c r="AZ483" s="92" t="str">
        <v/>
      </c>
      <c r="BA483" s="268" t="str">
        <v/>
      </c>
      <c r="BB483" s="268" t="str">
        <v/>
      </c>
      <c r="BC483" s="269" t="str">
        <v/>
      </c>
      <c r="BE483" s="92" t="str">
        <v/>
      </c>
      <c r="BF483" s="268" t="str">
        <v/>
      </c>
      <c r="BG483" s="268" t="str">
        <v/>
      </c>
      <c r="BH483" s="269" t="str">
        <v/>
      </c>
      <c r="BI483" s="288"/>
      <c r="BJ483" s="92" t="str">
        <v/>
      </c>
      <c r="BK483" s="268" t="str">
        <v/>
      </c>
      <c r="BL483" s="268" t="str">
        <v/>
      </c>
      <c r="BM483" s="269" t="str">
        <v/>
      </c>
      <c r="BO483" s="92" t="str">
        <v/>
      </c>
      <c r="BP483" s="268" t="str">
        <v/>
      </c>
      <c r="BQ483" s="268" t="str">
        <v/>
      </c>
      <c r="BR483" s="269" t="str">
        <v/>
      </c>
      <c r="BT483" s="92" t="str">
        <v/>
      </c>
      <c r="BU483" s="268" t="str">
        <v/>
      </c>
      <c r="BV483" s="268" t="str">
        <v/>
      </c>
      <c r="BW483" s="269" t="str">
        <v/>
      </c>
      <c r="BX483" s="288"/>
      <c r="CM483" s="96"/>
    </row>
    <row r="484" spans="1:91">
      <c r="A484" s="285"/>
      <c r="B484" s="92">
        <v>45</v>
      </c>
      <c r="C484" s="268">
        <v>53.5</v>
      </c>
      <c r="D484" s="268">
        <v>855</v>
      </c>
      <c r="E484" s="269">
        <v>18</v>
      </c>
      <c r="G484" s="92">
        <v>45</v>
      </c>
      <c r="H484" s="268">
        <v>53.5</v>
      </c>
      <c r="I484" s="268">
        <v>615</v>
      </c>
      <c r="J484" s="269">
        <v>18</v>
      </c>
      <c r="L484" s="92">
        <v>45</v>
      </c>
      <c r="M484" s="268">
        <v>96.5</v>
      </c>
      <c r="N484" s="268">
        <v>660</v>
      </c>
      <c r="O484" s="269">
        <v>18</v>
      </c>
      <c r="Q484" s="92">
        <v>90</v>
      </c>
      <c r="R484" s="268">
        <v>75</v>
      </c>
      <c r="S484" s="268">
        <v>655</v>
      </c>
      <c r="T484" s="269">
        <v>14</v>
      </c>
      <c r="V484" s="92" t="str">
        <v/>
      </c>
      <c r="W484" s="268" t="str">
        <v/>
      </c>
      <c r="X484" s="268" t="str">
        <v/>
      </c>
      <c r="Y484" s="269" t="str">
        <v/>
      </c>
      <c r="AA484" s="92" t="str">
        <v/>
      </c>
      <c r="AB484" s="268" t="str">
        <v/>
      </c>
      <c r="AC484" s="268" t="str">
        <v/>
      </c>
      <c r="AD484" s="269" t="str">
        <v/>
      </c>
      <c r="AF484" s="92" t="str">
        <v/>
      </c>
      <c r="AG484" s="268" t="str">
        <v/>
      </c>
      <c r="AH484" s="268" t="str">
        <v/>
      </c>
      <c r="AI484" s="269" t="str">
        <v/>
      </c>
      <c r="AK484" s="92" t="str">
        <v/>
      </c>
      <c r="AL484" s="268" t="str">
        <v/>
      </c>
      <c r="AM484" s="268" t="str">
        <v/>
      </c>
      <c r="AN484" s="269" t="str">
        <v/>
      </c>
      <c r="AP484" s="92">
        <v>45</v>
      </c>
      <c r="AQ484" s="268">
        <v>96.5</v>
      </c>
      <c r="AR484" s="268">
        <v>696</v>
      </c>
      <c r="AS484" s="269">
        <v>18</v>
      </c>
      <c r="AT484" s="288"/>
      <c r="AU484" s="92" t="str">
        <v/>
      </c>
      <c r="AV484" s="268" t="str">
        <v/>
      </c>
      <c r="AW484" s="268" t="str">
        <v/>
      </c>
      <c r="AX484" s="269" t="str">
        <v/>
      </c>
      <c r="AZ484" s="92" t="str">
        <v/>
      </c>
      <c r="BA484" s="268" t="str">
        <v/>
      </c>
      <c r="BB484" s="268" t="str">
        <v/>
      </c>
      <c r="BC484" s="269" t="str">
        <v/>
      </c>
      <c r="BE484" s="92" t="str">
        <v/>
      </c>
      <c r="BF484" s="268" t="str">
        <v/>
      </c>
      <c r="BG484" s="268" t="str">
        <v/>
      </c>
      <c r="BH484" s="269" t="str">
        <v/>
      </c>
      <c r="BI484" s="288"/>
      <c r="BJ484" s="92" t="str">
        <v/>
      </c>
      <c r="BK484" s="268" t="str">
        <v/>
      </c>
      <c r="BL484" s="268" t="str">
        <v/>
      </c>
      <c r="BM484" s="269" t="str">
        <v/>
      </c>
      <c r="BO484" s="92" t="str">
        <v/>
      </c>
      <c r="BP484" s="268" t="str">
        <v/>
      </c>
      <c r="BQ484" s="268" t="str">
        <v/>
      </c>
      <c r="BR484" s="269" t="str">
        <v/>
      </c>
      <c r="BT484" s="92" t="str">
        <v/>
      </c>
      <c r="BU484" s="268" t="str">
        <v/>
      </c>
      <c r="BV484" s="268" t="str">
        <v/>
      </c>
      <c r="BW484" s="269" t="str">
        <v/>
      </c>
      <c r="BX484" s="288"/>
      <c r="CM484" s="96"/>
    </row>
    <row r="485" spans="1:91">
      <c r="A485" s="285"/>
      <c r="B485" s="92">
        <v>45</v>
      </c>
      <c r="C485" s="268">
        <v>139.5</v>
      </c>
      <c r="D485" s="268">
        <v>883</v>
      </c>
      <c r="E485" s="269">
        <v>18</v>
      </c>
      <c r="G485" s="92">
        <v>45</v>
      </c>
      <c r="H485" s="268">
        <v>139.5</v>
      </c>
      <c r="I485" s="268">
        <v>643</v>
      </c>
      <c r="J485" s="269">
        <v>18</v>
      </c>
      <c r="L485" s="92">
        <v>45</v>
      </c>
      <c r="M485" s="268">
        <v>53.5</v>
      </c>
      <c r="N485" s="268">
        <v>660</v>
      </c>
      <c r="O485" s="269">
        <v>18</v>
      </c>
      <c r="Q485" s="92">
        <v>90</v>
      </c>
      <c r="R485" s="268">
        <v>118</v>
      </c>
      <c r="S485" s="268">
        <v>665</v>
      </c>
      <c r="T485" s="269">
        <v>14</v>
      </c>
      <c r="V485" s="92" t="str">
        <v/>
      </c>
      <c r="W485" s="268" t="str">
        <v/>
      </c>
      <c r="X485" s="268" t="str">
        <v/>
      </c>
      <c r="Y485" s="269" t="str">
        <v/>
      </c>
      <c r="AA485" s="92" t="str">
        <v/>
      </c>
      <c r="AB485" s="268" t="str">
        <v/>
      </c>
      <c r="AC485" s="268" t="str">
        <v/>
      </c>
      <c r="AD485" s="269" t="str">
        <v/>
      </c>
      <c r="AF485" s="92" t="str">
        <v/>
      </c>
      <c r="AG485" s="268" t="str">
        <v/>
      </c>
      <c r="AH485" s="268" t="str">
        <v/>
      </c>
      <c r="AI485" s="269" t="str">
        <v/>
      </c>
      <c r="AK485" s="92" t="str">
        <v/>
      </c>
      <c r="AL485" s="268" t="str">
        <v/>
      </c>
      <c r="AM485" s="268" t="str">
        <v/>
      </c>
      <c r="AN485" s="269" t="str">
        <v/>
      </c>
      <c r="AP485" s="92">
        <v>45</v>
      </c>
      <c r="AQ485" s="268">
        <v>53.5</v>
      </c>
      <c r="AR485" s="268">
        <v>696</v>
      </c>
      <c r="AS485" s="269">
        <v>18</v>
      </c>
      <c r="AT485" s="288"/>
      <c r="AU485" s="92" t="str">
        <v/>
      </c>
      <c r="AV485" s="268" t="str">
        <v/>
      </c>
      <c r="AW485" s="268" t="str">
        <v/>
      </c>
      <c r="AX485" s="269" t="str">
        <v/>
      </c>
      <c r="AZ485" s="92" t="str">
        <v/>
      </c>
      <c r="BA485" s="268" t="str">
        <v/>
      </c>
      <c r="BB485" s="268" t="str">
        <v/>
      </c>
      <c r="BC485" s="269" t="str">
        <v/>
      </c>
      <c r="BE485" s="92" t="str">
        <v/>
      </c>
      <c r="BF485" s="268" t="str">
        <v/>
      </c>
      <c r="BG485" s="268" t="str">
        <v/>
      </c>
      <c r="BH485" s="269" t="str">
        <v/>
      </c>
      <c r="BI485" s="288"/>
      <c r="BJ485" s="92" t="str">
        <v/>
      </c>
      <c r="BK485" s="268" t="str">
        <v/>
      </c>
      <c r="BL485" s="268" t="str">
        <v/>
      </c>
      <c r="BM485" s="269" t="str">
        <v/>
      </c>
      <c r="BO485" s="92" t="str">
        <v/>
      </c>
      <c r="BP485" s="268" t="str">
        <v/>
      </c>
      <c r="BQ485" s="268" t="str">
        <v/>
      </c>
      <c r="BR485" s="269" t="str">
        <v/>
      </c>
      <c r="BT485" s="92" t="str">
        <v/>
      </c>
      <c r="BU485" s="268" t="str">
        <v/>
      </c>
      <c r="BV485" s="268" t="str">
        <v/>
      </c>
      <c r="BW485" s="269" t="str">
        <v/>
      </c>
      <c r="BX485" s="288"/>
      <c r="CM485" s="96"/>
    </row>
    <row r="486" spans="1:91">
      <c r="A486" s="285"/>
      <c r="B486" s="92">
        <v>45</v>
      </c>
      <c r="C486" s="268">
        <v>10.5</v>
      </c>
      <c r="D486" s="268">
        <v>883</v>
      </c>
      <c r="E486" s="269">
        <v>18</v>
      </c>
      <c r="G486" s="92">
        <v>45</v>
      </c>
      <c r="H486" s="268">
        <v>10.5</v>
      </c>
      <c r="I486" s="268">
        <v>643</v>
      </c>
      <c r="J486" s="269">
        <v>18</v>
      </c>
      <c r="L486" s="92">
        <v>90</v>
      </c>
      <c r="M486" s="268">
        <v>139.5</v>
      </c>
      <c r="N486" s="268">
        <v>710</v>
      </c>
      <c r="O486" s="269">
        <v>20</v>
      </c>
      <c r="Q486" s="92">
        <v>90</v>
      </c>
      <c r="R486" s="268">
        <v>32</v>
      </c>
      <c r="S486" s="268">
        <v>665</v>
      </c>
      <c r="T486" s="269">
        <v>14</v>
      </c>
      <c r="V486" s="92" t="str">
        <v/>
      </c>
      <c r="W486" s="268" t="str">
        <v/>
      </c>
      <c r="X486" s="268" t="str">
        <v/>
      </c>
      <c r="Y486" s="269" t="str">
        <v/>
      </c>
      <c r="AA486" s="92" t="str">
        <v/>
      </c>
      <c r="AB486" s="268" t="str">
        <v/>
      </c>
      <c r="AC486" s="268" t="str">
        <v/>
      </c>
      <c r="AD486" s="269" t="str">
        <v/>
      </c>
      <c r="AF486" s="92" t="str">
        <v/>
      </c>
      <c r="AG486" s="268" t="str">
        <v/>
      </c>
      <c r="AH486" s="268" t="str">
        <v/>
      </c>
      <c r="AI486" s="269" t="str">
        <v/>
      </c>
      <c r="AK486" s="92" t="str">
        <v/>
      </c>
      <c r="AL486" s="268" t="str">
        <v/>
      </c>
      <c r="AM486" s="268" t="str">
        <v/>
      </c>
      <c r="AN486" s="269" t="str">
        <v/>
      </c>
      <c r="AP486" s="92">
        <v>45</v>
      </c>
      <c r="AQ486" s="268">
        <v>139.5</v>
      </c>
      <c r="AR486" s="268">
        <v>724</v>
      </c>
      <c r="AS486" s="269">
        <v>18</v>
      </c>
      <c r="AT486" s="288"/>
      <c r="AU486" s="92" t="str">
        <v/>
      </c>
      <c r="AV486" s="268" t="str">
        <v/>
      </c>
      <c r="AW486" s="268" t="str">
        <v/>
      </c>
      <c r="AX486" s="269" t="str">
        <v/>
      </c>
      <c r="AZ486" s="92" t="str">
        <v/>
      </c>
      <c r="BA486" s="268" t="str">
        <v/>
      </c>
      <c r="BB486" s="268" t="str">
        <v/>
      </c>
      <c r="BC486" s="269" t="str">
        <v/>
      </c>
      <c r="BE486" s="92" t="str">
        <v/>
      </c>
      <c r="BF486" s="268" t="str">
        <v/>
      </c>
      <c r="BG486" s="268" t="str">
        <v/>
      </c>
      <c r="BH486" s="269" t="str">
        <v/>
      </c>
      <c r="BI486" s="288"/>
      <c r="BJ486" s="92" t="str">
        <v/>
      </c>
      <c r="BK486" s="268" t="str">
        <v/>
      </c>
      <c r="BL486" s="268" t="str">
        <v/>
      </c>
      <c r="BM486" s="269" t="str">
        <v/>
      </c>
      <c r="BO486" s="92" t="str">
        <v/>
      </c>
      <c r="BP486" s="268" t="str">
        <v/>
      </c>
      <c r="BQ486" s="268" t="str">
        <v/>
      </c>
      <c r="BR486" s="269" t="str">
        <v/>
      </c>
      <c r="BT486" s="92" t="str">
        <v/>
      </c>
      <c r="BU486" s="268" t="str">
        <v/>
      </c>
      <c r="BV486" s="268" t="str">
        <v/>
      </c>
      <c r="BW486" s="269" t="str">
        <v/>
      </c>
      <c r="BX486" s="288"/>
      <c r="CM486" s="96"/>
    </row>
    <row r="487" spans="1:91">
      <c r="A487" s="285"/>
      <c r="B487" s="92">
        <v>45</v>
      </c>
      <c r="C487" s="268">
        <v>96.5</v>
      </c>
      <c r="D487" s="268">
        <v>912</v>
      </c>
      <c r="E487" s="269">
        <v>18</v>
      </c>
      <c r="G487" s="92">
        <v>45</v>
      </c>
      <c r="H487" s="268">
        <v>96.5</v>
      </c>
      <c r="I487" s="268">
        <v>672</v>
      </c>
      <c r="J487" s="269">
        <v>18</v>
      </c>
      <c r="L487" s="92">
        <v>90</v>
      </c>
      <c r="M487" s="268">
        <v>10.5</v>
      </c>
      <c r="N487" s="268">
        <v>710</v>
      </c>
      <c r="O487" s="269">
        <v>20</v>
      </c>
      <c r="Q487" s="92" t="str">
        <v/>
      </c>
      <c r="R487" s="268" t="str">
        <v/>
      </c>
      <c r="S487" s="268" t="str">
        <v/>
      </c>
      <c r="T487" s="269" t="str">
        <v/>
      </c>
      <c r="V487" s="92" t="str">
        <v/>
      </c>
      <c r="W487" s="268" t="str">
        <v/>
      </c>
      <c r="X487" s="268" t="str">
        <v/>
      </c>
      <c r="Y487" s="269" t="str">
        <v/>
      </c>
      <c r="AA487" s="92" t="str">
        <v/>
      </c>
      <c r="AB487" s="268" t="str">
        <v/>
      </c>
      <c r="AC487" s="268" t="str">
        <v/>
      </c>
      <c r="AD487" s="269" t="str">
        <v/>
      </c>
      <c r="AF487" s="92" t="str">
        <v/>
      </c>
      <c r="AG487" s="268" t="str">
        <v/>
      </c>
      <c r="AH487" s="268" t="str">
        <v/>
      </c>
      <c r="AI487" s="269" t="str">
        <v/>
      </c>
      <c r="AK487" s="92" t="str">
        <v/>
      </c>
      <c r="AL487" s="268" t="str">
        <v/>
      </c>
      <c r="AM487" s="268" t="str">
        <v/>
      </c>
      <c r="AN487" s="269" t="str">
        <v/>
      </c>
      <c r="AP487" s="92">
        <v>45</v>
      </c>
      <c r="AQ487" s="268">
        <v>10.5</v>
      </c>
      <c r="AR487" s="268">
        <v>724</v>
      </c>
      <c r="AS487" s="269">
        <v>18</v>
      </c>
      <c r="AT487" s="288"/>
      <c r="AU487" s="92" t="str">
        <v/>
      </c>
      <c r="AV487" s="268" t="str">
        <v/>
      </c>
      <c r="AW487" s="268" t="str">
        <v/>
      </c>
      <c r="AX487" s="269" t="str">
        <v/>
      </c>
      <c r="AZ487" s="92" t="str">
        <v/>
      </c>
      <c r="BA487" s="268" t="str">
        <v/>
      </c>
      <c r="BB487" s="268" t="str">
        <v/>
      </c>
      <c r="BC487" s="269" t="str">
        <v/>
      </c>
      <c r="BE487" s="92" t="str">
        <v/>
      </c>
      <c r="BF487" s="268" t="str">
        <v/>
      </c>
      <c r="BG487" s="268" t="str">
        <v/>
      </c>
      <c r="BH487" s="269" t="str">
        <v/>
      </c>
      <c r="BI487" s="288"/>
      <c r="BJ487" s="92" t="str">
        <v/>
      </c>
      <c r="BK487" s="268" t="str">
        <v/>
      </c>
      <c r="BL487" s="268" t="str">
        <v/>
      </c>
      <c r="BM487" s="269" t="str">
        <v/>
      </c>
      <c r="BO487" s="92" t="str">
        <v/>
      </c>
      <c r="BP487" s="268" t="str">
        <v/>
      </c>
      <c r="BQ487" s="268" t="str">
        <v/>
      </c>
      <c r="BR487" s="269" t="str">
        <v/>
      </c>
      <c r="BT487" s="92" t="str">
        <v/>
      </c>
      <c r="BU487" s="268" t="str">
        <v/>
      </c>
      <c r="BV487" s="268" t="str">
        <v/>
      </c>
      <c r="BW487" s="269" t="str">
        <v/>
      </c>
      <c r="BX487" s="288"/>
      <c r="CM487" s="96"/>
    </row>
    <row r="488" spans="1:91">
      <c r="A488" s="285"/>
      <c r="B488" s="92">
        <v>45</v>
      </c>
      <c r="C488" s="268">
        <v>53.5</v>
      </c>
      <c r="D488" s="268">
        <v>912</v>
      </c>
      <c r="E488" s="269">
        <v>18</v>
      </c>
      <c r="G488" s="92">
        <v>45</v>
      </c>
      <c r="H488" s="268">
        <v>53.5</v>
      </c>
      <c r="I488" s="268">
        <v>672</v>
      </c>
      <c r="J488" s="269">
        <v>18</v>
      </c>
      <c r="L488" s="92">
        <v>90</v>
      </c>
      <c r="M488" s="268">
        <v>75</v>
      </c>
      <c r="N488" s="268">
        <v>715</v>
      </c>
      <c r="O488" s="269">
        <v>14</v>
      </c>
      <c r="Q488" s="92" t="str">
        <v/>
      </c>
      <c r="R488" s="268" t="str">
        <v/>
      </c>
      <c r="S488" s="268" t="str">
        <v/>
      </c>
      <c r="T488" s="269" t="str">
        <v/>
      </c>
      <c r="V488" s="92" t="str">
        <v/>
      </c>
      <c r="W488" s="268" t="str">
        <v/>
      </c>
      <c r="X488" s="268" t="str">
        <v/>
      </c>
      <c r="Y488" s="269" t="str">
        <v/>
      </c>
      <c r="AA488" s="92" t="str">
        <v/>
      </c>
      <c r="AB488" s="268" t="str">
        <v/>
      </c>
      <c r="AC488" s="268" t="str">
        <v/>
      </c>
      <c r="AD488" s="269" t="str">
        <v/>
      </c>
      <c r="AF488" s="92" t="str">
        <v/>
      </c>
      <c r="AG488" s="268" t="str">
        <v/>
      </c>
      <c r="AH488" s="268" t="str">
        <v/>
      </c>
      <c r="AI488" s="269" t="str">
        <v/>
      </c>
      <c r="AK488" s="92" t="str">
        <v/>
      </c>
      <c r="AL488" s="268" t="str">
        <v/>
      </c>
      <c r="AM488" s="268" t="str">
        <v/>
      </c>
      <c r="AN488" s="269" t="str">
        <v/>
      </c>
      <c r="AP488" s="92">
        <v>45</v>
      </c>
      <c r="AQ488" s="268">
        <v>96.5</v>
      </c>
      <c r="AR488" s="268">
        <v>753</v>
      </c>
      <c r="AS488" s="269">
        <v>18</v>
      </c>
      <c r="AT488" s="288"/>
      <c r="AU488" s="92" t="str">
        <v/>
      </c>
      <c r="AV488" s="268" t="str">
        <v/>
      </c>
      <c r="AW488" s="268" t="str">
        <v/>
      </c>
      <c r="AX488" s="269" t="str">
        <v/>
      </c>
      <c r="AZ488" s="92" t="str">
        <v/>
      </c>
      <c r="BA488" s="268" t="str">
        <v/>
      </c>
      <c r="BB488" s="268" t="str">
        <v/>
      </c>
      <c r="BC488" s="269" t="str">
        <v/>
      </c>
      <c r="BE488" s="92" t="str">
        <v/>
      </c>
      <c r="BF488" s="268" t="str">
        <v/>
      </c>
      <c r="BG488" s="268" t="str">
        <v/>
      </c>
      <c r="BH488" s="269" t="str">
        <v/>
      </c>
      <c r="BI488" s="288"/>
      <c r="BJ488" s="92" t="str">
        <v/>
      </c>
      <c r="BK488" s="268" t="str">
        <v/>
      </c>
      <c r="BL488" s="268" t="str">
        <v/>
      </c>
      <c r="BM488" s="269" t="str">
        <v/>
      </c>
      <c r="BO488" s="92" t="str">
        <v/>
      </c>
      <c r="BP488" s="268" t="str">
        <v/>
      </c>
      <c r="BQ488" s="268" t="str">
        <v/>
      </c>
      <c r="BR488" s="269" t="str">
        <v/>
      </c>
      <c r="BT488" s="92" t="str">
        <v/>
      </c>
      <c r="BU488" s="268" t="str">
        <v/>
      </c>
      <c r="BV488" s="268" t="str">
        <v/>
      </c>
      <c r="BW488" s="269" t="str">
        <v/>
      </c>
      <c r="BX488" s="288"/>
      <c r="CM488" s="96"/>
    </row>
    <row r="489" spans="1:91">
      <c r="A489" s="285"/>
      <c r="B489" s="92">
        <v>45</v>
      </c>
      <c r="C489" s="268">
        <v>139.5</v>
      </c>
      <c r="D489" s="268">
        <v>940</v>
      </c>
      <c r="E489" s="269">
        <v>18</v>
      </c>
      <c r="G489" s="92">
        <v>45</v>
      </c>
      <c r="H489" s="268">
        <v>139.5</v>
      </c>
      <c r="I489" s="268">
        <v>700</v>
      </c>
      <c r="J489" s="269">
        <v>18</v>
      </c>
      <c r="L489" s="92">
        <v>90</v>
      </c>
      <c r="M489" s="268">
        <v>118</v>
      </c>
      <c r="N489" s="268">
        <v>725</v>
      </c>
      <c r="O489" s="269">
        <v>14</v>
      </c>
      <c r="Q489" s="92" t="str">
        <v/>
      </c>
      <c r="R489" s="268" t="str">
        <v/>
      </c>
      <c r="S489" s="268" t="str">
        <v/>
      </c>
      <c r="T489" s="269" t="str">
        <v/>
      </c>
      <c r="V489" s="92" t="str">
        <v/>
      </c>
      <c r="W489" s="268" t="str">
        <v/>
      </c>
      <c r="X489" s="268" t="str">
        <v/>
      </c>
      <c r="Y489" s="269" t="str">
        <v/>
      </c>
      <c r="AA489" s="92" t="str">
        <v/>
      </c>
      <c r="AB489" s="268" t="str">
        <v/>
      </c>
      <c r="AC489" s="268" t="str">
        <v/>
      </c>
      <c r="AD489" s="269" t="str">
        <v/>
      </c>
      <c r="AF489" s="92" t="str">
        <v/>
      </c>
      <c r="AG489" s="268" t="str">
        <v/>
      </c>
      <c r="AH489" s="268" t="str">
        <v/>
      </c>
      <c r="AI489" s="269" t="str">
        <v/>
      </c>
      <c r="AK489" s="92" t="str">
        <v/>
      </c>
      <c r="AL489" s="268" t="str">
        <v/>
      </c>
      <c r="AM489" s="268" t="str">
        <v/>
      </c>
      <c r="AN489" s="269" t="str">
        <v/>
      </c>
      <c r="AP489" s="92">
        <v>45</v>
      </c>
      <c r="AQ489" s="268">
        <v>53.5</v>
      </c>
      <c r="AR489" s="268">
        <v>753</v>
      </c>
      <c r="AS489" s="269">
        <v>18</v>
      </c>
      <c r="AT489" s="288"/>
      <c r="AU489" s="92" t="str">
        <v/>
      </c>
      <c r="AV489" s="268" t="str">
        <v/>
      </c>
      <c r="AW489" s="268" t="str">
        <v/>
      </c>
      <c r="AX489" s="269" t="str">
        <v/>
      </c>
      <c r="AZ489" s="92" t="str">
        <v/>
      </c>
      <c r="BA489" s="268" t="str">
        <v/>
      </c>
      <c r="BB489" s="268" t="str">
        <v/>
      </c>
      <c r="BC489" s="269" t="str">
        <v/>
      </c>
      <c r="BE489" s="92" t="str">
        <v/>
      </c>
      <c r="BF489" s="268" t="str">
        <v/>
      </c>
      <c r="BG489" s="268" t="str">
        <v/>
      </c>
      <c r="BH489" s="269" t="str">
        <v/>
      </c>
      <c r="BI489" s="288"/>
      <c r="BJ489" s="92" t="str">
        <v/>
      </c>
      <c r="BK489" s="268" t="str">
        <v/>
      </c>
      <c r="BL489" s="268" t="str">
        <v/>
      </c>
      <c r="BM489" s="269" t="str">
        <v/>
      </c>
      <c r="BO489" s="92" t="str">
        <v/>
      </c>
      <c r="BP489" s="268" t="str">
        <v/>
      </c>
      <c r="BQ489" s="268" t="str">
        <v/>
      </c>
      <c r="BR489" s="269" t="str">
        <v/>
      </c>
      <c r="BT489" s="92" t="str">
        <v/>
      </c>
      <c r="BU489" s="268" t="str">
        <v/>
      </c>
      <c r="BV489" s="268" t="str">
        <v/>
      </c>
      <c r="BW489" s="269" t="str">
        <v/>
      </c>
      <c r="BX489" s="288"/>
      <c r="CM489" s="96"/>
    </row>
    <row r="490" spans="1:91">
      <c r="A490" s="285"/>
      <c r="B490" s="92">
        <v>45</v>
      </c>
      <c r="C490" s="268">
        <v>10.5</v>
      </c>
      <c r="D490" s="268">
        <v>940</v>
      </c>
      <c r="E490" s="269">
        <v>18</v>
      </c>
      <c r="G490" s="92">
        <v>45</v>
      </c>
      <c r="H490" s="268">
        <v>10.5</v>
      </c>
      <c r="I490" s="268">
        <v>700</v>
      </c>
      <c r="J490" s="269">
        <v>18</v>
      </c>
      <c r="L490" s="92">
        <v>90</v>
      </c>
      <c r="M490" s="268">
        <v>32</v>
      </c>
      <c r="N490" s="268">
        <v>725</v>
      </c>
      <c r="O490" s="269">
        <v>14</v>
      </c>
      <c r="Q490" s="92" t="str">
        <v/>
      </c>
      <c r="R490" s="268" t="str">
        <v/>
      </c>
      <c r="S490" s="268" t="str">
        <v/>
      </c>
      <c r="T490" s="269" t="str">
        <v/>
      </c>
      <c r="V490" s="92" t="str">
        <v/>
      </c>
      <c r="W490" s="268" t="str">
        <v/>
      </c>
      <c r="X490" s="268" t="str">
        <v/>
      </c>
      <c r="Y490" s="269" t="str">
        <v/>
      </c>
      <c r="AA490" s="92" t="str">
        <v/>
      </c>
      <c r="AB490" s="268" t="str">
        <v/>
      </c>
      <c r="AC490" s="268" t="str">
        <v/>
      </c>
      <c r="AD490" s="269" t="str">
        <v/>
      </c>
      <c r="AF490" s="92" t="str">
        <v/>
      </c>
      <c r="AG490" s="268" t="str">
        <v/>
      </c>
      <c r="AH490" s="268" t="str">
        <v/>
      </c>
      <c r="AI490" s="269" t="str">
        <v/>
      </c>
      <c r="AK490" s="92" t="str">
        <v/>
      </c>
      <c r="AL490" s="268" t="str">
        <v/>
      </c>
      <c r="AM490" s="268" t="str">
        <v/>
      </c>
      <c r="AN490" s="269" t="str">
        <v/>
      </c>
      <c r="AP490" s="92">
        <v>90</v>
      </c>
      <c r="AQ490" s="268">
        <v>139.5</v>
      </c>
      <c r="AR490" s="268">
        <v>800</v>
      </c>
      <c r="AS490" s="269">
        <v>20</v>
      </c>
      <c r="AT490" s="288"/>
      <c r="AU490" s="92" t="str">
        <v/>
      </c>
      <c r="AV490" s="268" t="str">
        <v/>
      </c>
      <c r="AW490" s="268" t="str">
        <v/>
      </c>
      <c r="AX490" s="269" t="str">
        <v/>
      </c>
      <c r="AZ490" s="92" t="str">
        <v/>
      </c>
      <c r="BA490" s="268" t="str">
        <v/>
      </c>
      <c r="BB490" s="268" t="str">
        <v/>
      </c>
      <c r="BC490" s="269" t="str">
        <v/>
      </c>
      <c r="BE490" s="92" t="str">
        <v/>
      </c>
      <c r="BF490" s="268" t="str">
        <v/>
      </c>
      <c r="BG490" s="268" t="str">
        <v/>
      </c>
      <c r="BH490" s="269" t="str">
        <v/>
      </c>
      <c r="BI490" s="288"/>
      <c r="BJ490" s="92" t="str">
        <v/>
      </c>
      <c r="BK490" s="268" t="str">
        <v/>
      </c>
      <c r="BL490" s="268" t="str">
        <v/>
      </c>
      <c r="BM490" s="269" t="str">
        <v/>
      </c>
      <c r="BO490" s="92" t="str">
        <v/>
      </c>
      <c r="BP490" s="268" t="str">
        <v/>
      </c>
      <c r="BQ490" s="268" t="str">
        <v/>
      </c>
      <c r="BR490" s="269" t="str">
        <v/>
      </c>
      <c r="BT490" s="92" t="str">
        <v/>
      </c>
      <c r="BU490" s="268" t="str">
        <v/>
      </c>
      <c r="BV490" s="268" t="str">
        <v/>
      </c>
      <c r="BW490" s="269" t="str">
        <v/>
      </c>
      <c r="BX490" s="288"/>
      <c r="CM490" s="96"/>
    </row>
    <row r="491" spans="1:91">
      <c r="A491" s="285"/>
      <c r="B491" s="92">
        <v>45</v>
      </c>
      <c r="C491" s="268">
        <v>96.5</v>
      </c>
      <c r="D491" s="268">
        <v>969</v>
      </c>
      <c r="E491" s="269">
        <v>18</v>
      </c>
      <c r="G491" s="92">
        <v>45</v>
      </c>
      <c r="H491" s="268">
        <v>96.5</v>
      </c>
      <c r="I491" s="268">
        <v>729</v>
      </c>
      <c r="J491" s="269">
        <v>18</v>
      </c>
      <c r="L491" s="92" t="str">
        <v/>
      </c>
      <c r="M491" s="268" t="str">
        <v/>
      </c>
      <c r="N491" s="268" t="str">
        <v/>
      </c>
      <c r="O491" s="269" t="str">
        <v/>
      </c>
      <c r="Q491" s="92" t="str">
        <v/>
      </c>
      <c r="R491" s="268" t="str">
        <v/>
      </c>
      <c r="S491" s="268" t="str">
        <v/>
      </c>
      <c r="T491" s="269" t="str">
        <v/>
      </c>
      <c r="V491" s="92" t="str">
        <v/>
      </c>
      <c r="W491" s="268" t="str">
        <v/>
      </c>
      <c r="X491" s="268" t="str">
        <v/>
      </c>
      <c r="Y491" s="269" t="str">
        <v/>
      </c>
      <c r="AA491" s="92" t="str">
        <v/>
      </c>
      <c r="AB491" s="268" t="str">
        <v/>
      </c>
      <c r="AC491" s="268" t="str">
        <v/>
      </c>
      <c r="AD491" s="269" t="str">
        <v/>
      </c>
      <c r="AF491" s="92" t="str">
        <v/>
      </c>
      <c r="AG491" s="268" t="str">
        <v/>
      </c>
      <c r="AH491" s="268" t="str">
        <v/>
      </c>
      <c r="AI491" s="269" t="str">
        <v/>
      </c>
      <c r="AK491" s="92" t="str">
        <v/>
      </c>
      <c r="AL491" s="268" t="str">
        <v/>
      </c>
      <c r="AM491" s="268" t="str">
        <v/>
      </c>
      <c r="AN491" s="269" t="str">
        <v/>
      </c>
      <c r="AP491" s="92">
        <v>90</v>
      </c>
      <c r="AQ491" s="268">
        <v>10.5</v>
      </c>
      <c r="AR491" s="268">
        <v>800</v>
      </c>
      <c r="AS491" s="269">
        <v>20</v>
      </c>
      <c r="AT491" s="288"/>
      <c r="AU491" s="92" t="str">
        <v/>
      </c>
      <c r="AV491" s="268" t="str">
        <v/>
      </c>
      <c r="AW491" s="268" t="str">
        <v/>
      </c>
      <c r="AX491" s="269" t="str">
        <v/>
      </c>
      <c r="AZ491" s="92" t="str">
        <v/>
      </c>
      <c r="BA491" s="268" t="str">
        <v/>
      </c>
      <c r="BB491" s="268" t="str">
        <v/>
      </c>
      <c r="BC491" s="269" t="str">
        <v/>
      </c>
      <c r="BE491" s="92" t="str">
        <v/>
      </c>
      <c r="BF491" s="268" t="str">
        <v/>
      </c>
      <c r="BG491" s="268" t="str">
        <v/>
      </c>
      <c r="BH491" s="269" t="str">
        <v/>
      </c>
      <c r="BI491" s="288"/>
      <c r="BJ491" s="92" t="str">
        <v/>
      </c>
      <c r="BK491" s="268" t="str">
        <v/>
      </c>
      <c r="BL491" s="268" t="str">
        <v/>
      </c>
      <c r="BM491" s="269" t="str">
        <v/>
      </c>
      <c r="BO491" s="92" t="str">
        <v/>
      </c>
      <c r="BP491" s="268" t="str">
        <v/>
      </c>
      <c r="BQ491" s="268" t="str">
        <v/>
      </c>
      <c r="BR491" s="269" t="str">
        <v/>
      </c>
      <c r="BT491" s="92" t="str">
        <v/>
      </c>
      <c r="BU491" s="268" t="str">
        <v/>
      </c>
      <c r="BV491" s="268" t="str">
        <v/>
      </c>
      <c r="BW491" s="269" t="str">
        <v/>
      </c>
      <c r="BX491" s="288"/>
      <c r="CM491" s="96"/>
    </row>
    <row r="492" spans="1:91">
      <c r="A492" s="285"/>
      <c r="B492" s="92">
        <v>45</v>
      </c>
      <c r="C492" s="268">
        <v>53.5</v>
      </c>
      <c r="D492" s="268">
        <v>969</v>
      </c>
      <c r="E492" s="269">
        <v>18</v>
      </c>
      <c r="G492" s="92">
        <v>45</v>
      </c>
      <c r="H492" s="268">
        <v>53.5</v>
      </c>
      <c r="I492" s="268">
        <v>729</v>
      </c>
      <c r="J492" s="269">
        <v>18</v>
      </c>
      <c r="L492" s="92" t="str">
        <v/>
      </c>
      <c r="M492" s="268" t="str">
        <v/>
      </c>
      <c r="N492" s="268" t="str">
        <v/>
      </c>
      <c r="O492" s="269" t="str">
        <v/>
      </c>
      <c r="Q492" s="92" t="str">
        <v/>
      </c>
      <c r="R492" s="268" t="str">
        <v/>
      </c>
      <c r="S492" s="268" t="str">
        <v/>
      </c>
      <c r="T492" s="269" t="str">
        <v/>
      </c>
      <c r="V492" s="92" t="str">
        <v/>
      </c>
      <c r="W492" s="268" t="str">
        <v/>
      </c>
      <c r="X492" s="268" t="str">
        <v/>
      </c>
      <c r="Y492" s="269" t="str">
        <v/>
      </c>
      <c r="AA492" s="92" t="str">
        <v/>
      </c>
      <c r="AB492" s="268" t="str">
        <v/>
      </c>
      <c r="AC492" s="268" t="str">
        <v/>
      </c>
      <c r="AD492" s="269" t="str">
        <v/>
      </c>
      <c r="AF492" s="92" t="str">
        <v/>
      </c>
      <c r="AG492" s="268" t="str">
        <v/>
      </c>
      <c r="AH492" s="268" t="str">
        <v/>
      </c>
      <c r="AI492" s="269" t="str">
        <v/>
      </c>
      <c r="AK492" s="92" t="str">
        <v/>
      </c>
      <c r="AL492" s="268" t="str">
        <v/>
      </c>
      <c r="AM492" s="268" t="str">
        <v/>
      </c>
      <c r="AN492" s="269" t="str">
        <v/>
      </c>
      <c r="AP492" s="92">
        <v>90</v>
      </c>
      <c r="AQ492" s="268">
        <v>75</v>
      </c>
      <c r="AR492" s="268">
        <v>805</v>
      </c>
      <c r="AS492" s="269">
        <v>14</v>
      </c>
      <c r="AT492" s="288"/>
      <c r="AU492" s="92" t="str">
        <v/>
      </c>
      <c r="AV492" s="268" t="str">
        <v/>
      </c>
      <c r="AW492" s="268" t="str">
        <v/>
      </c>
      <c r="AX492" s="269" t="str">
        <v/>
      </c>
      <c r="AZ492" s="92" t="str">
        <v/>
      </c>
      <c r="BA492" s="268" t="str">
        <v/>
      </c>
      <c r="BB492" s="268" t="str">
        <v/>
      </c>
      <c r="BC492" s="269" t="str">
        <v/>
      </c>
      <c r="BE492" s="92" t="str">
        <v/>
      </c>
      <c r="BF492" s="268" t="str">
        <v/>
      </c>
      <c r="BG492" s="268" t="str">
        <v/>
      </c>
      <c r="BH492" s="269" t="str">
        <v/>
      </c>
      <c r="BI492" s="288"/>
      <c r="BJ492" s="92" t="str">
        <v/>
      </c>
      <c r="BK492" s="268" t="str">
        <v/>
      </c>
      <c r="BL492" s="268" t="str">
        <v/>
      </c>
      <c r="BM492" s="269" t="str">
        <v/>
      </c>
      <c r="BO492" s="92" t="str">
        <v/>
      </c>
      <c r="BP492" s="268" t="str">
        <v/>
      </c>
      <c r="BQ492" s="268" t="str">
        <v/>
      </c>
      <c r="BR492" s="269" t="str">
        <v/>
      </c>
      <c r="BT492" s="92" t="str">
        <v/>
      </c>
      <c r="BU492" s="268" t="str">
        <v/>
      </c>
      <c r="BV492" s="268" t="str">
        <v/>
      </c>
      <c r="BW492" s="269" t="str">
        <v/>
      </c>
      <c r="BX492" s="288"/>
      <c r="CM492" s="96"/>
    </row>
    <row r="493" spans="1:91">
      <c r="A493" s="285"/>
      <c r="B493" s="92">
        <v>90</v>
      </c>
      <c r="C493" s="268">
        <v>139.5</v>
      </c>
      <c r="D493" s="268">
        <v>1010</v>
      </c>
      <c r="E493" s="269">
        <v>20</v>
      </c>
      <c r="G493" s="92">
        <v>90</v>
      </c>
      <c r="H493" s="268">
        <v>139.5</v>
      </c>
      <c r="I493" s="268">
        <v>770</v>
      </c>
      <c r="J493" s="269">
        <v>20</v>
      </c>
      <c r="L493" s="92" t="str">
        <v/>
      </c>
      <c r="M493" s="268" t="str">
        <v/>
      </c>
      <c r="N493" s="268" t="str">
        <v/>
      </c>
      <c r="O493" s="269" t="str">
        <v/>
      </c>
      <c r="Q493" s="92" t="str">
        <v/>
      </c>
      <c r="R493" s="268" t="str">
        <v/>
      </c>
      <c r="S493" s="268" t="str">
        <v/>
      </c>
      <c r="T493" s="269" t="str">
        <v/>
      </c>
      <c r="V493" s="92" t="str">
        <v/>
      </c>
      <c r="W493" s="268" t="str">
        <v/>
      </c>
      <c r="X493" s="268" t="str">
        <v/>
      </c>
      <c r="Y493" s="269" t="str">
        <v/>
      </c>
      <c r="AA493" s="92" t="str">
        <v/>
      </c>
      <c r="AB493" s="268" t="str">
        <v/>
      </c>
      <c r="AC493" s="268" t="str">
        <v/>
      </c>
      <c r="AD493" s="269" t="str">
        <v/>
      </c>
      <c r="AF493" s="92" t="str">
        <v/>
      </c>
      <c r="AG493" s="268" t="str">
        <v/>
      </c>
      <c r="AH493" s="268" t="str">
        <v/>
      </c>
      <c r="AI493" s="269" t="str">
        <v/>
      </c>
      <c r="AK493" s="92" t="str">
        <v/>
      </c>
      <c r="AL493" s="268" t="str">
        <v/>
      </c>
      <c r="AM493" s="268" t="str">
        <v/>
      </c>
      <c r="AN493" s="269" t="str">
        <v/>
      </c>
      <c r="AP493" s="92">
        <v>90</v>
      </c>
      <c r="AQ493" s="268">
        <v>118</v>
      </c>
      <c r="AR493" s="268">
        <v>815</v>
      </c>
      <c r="AS493" s="269">
        <v>14</v>
      </c>
      <c r="AT493" s="288"/>
      <c r="AU493" s="92" t="str">
        <v/>
      </c>
      <c r="AV493" s="268" t="str">
        <v/>
      </c>
      <c r="AW493" s="268" t="str">
        <v/>
      </c>
      <c r="AX493" s="269" t="str">
        <v/>
      </c>
      <c r="AZ493" s="92" t="str">
        <v/>
      </c>
      <c r="BA493" s="268" t="str">
        <v/>
      </c>
      <c r="BB493" s="268" t="str">
        <v/>
      </c>
      <c r="BC493" s="269" t="str">
        <v/>
      </c>
      <c r="BE493" s="92" t="str">
        <v/>
      </c>
      <c r="BF493" s="268" t="str">
        <v/>
      </c>
      <c r="BG493" s="268" t="str">
        <v/>
      </c>
      <c r="BH493" s="269" t="str">
        <v/>
      </c>
      <c r="BI493" s="288"/>
      <c r="BJ493" s="92" t="str">
        <v/>
      </c>
      <c r="BK493" s="268" t="str">
        <v/>
      </c>
      <c r="BL493" s="268" t="str">
        <v/>
      </c>
      <c r="BM493" s="269" t="str">
        <v/>
      </c>
      <c r="BO493" s="92" t="str">
        <v/>
      </c>
      <c r="BP493" s="268" t="str">
        <v/>
      </c>
      <c r="BQ493" s="268" t="str">
        <v/>
      </c>
      <c r="BR493" s="269" t="str">
        <v/>
      </c>
      <c r="BT493" s="92" t="str">
        <v/>
      </c>
      <c r="BU493" s="268" t="str">
        <v/>
      </c>
      <c r="BV493" s="268" t="str">
        <v/>
      </c>
      <c r="BW493" s="269" t="str">
        <v/>
      </c>
      <c r="BX493" s="288"/>
      <c r="CM493" s="96"/>
    </row>
    <row r="494" spans="1:91">
      <c r="A494" s="285"/>
      <c r="B494" s="92">
        <v>90</v>
      </c>
      <c r="C494" s="268">
        <v>10.5</v>
      </c>
      <c r="D494" s="268">
        <v>1010</v>
      </c>
      <c r="E494" s="269">
        <v>20</v>
      </c>
      <c r="G494" s="92">
        <v>90</v>
      </c>
      <c r="H494" s="268">
        <v>10.5</v>
      </c>
      <c r="I494" s="268">
        <v>770</v>
      </c>
      <c r="J494" s="269">
        <v>20</v>
      </c>
      <c r="L494" s="92" t="str">
        <v/>
      </c>
      <c r="M494" s="268" t="str">
        <v/>
      </c>
      <c r="N494" s="268" t="str">
        <v/>
      </c>
      <c r="O494" s="269" t="str">
        <v/>
      </c>
      <c r="Q494" s="92" t="str">
        <v/>
      </c>
      <c r="R494" s="268" t="str">
        <v/>
      </c>
      <c r="S494" s="268" t="str">
        <v/>
      </c>
      <c r="T494" s="269" t="str">
        <v/>
      </c>
      <c r="V494" s="92" t="str">
        <v/>
      </c>
      <c r="W494" s="268" t="str">
        <v/>
      </c>
      <c r="X494" s="268" t="str">
        <v/>
      </c>
      <c r="Y494" s="269" t="str">
        <v/>
      </c>
      <c r="AA494" s="92" t="str">
        <v/>
      </c>
      <c r="AB494" s="268" t="str">
        <v/>
      </c>
      <c r="AC494" s="268" t="str">
        <v/>
      </c>
      <c r="AD494" s="269" t="str">
        <v/>
      </c>
      <c r="AF494" s="92" t="str">
        <v/>
      </c>
      <c r="AG494" s="268" t="str">
        <v/>
      </c>
      <c r="AH494" s="268" t="str">
        <v/>
      </c>
      <c r="AI494" s="269" t="str">
        <v/>
      </c>
      <c r="AK494" s="92" t="str">
        <v/>
      </c>
      <c r="AL494" s="268" t="str">
        <v/>
      </c>
      <c r="AM494" s="268" t="str">
        <v/>
      </c>
      <c r="AN494" s="269" t="str">
        <v/>
      </c>
      <c r="AP494" s="92">
        <v>90</v>
      </c>
      <c r="AQ494" s="268">
        <v>32</v>
      </c>
      <c r="AR494" s="268">
        <v>815</v>
      </c>
      <c r="AS494" s="269">
        <v>14</v>
      </c>
      <c r="AT494" s="288"/>
      <c r="AU494" s="92" t="str">
        <v/>
      </c>
      <c r="AV494" s="268" t="str">
        <v/>
      </c>
      <c r="AW494" s="268" t="str">
        <v/>
      </c>
      <c r="AX494" s="269" t="str">
        <v/>
      </c>
      <c r="AZ494" s="92" t="str">
        <v/>
      </c>
      <c r="BA494" s="268" t="str">
        <v/>
      </c>
      <c r="BB494" s="268" t="str">
        <v/>
      </c>
      <c r="BC494" s="269" t="str">
        <v/>
      </c>
      <c r="BE494" s="92" t="str">
        <v/>
      </c>
      <c r="BF494" s="268" t="str">
        <v/>
      </c>
      <c r="BG494" s="268" t="str">
        <v/>
      </c>
      <c r="BH494" s="269" t="str">
        <v/>
      </c>
      <c r="BI494" s="288"/>
      <c r="BJ494" s="92" t="str">
        <v/>
      </c>
      <c r="BK494" s="268" t="str">
        <v/>
      </c>
      <c r="BL494" s="268" t="str">
        <v/>
      </c>
      <c r="BM494" s="269" t="str">
        <v/>
      </c>
      <c r="BO494" s="92" t="str">
        <v/>
      </c>
      <c r="BP494" s="268" t="str">
        <v/>
      </c>
      <c r="BQ494" s="268" t="str">
        <v/>
      </c>
      <c r="BR494" s="269" t="str">
        <v/>
      </c>
      <c r="BT494" s="92" t="str">
        <v/>
      </c>
      <c r="BU494" s="268" t="str">
        <v/>
      </c>
      <c r="BV494" s="268" t="str">
        <v/>
      </c>
      <c r="BW494" s="269" t="str">
        <v/>
      </c>
      <c r="BX494" s="288"/>
      <c r="CM494" s="96"/>
    </row>
    <row r="495" spans="1:91">
      <c r="A495" s="285"/>
      <c r="B495" s="92">
        <v>90</v>
      </c>
      <c r="C495" s="268">
        <v>75</v>
      </c>
      <c r="D495" s="268">
        <v>1015</v>
      </c>
      <c r="E495" s="269">
        <v>14</v>
      </c>
      <c r="G495" s="92">
        <v>90</v>
      </c>
      <c r="H495" s="268">
        <v>75</v>
      </c>
      <c r="I495" s="268">
        <v>775</v>
      </c>
      <c r="J495" s="269">
        <v>14</v>
      </c>
      <c r="L495" s="92" t="str">
        <v/>
      </c>
      <c r="M495" s="268" t="str">
        <v/>
      </c>
      <c r="N495" s="268" t="str">
        <v/>
      </c>
      <c r="O495" s="269" t="str">
        <v/>
      </c>
      <c r="Q495" s="92" t="str">
        <v/>
      </c>
      <c r="R495" s="268" t="str">
        <v/>
      </c>
      <c r="S495" s="268" t="str">
        <v/>
      </c>
      <c r="T495" s="269" t="str">
        <v/>
      </c>
      <c r="V495" s="92" t="str">
        <v/>
      </c>
      <c r="W495" s="268" t="str">
        <v/>
      </c>
      <c r="X495" s="268" t="str">
        <v/>
      </c>
      <c r="Y495" s="269" t="str">
        <v/>
      </c>
      <c r="AA495" s="92" t="str">
        <v/>
      </c>
      <c r="AB495" s="268" t="str">
        <v/>
      </c>
      <c r="AC495" s="268" t="str">
        <v/>
      </c>
      <c r="AD495" s="269" t="str">
        <v/>
      </c>
      <c r="AF495" s="92" t="str">
        <v/>
      </c>
      <c r="AG495" s="268" t="str">
        <v/>
      </c>
      <c r="AH495" s="268" t="str">
        <v/>
      </c>
      <c r="AI495" s="269" t="str">
        <v/>
      </c>
      <c r="AK495" s="92" t="str">
        <v/>
      </c>
      <c r="AL495" s="268" t="str">
        <v/>
      </c>
      <c r="AM495" s="268" t="str">
        <v/>
      </c>
      <c r="AN495" s="269" t="str">
        <v/>
      </c>
      <c r="AP495" s="92" t="str">
        <v/>
      </c>
      <c r="AQ495" s="268" t="str">
        <v/>
      </c>
      <c r="AR495" s="268" t="str">
        <v/>
      </c>
      <c r="AS495" s="269" t="str">
        <v/>
      </c>
      <c r="AT495" s="288"/>
      <c r="AU495" s="92" t="str">
        <v/>
      </c>
      <c r="AV495" s="268" t="str">
        <v/>
      </c>
      <c r="AW495" s="268" t="str">
        <v/>
      </c>
      <c r="AX495" s="269" t="str">
        <v/>
      </c>
      <c r="AZ495" s="92" t="str">
        <v/>
      </c>
      <c r="BA495" s="268" t="str">
        <v/>
      </c>
      <c r="BB495" s="268" t="str">
        <v/>
      </c>
      <c r="BC495" s="269" t="str">
        <v/>
      </c>
      <c r="BE495" s="92" t="str">
        <v/>
      </c>
      <c r="BF495" s="268" t="str">
        <v/>
      </c>
      <c r="BG495" s="268" t="str">
        <v/>
      </c>
      <c r="BH495" s="269" t="str">
        <v/>
      </c>
      <c r="BI495" s="288"/>
      <c r="BJ495" s="92" t="str">
        <v/>
      </c>
      <c r="BK495" s="268" t="str">
        <v/>
      </c>
      <c r="BL495" s="268" t="str">
        <v/>
      </c>
      <c r="BM495" s="269" t="str">
        <v/>
      </c>
      <c r="BO495" s="92" t="str">
        <v/>
      </c>
      <c r="BP495" s="268" t="str">
        <v/>
      </c>
      <c r="BQ495" s="268" t="str">
        <v/>
      </c>
      <c r="BR495" s="269" t="str">
        <v/>
      </c>
      <c r="BT495" s="92" t="str">
        <v/>
      </c>
      <c r="BU495" s="268" t="str">
        <v/>
      </c>
      <c r="BV495" s="268" t="str">
        <v/>
      </c>
      <c r="BW495" s="269" t="str">
        <v/>
      </c>
      <c r="BX495" s="288"/>
      <c r="CM495" s="96"/>
    </row>
    <row r="496" spans="1:91">
      <c r="A496" s="285"/>
      <c r="B496" s="92">
        <v>90</v>
      </c>
      <c r="C496" s="268">
        <v>118</v>
      </c>
      <c r="D496" s="268">
        <v>1025</v>
      </c>
      <c r="E496" s="269">
        <v>14</v>
      </c>
      <c r="G496" s="92">
        <v>90</v>
      </c>
      <c r="H496" s="268">
        <v>118</v>
      </c>
      <c r="I496" s="268">
        <v>785</v>
      </c>
      <c r="J496" s="269">
        <v>14</v>
      </c>
      <c r="L496" s="92" t="str">
        <v/>
      </c>
      <c r="M496" s="268" t="str">
        <v/>
      </c>
      <c r="N496" s="268" t="str">
        <v/>
      </c>
      <c r="O496" s="269" t="str">
        <v/>
      </c>
      <c r="Q496" s="92" t="str">
        <v/>
      </c>
      <c r="R496" s="268" t="str">
        <v/>
      </c>
      <c r="S496" s="268" t="str">
        <v/>
      </c>
      <c r="T496" s="269" t="str">
        <v/>
      </c>
      <c r="V496" s="92" t="str">
        <v/>
      </c>
      <c r="W496" s="268" t="str">
        <v/>
      </c>
      <c r="X496" s="268" t="str">
        <v/>
      </c>
      <c r="Y496" s="269" t="str">
        <v/>
      </c>
      <c r="AA496" s="92" t="str">
        <v/>
      </c>
      <c r="AB496" s="268" t="str">
        <v/>
      </c>
      <c r="AC496" s="268" t="str">
        <v/>
      </c>
      <c r="AD496" s="269" t="str">
        <v/>
      </c>
      <c r="AF496" s="92" t="str">
        <v/>
      </c>
      <c r="AG496" s="268" t="str">
        <v/>
      </c>
      <c r="AH496" s="268" t="str">
        <v/>
      </c>
      <c r="AI496" s="269" t="str">
        <v/>
      </c>
      <c r="AK496" s="92" t="str">
        <v/>
      </c>
      <c r="AL496" s="268" t="str">
        <v/>
      </c>
      <c r="AM496" s="268" t="str">
        <v/>
      </c>
      <c r="AN496" s="269" t="str">
        <v/>
      </c>
      <c r="AP496" s="92" t="str">
        <v/>
      </c>
      <c r="AQ496" s="268" t="str">
        <v/>
      </c>
      <c r="AR496" s="268" t="str">
        <v/>
      </c>
      <c r="AS496" s="269" t="str">
        <v/>
      </c>
      <c r="AT496" s="288"/>
      <c r="AU496" s="92" t="str">
        <v/>
      </c>
      <c r="AV496" s="268" t="str">
        <v/>
      </c>
      <c r="AW496" s="268" t="str">
        <v/>
      </c>
      <c r="AX496" s="269" t="str">
        <v/>
      </c>
      <c r="AZ496" s="92" t="str">
        <v/>
      </c>
      <c r="BA496" s="268" t="str">
        <v/>
      </c>
      <c r="BB496" s="268" t="str">
        <v/>
      </c>
      <c r="BC496" s="269" t="str">
        <v/>
      </c>
      <c r="BE496" s="92" t="str">
        <v/>
      </c>
      <c r="BF496" s="268" t="str">
        <v/>
      </c>
      <c r="BG496" s="268" t="str">
        <v/>
      </c>
      <c r="BH496" s="269" t="str">
        <v/>
      </c>
      <c r="BI496" s="288"/>
      <c r="BJ496" s="92" t="str">
        <v/>
      </c>
      <c r="BK496" s="268" t="str">
        <v/>
      </c>
      <c r="BL496" s="268" t="str">
        <v/>
      </c>
      <c r="BM496" s="269" t="str">
        <v/>
      </c>
      <c r="BO496" s="92" t="str">
        <v/>
      </c>
      <c r="BP496" s="268" t="str">
        <v/>
      </c>
      <c r="BQ496" s="268" t="str">
        <v/>
      </c>
      <c r="BR496" s="269" t="str">
        <v/>
      </c>
      <c r="BT496" s="92" t="str">
        <v/>
      </c>
      <c r="BU496" s="268" t="str">
        <v/>
      </c>
      <c r="BV496" s="268" t="str">
        <v/>
      </c>
      <c r="BW496" s="269" t="str">
        <v/>
      </c>
      <c r="BX496" s="288"/>
      <c r="CM496" s="96"/>
    </row>
    <row r="497" spans="1:91">
      <c r="A497" s="285"/>
      <c r="B497" s="92">
        <v>90</v>
      </c>
      <c r="C497" s="268">
        <v>32</v>
      </c>
      <c r="D497" s="268">
        <v>1025</v>
      </c>
      <c r="E497" s="269">
        <v>14</v>
      </c>
      <c r="G497" s="92">
        <v>90</v>
      </c>
      <c r="H497" s="268">
        <v>32</v>
      </c>
      <c r="I497" s="268">
        <v>785</v>
      </c>
      <c r="J497" s="269">
        <v>14</v>
      </c>
      <c r="L497" s="92" t="str">
        <v/>
      </c>
      <c r="M497" s="268" t="str">
        <v/>
      </c>
      <c r="N497" s="268" t="str">
        <v/>
      </c>
      <c r="O497" s="269" t="str">
        <v/>
      </c>
      <c r="Q497" s="92" t="str">
        <v/>
      </c>
      <c r="R497" s="268" t="str">
        <v/>
      </c>
      <c r="S497" s="268" t="str">
        <v/>
      </c>
      <c r="T497" s="269" t="str">
        <v/>
      </c>
      <c r="V497" s="92" t="str">
        <v/>
      </c>
      <c r="W497" s="268" t="str">
        <v/>
      </c>
      <c r="X497" s="268" t="str">
        <v/>
      </c>
      <c r="Y497" s="269" t="str">
        <v/>
      </c>
      <c r="AA497" s="92" t="str">
        <v/>
      </c>
      <c r="AB497" s="268" t="str">
        <v/>
      </c>
      <c r="AC497" s="268" t="str">
        <v/>
      </c>
      <c r="AD497" s="269" t="str">
        <v/>
      </c>
      <c r="AF497" s="92" t="str">
        <v/>
      </c>
      <c r="AG497" s="268" t="str">
        <v/>
      </c>
      <c r="AH497" s="268" t="str">
        <v/>
      </c>
      <c r="AI497" s="269" t="str">
        <v/>
      </c>
      <c r="AK497" s="92" t="str">
        <v/>
      </c>
      <c r="AL497" s="268" t="str">
        <v/>
      </c>
      <c r="AM497" s="268" t="str">
        <v/>
      </c>
      <c r="AN497" s="269" t="str">
        <v/>
      </c>
      <c r="AP497" s="92" t="str">
        <v/>
      </c>
      <c r="AQ497" s="268" t="str">
        <v/>
      </c>
      <c r="AR497" s="268" t="str">
        <v/>
      </c>
      <c r="AS497" s="269" t="str">
        <v/>
      </c>
      <c r="AT497" s="288"/>
      <c r="AU497" s="92" t="str">
        <v/>
      </c>
      <c r="AV497" s="268" t="str">
        <v/>
      </c>
      <c r="AW497" s="268" t="str">
        <v/>
      </c>
      <c r="AX497" s="269" t="str">
        <v/>
      </c>
      <c r="AZ497" s="92" t="str">
        <v/>
      </c>
      <c r="BA497" s="268" t="str">
        <v/>
      </c>
      <c r="BB497" s="268" t="str">
        <v/>
      </c>
      <c r="BC497" s="269" t="str">
        <v/>
      </c>
      <c r="BE497" s="92" t="str">
        <v/>
      </c>
      <c r="BF497" s="268" t="str">
        <v/>
      </c>
      <c r="BG497" s="268" t="str">
        <v/>
      </c>
      <c r="BH497" s="269" t="str">
        <v/>
      </c>
      <c r="BI497" s="288"/>
      <c r="BJ497" s="92" t="str">
        <v/>
      </c>
      <c r="BK497" s="268" t="str">
        <v/>
      </c>
      <c r="BL497" s="268" t="str">
        <v/>
      </c>
      <c r="BM497" s="269" t="str">
        <v/>
      </c>
      <c r="BO497" s="92" t="str">
        <v/>
      </c>
      <c r="BP497" s="268" t="str">
        <v/>
      </c>
      <c r="BQ497" s="268" t="str">
        <v/>
      </c>
      <c r="BR497" s="269" t="str">
        <v/>
      </c>
      <c r="BT497" s="92" t="str">
        <v/>
      </c>
      <c r="BU497" s="268" t="str">
        <v/>
      </c>
      <c r="BV497" s="268" t="str">
        <v/>
      </c>
      <c r="BW497" s="269" t="str">
        <v/>
      </c>
      <c r="BX497" s="288"/>
      <c r="CM497" s="96"/>
    </row>
    <row r="498" spans="1:91">
      <c r="A498" s="285"/>
      <c r="B498" s="92" t="str">
        <v/>
      </c>
      <c r="C498" s="268" t="str">
        <v/>
      </c>
      <c r="D498" s="268" t="str">
        <v/>
      </c>
      <c r="E498" s="269" t="str">
        <v/>
      </c>
      <c r="G498" s="92" t="str">
        <v/>
      </c>
      <c r="H498" s="268" t="str">
        <v/>
      </c>
      <c r="I498" s="268" t="str">
        <v/>
      </c>
      <c r="J498" s="269" t="str">
        <v/>
      </c>
      <c r="L498" s="92" t="str">
        <v/>
      </c>
      <c r="M498" s="268" t="str">
        <v/>
      </c>
      <c r="N498" s="268" t="str">
        <v/>
      </c>
      <c r="O498" s="269" t="str">
        <v/>
      </c>
      <c r="Q498" s="92" t="str">
        <v/>
      </c>
      <c r="R498" s="268" t="str">
        <v/>
      </c>
      <c r="S498" s="268" t="str">
        <v/>
      </c>
      <c r="T498" s="269" t="str">
        <v/>
      </c>
      <c r="V498" s="92" t="str">
        <v/>
      </c>
      <c r="W498" s="268" t="str">
        <v/>
      </c>
      <c r="X498" s="268" t="str">
        <v/>
      </c>
      <c r="Y498" s="269" t="str">
        <v/>
      </c>
      <c r="AA498" s="92" t="str">
        <v/>
      </c>
      <c r="AB498" s="268" t="str">
        <v/>
      </c>
      <c r="AC498" s="268" t="str">
        <v/>
      </c>
      <c r="AD498" s="269" t="str">
        <v/>
      </c>
      <c r="AF498" s="92" t="str">
        <v/>
      </c>
      <c r="AG498" s="268" t="str">
        <v/>
      </c>
      <c r="AH498" s="268" t="str">
        <v/>
      </c>
      <c r="AI498" s="269" t="str">
        <v/>
      </c>
      <c r="AK498" s="92" t="str">
        <v/>
      </c>
      <c r="AL498" s="268" t="str">
        <v/>
      </c>
      <c r="AM498" s="268" t="str">
        <v/>
      </c>
      <c r="AN498" s="269" t="str">
        <v/>
      </c>
      <c r="AP498" s="92" t="str">
        <v/>
      </c>
      <c r="AQ498" s="268" t="str">
        <v/>
      </c>
      <c r="AR498" s="268" t="str">
        <v/>
      </c>
      <c r="AS498" s="269" t="str">
        <v/>
      </c>
      <c r="AT498" s="288"/>
      <c r="AU498" s="92" t="str">
        <v/>
      </c>
      <c r="AV498" s="268" t="str">
        <v/>
      </c>
      <c r="AW498" s="268" t="str">
        <v/>
      </c>
      <c r="AX498" s="269" t="str">
        <v/>
      </c>
      <c r="AZ498" s="92" t="str">
        <v/>
      </c>
      <c r="BA498" s="268" t="str">
        <v/>
      </c>
      <c r="BB498" s="268" t="str">
        <v/>
      </c>
      <c r="BC498" s="269" t="str">
        <v/>
      </c>
      <c r="BE498" s="92" t="str">
        <v/>
      </c>
      <c r="BF498" s="268" t="str">
        <v/>
      </c>
      <c r="BG498" s="268" t="str">
        <v/>
      </c>
      <c r="BH498" s="269" t="str">
        <v/>
      </c>
      <c r="BI498" s="288"/>
      <c r="BJ498" s="92" t="str">
        <v/>
      </c>
      <c r="BK498" s="268" t="str">
        <v/>
      </c>
      <c r="BL498" s="268" t="str">
        <v/>
      </c>
      <c r="BM498" s="269" t="str">
        <v/>
      </c>
      <c r="BO498" s="92" t="str">
        <v/>
      </c>
      <c r="BP498" s="268" t="str">
        <v/>
      </c>
      <c r="BQ498" s="268" t="str">
        <v/>
      </c>
      <c r="BR498" s="269" t="str">
        <v/>
      </c>
      <c r="BT498" s="92" t="str">
        <v/>
      </c>
      <c r="BU498" s="268" t="str">
        <v/>
      </c>
      <c r="BV498" s="268" t="str">
        <v/>
      </c>
      <c r="BW498" s="269" t="str">
        <v/>
      </c>
      <c r="BX498" s="288"/>
      <c r="CM498" s="96"/>
    </row>
    <row r="499" spans="1:91">
      <c r="A499" s="285"/>
      <c r="B499" s="92" t="str">
        <v/>
      </c>
      <c r="C499" s="268" t="str">
        <v/>
      </c>
      <c r="D499" s="268" t="str">
        <v/>
      </c>
      <c r="E499" s="269" t="str">
        <v/>
      </c>
      <c r="G499" s="92" t="str">
        <v/>
      </c>
      <c r="H499" s="268" t="str">
        <v/>
      </c>
      <c r="I499" s="268" t="str">
        <v/>
      </c>
      <c r="J499" s="269" t="str">
        <v/>
      </c>
      <c r="L499" s="92" t="str">
        <v/>
      </c>
      <c r="M499" s="268" t="str">
        <v/>
      </c>
      <c r="N499" s="268" t="str">
        <v/>
      </c>
      <c r="O499" s="269" t="str">
        <v/>
      </c>
      <c r="Q499" s="92" t="str">
        <v/>
      </c>
      <c r="R499" s="268" t="str">
        <v/>
      </c>
      <c r="S499" s="268" t="str">
        <v/>
      </c>
      <c r="T499" s="269" t="str">
        <v/>
      </c>
      <c r="V499" s="92" t="str">
        <v/>
      </c>
      <c r="W499" s="268" t="str">
        <v/>
      </c>
      <c r="X499" s="268" t="str">
        <v/>
      </c>
      <c r="Y499" s="269" t="str">
        <v/>
      </c>
      <c r="AA499" s="92" t="str">
        <v/>
      </c>
      <c r="AB499" s="268" t="str">
        <v/>
      </c>
      <c r="AC499" s="268" t="str">
        <v/>
      </c>
      <c r="AD499" s="269" t="str">
        <v/>
      </c>
      <c r="AF499" s="92" t="str">
        <v/>
      </c>
      <c r="AG499" s="268" t="str">
        <v/>
      </c>
      <c r="AH499" s="268" t="str">
        <v/>
      </c>
      <c r="AI499" s="269" t="str">
        <v/>
      </c>
      <c r="AK499" s="92" t="str">
        <v/>
      </c>
      <c r="AL499" s="268" t="str">
        <v/>
      </c>
      <c r="AM499" s="268" t="str">
        <v/>
      </c>
      <c r="AN499" s="269" t="str">
        <v/>
      </c>
      <c r="AP499" s="92" t="str">
        <v/>
      </c>
      <c r="AQ499" s="268" t="str">
        <v/>
      </c>
      <c r="AR499" s="268" t="str">
        <v/>
      </c>
      <c r="AS499" s="269" t="str">
        <v/>
      </c>
      <c r="AT499" s="288"/>
      <c r="AU499" s="92" t="str">
        <v/>
      </c>
      <c r="AV499" s="268" t="str">
        <v/>
      </c>
      <c r="AW499" s="268" t="str">
        <v/>
      </c>
      <c r="AX499" s="269" t="str">
        <v/>
      </c>
      <c r="AZ499" s="92" t="str">
        <v/>
      </c>
      <c r="BA499" s="268" t="str">
        <v/>
      </c>
      <c r="BB499" s="268" t="str">
        <v/>
      </c>
      <c r="BC499" s="269" t="str">
        <v/>
      </c>
      <c r="BE499" s="92" t="str">
        <v/>
      </c>
      <c r="BF499" s="268" t="str">
        <v/>
      </c>
      <c r="BG499" s="268" t="str">
        <v/>
      </c>
      <c r="BH499" s="269" t="str">
        <v/>
      </c>
      <c r="BI499" s="288"/>
      <c r="BJ499" s="92" t="str">
        <v/>
      </c>
      <c r="BK499" s="268" t="str">
        <v/>
      </c>
      <c r="BL499" s="268" t="str">
        <v/>
      </c>
      <c r="BM499" s="269" t="str">
        <v/>
      </c>
      <c r="BO499" s="92" t="str">
        <v/>
      </c>
      <c r="BP499" s="268" t="str">
        <v/>
      </c>
      <c r="BQ499" s="268" t="str">
        <v/>
      </c>
      <c r="BR499" s="269" t="str">
        <v/>
      </c>
      <c r="BT499" s="92" t="str">
        <v/>
      </c>
      <c r="BU499" s="268" t="str">
        <v/>
      </c>
      <c r="BV499" s="268" t="str">
        <v/>
      </c>
      <c r="BW499" s="269" t="str">
        <v/>
      </c>
      <c r="BX499" s="288"/>
      <c r="CM499" s="96"/>
    </row>
    <row r="500" spans="1:91">
      <c r="A500" s="285"/>
      <c r="B500" s="92" t="str">
        <v/>
      </c>
      <c r="C500" s="268" t="str">
        <v/>
      </c>
      <c r="D500" s="268" t="str">
        <v/>
      </c>
      <c r="E500" s="269" t="str">
        <v/>
      </c>
      <c r="G500" s="92" t="str">
        <v/>
      </c>
      <c r="H500" s="268" t="str">
        <v/>
      </c>
      <c r="I500" s="268" t="str">
        <v/>
      </c>
      <c r="J500" s="269" t="str">
        <v/>
      </c>
      <c r="L500" s="92" t="str">
        <v/>
      </c>
      <c r="M500" s="268" t="str">
        <v/>
      </c>
      <c r="N500" s="268" t="str">
        <v/>
      </c>
      <c r="O500" s="269" t="str">
        <v/>
      </c>
      <c r="Q500" s="92" t="str">
        <v/>
      </c>
      <c r="R500" s="268" t="str">
        <v/>
      </c>
      <c r="S500" s="268" t="str">
        <v/>
      </c>
      <c r="T500" s="269" t="str">
        <v/>
      </c>
      <c r="V500" s="92" t="str">
        <v/>
      </c>
      <c r="W500" s="268" t="str">
        <v/>
      </c>
      <c r="X500" s="268" t="str">
        <v/>
      </c>
      <c r="Y500" s="269" t="str">
        <v/>
      </c>
      <c r="AA500" s="92" t="str">
        <v/>
      </c>
      <c r="AB500" s="268" t="str">
        <v/>
      </c>
      <c r="AC500" s="268" t="str">
        <v/>
      </c>
      <c r="AD500" s="269" t="str">
        <v/>
      </c>
      <c r="AF500" s="92" t="str">
        <v/>
      </c>
      <c r="AG500" s="268" t="str">
        <v/>
      </c>
      <c r="AH500" s="268" t="str">
        <v/>
      </c>
      <c r="AI500" s="269" t="str">
        <v/>
      </c>
      <c r="AK500" s="92" t="str">
        <v/>
      </c>
      <c r="AL500" s="268" t="str">
        <v/>
      </c>
      <c r="AM500" s="268" t="str">
        <v/>
      </c>
      <c r="AN500" s="269" t="str">
        <v/>
      </c>
      <c r="AP500" s="92" t="str">
        <v/>
      </c>
      <c r="AQ500" s="268" t="str">
        <v/>
      </c>
      <c r="AR500" s="268" t="str">
        <v/>
      </c>
      <c r="AS500" s="269" t="str">
        <v/>
      </c>
      <c r="AT500" s="288"/>
      <c r="AU500" s="92" t="str">
        <v/>
      </c>
      <c r="AV500" s="268" t="str">
        <v/>
      </c>
      <c r="AW500" s="268" t="str">
        <v/>
      </c>
      <c r="AX500" s="269" t="str">
        <v/>
      </c>
      <c r="AZ500" s="92" t="str">
        <v/>
      </c>
      <c r="BA500" s="268" t="str">
        <v/>
      </c>
      <c r="BB500" s="268" t="str">
        <v/>
      </c>
      <c r="BC500" s="269" t="str">
        <v/>
      </c>
      <c r="BE500" s="92" t="str">
        <v/>
      </c>
      <c r="BF500" s="268" t="str">
        <v/>
      </c>
      <c r="BG500" s="268" t="str">
        <v/>
      </c>
      <c r="BH500" s="269" t="str">
        <v/>
      </c>
      <c r="BI500" s="288"/>
      <c r="BJ500" s="92" t="str">
        <v/>
      </c>
      <c r="BK500" s="268" t="str">
        <v/>
      </c>
      <c r="BL500" s="268" t="str">
        <v/>
      </c>
      <c r="BM500" s="269" t="str">
        <v/>
      </c>
      <c r="BO500" s="92" t="str">
        <v/>
      </c>
      <c r="BP500" s="268" t="str">
        <v/>
      </c>
      <c r="BQ500" s="268" t="str">
        <v/>
      </c>
      <c r="BR500" s="269" t="str">
        <v/>
      </c>
      <c r="BT500" s="92" t="str">
        <v/>
      </c>
      <c r="BU500" s="268" t="str">
        <v/>
      </c>
      <c r="BV500" s="268" t="str">
        <v/>
      </c>
      <c r="BW500" s="269" t="str">
        <v/>
      </c>
      <c r="BX500" s="288"/>
      <c r="CM500" s="96"/>
    </row>
    <row r="501" spans="1:91">
      <c r="A501" s="285"/>
      <c r="B501" s="92" t="str">
        <v/>
      </c>
      <c r="C501" s="268" t="str">
        <v/>
      </c>
      <c r="D501" s="268" t="str">
        <v/>
      </c>
      <c r="E501" s="269" t="str">
        <v/>
      </c>
      <c r="G501" s="92" t="str">
        <v/>
      </c>
      <c r="H501" s="268" t="str">
        <v/>
      </c>
      <c r="I501" s="268" t="str">
        <v/>
      </c>
      <c r="J501" s="269" t="str">
        <v/>
      </c>
      <c r="L501" s="92" t="str">
        <v/>
      </c>
      <c r="M501" s="268" t="str">
        <v/>
      </c>
      <c r="N501" s="268" t="str">
        <v/>
      </c>
      <c r="O501" s="269" t="str">
        <v/>
      </c>
      <c r="Q501" s="92" t="str">
        <v/>
      </c>
      <c r="R501" s="268" t="str">
        <v/>
      </c>
      <c r="S501" s="268" t="str">
        <v/>
      </c>
      <c r="T501" s="269" t="str">
        <v/>
      </c>
      <c r="V501" s="92" t="str">
        <v/>
      </c>
      <c r="W501" s="268" t="str">
        <v/>
      </c>
      <c r="X501" s="268" t="str">
        <v/>
      </c>
      <c r="Y501" s="269" t="str">
        <v/>
      </c>
      <c r="AA501" s="92" t="str">
        <v/>
      </c>
      <c r="AB501" s="268" t="str">
        <v/>
      </c>
      <c r="AC501" s="268" t="str">
        <v/>
      </c>
      <c r="AD501" s="269" t="str">
        <v/>
      </c>
      <c r="AF501" s="92" t="str">
        <v/>
      </c>
      <c r="AG501" s="268" t="str">
        <v/>
      </c>
      <c r="AH501" s="268" t="str">
        <v/>
      </c>
      <c r="AI501" s="269" t="str">
        <v/>
      </c>
      <c r="AK501" s="92" t="str">
        <v/>
      </c>
      <c r="AL501" s="268" t="str">
        <v/>
      </c>
      <c r="AM501" s="268" t="str">
        <v/>
      </c>
      <c r="AN501" s="269" t="str">
        <v/>
      </c>
      <c r="AP501" s="92" t="str">
        <v/>
      </c>
      <c r="AQ501" s="268" t="str">
        <v/>
      </c>
      <c r="AR501" s="268" t="str">
        <v/>
      </c>
      <c r="AS501" s="269" t="str">
        <v/>
      </c>
      <c r="AT501" s="288"/>
      <c r="AU501" s="92" t="str">
        <v/>
      </c>
      <c r="AV501" s="268" t="str">
        <v/>
      </c>
      <c r="AW501" s="268" t="str">
        <v/>
      </c>
      <c r="AX501" s="269" t="str">
        <v/>
      </c>
      <c r="AZ501" s="92" t="str">
        <v/>
      </c>
      <c r="BA501" s="268" t="str">
        <v/>
      </c>
      <c r="BB501" s="268" t="str">
        <v/>
      </c>
      <c r="BC501" s="269" t="str">
        <v/>
      </c>
      <c r="BE501" s="92" t="str">
        <v/>
      </c>
      <c r="BF501" s="268" t="str">
        <v/>
      </c>
      <c r="BG501" s="268" t="str">
        <v/>
      </c>
      <c r="BH501" s="269" t="str">
        <v/>
      </c>
      <c r="BI501" s="288"/>
      <c r="BJ501" s="92" t="str">
        <v/>
      </c>
      <c r="BK501" s="268" t="str">
        <v/>
      </c>
      <c r="BL501" s="268" t="str">
        <v/>
      </c>
      <c r="BM501" s="269" t="str">
        <v/>
      </c>
      <c r="BO501" s="92" t="str">
        <v/>
      </c>
      <c r="BP501" s="268" t="str">
        <v/>
      </c>
      <c r="BQ501" s="268" t="str">
        <v/>
      </c>
      <c r="BR501" s="269" t="str">
        <v/>
      </c>
      <c r="BT501" s="92" t="str">
        <v/>
      </c>
      <c r="BU501" s="268" t="str">
        <v/>
      </c>
      <c r="BV501" s="268" t="str">
        <v/>
      </c>
      <c r="BW501" s="269" t="str">
        <v/>
      </c>
      <c r="BX501" s="288"/>
      <c r="CM501" s="96"/>
    </row>
    <row r="502" spans="1:91">
      <c r="A502" s="285"/>
      <c r="B502" s="92" t="str">
        <v/>
      </c>
      <c r="C502" s="268" t="str">
        <v/>
      </c>
      <c r="D502" s="268" t="str">
        <v/>
      </c>
      <c r="E502" s="269" t="str">
        <v/>
      </c>
      <c r="G502" s="92" t="str">
        <v/>
      </c>
      <c r="H502" s="268" t="str">
        <v/>
      </c>
      <c r="I502" s="268" t="str">
        <v/>
      </c>
      <c r="J502" s="269" t="str">
        <v/>
      </c>
      <c r="L502" s="92" t="str">
        <v/>
      </c>
      <c r="M502" s="268" t="str">
        <v/>
      </c>
      <c r="N502" s="268" t="str">
        <v/>
      </c>
      <c r="O502" s="269" t="str">
        <v/>
      </c>
      <c r="Q502" s="92" t="str">
        <v/>
      </c>
      <c r="R502" s="268" t="str">
        <v/>
      </c>
      <c r="S502" s="268" t="str">
        <v/>
      </c>
      <c r="T502" s="269" t="str">
        <v/>
      </c>
      <c r="V502" s="92" t="str">
        <v/>
      </c>
      <c r="W502" s="268" t="str">
        <v/>
      </c>
      <c r="X502" s="268" t="str">
        <v/>
      </c>
      <c r="Y502" s="269" t="str">
        <v/>
      </c>
      <c r="AA502" s="92" t="str">
        <v/>
      </c>
      <c r="AB502" s="268" t="str">
        <v/>
      </c>
      <c r="AC502" s="268" t="str">
        <v/>
      </c>
      <c r="AD502" s="269" t="str">
        <v/>
      </c>
      <c r="AF502" s="92" t="str">
        <v/>
      </c>
      <c r="AG502" s="268" t="str">
        <v/>
      </c>
      <c r="AH502" s="268" t="str">
        <v/>
      </c>
      <c r="AI502" s="269" t="str">
        <v/>
      </c>
      <c r="AK502" s="92" t="str">
        <v/>
      </c>
      <c r="AL502" s="268" t="str">
        <v/>
      </c>
      <c r="AM502" s="268" t="str">
        <v/>
      </c>
      <c r="AN502" s="269" t="str">
        <v/>
      </c>
      <c r="AP502" s="92" t="str">
        <v/>
      </c>
      <c r="AQ502" s="268" t="str">
        <v/>
      </c>
      <c r="AR502" s="268" t="str">
        <v/>
      </c>
      <c r="AS502" s="269" t="str">
        <v/>
      </c>
      <c r="AT502" s="288"/>
      <c r="AU502" s="92" t="str">
        <v/>
      </c>
      <c r="AV502" s="268" t="str">
        <v/>
      </c>
      <c r="AW502" s="268" t="str">
        <v/>
      </c>
      <c r="AX502" s="269" t="str">
        <v/>
      </c>
      <c r="AZ502" s="92" t="str">
        <v/>
      </c>
      <c r="BA502" s="268" t="str">
        <v/>
      </c>
      <c r="BB502" s="268" t="str">
        <v/>
      </c>
      <c r="BC502" s="269" t="str">
        <v/>
      </c>
      <c r="BE502" s="92" t="str">
        <v/>
      </c>
      <c r="BF502" s="268" t="str">
        <v/>
      </c>
      <c r="BG502" s="268" t="str">
        <v/>
      </c>
      <c r="BH502" s="269" t="str">
        <v/>
      </c>
      <c r="BI502" s="288"/>
      <c r="BJ502" s="92" t="str">
        <v/>
      </c>
      <c r="BK502" s="268" t="str">
        <v/>
      </c>
      <c r="BL502" s="268" t="str">
        <v/>
      </c>
      <c r="BM502" s="269" t="str">
        <v/>
      </c>
      <c r="BO502" s="92" t="str">
        <v/>
      </c>
      <c r="BP502" s="268" t="str">
        <v/>
      </c>
      <c r="BQ502" s="268" t="str">
        <v/>
      </c>
      <c r="BR502" s="269" t="str">
        <v/>
      </c>
      <c r="BT502" s="92" t="str">
        <v/>
      </c>
      <c r="BU502" s="268" t="str">
        <v/>
      </c>
      <c r="BV502" s="268" t="str">
        <v/>
      </c>
      <c r="BW502" s="269" t="str">
        <v/>
      </c>
      <c r="BX502" s="288"/>
      <c r="CM502" s="96"/>
    </row>
    <row r="503" spans="1:91">
      <c r="A503" s="285"/>
      <c r="B503" s="92" t="str">
        <v/>
      </c>
      <c r="C503" s="268" t="str">
        <v/>
      </c>
      <c r="D503" s="268" t="str">
        <v/>
      </c>
      <c r="E503" s="269" t="str">
        <v/>
      </c>
      <c r="G503" s="92" t="str">
        <v/>
      </c>
      <c r="H503" s="268" t="str">
        <v/>
      </c>
      <c r="I503" s="268" t="str">
        <v/>
      </c>
      <c r="J503" s="269" t="str">
        <v/>
      </c>
      <c r="L503" s="92" t="str">
        <v/>
      </c>
      <c r="M503" s="268" t="str">
        <v/>
      </c>
      <c r="N503" s="268" t="str">
        <v/>
      </c>
      <c r="O503" s="269" t="str">
        <v/>
      </c>
      <c r="Q503" s="92" t="str">
        <v/>
      </c>
      <c r="R503" s="268" t="str">
        <v/>
      </c>
      <c r="S503" s="268" t="str">
        <v/>
      </c>
      <c r="T503" s="269" t="str">
        <v/>
      </c>
      <c r="V503" s="92" t="str">
        <v/>
      </c>
      <c r="W503" s="268" t="str">
        <v/>
      </c>
      <c r="X503" s="268" t="str">
        <v/>
      </c>
      <c r="Y503" s="269" t="str">
        <v/>
      </c>
      <c r="AA503" s="92" t="str">
        <v/>
      </c>
      <c r="AB503" s="268" t="str">
        <v/>
      </c>
      <c r="AC503" s="268" t="str">
        <v/>
      </c>
      <c r="AD503" s="269" t="str">
        <v/>
      </c>
      <c r="AF503" s="92" t="str">
        <v/>
      </c>
      <c r="AG503" s="268" t="str">
        <v/>
      </c>
      <c r="AH503" s="268" t="str">
        <v/>
      </c>
      <c r="AI503" s="269" t="str">
        <v/>
      </c>
      <c r="AK503" s="92" t="str">
        <v/>
      </c>
      <c r="AL503" s="268" t="str">
        <v/>
      </c>
      <c r="AM503" s="268" t="str">
        <v/>
      </c>
      <c r="AN503" s="269" t="str">
        <v/>
      </c>
      <c r="AP503" s="92" t="str">
        <v/>
      </c>
      <c r="AQ503" s="268" t="str">
        <v/>
      </c>
      <c r="AR503" s="268" t="str">
        <v/>
      </c>
      <c r="AS503" s="269" t="str">
        <v/>
      </c>
      <c r="AT503" s="288"/>
      <c r="AU503" s="92" t="str">
        <v/>
      </c>
      <c r="AV503" s="268" t="str">
        <v/>
      </c>
      <c r="AW503" s="268" t="str">
        <v/>
      </c>
      <c r="AX503" s="269" t="str">
        <v/>
      </c>
      <c r="AZ503" s="92" t="str">
        <v/>
      </c>
      <c r="BA503" s="268" t="str">
        <v/>
      </c>
      <c r="BB503" s="268" t="str">
        <v/>
      </c>
      <c r="BC503" s="269" t="str">
        <v/>
      </c>
      <c r="BE503" s="92" t="str">
        <v/>
      </c>
      <c r="BF503" s="268" t="str">
        <v/>
      </c>
      <c r="BG503" s="268" t="str">
        <v/>
      </c>
      <c r="BH503" s="269" t="str">
        <v/>
      </c>
      <c r="BI503" s="288"/>
      <c r="BJ503" s="92" t="str">
        <v/>
      </c>
      <c r="BK503" s="268" t="str">
        <v/>
      </c>
      <c r="BL503" s="268" t="str">
        <v/>
      </c>
      <c r="BM503" s="269" t="str">
        <v/>
      </c>
      <c r="BO503" s="92" t="str">
        <v/>
      </c>
      <c r="BP503" s="268" t="str">
        <v/>
      </c>
      <c r="BQ503" s="268" t="str">
        <v/>
      </c>
      <c r="BR503" s="269" t="str">
        <v/>
      </c>
      <c r="BT503" s="92" t="str">
        <v/>
      </c>
      <c r="BU503" s="268" t="str">
        <v/>
      </c>
      <c r="BV503" s="268" t="str">
        <v/>
      </c>
      <c r="BW503" s="269" t="str">
        <v/>
      </c>
      <c r="BX503" s="288"/>
      <c r="CM503" s="96"/>
    </row>
    <row r="504" spans="1:91">
      <c r="A504" s="285"/>
      <c r="B504" s="92" t="str">
        <v/>
      </c>
      <c r="C504" s="268" t="str">
        <v/>
      </c>
      <c r="D504" s="268" t="str">
        <v/>
      </c>
      <c r="E504" s="269" t="str">
        <v/>
      </c>
      <c r="G504" s="92" t="str">
        <v/>
      </c>
      <c r="H504" s="268" t="str">
        <v/>
      </c>
      <c r="I504" s="268" t="str">
        <v/>
      </c>
      <c r="J504" s="269" t="str">
        <v/>
      </c>
      <c r="L504" s="92" t="str">
        <v/>
      </c>
      <c r="M504" s="268" t="str">
        <v/>
      </c>
      <c r="N504" s="268" t="str">
        <v/>
      </c>
      <c r="O504" s="269" t="str">
        <v/>
      </c>
      <c r="Q504" s="92" t="str">
        <v/>
      </c>
      <c r="R504" s="268" t="str">
        <v/>
      </c>
      <c r="S504" s="268" t="str">
        <v/>
      </c>
      <c r="T504" s="269" t="str">
        <v/>
      </c>
      <c r="V504" s="92" t="str">
        <v/>
      </c>
      <c r="W504" s="268" t="str">
        <v/>
      </c>
      <c r="X504" s="268" t="str">
        <v/>
      </c>
      <c r="Y504" s="269" t="str">
        <v/>
      </c>
      <c r="AA504" s="92" t="str">
        <v/>
      </c>
      <c r="AB504" s="268" t="str">
        <v/>
      </c>
      <c r="AC504" s="268" t="str">
        <v/>
      </c>
      <c r="AD504" s="269" t="str">
        <v/>
      </c>
      <c r="AF504" s="92" t="str">
        <v/>
      </c>
      <c r="AG504" s="268" t="str">
        <v/>
      </c>
      <c r="AH504" s="268" t="str">
        <v/>
      </c>
      <c r="AI504" s="269" t="str">
        <v/>
      </c>
      <c r="AK504" s="92" t="str">
        <v/>
      </c>
      <c r="AL504" s="268" t="str">
        <v/>
      </c>
      <c r="AM504" s="268" t="str">
        <v/>
      </c>
      <c r="AN504" s="269" t="str">
        <v/>
      </c>
      <c r="AP504" s="92" t="str">
        <v/>
      </c>
      <c r="AQ504" s="268" t="str">
        <v/>
      </c>
      <c r="AR504" s="268" t="str">
        <v/>
      </c>
      <c r="AS504" s="269" t="str">
        <v/>
      </c>
      <c r="AT504" s="288"/>
      <c r="AU504" s="92" t="str">
        <v/>
      </c>
      <c r="AV504" s="268" t="str">
        <v/>
      </c>
      <c r="AW504" s="268" t="str">
        <v/>
      </c>
      <c r="AX504" s="269" t="str">
        <v/>
      </c>
      <c r="AZ504" s="92" t="str">
        <v/>
      </c>
      <c r="BA504" s="268" t="str">
        <v/>
      </c>
      <c r="BB504" s="268" t="str">
        <v/>
      </c>
      <c r="BC504" s="269" t="str">
        <v/>
      </c>
      <c r="BE504" s="92" t="str">
        <v/>
      </c>
      <c r="BF504" s="268" t="str">
        <v/>
      </c>
      <c r="BG504" s="268" t="str">
        <v/>
      </c>
      <c r="BH504" s="269" t="str">
        <v/>
      </c>
      <c r="BI504" s="288"/>
      <c r="BJ504" s="92" t="str">
        <v/>
      </c>
      <c r="BK504" s="268" t="str">
        <v/>
      </c>
      <c r="BL504" s="268" t="str">
        <v/>
      </c>
      <c r="BM504" s="269" t="str">
        <v/>
      </c>
      <c r="BO504" s="92" t="str">
        <v/>
      </c>
      <c r="BP504" s="268" t="str">
        <v/>
      </c>
      <c r="BQ504" s="268" t="str">
        <v/>
      </c>
      <c r="BR504" s="269" t="str">
        <v/>
      </c>
      <c r="BT504" s="92" t="str">
        <v/>
      </c>
      <c r="BU504" s="268" t="str">
        <v/>
      </c>
      <c r="BV504" s="268" t="str">
        <v/>
      </c>
      <c r="BW504" s="269" t="str">
        <v/>
      </c>
      <c r="BX504" s="288"/>
      <c r="CM504" s="96"/>
    </row>
    <row r="505" spans="1:91">
      <c r="A505" s="285"/>
      <c r="B505" s="92" t="str">
        <v/>
      </c>
      <c r="C505" s="268" t="str">
        <v/>
      </c>
      <c r="D505" s="268" t="str">
        <v/>
      </c>
      <c r="E505" s="269" t="str">
        <v/>
      </c>
      <c r="G505" s="92" t="str">
        <v/>
      </c>
      <c r="H505" s="268" t="str">
        <v/>
      </c>
      <c r="I505" s="268" t="str">
        <v/>
      </c>
      <c r="J505" s="269" t="str">
        <v/>
      </c>
      <c r="L505" s="92" t="str">
        <v/>
      </c>
      <c r="M505" s="268" t="str">
        <v/>
      </c>
      <c r="N505" s="268" t="str">
        <v/>
      </c>
      <c r="O505" s="269" t="str">
        <v/>
      </c>
      <c r="Q505" s="92" t="str">
        <v/>
      </c>
      <c r="R505" s="268" t="str">
        <v/>
      </c>
      <c r="S505" s="268" t="str">
        <v/>
      </c>
      <c r="T505" s="269" t="str">
        <v/>
      </c>
      <c r="V505" s="92" t="str">
        <v/>
      </c>
      <c r="W505" s="268" t="str">
        <v/>
      </c>
      <c r="X505" s="268" t="str">
        <v/>
      </c>
      <c r="Y505" s="269" t="str">
        <v/>
      </c>
      <c r="AA505" s="92" t="str">
        <v/>
      </c>
      <c r="AB505" s="268" t="str">
        <v/>
      </c>
      <c r="AC505" s="268" t="str">
        <v/>
      </c>
      <c r="AD505" s="269" t="str">
        <v/>
      </c>
      <c r="AF505" s="92" t="str">
        <v/>
      </c>
      <c r="AG505" s="268" t="str">
        <v/>
      </c>
      <c r="AH505" s="268" t="str">
        <v/>
      </c>
      <c r="AI505" s="269" t="str">
        <v/>
      </c>
      <c r="AK505" s="92" t="str">
        <v/>
      </c>
      <c r="AL505" s="268" t="str">
        <v/>
      </c>
      <c r="AM505" s="268" t="str">
        <v/>
      </c>
      <c r="AN505" s="269" t="str">
        <v/>
      </c>
      <c r="AP505" s="92" t="str">
        <v/>
      </c>
      <c r="AQ505" s="268" t="str">
        <v/>
      </c>
      <c r="AR505" s="268" t="str">
        <v/>
      </c>
      <c r="AS505" s="269" t="str">
        <v/>
      </c>
      <c r="AT505" s="288"/>
      <c r="AU505" s="92" t="str">
        <v/>
      </c>
      <c r="AV505" s="268" t="str">
        <v/>
      </c>
      <c r="AW505" s="268" t="str">
        <v/>
      </c>
      <c r="AX505" s="269" t="str">
        <v/>
      </c>
      <c r="AZ505" s="92" t="str">
        <v/>
      </c>
      <c r="BA505" s="268" t="str">
        <v/>
      </c>
      <c r="BB505" s="268" t="str">
        <v/>
      </c>
      <c r="BC505" s="269" t="str">
        <v/>
      </c>
      <c r="BE505" s="92" t="str">
        <v/>
      </c>
      <c r="BF505" s="268" t="str">
        <v/>
      </c>
      <c r="BG505" s="268" t="str">
        <v/>
      </c>
      <c r="BH505" s="269" t="str">
        <v/>
      </c>
      <c r="BI505" s="288"/>
      <c r="BJ505" s="92" t="str">
        <v/>
      </c>
      <c r="BK505" s="268" t="str">
        <v/>
      </c>
      <c r="BL505" s="268" t="str">
        <v/>
      </c>
      <c r="BM505" s="269" t="str">
        <v/>
      </c>
      <c r="BO505" s="92" t="str">
        <v/>
      </c>
      <c r="BP505" s="268" t="str">
        <v/>
      </c>
      <c r="BQ505" s="268" t="str">
        <v/>
      </c>
      <c r="BR505" s="269" t="str">
        <v/>
      </c>
      <c r="BT505" s="92" t="str">
        <v/>
      </c>
      <c r="BU505" s="268" t="str">
        <v/>
      </c>
      <c r="BV505" s="268" t="str">
        <v/>
      </c>
      <c r="BW505" s="269" t="str">
        <v/>
      </c>
      <c r="BX505" s="288"/>
      <c r="CM505" s="96"/>
    </row>
    <row r="506" spans="1:91">
      <c r="A506" s="285"/>
      <c r="B506" s="92" t="str">
        <v/>
      </c>
      <c r="C506" s="268" t="str">
        <v/>
      </c>
      <c r="D506" s="268" t="str">
        <v/>
      </c>
      <c r="E506" s="269" t="str">
        <v/>
      </c>
      <c r="G506" s="92" t="str">
        <v/>
      </c>
      <c r="H506" s="268" t="str">
        <v/>
      </c>
      <c r="I506" s="268" t="str">
        <v/>
      </c>
      <c r="J506" s="269" t="str">
        <v/>
      </c>
      <c r="L506" s="92" t="str">
        <v/>
      </c>
      <c r="M506" s="268" t="str">
        <v/>
      </c>
      <c r="N506" s="268" t="str">
        <v/>
      </c>
      <c r="O506" s="269" t="str">
        <v/>
      </c>
      <c r="Q506" s="92" t="str">
        <v/>
      </c>
      <c r="R506" s="268" t="str">
        <v/>
      </c>
      <c r="S506" s="268" t="str">
        <v/>
      </c>
      <c r="T506" s="269" t="str">
        <v/>
      </c>
      <c r="V506" s="92" t="str">
        <v/>
      </c>
      <c r="W506" s="268" t="str">
        <v/>
      </c>
      <c r="X506" s="268" t="str">
        <v/>
      </c>
      <c r="Y506" s="269" t="str">
        <v/>
      </c>
      <c r="AA506" s="92" t="str">
        <v/>
      </c>
      <c r="AB506" s="268" t="str">
        <v/>
      </c>
      <c r="AC506" s="268" t="str">
        <v/>
      </c>
      <c r="AD506" s="269" t="str">
        <v/>
      </c>
      <c r="AF506" s="92" t="str">
        <v/>
      </c>
      <c r="AG506" s="268" t="str">
        <v/>
      </c>
      <c r="AH506" s="268" t="str">
        <v/>
      </c>
      <c r="AI506" s="269" t="str">
        <v/>
      </c>
      <c r="AK506" s="92" t="str">
        <v/>
      </c>
      <c r="AL506" s="268" t="str">
        <v/>
      </c>
      <c r="AM506" s="268" t="str">
        <v/>
      </c>
      <c r="AN506" s="269" t="str">
        <v/>
      </c>
      <c r="AP506" s="92" t="str">
        <v/>
      </c>
      <c r="AQ506" s="268" t="str">
        <v/>
      </c>
      <c r="AR506" s="268" t="str">
        <v/>
      </c>
      <c r="AS506" s="269" t="str">
        <v/>
      </c>
      <c r="AT506" s="288"/>
      <c r="AU506" s="92" t="str">
        <v/>
      </c>
      <c r="AV506" s="268" t="str">
        <v/>
      </c>
      <c r="AW506" s="268" t="str">
        <v/>
      </c>
      <c r="AX506" s="269" t="str">
        <v/>
      </c>
      <c r="AZ506" s="92" t="str">
        <v/>
      </c>
      <c r="BA506" s="268" t="str">
        <v/>
      </c>
      <c r="BB506" s="268" t="str">
        <v/>
      </c>
      <c r="BC506" s="269" t="str">
        <v/>
      </c>
      <c r="BE506" s="92" t="str">
        <v/>
      </c>
      <c r="BF506" s="268" t="str">
        <v/>
      </c>
      <c r="BG506" s="268" t="str">
        <v/>
      </c>
      <c r="BH506" s="269" t="str">
        <v/>
      </c>
      <c r="BI506" s="288"/>
      <c r="BJ506" s="92" t="str">
        <v/>
      </c>
      <c r="BK506" s="268" t="str">
        <v/>
      </c>
      <c r="BL506" s="268" t="str">
        <v/>
      </c>
      <c r="BM506" s="269" t="str">
        <v/>
      </c>
      <c r="BO506" s="92" t="str">
        <v/>
      </c>
      <c r="BP506" s="268" t="str">
        <v/>
      </c>
      <c r="BQ506" s="268" t="str">
        <v/>
      </c>
      <c r="BR506" s="269" t="str">
        <v/>
      </c>
      <c r="BT506" s="92" t="str">
        <v/>
      </c>
      <c r="BU506" s="268" t="str">
        <v/>
      </c>
      <c r="BV506" s="268" t="str">
        <v/>
      </c>
      <c r="BW506" s="269" t="str">
        <v/>
      </c>
      <c r="BX506" s="288"/>
      <c r="CM506" s="96"/>
    </row>
    <row r="507" spans="1:91">
      <c r="A507" s="285"/>
      <c r="B507" s="92" t="str">
        <v/>
      </c>
      <c r="C507" s="268" t="str">
        <v/>
      </c>
      <c r="D507" s="268" t="str">
        <v/>
      </c>
      <c r="E507" s="269" t="str">
        <v/>
      </c>
      <c r="G507" s="92" t="str">
        <v/>
      </c>
      <c r="H507" s="268" t="str">
        <v/>
      </c>
      <c r="I507" s="268" t="str">
        <v/>
      </c>
      <c r="J507" s="269" t="str">
        <v/>
      </c>
      <c r="L507" s="92" t="str">
        <v/>
      </c>
      <c r="M507" s="268" t="str">
        <v/>
      </c>
      <c r="N507" s="268" t="str">
        <v/>
      </c>
      <c r="O507" s="269" t="str">
        <v/>
      </c>
      <c r="Q507" s="92" t="str">
        <v/>
      </c>
      <c r="R507" s="268" t="str">
        <v/>
      </c>
      <c r="S507" s="268" t="str">
        <v/>
      </c>
      <c r="T507" s="269" t="str">
        <v/>
      </c>
      <c r="V507" s="92" t="str">
        <v/>
      </c>
      <c r="W507" s="268" t="str">
        <v/>
      </c>
      <c r="X507" s="268" t="str">
        <v/>
      </c>
      <c r="Y507" s="269" t="str">
        <v/>
      </c>
      <c r="AA507" s="92" t="str">
        <v/>
      </c>
      <c r="AB507" s="268" t="str">
        <v/>
      </c>
      <c r="AC507" s="268" t="str">
        <v/>
      </c>
      <c r="AD507" s="269" t="str">
        <v/>
      </c>
      <c r="AF507" s="92" t="str">
        <v/>
      </c>
      <c r="AG507" s="268" t="str">
        <v/>
      </c>
      <c r="AH507" s="268" t="str">
        <v/>
      </c>
      <c r="AI507" s="269" t="str">
        <v/>
      </c>
      <c r="AK507" s="92" t="str">
        <v/>
      </c>
      <c r="AL507" s="268" t="str">
        <v/>
      </c>
      <c r="AM507" s="268" t="str">
        <v/>
      </c>
      <c r="AN507" s="269" t="str">
        <v/>
      </c>
      <c r="AP507" s="92" t="str">
        <v/>
      </c>
      <c r="AQ507" s="268" t="str">
        <v/>
      </c>
      <c r="AR507" s="268" t="str">
        <v/>
      </c>
      <c r="AS507" s="269" t="str">
        <v/>
      </c>
      <c r="AT507" s="288"/>
      <c r="AU507" s="92" t="str">
        <v/>
      </c>
      <c r="AV507" s="268" t="str">
        <v/>
      </c>
      <c r="AW507" s="268" t="str">
        <v/>
      </c>
      <c r="AX507" s="269" t="str">
        <v/>
      </c>
      <c r="AZ507" s="92" t="str">
        <v/>
      </c>
      <c r="BA507" s="268" t="str">
        <v/>
      </c>
      <c r="BB507" s="268" t="str">
        <v/>
      </c>
      <c r="BC507" s="269" t="str">
        <v/>
      </c>
      <c r="BE507" s="92" t="str">
        <v/>
      </c>
      <c r="BF507" s="268" t="str">
        <v/>
      </c>
      <c r="BG507" s="268" t="str">
        <v/>
      </c>
      <c r="BH507" s="269" t="str">
        <v/>
      </c>
      <c r="BI507" s="288"/>
      <c r="BJ507" s="92" t="str">
        <v/>
      </c>
      <c r="BK507" s="268" t="str">
        <v/>
      </c>
      <c r="BL507" s="268" t="str">
        <v/>
      </c>
      <c r="BM507" s="269" t="str">
        <v/>
      </c>
      <c r="BO507" s="92" t="str">
        <v/>
      </c>
      <c r="BP507" s="268" t="str">
        <v/>
      </c>
      <c r="BQ507" s="268" t="str">
        <v/>
      </c>
      <c r="BR507" s="269" t="str">
        <v/>
      </c>
      <c r="BT507" s="92" t="str">
        <v/>
      </c>
      <c r="BU507" s="268" t="str">
        <v/>
      </c>
      <c r="BV507" s="268" t="str">
        <v/>
      </c>
      <c r="BW507" s="269" t="str">
        <v/>
      </c>
      <c r="BX507" s="288"/>
      <c r="CM507" s="96"/>
    </row>
    <row r="508" spans="1:91">
      <c r="A508" s="285"/>
      <c r="B508" s="117" t="str">
        <v/>
      </c>
      <c r="C508" s="273" t="str">
        <v/>
      </c>
      <c r="D508" s="273" t="str">
        <v/>
      </c>
      <c r="E508" s="274" t="str">
        <v/>
      </c>
      <c r="G508" s="117" t="str">
        <v/>
      </c>
      <c r="H508" s="273" t="str">
        <v/>
      </c>
      <c r="I508" s="273" t="str">
        <v/>
      </c>
      <c r="J508" s="274" t="str">
        <v/>
      </c>
      <c r="L508" s="117" t="str">
        <v/>
      </c>
      <c r="M508" s="273" t="str">
        <v/>
      </c>
      <c r="N508" s="273" t="str">
        <v/>
      </c>
      <c r="O508" s="274" t="str">
        <v/>
      </c>
      <c r="Q508" s="117" t="str">
        <v/>
      </c>
      <c r="R508" s="273" t="str">
        <v/>
      </c>
      <c r="S508" s="273" t="str">
        <v/>
      </c>
      <c r="T508" s="274" t="str">
        <v/>
      </c>
      <c r="V508" s="117" t="str">
        <v/>
      </c>
      <c r="W508" s="273" t="str">
        <v/>
      </c>
      <c r="X508" s="273" t="str">
        <v/>
      </c>
      <c r="Y508" s="274" t="str">
        <v/>
      </c>
      <c r="AA508" s="117" t="str">
        <v/>
      </c>
      <c r="AB508" s="273" t="str">
        <v/>
      </c>
      <c r="AC508" s="273" t="str">
        <v/>
      </c>
      <c r="AD508" s="274" t="str">
        <v/>
      </c>
      <c r="AF508" s="117" t="str">
        <v/>
      </c>
      <c r="AG508" s="273" t="str">
        <v/>
      </c>
      <c r="AH508" s="273" t="str">
        <v/>
      </c>
      <c r="AI508" s="274" t="str">
        <v/>
      </c>
      <c r="AK508" s="117" t="str">
        <v/>
      </c>
      <c r="AL508" s="273" t="str">
        <v/>
      </c>
      <c r="AM508" s="273" t="str">
        <v/>
      </c>
      <c r="AN508" s="274" t="str">
        <v/>
      </c>
      <c r="AP508" s="117" t="str">
        <v/>
      </c>
      <c r="AQ508" s="273" t="str">
        <v/>
      </c>
      <c r="AR508" s="273" t="str">
        <v/>
      </c>
      <c r="AS508" s="274" t="str">
        <v/>
      </c>
      <c r="AT508" s="288"/>
      <c r="AU508" s="117" t="str">
        <v/>
      </c>
      <c r="AV508" s="273" t="str">
        <v/>
      </c>
      <c r="AW508" s="273" t="str">
        <v/>
      </c>
      <c r="AX508" s="274" t="str">
        <v/>
      </c>
      <c r="AZ508" s="117" t="str">
        <v/>
      </c>
      <c r="BA508" s="273" t="str">
        <v/>
      </c>
      <c r="BB508" s="273" t="str">
        <v/>
      </c>
      <c r="BC508" s="274" t="str">
        <v/>
      </c>
      <c r="BE508" s="117" t="str">
        <v/>
      </c>
      <c r="BF508" s="273" t="str">
        <v/>
      </c>
      <c r="BG508" s="273" t="str">
        <v/>
      </c>
      <c r="BH508" s="274" t="str">
        <v/>
      </c>
      <c r="BI508" s="288"/>
      <c r="BJ508" s="117" t="str">
        <v/>
      </c>
      <c r="BK508" s="273" t="str">
        <v/>
      </c>
      <c r="BL508" s="273" t="str">
        <v/>
      </c>
      <c r="BM508" s="274" t="str">
        <v/>
      </c>
      <c r="BO508" s="117" t="str">
        <v/>
      </c>
      <c r="BP508" s="273" t="str">
        <v/>
      </c>
      <c r="BQ508" s="273" t="str">
        <v/>
      </c>
      <c r="BR508" s="274" t="str">
        <v/>
      </c>
      <c r="BT508" s="117" t="str">
        <v/>
      </c>
      <c r="BU508" s="273" t="str">
        <v/>
      </c>
      <c r="BV508" s="273" t="str">
        <v/>
      </c>
      <c r="BW508" s="274" t="str">
        <v/>
      </c>
      <c r="BX508" s="288"/>
      <c r="CM508" s="96"/>
    </row>
    <row r="509" spans="1:91">
      <c r="A509" s="47"/>
      <c r="B509" s="47">
        <f>COUNT(B435:B508)</f>
        <v>63</v>
      </c>
      <c r="C509" s="47"/>
      <c r="D509" s="47"/>
      <c r="E509" s="47"/>
      <c r="F509" s="47"/>
      <c r="G509" s="47">
        <f>COUNT(G435:G508)</f>
        <v>63</v>
      </c>
      <c r="H509" s="47"/>
      <c r="I509" s="47"/>
      <c r="J509" s="47"/>
      <c r="K509" s="47"/>
      <c r="L509" s="47">
        <f>COUNT(L435:L508)</f>
        <v>56</v>
      </c>
      <c r="M509" s="47"/>
      <c r="N509" s="47"/>
      <c r="O509" s="47"/>
      <c r="P509" s="47"/>
      <c r="Q509" s="47">
        <f>COUNT(Q435:Q508)</f>
        <v>52</v>
      </c>
      <c r="R509" s="47"/>
      <c r="S509" s="47"/>
      <c r="T509" s="47"/>
      <c r="U509" s="47"/>
      <c r="V509" s="47">
        <f>COUNT(V435:V508)</f>
        <v>44</v>
      </c>
      <c r="W509" s="47"/>
      <c r="X509" s="47"/>
      <c r="Y509" s="47"/>
      <c r="Z509" s="47"/>
      <c r="AA509" s="47">
        <f>COUNT(AA435:AA508)</f>
        <v>40</v>
      </c>
      <c r="AB509" s="47"/>
      <c r="AC509" s="47"/>
      <c r="AD509" s="47"/>
      <c r="AE509" s="47"/>
      <c r="AF509" s="47">
        <f>COUNT(AF435:AF508)</f>
        <v>32</v>
      </c>
      <c r="AG509" s="47"/>
      <c r="AH509" s="47"/>
      <c r="AI509" s="47"/>
      <c r="AJ509" s="47"/>
      <c r="AK509" s="47">
        <f>COUNT(AK435:AK508)</f>
        <v>24</v>
      </c>
      <c r="AL509" s="47"/>
      <c r="AM509" s="47"/>
      <c r="AN509" s="47"/>
      <c r="AO509" s="47"/>
      <c r="AP509" s="47">
        <f>COUNT(AP435:AP508)</f>
        <v>60</v>
      </c>
      <c r="AQ509" s="47"/>
      <c r="AR509" s="47"/>
      <c r="AS509" s="47"/>
      <c r="AT509" s="292"/>
      <c r="AU509" s="47">
        <f>COUNT(AU435:AU508)</f>
        <v>29</v>
      </c>
      <c r="AV509" s="47"/>
      <c r="AW509" s="47"/>
      <c r="AX509" s="47"/>
      <c r="AY509" s="47"/>
      <c r="AZ509" s="47">
        <f>COUNT(AZ435:AZ508)</f>
        <v>23</v>
      </c>
      <c r="BA509" s="47"/>
      <c r="BB509" s="47"/>
      <c r="BC509" s="47"/>
      <c r="BD509" s="47"/>
      <c r="BE509" s="47">
        <f>COUNT(BE435:BE508)</f>
        <v>17</v>
      </c>
      <c r="BF509" s="47"/>
      <c r="BG509" s="47"/>
      <c r="BH509" s="47"/>
      <c r="BI509" s="292"/>
      <c r="BJ509" s="47">
        <f>COUNT(BJ435:BJ508)</f>
        <v>20</v>
      </c>
      <c r="BK509" s="47"/>
      <c r="BL509" s="47"/>
      <c r="BM509" s="47"/>
      <c r="BN509" s="47"/>
      <c r="BO509" s="47">
        <f>COUNT(BO435:BO508)</f>
        <v>16</v>
      </c>
      <c r="BP509" s="47"/>
      <c r="BQ509" s="47"/>
      <c r="BR509" s="47"/>
      <c r="BS509" s="47"/>
      <c r="BT509" s="47">
        <f>COUNT(BT435:BT508)</f>
        <v>12</v>
      </c>
      <c r="BU509" s="47"/>
      <c r="BV509" s="47"/>
      <c r="BW509" s="47"/>
      <c r="BX509" s="288"/>
      <c r="CM509" s="47"/>
    </row>
    <row r="510" spans="1:91">
      <c r="A510" s="286" t="s">
        <v>221</v>
      </c>
      <c r="G510" s="47"/>
      <c r="H510" s="39"/>
      <c r="L510" s="47"/>
      <c r="N510" s="46"/>
      <c r="Q510" s="47"/>
      <c r="S510" s="46"/>
      <c r="V510" s="47"/>
      <c r="X510" s="46"/>
      <c r="AA510" s="47"/>
      <c r="AC510" s="46"/>
      <c r="AF510" s="47"/>
      <c r="AH510" s="46"/>
      <c r="AK510" s="47"/>
      <c r="AM510" s="46"/>
      <c r="AP510" s="47"/>
      <c r="AQ510" s="39"/>
      <c r="AR510" s="46"/>
      <c r="AS510" s="39"/>
      <c r="AT510" s="288"/>
      <c r="AU510" s="47"/>
      <c r="AW510" s="46"/>
      <c r="AZ510" s="47"/>
      <c r="BB510" s="46"/>
      <c r="BE510" s="47"/>
      <c r="BG510" s="46"/>
      <c r="BI510" s="288"/>
      <c r="BJ510" s="47"/>
      <c r="BL510" s="46"/>
      <c r="BO510" s="47"/>
      <c r="BQ510" s="46"/>
      <c r="BT510" s="47"/>
      <c r="BV510" s="46"/>
      <c r="BX510" s="288"/>
      <c r="CM510" s="96"/>
    </row>
    <row r="511" spans="1:91">
      <c r="A511" s="52" t="s">
        <v>6</v>
      </c>
      <c r="G511" s="47"/>
      <c r="H511" s="39"/>
      <c r="L511" s="47"/>
      <c r="N511" s="46"/>
      <c r="Q511" s="47"/>
      <c r="S511" s="46"/>
      <c r="V511" s="47"/>
      <c r="X511" s="46"/>
      <c r="AA511" s="47"/>
      <c r="AC511" s="46"/>
      <c r="AF511" s="47"/>
      <c r="AH511" s="46"/>
      <c r="AK511" s="47"/>
      <c r="AM511" s="46"/>
      <c r="AP511" s="47"/>
      <c r="AQ511" s="39"/>
      <c r="AR511" s="46"/>
      <c r="AS511" s="39"/>
      <c r="AT511" s="288"/>
      <c r="AU511" s="47"/>
      <c r="AW511" s="46"/>
      <c r="AY511" s="47"/>
      <c r="BA511" s="46"/>
      <c r="BC511" s="47"/>
      <c r="BD511" s="39"/>
      <c r="BE511" s="46"/>
      <c r="BG511" s="47"/>
      <c r="BI511" s="288"/>
      <c r="BJ511" s="47"/>
      <c r="BL511" s="46"/>
      <c r="BN511" s="47"/>
      <c r="BP511" s="46"/>
      <c r="BR511" s="47"/>
      <c r="BS511" s="39"/>
      <c r="BT511" s="46"/>
      <c r="BV511" s="47"/>
      <c r="BX511" s="288"/>
      <c r="CM511" s="96"/>
    </row>
    <row r="512" spans="1:91">
      <c r="A512" s="47" t="str">
        <f t="shared" ref="A512:E515" si="347">IF(A42="","",A42)</f>
        <v>SB-O</v>
      </c>
      <c r="B512" s="189">
        <f t="shared" si="347"/>
        <v>90</v>
      </c>
      <c r="C512" s="190">
        <f t="shared" si="347"/>
        <v>10</v>
      </c>
      <c r="D512" s="190">
        <f t="shared" si="347"/>
        <v>10</v>
      </c>
      <c r="E512" s="191">
        <f t="shared" si="347"/>
        <v>50</v>
      </c>
      <c r="G512" s="189">
        <f t="shared" ref="G512:J515" si="348">IF(G42="","",G42)</f>
        <v>90</v>
      </c>
      <c r="H512" s="190">
        <f t="shared" si="348"/>
        <v>10</v>
      </c>
      <c r="I512" s="190">
        <f t="shared" si="348"/>
        <v>10</v>
      </c>
      <c r="J512" s="191">
        <f t="shared" si="348"/>
        <v>50</v>
      </c>
      <c r="L512" s="189">
        <f t="shared" ref="L512:O515" si="349">IF(L42="","",L42)</f>
        <v>90</v>
      </c>
      <c r="M512" s="190">
        <f t="shared" si="349"/>
        <v>10</v>
      </c>
      <c r="N512" s="190">
        <f t="shared" si="349"/>
        <v>10</v>
      </c>
      <c r="O512" s="191">
        <f t="shared" si="349"/>
        <v>50</v>
      </c>
      <c r="Q512" s="189">
        <f t="shared" ref="Q512:T515" si="350">IF(Q42="","",Q42)</f>
        <v>90</v>
      </c>
      <c r="R512" s="190">
        <f t="shared" si="350"/>
        <v>10</v>
      </c>
      <c r="S512" s="190">
        <f t="shared" si="350"/>
        <v>10</v>
      </c>
      <c r="T512" s="191">
        <f t="shared" si="350"/>
        <v>50</v>
      </c>
      <c r="V512" s="189">
        <f t="shared" ref="V512:Y515" si="351">IF(V42="","",V42)</f>
        <v>90</v>
      </c>
      <c r="W512" s="190">
        <f t="shared" si="351"/>
        <v>10</v>
      </c>
      <c r="X512" s="190">
        <f t="shared" si="351"/>
        <v>10</v>
      </c>
      <c r="Y512" s="191">
        <f t="shared" si="351"/>
        <v>50</v>
      </c>
      <c r="AA512" s="189">
        <f t="shared" ref="AA512:AD515" si="352">IF(AA42="","",AA42)</f>
        <v>90</v>
      </c>
      <c r="AB512" s="190">
        <f t="shared" si="352"/>
        <v>10</v>
      </c>
      <c r="AC512" s="190">
        <f t="shared" si="352"/>
        <v>10</v>
      </c>
      <c r="AD512" s="191">
        <f t="shared" si="352"/>
        <v>50</v>
      </c>
      <c r="AF512" s="189">
        <f t="shared" ref="AF512:AI515" si="353">IF(AF42="","",AF42)</f>
        <v>90</v>
      </c>
      <c r="AG512" s="190">
        <f t="shared" si="353"/>
        <v>10</v>
      </c>
      <c r="AH512" s="190">
        <f t="shared" si="353"/>
        <v>10</v>
      </c>
      <c r="AI512" s="191">
        <f t="shared" si="353"/>
        <v>50</v>
      </c>
      <c r="AK512" s="189">
        <f t="shared" ref="AK512:AN515" si="354">IF(AK42="","",AK42)</f>
        <v>90</v>
      </c>
      <c r="AL512" s="190">
        <f t="shared" si="354"/>
        <v>10</v>
      </c>
      <c r="AM512" s="190">
        <f t="shared" si="354"/>
        <v>10</v>
      </c>
      <c r="AN512" s="191">
        <f t="shared" si="354"/>
        <v>50</v>
      </c>
      <c r="AP512" s="189">
        <f t="shared" ref="AP512:AS515" si="355">IF(AP42="","",AP42)</f>
        <v>90</v>
      </c>
      <c r="AQ512" s="190">
        <f t="shared" si="355"/>
        <v>10</v>
      </c>
      <c r="AR512" s="190">
        <f t="shared" si="355"/>
        <v>15</v>
      </c>
      <c r="AS512" s="191">
        <f t="shared" si="355"/>
        <v>50</v>
      </c>
      <c r="AT512" s="288"/>
      <c r="AU512" s="189">
        <f t="shared" ref="AU512:AX515" si="356">IF(AU42="","",AU42)</f>
        <v>90</v>
      </c>
      <c r="AV512" s="190">
        <f t="shared" si="356"/>
        <v>10</v>
      </c>
      <c r="AW512" s="190">
        <f t="shared" si="356"/>
        <v>10</v>
      </c>
      <c r="AX512" s="191">
        <f t="shared" si="356"/>
        <v>40</v>
      </c>
      <c r="AZ512" s="189">
        <f t="shared" ref="AZ512:BC515" si="357">IF(AZ42="","",AZ42)</f>
        <v>90</v>
      </c>
      <c r="BA512" s="190">
        <f t="shared" si="357"/>
        <v>10</v>
      </c>
      <c r="BB512" s="190">
        <f t="shared" si="357"/>
        <v>10</v>
      </c>
      <c r="BC512" s="191">
        <f t="shared" si="357"/>
        <v>40</v>
      </c>
      <c r="BE512" s="189">
        <f t="shared" ref="BE512:BH515" si="358">IF(BE42="","",BE42)</f>
        <v>90</v>
      </c>
      <c r="BF512" s="190">
        <f t="shared" si="358"/>
        <v>10</v>
      </c>
      <c r="BG512" s="190">
        <f t="shared" si="358"/>
        <v>10</v>
      </c>
      <c r="BH512" s="191">
        <f t="shared" si="358"/>
        <v>40</v>
      </c>
      <c r="BI512" s="288"/>
      <c r="BJ512" s="189">
        <f t="shared" ref="BJ512:BM515" si="359">IF(BJ42="","",BJ42)</f>
        <v>90</v>
      </c>
      <c r="BK512" s="190">
        <f t="shared" si="359"/>
        <v>10</v>
      </c>
      <c r="BL512" s="190">
        <f t="shared" si="359"/>
        <v>10</v>
      </c>
      <c r="BM512" s="191">
        <f t="shared" si="359"/>
        <v>40</v>
      </c>
      <c r="BO512" s="189">
        <f t="shared" ref="BO512:BR515" si="360">IF(BO42="","",BO42)</f>
        <v>90</v>
      </c>
      <c r="BP512" s="190">
        <f t="shared" si="360"/>
        <v>10</v>
      </c>
      <c r="BQ512" s="190">
        <f t="shared" si="360"/>
        <v>10</v>
      </c>
      <c r="BR512" s="191">
        <f t="shared" si="360"/>
        <v>40</v>
      </c>
      <c r="BT512" s="189">
        <f t="shared" ref="BT512:BW515" si="361">IF(BT42="","",BT42)</f>
        <v>90</v>
      </c>
      <c r="BU512" s="190">
        <f t="shared" si="361"/>
        <v>10</v>
      </c>
      <c r="BV512" s="190">
        <f t="shared" si="361"/>
        <v>10</v>
      </c>
      <c r="BW512" s="191">
        <f t="shared" si="361"/>
        <v>40</v>
      </c>
      <c r="BX512" s="288"/>
      <c r="CM512" s="96"/>
    </row>
    <row r="513" spans="1:91">
      <c r="A513" s="47" t="str">
        <f t="shared" si="347"/>
        <v/>
      </c>
      <c r="B513" s="192">
        <f t="shared" si="347"/>
        <v>90</v>
      </c>
      <c r="C513" s="193">
        <f t="shared" si="347"/>
        <v>54</v>
      </c>
      <c r="D513" s="193">
        <f t="shared" si="347"/>
        <v>20</v>
      </c>
      <c r="E513" s="194">
        <f t="shared" si="347"/>
        <v>50</v>
      </c>
      <c r="G513" s="192">
        <f t="shared" si="348"/>
        <v>90</v>
      </c>
      <c r="H513" s="193">
        <f t="shared" si="348"/>
        <v>54</v>
      </c>
      <c r="I513" s="193">
        <f t="shared" si="348"/>
        <v>20</v>
      </c>
      <c r="J513" s="194">
        <f t="shared" si="348"/>
        <v>50</v>
      </c>
      <c r="L513" s="192">
        <f t="shared" si="349"/>
        <v>90</v>
      </c>
      <c r="M513" s="193">
        <f t="shared" si="349"/>
        <v>54</v>
      </c>
      <c r="N513" s="193">
        <f t="shared" si="349"/>
        <v>20</v>
      </c>
      <c r="O513" s="194">
        <f t="shared" si="349"/>
        <v>50</v>
      </c>
      <c r="Q513" s="192">
        <f t="shared" si="350"/>
        <v>90</v>
      </c>
      <c r="R513" s="193">
        <f t="shared" si="350"/>
        <v>54</v>
      </c>
      <c r="S513" s="193">
        <f t="shared" si="350"/>
        <v>20</v>
      </c>
      <c r="T513" s="194">
        <f t="shared" si="350"/>
        <v>50</v>
      </c>
      <c r="V513" s="192">
        <f t="shared" si="351"/>
        <v>90</v>
      </c>
      <c r="W513" s="193">
        <f t="shared" si="351"/>
        <v>54</v>
      </c>
      <c r="X513" s="193">
        <f t="shared" si="351"/>
        <v>20</v>
      </c>
      <c r="Y513" s="194">
        <f t="shared" si="351"/>
        <v>50</v>
      </c>
      <c r="AA513" s="192">
        <f t="shared" si="352"/>
        <v>90</v>
      </c>
      <c r="AB513" s="193">
        <f t="shared" si="352"/>
        <v>54</v>
      </c>
      <c r="AC513" s="193">
        <f t="shared" si="352"/>
        <v>20</v>
      </c>
      <c r="AD513" s="194">
        <f t="shared" si="352"/>
        <v>50</v>
      </c>
      <c r="AF513" s="192">
        <f t="shared" si="353"/>
        <v>90</v>
      </c>
      <c r="AG513" s="193">
        <f t="shared" si="353"/>
        <v>54</v>
      </c>
      <c r="AH513" s="193">
        <f t="shared" si="353"/>
        <v>20</v>
      </c>
      <c r="AI513" s="194">
        <f t="shared" si="353"/>
        <v>50</v>
      </c>
      <c r="AK513" s="192">
        <f t="shared" si="354"/>
        <v>90</v>
      </c>
      <c r="AL513" s="193">
        <f t="shared" si="354"/>
        <v>54</v>
      </c>
      <c r="AM513" s="193">
        <f t="shared" si="354"/>
        <v>20</v>
      </c>
      <c r="AN513" s="194">
        <f t="shared" si="354"/>
        <v>50</v>
      </c>
      <c r="AP513" s="192">
        <f t="shared" si="355"/>
        <v>90</v>
      </c>
      <c r="AQ513" s="193">
        <f t="shared" si="355"/>
        <v>54</v>
      </c>
      <c r="AR513" s="193">
        <f t="shared" si="355"/>
        <v>25</v>
      </c>
      <c r="AS513" s="194">
        <f t="shared" si="355"/>
        <v>50</v>
      </c>
      <c r="AT513" s="288"/>
      <c r="AU513" s="192">
        <f t="shared" si="356"/>
        <v>90</v>
      </c>
      <c r="AV513" s="193">
        <f t="shared" si="356"/>
        <v>90</v>
      </c>
      <c r="AW513" s="193">
        <f t="shared" si="356"/>
        <v>10</v>
      </c>
      <c r="AX513" s="194">
        <f t="shared" si="356"/>
        <v>40</v>
      </c>
      <c r="AZ513" s="192">
        <f t="shared" si="357"/>
        <v>90</v>
      </c>
      <c r="BA513" s="193">
        <f t="shared" si="357"/>
        <v>90</v>
      </c>
      <c r="BB513" s="193">
        <f t="shared" si="357"/>
        <v>10</v>
      </c>
      <c r="BC513" s="194">
        <f t="shared" si="357"/>
        <v>40</v>
      </c>
      <c r="BE513" s="192">
        <f t="shared" si="358"/>
        <v>90</v>
      </c>
      <c r="BF513" s="193">
        <f t="shared" si="358"/>
        <v>90</v>
      </c>
      <c r="BG513" s="193">
        <f t="shared" si="358"/>
        <v>10</v>
      </c>
      <c r="BH513" s="194">
        <f t="shared" si="358"/>
        <v>40</v>
      </c>
      <c r="BI513" s="288"/>
      <c r="BJ513" s="192">
        <f t="shared" si="359"/>
        <v>90</v>
      </c>
      <c r="BK513" s="193">
        <f t="shared" si="359"/>
        <v>50</v>
      </c>
      <c r="BL513" s="193">
        <f t="shared" si="359"/>
        <v>10</v>
      </c>
      <c r="BM513" s="194">
        <f t="shared" si="359"/>
        <v>40</v>
      </c>
      <c r="BO513" s="192">
        <f t="shared" si="360"/>
        <v>90</v>
      </c>
      <c r="BP513" s="193">
        <f t="shared" si="360"/>
        <v>50</v>
      </c>
      <c r="BQ513" s="193">
        <f t="shared" si="360"/>
        <v>10</v>
      </c>
      <c r="BR513" s="194">
        <f t="shared" si="360"/>
        <v>40</v>
      </c>
      <c r="BT513" s="192">
        <f t="shared" si="361"/>
        <v>90</v>
      </c>
      <c r="BU513" s="193">
        <f t="shared" si="361"/>
        <v>50</v>
      </c>
      <c r="BV513" s="193">
        <f t="shared" si="361"/>
        <v>10</v>
      </c>
      <c r="BW513" s="194">
        <f t="shared" si="361"/>
        <v>40</v>
      </c>
      <c r="BX513" s="288"/>
      <c r="CM513" s="96"/>
    </row>
    <row r="514" spans="1:91">
      <c r="A514" s="47" t="str">
        <f t="shared" si="347"/>
        <v/>
      </c>
      <c r="B514" s="192">
        <f t="shared" si="347"/>
        <v>90</v>
      </c>
      <c r="C514" s="193">
        <f t="shared" si="347"/>
        <v>96</v>
      </c>
      <c r="D514" s="193">
        <f t="shared" si="347"/>
        <v>20</v>
      </c>
      <c r="E514" s="194">
        <f t="shared" si="347"/>
        <v>50</v>
      </c>
      <c r="G514" s="192">
        <f t="shared" si="348"/>
        <v>90</v>
      </c>
      <c r="H514" s="193">
        <f t="shared" si="348"/>
        <v>96</v>
      </c>
      <c r="I514" s="193">
        <f t="shared" si="348"/>
        <v>20</v>
      </c>
      <c r="J514" s="194">
        <f t="shared" si="348"/>
        <v>50</v>
      </c>
      <c r="L514" s="192">
        <f t="shared" si="349"/>
        <v>90</v>
      </c>
      <c r="M514" s="193">
        <f t="shared" si="349"/>
        <v>96</v>
      </c>
      <c r="N514" s="193">
        <f t="shared" si="349"/>
        <v>20</v>
      </c>
      <c r="O514" s="194">
        <f t="shared" si="349"/>
        <v>50</v>
      </c>
      <c r="Q514" s="192">
        <f t="shared" si="350"/>
        <v>90</v>
      </c>
      <c r="R514" s="193">
        <f t="shared" si="350"/>
        <v>96</v>
      </c>
      <c r="S514" s="193">
        <f t="shared" si="350"/>
        <v>20</v>
      </c>
      <c r="T514" s="194">
        <f t="shared" si="350"/>
        <v>50</v>
      </c>
      <c r="V514" s="192">
        <f t="shared" si="351"/>
        <v>90</v>
      </c>
      <c r="W514" s="193">
        <f t="shared" si="351"/>
        <v>96</v>
      </c>
      <c r="X514" s="193">
        <f t="shared" si="351"/>
        <v>20</v>
      </c>
      <c r="Y514" s="194">
        <f t="shared" si="351"/>
        <v>50</v>
      </c>
      <c r="AA514" s="192">
        <f t="shared" si="352"/>
        <v>90</v>
      </c>
      <c r="AB514" s="193">
        <f t="shared" si="352"/>
        <v>96</v>
      </c>
      <c r="AC514" s="193">
        <f t="shared" si="352"/>
        <v>20</v>
      </c>
      <c r="AD514" s="194">
        <f t="shared" si="352"/>
        <v>50</v>
      </c>
      <c r="AF514" s="192">
        <f t="shared" si="353"/>
        <v>90</v>
      </c>
      <c r="AG514" s="193">
        <f t="shared" si="353"/>
        <v>96</v>
      </c>
      <c r="AH514" s="193">
        <f t="shared" si="353"/>
        <v>20</v>
      </c>
      <c r="AI514" s="194">
        <f t="shared" si="353"/>
        <v>50</v>
      </c>
      <c r="AK514" s="192">
        <f t="shared" si="354"/>
        <v>90</v>
      </c>
      <c r="AL514" s="193">
        <f t="shared" si="354"/>
        <v>96</v>
      </c>
      <c r="AM514" s="193">
        <f t="shared" si="354"/>
        <v>20</v>
      </c>
      <c r="AN514" s="194">
        <f t="shared" si="354"/>
        <v>50</v>
      </c>
      <c r="AP514" s="192">
        <f t="shared" si="355"/>
        <v>90</v>
      </c>
      <c r="AQ514" s="193">
        <f t="shared" si="355"/>
        <v>96</v>
      </c>
      <c r="AR514" s="193">
        <f t="shared" si="355"/>
        <v>25</v>
      </c>
      <c r="AS514" s="194">
        <f t="shared" si="355"/>
        <v>50</v>
      </c>
      <c r="AT514" s="288"/>
      <c r="AU514" s="192" t="str">
        <f t="shared" si="356"/>
        <v/>
      </c>
      <c r="AV514" s="193" t="str">
        <f t="shared" si="356"/>
        <v/>
      </c>
      <c r="AW514" s="193" t="str">
        <f t="shared" si="356"/>
        <v/>
      </c>
      <c r="AX514" s="194" t="str">
        <f t="shared" si="356"/>
        <v/>
      </c>
      <c r="AZ514" s="192" t="str">
        <f t="shared" si="357"/>
        <v/>
      </c>
      <c r="BA514" s="193" t="str">
        <f t="shared" si="357"/>
        <v/>
      </c>
      <c r="BB514" s="193" t="str">
        <f t="shared" si="357"/>
        <v/>
      </c>
      <c r="BC514" s="194" t="str">
        <f t="shared" si="357"/>
        <v/>
      </c>
      <c r="BE514" s="192" t="str">
        <f t="shared" si="358"/>
        <v/>
      </c>
      <c r="BF514" s="193" t="str">
        <f t="shared" si="358"/>
        <v/>
      </c>
      <c r="BG514" s="193" t="str">
        <f t="shared" si="358"/>
        <v/>
      </c>
      <c r="BH514" s="194" t="str">
        <f t="shared" si="358"/>
        <v/>
      </c>
      <c r="BI514" s="288"/>
      <c r="BJ514" s="192" t="str">
        <f t="shared" si="359"/>
        <v/>
      </c>
      <c r="BK514" s="193" t="str">
        <f t="shared" si="359"/>
        <v/>
      </c>
      <c r="BL514" s="193" t="str">
        <f t="shared" si="359"/>
        <v/>
      </c>
      <c r="BM514" s="194" t="str">
        <f t="shared" si="359"/>
        <v/>
      </c>
      <c r="BO514" s="192" t="str">
        <f t="shared" si="360"/>
        <v/>
      </c>
      <c r="BP514" s="193" t="str">
        <f t="shared" si="360"/>
        <v/>
      </c>
      <c r="BQ514" s="193" t="str">
        <f t="shared" si="360"/>
        <v/>
      </c>
      <c r="BR514" s="194" t="str">
        <f t="shared" si="360"/>
        <v/>
      </c>
      <c r="BT514" s="192" t="str">
        <f t="shared" si="361"/>
        <v/>
      </c>
      <c r="BU514" s="193" t="str">
        <f t="shared" si="361"/>
        <v/>
      </c>
      <c r="BV514" s="193" t="str">
        <f t="shared" si="361"/>
        <v/>
      </c>
      <c r="BW514" s="194" t="str">
        <f t="shared" si="361"/>
        <v/>
      </c>
      <c r="BX514" s="288"/>
      <c r="CM514" s="96"/>
    </row>
    <row r="515" spans="1:91">
      <c r="A515" s="47" t="str">
        <f t="shared" si="347"/>
        <v/>
      </c>
      <c r="B515" s="195">
        <f t="shared" si="347"/>
        <v>90</v>
      </c>
      <c r="C515" s="196">
        <f t="shared" si="347"/>
        <v>140</v>
      </c>
      <c r="D515" s="196">
        <f t="shared" si="347"/>
        <v>10</v>
      </c>
      <c r="E515" s="197">
        <f t="shared" si="347"/>
        <v>50</v>
      </c>
      <c r="G515" s="195">
        <f t="shared" si="348"/>
        <v>90</v>
      </c>
      <c r="H515" s="196">
        <f t="shared" si="348"/>
        <v>140</v>
      </c>
      <c r="I515" s="196">
        <f t="shared" si="348"/>
        <v>10</v>
      </c>
      <c r="J515" s="197">
        <f t="shared" si="348"/>
        <v>50</v>
      </c>
      <c r="L515" s="195">
        <f t="shared" si="349"/>
        <v>90</v>
      </c>
      <c r="M515" s="196">
        <f t="shared" si="349"/>
        <v>140</v>
      </c>
      <c r="N515" s="196">
        <f t="shared" si="349"/>
        <v>10</v>
      </c>
      <c r="O515" s="197">
        <f t="shared" si="349"/>
        <v>50</v>
      </c>
      <c r="Q515" s="195">
        <f t="shared" si="350"/>
        <v>90</v>
      </c>
      <c r="R515" s="196">
        <f t="shared" si="350"/>
        <v>140</v>
      </c>
      <c r="S515" s="196">
        <f t="shared" si="350"/>
        <v>10</v>
      </c>
      <c r="T515" s="197">
        <f t="shared" si="350"/>
        <v>50</v>
      </c>
      <c r="V515" s="195">
        <f t="shared" si="351"/>
        <v>90</v>
      </c>
      <c r="W515" s="196">
        <f t="shared" si="351"/>
        <v>140</v>
      </c>
      <c r="X515" s="196">
        <f t="shared" si="351"/>
        <v>10</v>
      </c>
      <c r="Y515" s="197">
        <f t="shared" si="351"/>
        <v>50</v>
      </c>
      <c r="AA515" s="195">
        <f t="shared" si="352"/>
        <v>90</v>
      </c>
      <c r="AB515" s="196">
        <f t="shared" si="352"/>
        <v>140</v>
      </c>
      <c r="AC515" s="196">
        <f t="shared" si="352"/>
        <v>10</v>
      </c>
      <c r="AD515" s="197">
        <f t="shared" si="352"/>
        <v>50</v>
      </c>
      <c r="AF515" s="195">
        <f t="shared" si="353"/>
        <v>90</v>
      </c>
      <c r="AG515" s="196">
        <f t="shared" si="353"/>
        <v>140</v>
      </c>
      <c r="AH515" s="196">
        <f t="shared" si="353"/>
        <v>10</v>
      </c>
      <c r="AI515" s="197">
        <f t="shared" si="353"/>
        <v>50</v>
      </c>
      <c r="AK515" s="195">
        <f t="shared" si="354"/>
        <v>90</v>
      </c>
      <c r="AL515" s="196">
        <f t="shared" si="354"/>
        <v>140</v>
      </c>
      <c r="AM515" s="196">
        <f t="shared" si="354"/>
        <v>10</v>
      </c>
      <c r="AN515" s="197">
        <f t="shared" si="354"/>
        <v>50</v>
      </c>
      <c r="AP515" s="195">
        <f t="shared" si="355"/>
        <v>90</v>
      </c>
      <c r="AQ515" s="196">
        <f t="shared" si="355"/>
        <v>140</v>
      </c>
      <c r="AR515" s="196">
        <f t="shared" si="355"/>
        <v>15</v>
      </c>
      <c r="AS515" s="197">
        <f t="shared" si="355"/>
        <v>50</v>
      </c>
      <c r="AT515" s="288"/>
      <c r="AU515" s="195" t="str">
        <f t="shared" si="356"/>
        <v/>
      </c>
      <c r="AV515" s="196" t="str">
        <f t="shared" si="356"/>
        <v/>
      </c>
      <c r="AW515" s="196" t="str">
        <f t="shared" si="356"/>
        <v/>
      </c>
      <c r="AX515" s="197" t="str">
        <f t="shared" si="356"/>
        <v/>
      </c>
      <c r="AZ515" s="195" t="str">
        <f t="shared" si="357"/>
        <v/>
      </c>
      <c r="BA515" s="196" t="str">
        <f t="shared" si="357"/>
        <v/>
      </c>
      <c r="BB515" s="196" t="str">
        <f t="shared" si="357"/>
        <v/>
      </c>
      <c r="BC515" s="197" t="str">
        <f t="shared" si="357"/>
        <v/>
      </c>
      <c r="BE515" s="195" t="str">
        <f t="shared" si="358"/>
        <v/>
      </c>
      <c r="BF515" s="196" t="str">
        <f t="shared" si="358"/>
        <v/>
      </c>
      <c r="BG515" s="196" t="str">
        <f t="shared" si="358"/>
        <v/>
      </c>
      <c r="BH515" s="197" t="str">
        <f t="shared" si="358"/>
        <v/>
      </c>
      <c r="BI515" s="288"/>
      <c r="BJ515" s="195" t="str">
        <f t="shared" si="359"/>
        <v/>
      </c>
      <c r="BK515" s="196" t="str">
        <f t="shared" si="359"/>
        <v/>
      </c>
      <c r="BL515" s="196" t="str">
        <f t="shared" si="359"/>
        <v/>
      </c>
      <c r="BM515" s="197" t="str">
        <f t="shared" si="359"/>
        <v/>
      </c>
      <c r="BO515" s="195" t="str">
        <f t="shared" si="360"/>
        <v/>
      </c>
      <c r="BP515" s="196" t="str">
        <f t="shared" si="360"/>
        <v/>
      </c>
      <c r="BQ515" s="196" t="str">
        <f t="shared" si="360"/>
        <v/>
      </c>
      <c r="BR515" s="197" t="str">
        <f t="shared" si="360"/>
        <v/>
      </c>
      <c r="BT515" s="195" t="str">
        <f t="shared" si="361"/>
        <v/>
      </c>
      <c r="BU515" s="196" t="str">
        <f t="shared" si="361"/>
        <v/>
      </c>
      <c r="BV515" s="196" t="str">
        <f t="shared" si="361"/>
        <v/>
      </c>
      <c r="BW515" s="197" t="str">
        <f t="shared" si="361"/>
        <v/>
      </c>
      <c r="BX515" s="288"/>
      <c r="CM515" s="96"/>
    </row>
    <row r="516" spans="1:91">
      <c r="A516" s="47" t="str">
        <f t="shared" ref="A516:E531" si="362">IF(A50="","",A50)</f>
        <v>GP</v>
      </c>
      <c r="B516" s="182">
        <f t="shared" si="362"/>
        <v>90</v>
      </c>
      <c r="C516" s="170">
        <f t="shared" si="362"/>
        <v>10.5</v>
      </c>
      <c r="D516" s="170">
        <f t="shared" si="362"/>
        <v>80</v>
      </c>
      <c r="E516" s="177">
        <f t="shared" si="362"/>
        <v>20</v>
      </c>
      <c r="G516" s="182">
        <f t="shared" ref="G516:J531" si="363">IF(G50="","",G50)</f>
        <v>90</v>
      </c>
      <c r="H516" s="170">
        <f t="shared" si="363"/>
        <v>10.5</v>
      </c>
      <c r="I516" s="170">
        <f t="shared" si="363"/>
        <v>80</v>
      </c>
      <c r="J516" s="177">
        <f t="shared" si="363"/>
        <v>20</v>
      </c>
      <c r="L516" s="182">
        <f t="shared" ref="L516:O531" si="364">IF(L50="","",L50)</f>
        <v>90</v>
      </c>
      <c r="M516" s="170">
        <f t="shared" si="364"/>
        <v>10.5</v>
      </c>
      <c r="N516" s="170">
        <f t="shared" si="364"/>
        <v>80</v>
      </c>
      <c r="O516" s="177">
        <f t="shared" si="364"/>
        <v>20</v>
      </c>
      <c r="Q516" s="182">
        <f t="shared" ref="Q516:T531" si="365">IF(Q50="","",Q50)</f>
        <v>90</v>
      </c>
      <c r="R516" s="170">
        <f t="shared" si="365"/>
        <v>10.5</v>
      </c>
      <c r="S516" s="170">
        <f t="shared" si="365"/>
        <v>80</v>
      </c>
      <c r="T516" s="177">
        <f t="shared" si="365"/>
        <v>20</v>
      </c>
      <c r="V516" s="182">
        <f t="shared" ref="V516:Y531" si="366">IF(V50="","",V50)</f>
        <v>90</v>
      </c>
      <c r="W516" s="170">
        <f t="shared" si="366"/>
        <v>10.5</v>
      </c>
      <c r="X516" s="170">
        <f t="shared" si="366"/>
        <v>80</v>
      </c>
      <c r="Y516" s="177">
        <f t="shared" si="366"/>
        <v>20</v>
      </c>
      <c r="AA516" s="182">
        <f t="shared" ref="AA516:AD531" si="367">IF(AA50="","",AA50)</f>
        <v>90</v>
      </c>
      <c r="AB516" s="170">
        <f t="shared" si="367"/>
        <v>10.5</v>
      </c>
      <c r="AC516" s="170">
        <f t="shared" si="367"/>
        <v>80</v>
      </c>
      <c r="AD516" s="177">
        <f t="shared" si="367"/>
        <v>20</v>
      </c>
      <c r="AF516" s="182">
        <f t="shared" ref="AF516:AI531" si="368">IF(AF50="","",AF50)</f>
        <v>90</v>
      </c>
      <c r="AG516" s="170">
        <f t="shared" si="368"/>
        <v>10.5</v>
      </c>
      <c r="AH516" s="170">
        <f t="shared" si="368"/>
        <v>80</v>
      </c>
      <c r="AI516" s="177">
        <f t="shared" si="368"/>
        <v>20</v>
      </c>
      <c r="AK516" s="182">
        <f t="shared" ref="AK516:AN531" si="369">IF(AK50="","",AK50)</f>
        <v>90</v>
      </c>
      <c r="AL516" s="170">
        <f t="shared" si="369"/>
        <v>10.5</v>
      </c>
      <c r="AM516" s="170">
        <f t="shared" si="369"/>
        <v>80</v>
      </c>
      <c r="AN516" s="177">
        <f t="shared" si="369"/>
        <v>20</v>
      </c>
      <c r="AP516" s="182">
        <f t="shared" ref="AP516:AS531" si="370">IF(AP50="","",AP50)</f>
        <v>90</v>
      </c>
      <c r="AQ516" s="170">
        <f t="shared" si="370"/>
        <v>10.5</v>
      </c>
      <c r="AR516" s="170">
        <f t="shared" si="370"/>
        <v>230</v>
      </c>
      <c r="AS516" s="177">
        <f t="shared" si="370"/>
        <v>20</v>
      </c>
      <c r="AT516" s="288"/>
      <c r="AU516" s="182">
        <f t="shared" ref="AU516:AX531" si="371">IF(AU50="","",AU50)</f>
        <v>90</v>
      </c>
      <c r="AV516" s="170">
        <f t="shared" si="371"/>
        <v>10.8</v>
      </c>
      <c r="AW516" s="170">
        <f t="shared" si="371"/>
        <v>80</v>
      </c>
      <c r="AX516" s="177">
        <f t="shared" si="371"/>
        <v>16.5</v>
      </c>
      <c r="AZ516" s="182">
        <f t="shared" ref="AZ516:BC531" si="372">IF(AZ50="","",AZ50)</f>
        <v>90</v>
      </c>
      <c r="BA516" s="170">
        <f t="shared" si="372"/>
        <v>10.8</v>
      </c>
      <c r="BB516" s="170">
        <f t="shared" si="372"/>
        <v>80</v>
      </c>
      <c r="BC516" s="177">
        <f t="shared" si="372"/>
        <v>16.5</v>
      </c>
      <c r="BE516" s="182">
        <f t="shared" ref="BE516:BH531" si="373">IF(BE50="","",BE50)</f>
        <v>90</v>
      </c>
      <c r="BF516" s="170">
        <f t="shared" si="373"/>
        <v>10.8</v>
      </c>
      <c r="BG516" s="170">
        <f t="shared" si="373"/>
        <v>80</v>
      </c>
      <c r="BH516" s="177">
        <f t="shared" si="373"/>
        <v>16.5</v>
      </c>
      <c r="BI516" s="288"/>
      <c r="BJ516" s="182">
        <f t="shared" ref="BJ516:BM531" si="374">IF(BJ50="","",BJ50)</f>
        <v>90</v>
      </c>
      <c r="BK516" s="170">
        <f t="shared" si="374"/>
        <v>9.75</v>
      </c>
      <c r="BL516" s="170">
        <f t="shared" si="374"/>
        <v>60</v>
      </c>
      <c r="BM516" s="177">
        <f t="shared" si="374"/>
        <v>16.5</v>
      </c>
      <c r="BO516" s="182">
        <f t="shared" ref="BO516:BR531" si="375">IF(BO50="","",BO50)</f>
        <v>90</v>
      </c>
      <c r="BP516" s="170">
        <f t="shared" si="375"/>
        <v>9.75</v>
      </c>
      <c r="BQ516" s="170">
        <f t="shared" si="375"/>
        <v>60</v>
      </c>
      <c r="BR516" s="177">
        <f t="shared" si="375"/>
        <v>16.5</v>
      </c>
      <c r="BT516" s="182">
        <f t="shared" ref="BT516:BW531" si="376">IF(BT50="","",BT50)</f>
        <v>90</v>
      </c>
      <c r="BU516" s="170">
        <f t="shared" si="376"/>
        <v>9.75</v>
      </c>
      <c r="BV516" s="170">
        <f t="shared" si="376"/>
        <v>60</v>
      </c>
      <c r="BW516" s="177">
        <f t="shared" si="376"/>
        <v>16.5</v>
      </c>
      <c r="BX516" s="288"/>
      <c r="CM516" s="96"/>
    </row>
    <row r="517" spans="1:91">
      <c r="A517" s="47" t="str">
        <f t="shared" si="362"/>
        <v/>
      </c>
      <c r="B517" s="183">
        <f t="shared" si="362"/>
        <v>90</v>
      </c>
      <c r="C517" s="171">
        <f t="shared" si="362"/>
        <v>32</v>
      </c>
      <c r="D517" s="171">
        <f t="shared" si="362"/>
        <v>65</v>
      </c>
      <c r="E517" s="178">
        <f t="shared" si="362"/>
        <v>14</v>
      </c>
      <c r="G517" s="183">
        <f t="shared" si="363"/>
        <v>90</v>
      </c>
      <c r="H517" s="171">
        <f t="shared" si="363"/>
        <v>32</v>
      </c>
      <c r="I517" s="171">
        <f t="shared" si="363"/>
        <v>65</v>
      </c>
      <c r="J517" s="178">
        <f t="shared" si="363"/>
        <v>14</v>
      </c>
      <c r="L517" s="183">
        <f t="shared" si="364"/>
        <v>90</v>
      </c>
      <c r="M517" s="171">
        <f t="shared" si="364"/>
        <v>32</v>
      </c>
      <c r="N517" s="171">
        <f t="shared" si="364"/>
        <v>65</v>
      </c>
      <c r="O517" s="178">
        <f t="shared" si="364"/>
        <v>14</v>
      </c>
      <c r="Q517" s="183">
        <f t="shared" si="365"/>
        <v>90</v>
      </c>
      <c r="R517" s="171">
        <f t="shared" si="365"/>
        <v>32</v>
      </c>
      <c r="S517" s="171">
        <f t="shared" si="365"/>
        <v>65</v>
      </c>
      <c r="T517" s="178">
        <f t="shared" si="365"/>
        <v>14</v>
      </c>
      <c r="V517" s="183">
        <f t="shared" si="366"/>
        <v>90</v>
      </c>
      <c r="W517" s="171">
        <f t="shared" si="366"/>
        <v>32</v>
      </c>
      <c r="X517" s="171">
        <f t="shared" si="366"/>
        <v>65</v>
      </c>
      <c r="Y517" s="178">
        <f t="shared" si="366"/>
        <v>14</v>
      </c>
      <c r="AA517" s="183">
        <f t="shared" si="367"/>
        <v>90</v>
      </c>
      <c r="AB517" s="171">
        <f t="shared" si="367"/>
        <v>32</v>
      </c>
      <c r="AC517" s="171">
        <f t="shared" si="367"/>
        <v>65</v>
      </c>
      <c r="AD517" s="178">
        <f t="shared" si="367"/>
        <v>14</v>
      </c>
      <c r="AF517" s="183">
        <f t="shared" si="368"/>
        <v>90</v>
      </c>
      <c r="AG517" s="171">
        <f t="shared" si="368"/>
        <v>32</v>
      </c>
      <c r="AH517" s="171">
        <f t="shared" si="368"/>
        <v>65</v>
      </c>
      <c r="AI517" s="178">
        <f t="shared" si="368"/>
        <v>14</v>
      </c>
      <c r="AK517" s="183">
        <f t="shared" si="369"/>
        <v>90</v>
      </c>
      <c r="AL517" s="171">
        <f t="shared" si="369"/>
        <v>32</v>
      </c>
      <c r="AM517" s="171">
        <f t="shared" si="369"/>
        <v>65</v>
      </c>
      <c r="AN517" s="178">
        <f t="shared" si="369"/>
        <v>14</v>
      </c>
      <c r="AP517" s="183">
        <f t="shared" si="370"/>
        <v>90</v>
      </c>
      <c r="AQ517" s="171">
        <f t="shared" si="370"/>
        <v>32</v>
      </c>
      <c r="AR517" s="171">
        <f t="shared" si="370"/>
        <v>215</v>
      </c>
      <c r="AS517" s="178">
        <f t="shared" si="370"/>
        <v>14</v>
      </c>
      <c r="AT517" s="288"/>
      <c r="AU517" s="183">
        <f t="shared" si="371"/>
        <v>90</v>
      </c>
      <c r="AV517" s="171">
        <f t="shared" si="371"/>
        <v>30</v>
      </c>
      <c r="AW517" s="171">
        <f t="shared" si="371"/>
        <v>65</v>
      </c>
      <c r="AX517" s="178">
        <f t="shared" si="371"/>
        <v>14</v>
      </c>
      <c r="AZ517" s="183">
        <f t="shared" si="372"/>
        <v>90</v>
      </c>
      <c r="BA517" s="171">
        <f t="shared" si="372"/>
        <v>30</v>
      </c>
      <c r="BB517" s="171">
        <f t="shared" si="372"/>
        <v>65</v>
      </c>
      <c r="BC517" s="178">
        <f t="shared" si="372"/>
        <v>14</v>
      </c>
      <c r="BE517" s="183">
        <f t="shared" si="373"/>
        <v>90</v>
      </c>
      <c r="BF517" s="171">
        <f t="shared" si="373"/>
        <v>30</v>
      </c>
      <c r="BG517" s="171">
        <f t="shared" si="373"/>
        <v>65</v>
      </c>
      <c r="BH517" s="178">
        <f t="shared" si="373"/>
        <v>14</v>
      </c>
      <c r="BI517" s="288"/>
      <c r="BJ517" s="183">
        <f t="shared" si="374"/>
        <v>90</v>
      </c>
      <c r="BK517" s="171">
        <f t="shared" si="374"/>
        <v>30</v>
      </c>
      <c r="BL517" s="171">
        <f t="shared" si="374"/>
        <v>70</v>
      </c>
      <c r="BM517" s="178">
        <f t="shared" si="374"/>
        <v>14</v>
      </c>
      <c r="BO517" s="183">
        <f t="shared" si="375"/>
        <v>90</v>
      </c>
      <c r="BP517" s="171">
        <f t="shared" si="375"/>
        <v>30</v>
      </c>
      <c r="BQ517" s="171">
        <f t="shared" si="375"/>
        <v>70</v>
      </c>
      <c r="BR517" s="178">
        <f t="shared" si="375"/>
        <v>14</v>
      </c>
      <c r="BT517" s="183">
        <f t="shared" si="376"/>
        <v>90</v>
      </c>
      <c r="BU517" s="171">
        <f t="shared" si="376"/>
        <v>30</v>
      </c>
      <c r="BV517" s="171">
        <f t="shared" si="376"/>
        <v>70</v>
      </c>
      <c r="BW517" s="178">
        <f t="shared" si="376"/>
        <v>14</v>
      </c>
      <c r="BX517" s="288"/>
      <c r="CM517" s="96"/>
    </row>
    <row r="518" spans="1:91">
      <c r="A518" s="47" t="str">
        <f t="shared" si="362"/>
        <v/>
      </c>
      <c r="B518" s="183">
        <f t="shared" si="362"/>
        <v>90</v>
      </c>
      <c r="C518" s="171">
        <f t="shared" si="362"/>
        <v>75</v>
      </c>
      <c r="D518" s="171">
        <f t="shared" si="362"/>
        <v>75</v>
      </c>
      <c r="E518" s="178">
        <f t="shared" si="362"/>
        <v>14</v>
      </c>
      <c r="G518" s="183">
        <f t="shared" si="363"/>
        <v>90</v>
      </c>
      <c r="H518" s="171">
        <f t="shared" si="363"/>
        <v>75</v>
      </c>
      <c r="I518" s="171">
        <f t="shared" si="363"/>
        <v>75</v>
      </c>
      <c r="J518" s="178">
        <f t="shared" si="363"/>
        <v>14</v>
      </c>
      <c r="L518" s="183">
        <f t="shared" si="364"/>
        <v>90</v>
      </c>
      <c r="M518" s="171">
        <f t="shared" si="364"/>
        <v>75</v>
      </c>
      <c r="N518" s="171">
        <f t="shared" si="364"/>
        <v>75</v>
      </c>
      <c r="O518" s="178">
        <f t="shared" si="364"/>
        <v>14</v>
      </c>
      <c r="Q518" s="183">
        <f t="shared" si="365"/>
        <v>90</v>
      </c>
      <c r="R518" s="171">
        <f t="shared" si="365"/>
        <v>75</v>
      </c>
      <c r="S518" s="171">
        <f t="shared" si="365"/>
        <v>75</v>
      </c>
      <c r="T518" s="178">
        <f t="shared" si="365"/>
        <v>14</v>
      </c>
      <c r="V518" s="183">
        <f t="shared" si="366"/>
        <v>90</v>
      </c>
      <c r="W518" s="171">
        <f t="shared" si="366"/>
        <v>75</v>
      </c>
      <c r="X518" s="171">
        <f t="shared" si="366"/>
        <v>75</v>
      </c>
      <c r="Y518" s="178">
        <f t="shared" si="366"/>
        <v>14</v>
      </c>
      <c r="AA518" s="183">
        <f t="shared" si="367"/>
        <v>90</v>
      </c>
      <c r="AB518" s="171">
        <f t="shared" si="367"/>
        <v>75</v>
      </c>
      <c r="AC518" s="171">
        <f t="shared" si="367"/>
        <v>75</v>
      </c>
      <c r="AD518" s="178">
        <f t="shared" si="367"/>
        <v>14</v>
      </c>
      <c r="AF518" s="183">
        <f t="shared" si="368"/>
        <v>90</v>
      </c>
      <c r="AG518" s="171">
        <f t="shared" si="368"/>
        <v>75</v>
      </c>
      <c r="AH518" s="171">
        <f t="shared" si="368"/>
        <v>75</v>
      </c>
      <c r="AI518" s="178">
        <f t="shared" si="368"/>
        <v>14</v>
      </c>
      <c r="AK518" s="183">
        <f t="shared" si="369"/>
        <v>90</v>
      </c>
      <c r="AL518" s="171">
        <f t="shared" si="369"/>
        <v>75</v>
      </c>
      <c r="AM518" s="171">
        <f t="shared" si="369"/>
        <v>75</v>
      </c>
      <c r="AN518" s="178">
        <f t="shared" si="369"/>
        <v>14</v>
      </c>
      <c r="AP518" s="183">
        <f t="shared" si="370"/>
        <v>90</v>
      </c>
      <c r="AQ518" s="171">
        <f t="shared" si="370"/>
        <v>75</v>
      </c>
      <c r="AR518" s="171">
        <f t="shared" si="370"/>
        <v>225</v>
      </c>
      <c r="AS518" s="178">
        <f t="shared" si="370"/>
        <v>14</v>
      </c>
      <c r="AT518" s="288"/>
      <c r="AU518" s="183">
        <f t="shared" si="371"/>
        <v>90</v>
      </c>
      <c r="AV518" s="171">
        <f t="shared" si="371"/>
        <v>70</v>
      </c>
      <c r="AW518" s="171">
        <f t="shared" si="371"/>
        <v>65</v>
      </c>
      <c r="AX518" s="178">
        <f t="shared" si="371"/>
        <v>14</v>
      </c>
      <c r="AZ518" s="183">
        <f t="shared" si="372"/>
        <v>90</v>
      </c>
      <c r="BA518" s="171">
        <f t="shared" si="372"/>
        <v>70</v>
      </c>
      <c r="BB518" s="171">
        <f t="shared" si="372"/>
        <v>65</v>
      </c>
      <c r="BC518" s="178">
        <f t="shared" si="372"/>
        <v>14</v>
      </c>
      <c r="BE518" s="183">
        <f t="shared" si="373"/>
        <v>90</v>
      </c>
      <c r="BF518" s="171">
        <f t="shared" si="373"/>
        <v>70</v>
      </c>
      <c r="BG518" s="171">
        <f t="shared" si="373"/>
        <v>65</v>
      </c>
      <c r="BH518" s="178">
        <f t="shared" si="373"/>
        <v>14</v>
      </c>
      <c r="BI518" s="288"/>
      <c r="BJ518" s="183">
        <f t="shared" si="374"/>
        <v>90</v>
      </c>
      <c r="BK518" s="171">
        <f t="shared" si="374"/>
        <v>30</v>
      </c>
      <c r="BL518" s="171">
        <f t="shared" si="374"/>
        <v>480</v>
      </c>
      <c r="BM518" s="178">
        <f t="shared" si="374"/>
        <v>14</v>
      </c>
      <c r="BO518" s="183">
        <f t="shared" si="375"/>
        <v>90</v>
      </c>
      <c r="BP518" s="171">
        <f t="shared" si="375"/>
        <v>30</v>
      </c>
      <c r="BQ518" s="171">
        <f t="shared" si="375"/>
        <v>360</v>
      </c>
      <c r="BR518" s="178">
        <f t="shared" si="375"/>
        <v>14</v>
      </c>
      <c r="BT518" s="183">
        <f t="shared" si="376"/>
        <v>90</v>
      </c>
      <c r="BU518" s="171">
        <f t="shared" si="376"/>
        <v>30</v>
      </c>
      <c r="BV518" s="171">
        <f t="shared" si="376"/>
        <v>240</v>
      </c>
      <c r="BW518" s="178">
        <f t="shared" si="376"/>
        <v>14</v>
      </c>
      <c r="BX518" s="288"/>
      <c r="CM518" s="96"/>
    </row>
    <row r="519" spans="1:91">
      <c r="A519" s="47" t="str">
        <f t="shared" si="362"/>
        <v/>
      </c>
      <c r="B519" s="183">
        <f t="shared" si="362"/>
        <v>90</v>
      </c>
      <c r="C519" s="171">
        <f t="shared" si="362"/>
        <v>118</v>
      </c>
      <c r="D519" s="171">
        <f t="shared" si="362"/>
        <v>65</v>
      </c>
      <c r="E519" s="178">
        <f t="shared" si="362"/>
        <v>14</v>
      </c>
      <c r="G519" s="183">
        <f t="shared" si="363"/>
        <v>90</v>
      </c>
      <c r="H519" s="171">
        <f t="shared" si="363"/>
        <v>118</v>
      </c>
      <c r="I519" s="171">
        <f t="shared" si="363"/>
        <v>65</v>
      </c>
      <c r="J519" s="178">
        <f t="shared" si="363"/>
        <v>14</v>
      </c>
      <c r="L519" s="183">
        <f t="shared" si="364"/>
        <v>90</v>
      </c>
      <c r="M519" s="171">
        <f t="shared" si="364"/>
        <v>118</v>
      </c>
      <c r="N519" s="171">
        <f t="shared" si="364"/>
        <v>65</v>
      </c>
      <c r="O519" s="178">
        <f t="shared" si="364"/>
        <v>14</v>
      </c>
      <c r="Q519" s="183">
        <f t="shared" si="365"/>
        <v>90</v>
      </c>
      <c r="R519" s="171">
        <f t="shared" si="365"/>
        <v>118</v>
      </c>
      <c r="S519" s="171">
        <f t="shared" si="365"/>
        <v>65</v>
      </c>
      <c r="T519" s="178">
        <f t="shared" si="365"/>
        <v>14</v>
      </c>
      <c r="V519" s="183">
        <f t="shared" si="366"/>
        <v>90</v>
      </c>
      <c r="W519" s="171">
        <f t="shared" si="366"/>
        <v>118</v>
      </c>
      <c r="X519" s="171">
        <f t="shared" si="366"/>
        <v>65</v>
      </c>
      <c r="Y519" s="178">
        <f t="shared" si="366"/>
        <v>14</v>
      </c>
      <c r="AA519" s="183">
        <f t="shared" si="367"/>
        <v>90</v>
      </c>
      <c r="AB519" s="171">
        <f t="shared" si="367"/>
        <v>118</v>
      </c>
      <c r="AC519" s="171">
        <f t="shared" si="367"/>
        <v>65</v>
      </c>
      <c r="AD519" s="178">
        <f t="shared" si="367"/>
        <v>14</v>
      </c>
      <c r="AF519" s="183">
        <f t="shared" si="368"/>
        <v>90</v>
      </c>
      <c r="AG519" s="171">
        <f t="shared" si="368"/>
        <v>118</v>
      </c>
      <c r="AH519" s="171">
        <f t="shared" si="368"/>
        <v>65</v>
      </c>
      <c r="AI519" s="178">
        <f t="shared" si="368"/>
        <v>14</v>
      </c>
      <c r="AK519" s="183">
        <f t="shared" si="369"/>
        <v>90</v>
      </c>
      <c r="AL519" s="171">
        <f t="shared" si="369"/>
        <v>118</v>
      </c>
      <c r="AM519" s="171">
        <f t="shared" si="369"/>
        <v>65</v>
      </c>
      <c r="AN519" s="178">
        <f t="shared" si="369"/>
        <v>14</v>
      </c>
      <c r="AP519" s="183">
        <f t="shared" si="370"/>
        <v>90</v>
      </c>
      <c r="AQ519" s="171">
        <f t="shared" si="370"/>
        <v>118</v>
      </c>
      <c r="AR519" s="171">
        <f t="shared" si="370"/>
        <v>215</v>
      </c>
      <c r="AS519" s="178">
        <f t="shared" si="370"/>
        <v>14</v>
      </c>
      <c r="AT519" s="288"/>
      <c r="AU519" s="183">
        <f t="shared" si="371"/>
        <v>90</v>
      </c>
      <c r="AV519" s="171">
        <f t="shared" si="371"/>
        <v>89.2</v>
      </c>
      <c r="AW519" s="171">
        <f t="shared" si="371"/>
        <v>80</v>
      </c>
      <c r="AX519" s="178">
        <f t="shared" si="371"/>
        <v>14</v>
      </c>
      <c r="AZ519" s="183">
        <f t="shared" si="372"/>
        <v>90</v>
      </c>
      <c r="BA519" s="171">
        <f t="shared" si="372"/>
        <v>89.2</v>
      </c>
      <c r="BB519" s="171">
        <f t="shared" si="372"/>
        <v>80</v>
      </c>
      <c r="BC519" s="178">
        <f t="shared" si="372"/>
        <v>14</v>
      </c>
      <c r="BE519" s="183">
        <f t="shared" si="373"/>
        <v>90</v>
      </c>
      <c r="BF519" s="171">
        <f t="shared" si="373"/>
        <v>89.2</v>
      </c>
      <c r="BG519" s="171">
        <f t="shared" si="373"/>
        <v>80</v>
      </c>
      <c r="BH519" s="178">
        <f t="shared" si="373"/>
        <v>14</v>
      </c>
      <c r="BI519" s="288"/>
      <c r="BJ519" s="183" t="str">
        <f t="shared" si="374"/>
        <v/>
      </c>
      <c r="BK519" s="171" t="str">
        <f t="shared" si="374"/>
        <v/>
      </c>
      <c r="BL519" s="171" t="str">
        <f t="shared" si="374"/>
        <v/>
      </c>
      <c r="BM519" s="178" t="str">
        <f t="shared" si="374"/>
        <v/>
      </c>
      <c r="BO519" s="183" t="str">
        <f t="shared" si="375"/>
        <v/>
      </c>
      <c r="BP519" s="171" t="str">
        <f t="shared" si="375"/>
        <v/>
      </c>
      <c r="BQ519" s="171" t="str">
        <f t="shared" si="375"/>
        <v/>
      </c>
      <c r="BR519" s="178" t="str">
        <f t="shared" si="375"/>
        <v/>
      </c>
      <c r="BT519" s="183" t="str">
        <f t="shared" si="376"/>
        <v/>
      </c>
      <c r="BU519" s="171" t="str">
        <f t="shared" si="376"/>
        <v/>
      </c>
      <c r="BV519" s="171" t="str">
        <f t="shared" si="376"/>
        <v/>
      </c>
      <c r="BW519" s="178" t="str">
        <f t="shared" si="376"/>
        <v/>
      </c>
      <c r="BX519" s="288"/>
      <c r="CM519" s="96"/>
    </row>
    <row r="520" spans="1:91">
      <c r="A520" s="47" t="str">
        <f t="shared" si="362"/>
        <v/>
      </c>
      <c r="B520" s="184">
        <f t="shared" si="362"/>
        <v>90</v>
      </c>
      <c r="C520" s="172">
        <f t="shared" si="362"/>
        <v>139.5</v>
      </c>
      <c r="D520" s="172">
        <f t="shared" si="362"/>
        <v>80</v>
      </c>
      <c r="E520" s="179">
        <f t="shared" si="362"/>
        <v>20</v>
      </c>
      <c r="G520" s="184">
        <f t="shared" si="363"/>
        <v>90</v>
      </c>
      <c r="H520" s="172">
        <f t="shared" si="363"/>
        <v>139.5</v>
      </c>
      <c r="I520" s="172">
        <f t="shared" si="363"/>
        <v>80</v>
      </c>
      <c r="J520" s="179">
        <f t="shared" si="363"/>
        <v>20</v>
      </c>
      <c r="L520" s="184">
        <f t="shared" si="364"/>
        <v>90</v>
      </c>
      <c r="M520" s="172">
        <f t="shared" si="364"/>
        <v>139.5</v>
      </c>
      <c r="N520" s="172">
        <f t="shared" si="364"/>
        <v>80</v>
      </c>
      <c r="O520" s="179">
        <f t="shared" si="364"/>
        <v>20</v>
      </c>
      <c r="Q520" s="184">
        <f t="shared" si="365"/>
        <v>90</v>
      </c>
      <c r="R520" s="172">
        <f t="shared" si="365"/>
        <v>139.5</v>
      </c>
      <c r="S520" s="172">
        <f t="shared" si="365"/>
        <v>80</v>
      </c>
      <c r="T520" s="179">
        <f t="shared" si="365"/>
        <v>20</v>
      </c>
      <c r="V520" s="184">
        <f t="shared" si="366"/>
        <v>90</v>
      </c>
      <c r="W520" s="172">
        <f t="shared" si="366"/>
        <v>139.5</v>
      </c>
      <c r="X520" s="172">
        <f t="shared" si="366"/>
        <v>80</v>
      </c>
      <c r="Y520" s="179">
        <f t="shared" si="366"/>
        <v>20</v>
      </c>
      <c r="AA520" s="184">
        <f t="shared" si="367"/>
        <v>90</v>
      </c>
      <c r="AB520" s="172">
        <f t="shared" si="367"/>
        <v>139.5</v>
      </c>
      <c r="AC520" s="172">
        <f t="shared" si="367"/>
        <v>80</v>
      </c>
      <c r="AD520" s="179">
        <f t="shared" si="367"/>
        <v>20</v>
      </c>
      <c r="AF520" s="184">
        <f t="shared" si="368"/>
        <v>90</v>
      </c>
      <c r="AG520" s="172">
        <f t="shared" si="368"/>
        <v>139.5</v>
      </c>
      <c r="AH520" s="172">
        <f t="shared" si="368"/>
        <v>80</v>
      </c>
      <c r="AI520" s="179">
        <f t="shared" si="368"/>
        <v>20</v>
      </c>
      <c r="AK520" s="184">
        <f t="shared" si="369"/>
        <v>90</v>
      </c>
      <c r="AL520" s="172">
        <f t="shared" si="369"/>
        <v>139.5</v>
      </c>
      <c r="AM520" s="172">
        <f t="shared" si="369"/>
        <v>80</v>
      </c>
      <c r="AN520" s="179">
        <f t="shared" si="369"/>
        <v>20</v>
      </c>
      <c r="AP520" s="184">
        <f t="shared" si="370"/>
        <v>90</v>
      </c>
      <c r="AQ520" s="172">
        <f t="shared" si="370"/>
        <v>139.5</v>
      </c>
      <c r="AR520" s="172">
        <f t="shared" si="370"/>
        <v>230</v>
      </c>
      <c r="AS520" s="179">
        <f t="shared" si="370"/>
        <v>20</v>
      </c>
      <c r="AT520" s="288"/>
      <c r="AU520" s="184" t="str">
        <f t="shared" si="371"/>
        <v/>
      </c>
      <c r="AV520" s="172" t="str">
        <f t="shared" si="371"/>
        <v/>
      </c>
      <c r="AW520" s="172" t="str">
        <f t="shared" si="371"/>
        <v/>
      </c>
      <c r="AX520" s="179" t="str">
        <f t="shared" si="371"/>
        <v/>
      </c>
      <c r="AZ520" s="184" t="str">
        <f t="shared" si="372"/>
        <v/>
      </c>
      <c r="BA520" s="172" t="str">
        <f t="shared" si="372"/>
        <v/>
      </c>
      <c r="BB520" s="172" t="str">
        <f t="shared" si="372"/>
        <v/>
      </c>
      <c r="BC520" s="179" t="str">
        <f t="shared" si="372"/>
        <v/>
      </c>
      <c r="BE520" s="184" t="str">
        <f t="shared" si="373"/>
        <v/>
      </c>
      <c r="BF520" s="172" t="str">
        <f t="shared" si="373"/>
        <v/>
      </c>
      <c r="BG520" s="172" t="str">
        <f t="shared" si="373"/>
        <v/>
      </c>
      <c r="BH520" s="179" t="str">
        <f t="shared" si="373"/>
        <v/>
      </c>
      <c r="BI520" s="288"/>
      <c r="BJ520" s="184" t="str">
        <f t="shared" si="374"/>
        <v/>
      </c>
      <c r="BK520" s="172" t="str">
        <f t="shared" si="374"/>
        <v/>
      </c>
      <c r="BL520" s="172" t="str">
        <f t="shared" si="374"/>
        <v/>
      </c>
      <c r="BM520" s="179" t="str">
        <f t="shared" si="374"/>
        <v/>
      </c>
      <c r="BO520" s="184" t="str">
        <f t="shared" si="375"/>
        <v/>
      </c>
      <c r="BP520" s="172" t="str">
        <f t="shared" si="375"/>
        <v/>
      </c>
      <c r="BQ520" s="172" t="str">
        <f t="shared" si="375"/>
        <v/>
      </c>
      <c r="BR520" s="179" t="str">
        <f t="shared" si="375"/>
        <v/>
      </c>
      <c r="BT520" s="184" t="str">
        <f t="shared" si="376"/>
        <v/>
      </c>
      <c r="BU520" s="172" t="str">
        <f t="shared" si="376"/>
        <v/>
      </c>
      <c r="BV520" s="172" t="str">
        <f t="shared" si="376"/>
        <v/>
      </c>
      <c r="BW520" s="179" t="str">
        <f t="shared" si="376"/>
        <v/>
      </c>
      <c r="BX520" s="288"/>
      <c r="CM520" s="96"/>
    </row>
    <row r="521" spans="1:91">
      <c r="A521" s="47" t="str">
        <f t="shared" si="362"/>
        <v/>
      </c>
      <c r="B521" s="204">
        <f t="shared" si="362"/>
        <v>90</v>
      </c>
      <c r="C521" s="205">
        <f t="shared" si="362"/>
        <v>32</v>
      </c>
      <c r="D521" s="205">
        <f t="shared" si="362"/>
        <v>530</v>
      </c>
      <c r="E521" s="206">
        <f t="shared" si="362"/>
        <v>14</v>
      </c>
      <c r="G521" s="204">
        <f t="shared" si="363"/>
        <v>90</v>
      </c>
      <c r="H521" s="205">
        <f t="shared" si="363"/>
        <v>32</v>
      </c>
      <c r="I521" s="205">
        <f t="shared" si="363"/>
        <v>420</v>
      </c>
      <c r="J521" s="206">
        <f t="shared" si="363"/>
        <v>14</v>
      </c>
      <c r="L521" s="204">
        <f t="shared" si="364"/>
        <v>90</v>
      </c>
      <c r="M521" s="205">
        <f t="shared" si="364"/>
        <v>32</v>
      </c>
      <c r="N521" s="205">
        <f t="shared" si="364"/>
        <v>715</v>
      </c>
      <c r="O521" s="206">
        <f t="shared" si="364"/>
        <v>14</v>
      </c>
      <c r="Q521" s="204">
        <f t="shared" si="365"/>
        <v>90</v>
      </c>
      <c r="R521" s="205">
        <f t="shared" si="365"/>
        <v>32</v>
      </c>
      <c r="S521" s="205">
        <f t="shared" si="365"/>
        <v>655</v>
      </c>
      <c r="T521" s="206">
        <f t="shared" si="365"/>
        <v>14</v>
      </c>
      <c r="V521" s="204">
        <f t="shared" si="366"/>
        <v>90</v>
      </c>
      <c r="W521" s="205">
        <f t="shared" si="366"/>
        <v>32</v>
      </c>
      <c r="X521" s="205">
        <f t="shared" si="366"/>
        <v>535</v>
      </c>
      <c r="Y521" s="206">
        <f t="shared" si="366"/>
        <v>14</v>
      </c>
      <c r="AA521" s="204">
        <f t="shared" si="367"/>
        <v>90</v>
      </c>
      <c r="AB521" s="205">
        <f t="shared" si="367"/>
        <v>32</v>
      </c>
      <c r="AC521" s="205">
        <f t="shared" si="367"/>
        <v>475</v>
      </c>
      <c r="AD521" s="206">
        <f t="shared" si="367"/>
        <v>14</v>
      </c>
      <c r="AF521" s="204">
        <f t="shared" si="368"/>
        <v>90</v>
      </c>
      <c r="AG521" s="205">
        <f t="shared" si="368"/>
        <v>32</v>
      </c>
      <c r="AH521" s="205">
        <f t="shared" si="368"/>
        <v>355</v>
      </c>
      <c r="AI521" s="206">
        <f t="shared" si="368"/>
        <v>14</v>
      </c>
      <c r="AK521" s="204">
        <f t="shared" si="369"/>
        <v>90</v>
      </c>
      <c r="AL521" s="205">
        <f t="shared" si="369"/>
        <v>32</v>
      </c>
      <c r="AM521" s="205">
        <f t="shared" si="369"/>
        <v>235</v>
      </c>
      <c r="AN521" s="206">
        <f t="shared" si="369"/>
        <v>14</v>
      </c>
      <c r="AP521" s="204">
        <f t="shared" si="370"/>
        <v>90</v>
      </c>
      <c r="AQ521" s="205">
        <f t="shared" si="370"/>
        <v>32</v>
      </c>
      <c r="AR521" s="205">
        <f t="shared" si="370"/>
        <v>805</v>
      </c>
      <c r="AS521" s="206">
        <f t="shared" si="370"/>
        <v>14</v>
      </c>
      <c r="AT521" s="288"/>
      <c r="AU521" s="204">
        <f t="shared" si="371"/>
        <v>90</v>
      </c>
      <c r="AV521" s="205">
        <f t="shared" si="371"/>
        <v>30</v>
      </c>
      <c r="AW521" s="205">
        <f t="shared" si="371"/>
        <v>475</v>
      </c>
      <c r="AX521" s="206">
        <f t="shared" si="371"/>
        <v>14</v>
      </c>
      <c r="AZ521" s="204">
        <f t="shared" si="372"/>
        <v>90</v>
      </c>
      <c r="BA521" s="205">
        <f t="shared" si="372"/>
        <v>30</v>
      </c>
      <c r="BB521" s="205">
        <f t="shared" si="372"/>
        <v>355</v>
      </c>
      <c r="BC521" s="206">
        <f t="shared" si="372"/>
        <v>14</v>
      </c>
      <c r="BE521" s="204">
        <f t="shared" si="373"/>
        <v>90</v>
      </c>
      <c r="BF521" s="205">
        <f t="shared" si="373"/>
        <v>30</v>
      </c>
      <c r="BG521" s="205">
        <f t="shared" si="373"/>
        <v>235</v>
      </c>
      <c r="BH521" s="206">
        <f t="shared" si="373"/>
        <v>14</v>
      </c>
      <c r="BI521" s="288"/>
      <c r="BJ521" s="204" t="str">
        <f t="shared" si="374"/>
        <v/>
      </c>
      <c r="BK521" s="205" t="str">
        <f t="shared" si="374"/>
        <v/>
      </c>
      <c r="BL521" s="205" t="str">
        <f t="shared" si="374"/>
        <v/>
      </c>
      <c r="BM521" s="206" t="str">
        <f t="shared" si="374"/>
        <v/>
      </c>
      <c r="BO521" s="204" t="str">
        <f t="shared" si="375"/>
        <v/>
      </c>
      <c r="BP521" s="205" t="str">
        <f t="shared" si="375"/>
        <v/>
      </c>
      <c r="BQ521" s="205" t="str">
        <f t="shared" si="375"/>
        <v/>
      </c>
      <c r="BR521" s="206" t="str">
        <f t="shared" si="375"/>
        <v/>
      </c>
      <c r="BT521" s="204" t="str">
        <f t="shared" si="376"/>
        <v/>
      </c>
      <c r="BU521" s="205" t="str">
        <f t="shared" si="376"/>
        <v/>
      </c>
      <c r="BV521" s="205" t="str">
        <f t="shared" si="376"/>
        <v/>
      </c>
      <c r="BW521" s="206" t="str">
        <f t="shared" si="376"/>
        <v/>
      </c>
      <c r="BX521" s="288"/>
      <c r="CM521" s="96"/>
    </row>
    <row r="522" spans="1:91">
      <c r="A522" s="47" t="str">
        <f t="shared" si="362"/>
        <v/>
      </c>
      <c r="B522" s="201">
        <f t="shared" si="362"/>
        <v>90</v>
      </c>
      <c r="C522" s="202">
        <f t="shared" si="362"/>
        <v>75</v>
      </c>
      <c r="D522" s="202">
        <f t="shared" si="362"/>
        <v>540</v>
      </c>
      <c r="E522" s="203">
        <f t="shared" si="362"/>
        <v>14</v>
      </c>
      <c r="G522" s="201">
        <f t="shared" si="363"/>
        <v>90</v>
      </c>
      <c r="H522" s="202">
        <f t="shared" si="363"/>
        <v>75</v>
      </c>
      <c r="I522" s="202">
        <f t="shared" si="363"/>
        <v>430</v>
      </c>
      <c r="J522" s="203">
        <f t="shared" si="363"/>
        <v>14</v>
      </c>
      <c r="L522" s="201">
        <f t="shared" si="364"/>
        <v>90</v>
      </c>
      <c r="M522" s="202">
        <f t="shared" si="364"/>
        <v>75</v>
      </c>
      <c r="N522" s="202">
        <f t="shared" si="364"/>
        <v>725</v>
      </c>
      <c r="O522" s="203">
        <f t="shared" si="364"/>
        <v>14</v>
      </c>
      <c r="Q522" s="201">
        <f t="shared" si="365"/>
        <v>90</v>
      </c>
      <c r="R522" s="202">
        <f t="shared" si="365"/>
        <v>75</v>
      </c>
      <c r="S522" s="202">
        <f t="shared" si="365"/>
        <v>665</v>
      </c>
      <c r="T522" s="203">
        <f t="shared" si="365"/>
        <v>14</v>
      </c>
      <c r="V522" s="201">
        <f t="shared" si="366"/>
        <v>90</v>
      </c>
      <c r="W522" s="202">
        <f t="shared" si="366"/>
        <v>75</v>
      </c>
      <c r="X522" s="202">
        <f t="shared" si="366"/>
        <v>545</v>
      </c>
      <c r="Y522" s="203">
        <f t="shared" si="366"/>
        <v>14</v>
      </c>
      <c r="AA522" s="201">
        <f t="shared" si="367"/>
        <v>90</v>
      </c>
      <c r="AB522" s="202">
        <f t="shared" si="367"/>
        <v>75</v>
      </c>
      <c r="AC522" s="202">
        <f t="shared" si="367"/>
        <v>485</v>
      </c>
      <c r="AD522" s="203">
        <f t="shared" si="367"/>
        <v>14</v>
      </c>
      <c r="AF522" s="201">
        <f t="shared" si="368"/>
        <v>90</v>
      </c>
      <c r="AG522" s="202">
        <f t="shared" si="368"/>
        <v>75</v>
      </c>
      <c r="AH522" s="202">
        <f t="shared" si="368"/>
        <v>365</v>
      </c>
      <c r="AI522" s="203">
        <f t="shared" si="368"/>
        <v>14</v>
      </c>
      <c r="AK522" s="201">
        <f t="shared" si="369"/>
        <v>90</v>
      </c>
      <c r="AL522" s="202">
        <f t="shared" si="369"/>
        <v>75</v>
      </c>
      <c r="AM522" s="202">
        <f t="shared" si="369"/>
        <v>245</v>
      </c>
      <c r="AN522" s="203">
        <f t="shared" si="369"/>
        <v>14</v>
      </c>
      <c r="AP522" s="201">
        <f t="shared" si="370"/>
        <v>90</v>
      </c>
      <c r="AQ522" s="202">
        <f t="shared" si="370"/>
        <v>75</v>
      </c>
      <c r="AR522" s="202">
        <f t="shared" si="370"/>
        <v>815</v>
      </c>
      <c r="AS522" s="203">
        <f t="shared" si="370"/>
        <v>14</v>
      </c>
      <c r="AT522" s="288"/>
      <c r="AU522" s="201">
        <f t="shared" si="371"/>
        <v>90</v>
      </c>
      <c r="AV522" s="202">
        <f t="shared" si="371"/>
        <v>70</v>
      </c>
      <c r="AW522" s="202">
        <f t="shared" si="371"/>
        <v>475</v>
      </c>
      <c r="AX522" s="203">
        <f t="shared" si="371"/>
        <v>14</v>
      </c>
      <c r="AZ522" s="201">
        <f t="shared" si="372"/>
        <v>90</v>
      </c>
      <c r="BA522" s="202">
        <f t="shared" si="372"/>
        <v>70</v>
      </c>
      <c r="BB522" s="202">
        <f t="shared" si="372"/>
        <v>355</v>
      </c>
      <c r="BC522" s="203">
        <f t="shared" si="372"/>
        <v>14</v>
      </c>
      <c r="BE522" s="201">
        <f t="shared" si="373"/>
        <v>90</v>
      </c>
      <c r="BF522" s="202">
        <f t="shared" si="373"/>
        <v>70</v>
      </c>
      <c r="BG522" s="202">
        <f t="shared" si="373"/>
        <v>235</v>
      </c>
      <c r="BH522" s="203">
        <f t="shared" si="373"/>
        <v>14</v>
      </c>
      <c r="BI522" s="288"/>
      <c r="BJ522" s="201" t="str">
        <f t="shared" si="374"/>
        <v/>
      </c>
      <c r="BK522" s="202" t="str">
        <f t="shared" si="374"/>
        <v/>
      </c>
      <c r="BL522" s="202" t="str">
        <f t="shared" si="374"/>
        <v/>
      </c>
      <c r="BM522" s="203" t="str">
        <f t="shared" si="374"/>
        <v/>
      </c>
      <c r="BO522" s="201" t="str">
        <f t="shared" si="375"/>
        <v/>
      </c>
      <c r="BP522" s="202" t="str">
        <f t="shared" si="375"/>
        <v/>
      </c>
      <c r="BQ522" s="202" t="str">
        <f t="shared" si="375"/>
        <v/>
      </c>
      <c r="BR522" s="203" t="str">
        <f t="shared" si="375"/>
        <v/>
      </c>
      <c r="BT522" s="201" t="str">
        <f t="shared" si="376"/>
        <v/>
      </c>
      <c r="BU522" s="202" t="str">
        <f t="shared" si="376"/>
        <v/>
      </c>
      <c r="BV522" s="202" t="str">
        <f t="shared" si="376"/>
        <v/>
      </c>
      <c r="BW522" s="203" t="str">
        <f t="shared" si="376"/>
        <v/>
      </c>
      <c r="BX522" s="288"/>
      <c r="CM522" s="96"/>
    </row>
    <row r="523" spans="1:91">
      <c r="A523" s="47" t="str">
        <f t="shared" si="362"/>
        <v/>
      </c>
      <c r="B523" s="207">
        <f t="shared" si="362"/>
        <v>90</v>
      </c>
      <c r="C523" s="208">
        <f t="shared" si="362"/>
        <v>118</v>
      </c>
      <c r="D523" s="208">
        <f t="shared" si="362"/>
        <v>530</v>
      </c>
      <c r="E523" s="209">
        <f t="shared" si="362"/>
        <v>14</v>
      </c>
      <c r="G523" s="207">
        <f t="shared" si="363"/>
        <v>90</v>
      </c>
      <c r="H523" s="208">
        <f t="shared" si="363"/>
        <v>118</v>
      </c>
      <c r="I523" s="208">
        <f t="shared" si="363"/>
        <v>420</v>
      </c>
      <c r="J523" s="209">
        <f t="shared" si="363"/>
        <v>14</v>
      </c>
      <c r="L523" s="207">
        <f t="shared" si="364"/>
        <v>90</v>
      </c>
      <c r="M523" s="208">
        <f t="shared" si="364"/>
        <v>118</v>
      </c>
      <c r="N523" s="208">
        <f t="shared" si="364"/>
        <v>715</v>
      </c>
      <c r="O523" s="209">
        <f t="shared" si="364"/>
        <v>14</v>
      </c>
      <c r="Q523" s="207">
        <f t="shared" si="365"/>
        <v>90</v>
      </c>
      <c r="R523" s="208">
        <f t="shared" si="365"/>
        <v>118</v>
      </c>
      <c r="S523" s="208">
        <f t="shared" si="365"/>
        <v>655</v>
      </c>
      <c r="T523" s="209">
        <f t="shared" si="365"/>
        <v>14</v>
      </c>
      <c r="V523" s="207">
        <f t="shared" si="366"/>
        <v>90</v>
      </c>
      <c r="W523" s="208">
        <f t="shared" si="366"/>
        <v>118</v>
      </c>
      <c r="X523" s="208">
        <f t="shared" si="366"/>
        <v>535</v>
      </c>
      <c r="Y523" s="209">
        <f t="shared" si="366"/>
        <v>14</v>
      </c>
      <c r="AA523" s="207">
        <f t="shared" si="367"/>
        <v>90</v>
      </c>
      <c r="AB523" s="208">
        <f t="shared" si="367"/>
        <v>118</v>
      </c>
      <c r="AC523" s="208">
        <f t="shared" si="367"/>
        <v>475</v>
      </c>
      <c r="AD523" s="209">
        <f t="shared" si="367"/>
        <v>14</v>
      </c>
      <c r="AF523" s="207">
        <f t="shared" si="368"/>
        <v>90</v>
      </c>
      <c r="AG523" s="208">
        <f t="shared" si="368"/>
        <v>118</v>
      </c>
      <c r="AH523" s="208">
        <f t="shared" si="368"/>
        <v>355</v>
      </c>
      <c r="AI523" s="209">
        <f t="shared" si="368"/>
        <v>14</v>
      </c>
      <c r="AK523" s="207">
        <f t="shared" si="369"/>
        <v>90</v>
      </c>
      <c r="AL523" s="208">
        <f t="shared" si="369"/>
        <v>118</v>
      </c>
      <c r="AM523" s="208">
        <f t="shared" si="369"/>
        <v>235</v>
      </c>
      <c r="AN523" s="209">
        <f t="shared" si="369"/>
        <v>14</v>
      </c>
      <c r="AP523" s="207">
        <f t="shared" si="370"/>
        <v>90</v>
      </c>
      <c r="AQ523" s="208">
        <f t="shared" si="370"/>
        <v>118</v>
      </c>
      <c r="AR523" s="208">
        <f t="shared" si="370"/>
        <v>805</v>
      </c>
      <c r="AS523" s="209">
        <f t="shared" si="370"/>
        <v>14</v>
      </c>
      <c r="AT523" s="288"/>
      <c r="AU523" s="207" t="str">
        <f t="shared" si="371"/>
        <v/>
      </c>
      <c r="AV523" s="208" t="str">
        <f t="shared" si="371"/>
        <v/>
      </c>
      <c r="AW523" s="208" t="str">
        <f t="shared" si="371"/>
        <v/>
      </c>
      <c r="AX523" s="209" t="str">
        <f t="shared" si="371"/>
        <v/>
      </c>
      <c r="AZ523" s="207" t="str">
        <f t="shared" si="372"/>
        <v/>
      </c>
      <c r="BA523" s="208" t="str">
        <f t="shared" si="372"/>
        <v/>
      </c>
      <c r="BB523" s="208" t="str">
        <f t="shared" si="372"/>
        <v/>
      </c>
      <c r="BC523" s="209" t="str">
        <f t="shared" si="372"/>
        <v/>
      </c>
      <c r="BE523" s="207" t="str">
        <f t="shared" si="373"/>
        <v/>
      </c>
      <c r="BF523" s="208" t="str">
        <f t="shared" si="373"/>
        <v/>
      </c>
      <c r="BG523" s="208" t="str">
        <f t="shared" si="373"/>
        <v/>
      </c>
      <c r="BH523" s="209" t="str">
        <f t="shared" si="373"/>
        <v/>
      </c>
      <c r="BI523" s="288"/>
      <c r="BJ523" s="207" t="str">
        <f t="shared" si="374"/>
        <v/>
      </c>
      <c r="BK523" s="208" t="str">
        <f t="shared" si="374"/>
        <v/>
      </c>
      <c r="BL523" s="208" t="str">
        <f t="shared" si="374"/>
        <v/>
      </c>
      <c r="BM523" s="209" t="str">
        <f t="shared" si="374"/>
        <v/>
      </c>
      <c r="BO523" s="207" t="str">
        <f t="shared" si="375"/>
        <v/>
      </c>
      <c r="BP523" s="208" t="str">
        <f t="shared" si="375"/>
        <v/>
      </c>
      <c r="BQ523" s="208" t="str">
        <f t="shared" si="375"/>
        <v/>
      </c>
      <c r="BR523" s="209" t="str">
        <f t="shared" si="375"/>
        <v/>
      </c>
      <c r="BT523" s="207" t="str">
        <f t="shared" si="376"/>
        <v/>
      </c>
      <c r="BU523" s="208" t="str">
        <f t="shared" si="376"/>
        <v/>
      </c>
      <c r="BV523" s="208" t="str">
        <f t="shared" si="376"/>
        <v/>
      </c>
      <c r="BW523" s="209" t="str">
        <f t="shared" si="376"/>
        <v/>
      </c>
      <c r="BX523" s="288"/>
      <c r="CM523" s="96"/>
    </row>
    <row r="524" spans="1:91">
      <c r="A524" s="47" t="str">
        <f t="shared" si="362"/>
        <v/>
      </c>
      <c r="B524" s="204">
        <f t="shared" si="362"/>
        <v>90</v>
      </c>
      <c r="C524" s="205">
        <f t="shared" si="362"/>
        <v>32</v>
      </c>
      <c r="D524" s="205">
        <f t="shared" si="362"/>
        <v>1015</v>
      </c>
      <c r="E524" s="206">
        <f t="shared" si="362"/>
        <v>14</v>
      </c>
      <c r="G524" s="204">
        <f t="shared" si="363"/>
        <v>90</v>
      </c>
      <c r="H524" s="205">
        <f t="shared" si="363"/>
        <v>32</v>
      </c>
      <c r="I524" s="205">
        <f t="shared" si="363"/>
        <v>775</v>
      </c>
      <c r="J524" s="206">
        <f t="shared" si="363"/>
        <v>14</v>
      </c>
      <c r="L524" s="204" t="str">
        <f t="shared" si="364"/>
        <v/>
      </c>
      <c r="M524" s="205" t="str">
        <f t="shared" si="364"/>
        <v/>
      </c>
      <c r="N524" s="205" t="str">
        <f t="shared" si="364"/>
        <v/>
      </c>
      <c r="O524" s="206" t="str">
        <f t="shared" si="364"/>
        <v/>
      </c>
      <c r="Q524" s="204" t="str">
        <f t="shared" si="365"/>
        <v/>
      </c>
      <c r="R524" s="205" t="str">
        <f t="shared" si="365"/>
        <v/>
      </c>
      <c r="S524" s="205" t="str">
        <f t="shared" si="365"/>
        <v/>
      </c>
      <c r="T524" s="206" t="str">
        <f t="shared" si="365"/>
        <v/>
      </c>
      <c r="V524" s="204" t="str">
        <f t="shared" si="366"/>
        <v/>
      </c>
      <c r="W524" s="205" t="str">
        <f t="shared" si="366"/>
        <v/>
      </c>
      <c r="X524" s="205" t="str">
        <f t="shared" si="366"/>
        <v/>
      </c>
      <c r="Y524" s="206" t="str">
        <f t="shared" si="366"/>
        <v/>
      </c>
      <c r="AA524" s="204" t="str">
        <f t="shared" si="367"/>
        <v/>
      </c>
      <c r="AB524" s="205" t="str">
        <f t="shared" si="367"/>
        <v/>
      </c>
      <c r="AC524" s="205" t="str">
        <f t="shared" si="367"/>
        <v/>
      </c>
      <c r="AD524" s="206" t="str">
        <f t="shared" si="367"/>
        <v/>
      </c>
      <c r="AF524" s="204" t="str">
        <f t="shared" si="368"/>
        <v/>
      </c>
      <c r="AG524" s="205" t="str">
        <f t="shared" si="368"/>
        <v/>
      </c>
      <c r="AH524" s="205" t="str">
        <f t="shared" si="368"/>
        <v/>
      </c>
      <c r="AI524" s="206" t="str">
        <f t="shared" si="368"/>
        <v/>
      </c>
      <c r="AK524" s="204" t="str">
        <f t="shared" si="369"/>
        <v/>
      </c>
      <c r="AL524" s="205" t="str">
        <f t="shared" si="369"/>
        <v/>
      </c>
      <c r="AM524" s="205" t="str">
        <f t="shared" si="369"/>
        <v/>
      </c>
      <c r="AN524" s="206" t="str">
        <f t="shared" si="369"/>
        <v/>
      </c>
      <c r="AP524" s="204" t="str">
        <f t="shared" si="370"/>
        <v/>
      </c>
      <c r="AQ524" s="205" t="str">
        <f t="shared" si="370"/>
        <v/>
      </c>
      <c r="AR524" s="205" t="str">
        <f t="shared" si="370"/>
        <v/>
      </c>
      <c r="AS524" s="206" t="str">
        <f t="shared" si="370"/>
        <v/>
      </c>
      <c r="AT524" s="288"/>
      <c r="AU524" s="204" t="str">
        <f t="shared" si="371"/>
        <v/>
      </c>
      <c r="AV524" s="205" t="str">
        <f t="shared" si="371"/>
        <v/>
      </c>
      <c r="AW524" s="205" t="str">
        <f t="shared" si="371"/>
        <v/>
      </c>
      <c r="AX524" s="206" t="str">
        <f t="shared" si="371"/>
        <v/>
      </c>
      <c r="AZ524" s="204" t="str">
        <f t="shared" si="372"/>
        <v/>
      </c>
      <c r="BA524" s="205" t="str">
        <f t="shared" si="372"/>
        <v/>
      </c>
      <c r="BB524" s="205" t="str">
        <f t="shared" si="372"/>
        <v/>
      </c>
      <c r="BC524" s="206" t="str">
        <f t="shared" si="372"/>
        <v/>
      </c>
      <c r="BE524" s="204" t="str">
        <f t="shared" si="373"/>
        <v/>
      </c>
      <c r="BF524" s="205" t="str">
        <f t="shared" si="373"/>
        <v/>
      </c>
      <c r="BG524" s="205" t="str">
        <f t="shared" si="373"/>
        <v/>
      </c>
      <c r="BH524" s="206" t="str">
        <f t="shared" si="373"/>
        <v/>
      </c>
      <c r="BI524" s="288"/>
      <c r="BJ524" s="204" t="str">
        <f t="shared" si="374"/>
        <v/>
      </c>
      <c r="BK524" s="205" t="str">
        <f t="shared" si="374"/>
        <v/>
      </c>
      <c r="BL524" s="205" t="str">
        <f t="shared" si="374"/>
        <v/>
      </c>
      <c r="BM524" s="206" t="str">
        <f t="shared" si="374"/>
        <v/>
      </c>
      <c r="BO524" s="204" t="str">
        <f t="shared" si="375"/>
        <v/>
      </c>
      <c r="BP524" s="205" t="str">
        <f t="shared" si="375"/>
        <v/>
      </c>
      <c r="BQ524" s="205" t="str">
        <f t="shared" si="375"/>
        <v/>
      </c>
      <c r="BR524" s="206" t="str">
        <f t="shared" si="375"/>
        <v/>
      </c>
      <c r="BT524" s="204" t="str">
        <f t="shared" si="376"/>
        <v/>
      </c>
      <c r="BU524" s="205" t="str">
        <f t="shared" si="376"/>
        <v/>
      </c>
      <c r="BV524" s="205" t="str">
        <f t="shared" si="376"/>
        <v/>
      </c>
      <c r="BW524" s="206" t="str">
        <f t="shared" si="376"/>
        <v/>
      </c>
      <c r="BX524" s="288"/>
      <c r="CM524" s="96"/>
    </row>
    <row r="525" spans="1:91">
      <c r="A525" s="47" t="str">
        <f t="shared" si="362"/>
        <v/>
      </c>
      <c r="B525" s="201">
        <f t="shared" si="362"/>
        <v>90</v>
      </c>
      <c r="C525" s="202">
        <f t="shared" si="362"/>
        <v>75</v>
      </c>
      <c r="D525" s="202">
        <f t="shared" si="362"/>
        <v>1025</v>
      </c>
      <c r="E525" s="203">
        <f t="shared" si="362"/>
        <v>14</v>
      </c>
      <c r="G525" s="201">
        <f t="shared" si="363"/>
        <v>90</v>
      </c>
      <c r="H525" s="202">
        <f t="shared" si="363"/>
        <v>75</v>
      </c>
      <c r="I525" s="202">
        <f t="shared" si="363"/>
        <v>785</v>
      </c>
      <c r="J525" s="203">
        <f t="shared" si="363"/>
        <v>14</v>
      </c>
      <c r="L525" s="201" t="str">
        <f t="shared" si="364"/>
        <v/>
      </c>
      <c r="M525" s="202" t="str">
        <f t="shared" si="364"/>
        <v/>
      </c>
      <c r="N525" s="202" t="str">
        <f t="shared" si="364"/>
        <v/>
      </c>
      <c r="O525" s="203" t="str">
        <f t="shared" si="364"/>
        <v/>
      </c>
      <c r="Q525" s="201" t="str">
        <f t="shared" si="365"/>
        <v/>
      </c>
      <c r="R525" s="202" t="str">
        <f t="shared" si="365"/>
        <v/>
      </c>
      <c r="S525" s="202" t="str">
        <f t="shared" si="365"/>
        <v/>
      </c>
      <c r="T525" s="203" t="str">
        <f t="shared" si="365"/>
        <v/>
      </c>
      <c r="V525" s="201" t="str">
        <f t="shared" si="366"/>
        <v/>
      </c>
      <c r="W525" s="202" t="str">
        <f t="shared" si="366"/>
        <v/>
      </c>
      <c r="X525" s="202" t="str">
        <f t="shared" si="366"/>
        <v/>
      </c>
      <c r="Y525" s="203" t="str">
        <f t="shared" si="366"/>
        <v/>
      </c>
      <c r="AA525" s="201" t="str">
        <f t="shared" si="367"/>
        <v/>
      </c>
      <c r="AB525" s="202" t="str">
        <f t="shared" si="367"/>
        <v/>
      </c>
      <c r="AC525" s="202" t="str">
        <f t="shared" si="367"/>
        <v/>
      </c>
      <c r="AD525" s="203" t="str">
        <f t="shared" si="367"/>
        <v/>
      </c>
      <c r="AF525" s="201" t="str">
        <f t="shared" si="368"/>
        <v/>
      </c>
      <c r="AG525" s="202" t="str">
        <f t="shared" si="368"/>
        <v/>
      </c>
      <c r="AH525" s="202" t="str">
        <f t="shared" si="368"/>
        <v/>
      </c>
      <c r="AI525" s="203" t="str">
        <f t="shared" si="368"/>
        <v/>
      </c>
      <c r="AK525" s="201" t="str">
        <f t="shared" si="369"/>
        <v/>
      </c>
      <c r="AL525" s="202" t="str">
        <f t="shared" si="369"/>
        <v/>
      </c>
      <c r="AM525" s="202" t="str">
        <f t="shared" si="369"/>
        <v/>
      </c>
      <c r="AN525" s="203" t="str">
        <f t="shared" si="369"/>
        <v/>
      </c>
      <c r="AP525" s="201" t="str">
        <f t="shared" si="370"/>
        <v/>
      </c>
      <c r="AQ525" s="202" t="str">
        <f t="shared" si="370"/>
        <v/>
      </c>
      <c r="AR525" s="202" t="str">
        <f t="shared" si="370"/>
        <v/>
      </c>
      <c r="AS525" s="203" t="str">
        <f t="shared" si="370"/>
        <v/>
      </c>
      <c r="AT525" s="288"/>
      <c r="AU525" s="201" t="str">
        <f t="shared" si="371"/>
        <v/>
      </c>
      <c r="AV525" s="202" t="str">
        <f t="shared" si="371"/>
        <v/>
      </c>
      <c r="AW525" s="202" t="str">
        <f t="shared" si="371"/>
        <v/>
      </c>
      <c r="AX525" s="203" t="str">
        <f t="shared" si="371"/>
        <v/>
      </c>
      <c r="AZ525" s="201" t="str">
        <f t="shared" si="372"/>
        <v/>
      </c>
      <c r="BA525" s="202" t="str">
        <f t="shared" si="372"/>
        <v/>
      </c>
      <c r="BB525" s="202" t="str">
        <f t="shared" si="372"/>
        <v/>
      </c>
      <c r="BC525" s="203" t="str">
        <f t="shared" si="372"/>
        <v/>
      </c>
      <c r="BE525" s="201" t="str">
        <f t="shared" si="373"/>
        <v/>
      </c>
      <c r="BF525" s="202" t="str">
        <f t="shared" si="373"/>
        <v/>
      </c>
      <c r="BG525" s="202" t="str">
        <f t="shared" si="373"/>
        <v/>
      </c>
      <c r="BH525" s="203" t="str">
        <f t="shared" si="373"/>
        <v/>
      </c>
      <c r="BI525" s="288"/>
      <c r="BJ525" s="201" t="str">
        <f t="shared" si="374"/>
        <v/>
      </c>
      <c r="BK525" s="202" t="str">
        <f t="shared" si="374"/>
        <v/>
      </c>
      <c r="BL525" s="202" t="str">
        <f t="shared" si="374"/>
        <v/>
      </c>
      <c r="BM525" s="203" t="str">
        <f t="shared" si="374"/>
        <v/>
      </c>
      <c r="BO525" s="201" t="str">
        <f t="shared" si="375"/>
        <v/>
      </c>
      <c r="BP525" s="202" t="str">
        <f t="shared" si="375"/>
        <v/>
      </c>
      <c r="BQ525" s="202" t="str">
        <f t="shared" si="375"/>
        <v/>
      </c>
      <c r="BR525" s="203" t="str">
        <f t="shared" si="375"/>
        <v/>
      </c>
      <c r="BT525" s="201" t="str">
        <f t="shared" si="376"/>
        <v/>
      </c>
      <c r="BU525" s="202" t="str">
        <f t="shared" si="376"/>
        <v/>
      </c>
      <c r="BV525" s="202" t="str">
        <f t="shared" si="376"/>
        <v/>
      </c>
      <c r="BW525" s="203" t="str">
        <f t="shared" si="376"/>
        <v/>
      </c>
      <c r="BX525" s="288"/>
      <c r="CM525" s="96"/>
    </row>
    <row r="526" spans="1:91">
      <c r="A526" s="47" t="str">
        <f t="shared" si="362"/>
        <v/>
      </c>
      <c r="B526" s="207">
        <f t="shared" si="362"/>
        <v>90</v>
      </c>
      <c r="C526" s="208">
        <f t="shared" si="362"/>
        <v>118</v>
      </c>
      <c r="D526" s="208">
        <f t="shared" si="362"/>
        <v>1015</v>
      </c>
      <c r="E526" s="209">
        <f t="shared" si="362"/>
        <v>14</v>
      </c>
      <c r="G526" s="207">
        <f t="shared" si="363"/>
        <v>90</v>
      </c>
      <c r="H526" s="208">
        <f t="shared" si="363"/>
        <v>118</v>
      </c>
      <c r="I526" s="208">
        <f t="shared" si="363"/>
        <v>775</v>
      </c>
      <c r="J526" s="209">
        <f t="shared" si="363"/>
        <v>14</v>
      </c>
      <c r="L526" s="207" t="str">
        <f t="shared" si="364"/>
        <v/>
      </c>
      <c r="M526" s="208" t="str">
        <f t="shared" si="364"/>
        <v/>
      </c>
      <c r="N526" s="208" t="str">
        <f t="shared" si="364"/>
        <v/>
      </c>
      <c r="O526" s="209" t="str">
        <f t="shared" si="364"/>
        <v/>
      </c>
      <c r="Q526" s="207" t="str">
        <f t="shared" si="365"/>
        <v/>
      </c>
      <c r="R526" s="208" t="str">
        <f t="shared" si="365"/>
        <v/>
      </c>
      <c r="S526" s="208" t="str">
        <f t="shared" si="365"/>
        <v/>
      </c>
      <c r="T526" s="209" t="str">
        <f t="shared" si="365"/>
        <v/>
      </c>
      <c r="V526" s="207" t="str">
        <f t="shared" si="366"/>
        <v/>
      </c>
      <c r="W526" s="208" t="str">
        <f t="shared" si="366"/>
        <v/>
      </c>
      <c r="X526" s="208" t="str">
        <f t="shared" si="366"/>
        <v/>
      </c>
      <c r="Y526" s="209" t="str">
        <f t="shared" si="366"/>
        <v/>
      </c>
      <c r="AA526" s="207" t="str">
        <f t="shared" si="367"/>
        <v/>
      </c>
      <c r="AB526" s="208" t="str">
        <f t="shared" si="367"/>
        <v/>
      </c>
      <c r="AC526" s="208" t="str">
        <f t="shared" si="367"/>
        <v/>
      </c>
      <c r="AD526" s="209" t="str">
        <f t="shared" si="367"/>
        <v/>
      </c>
      <c r="AF526" s="207" t="str">
        <f t="shared" si="368"/>
        <v/>
      </c>
      <c r="AG526" s="208" t="str">
        <f t="shared" si="368"/>
        <v/>
      </c>
      <c r="AH526" s="208" t="str">
        <f t="shared" si="368"/>
        <v/>
      </c>
      <c r="AI526" s="209" t="str">
        <f t="shared" si="368"/>
        <v/>
      </c>
      <c r="AK526" s="207" t="str">
        <f t="shared" si="369"/>
        <v/>
      </c>
      <c r="AL526" s="208" t="str">
        <f t="shared" si="369"/>
        <v/>
      </c>
      <c r="AM526" s="208" t="str">
        <f t="shared" si="369"/>
        <v/>
      </c>
      <c r="AN526" s="209" t="str">
        <f t="shared" si="369"/>
        <v/>
      </c>
      <c r="AP526" s="207" t="str">
        <f t="shared" si="370"/>
        <v/>
      </c>
      <c r="AQ526" s="208" t="str">
        <f t="shared" si="370"/>
        <v/>
      </c>
      <c r="AR526" s="208" t="str">
        <f t="shared" si="370"/>
        <v/>
      </c>
      <c r="AS526" s="209" t="str">
        <f t="shared" si="370"/>
        <v/>
      </c>
      <c r="AT526" s="288"/>
      <c r="AU526" s="207" t="str">
        <f t="shared" si="371"/>
        <v/>
      </c>
      <c r="AV526" s="208" t="str">
        <f t="shared" si="371"/>
        <v/>
      </c>
      <c r="AW526" s="208" t="str">
        <f t="shared" si="371"/>
        <v/>
      </c>
      <c r="AX526" s="209" t="str">
        <f t="shared" si="371"/>
        <v/>
      </c>
      <c r="AZ526" s="207" t="str">
        <f t="shared" si="372"/>
        <v/>
      </c>
      <c r="BA526" s="208" t="str">
        <f t="shared" si="372"/>
        <v/>
      </c>
      <c r="BB526" s="208" t="str">
        <f t="shared" si="372"/>
        <v/>
      </c>
      <c r="BC526" s="209" t="str">
        <f t="shared" si="372"/>
        <v/>
      </c>
      <c r="BE526" s="207" t="str">
        <f t="shared" si="373"/>
        <v/>
      </c>
      <c r="BF526" s="208" t="str">
        <f t="shared" si="373"/>
        <v/>
      </c>
      <c r="BG526" s="208" t="str">
        <f t="shared" si="373"/>
        <v/>
      </c>
      <c r="BH526" s="209" t="str">
        <f t="shared" si="373"/>
        <v/>
      </c>
      <c r="BI526" s="288"/>
      <c r="BJ526" s="207" t="str">
        <f t="shared" si="374"/>
        <v/>
      </c>
      <c r="BK526" s="208" t="str">
        <f t="shared" si="374"/>
        <v/>
      </c>
      <c r="BL526" s="208" t="str">
        <f t="shared" si="374"/>
        <v/>
      </c>
      <c r="BM526" s="209" t="str">
        <f t="shared" si="374"/>
        <v/>
      </c>
      <c r="BO526" s="207" t="str">
        <f t="shared" si="375"/>
        <v/>
      </c>
      <c r="BP526" s="208" t="str">
        <f t="shared" si="375"/>
        <v/>
      </c>
      <c r="BQ526" s="208" t="str">
        <f t="shared" si="375"/>
        <v/>
      </c>
      <c r="BR526" s="209" t="str">
        <f t="shared" si="375"/>
        <v/>
      </c>
      <c r="BT526" s="207" t="str">
        <f t="shared" si="376"/>
        <v/>
      </c>
      <c r="BU526" s="208" t="str">
        <f t="shared" si="376"/>
        <v/>
      </c>
      <c r="BV526" s="208" t="str">
        <f t="shared" si="376"/>
        <v/>
      </c>
      <c r="BW526" s="209" t="str">
        <f t="shared" si="376"/>
        <v/>
      </c>
      <c r="BX526" s="288"/>
      <c r="CM526" s="96"/>
    </row>
    <row r="527" spans="1:91">
      <c r="A527" s="47" t="str">
        <f t="shared" si="362"/>
        <v/>
      </c>
      <c r="B527" s="185">
        <f t="shared" si="362"/>
        <v>45</v>
      </c>
      <c r="C527" s="173">
        <f t="shared" si="362"/>
        <v>10.5</v>
      </c>
      <c r="D527" s="173">
        <f t="shared" si="362"/>
        <v>150</v>
      </c>
      <c r="E527" s="180">
        <f t="shared" si="362"/>
        <v>18</v>
      </c>
      <c r="G527" s="185">
        <f t="shared" si="363"/>
        <v>45</v>
      </c>
      <c r="H527" s="173">
        <f t="shared" si="363"/>
        <v>10.5</v>
      </c>
      <c r="I527" s="173">
        <f t="shared" si="363"/>
        <v>150</v>
      </c>
      <c r="J527" s="180">
        <f t="shared" si="363"/>
        <v>18</v>
      </c>
      <c r="L527" s="185">
        <f t="shared" si="364"/>
        <v>45</v>
      </c>
      <c r="M527" s="173">
        <f t="shared" si="364"/>
        <v>10.5</v>
      </c>
      <c r="N527" s="173">
        <f t="shared" si="364"/>
        <v>159</v>
      </c>
      <c r="O527" s="180">
        <f t="shared" si="364"/>
        <v>18</v>
      </c>
      <c r="Q527" s="185">
        <f t="shared" si="365"/>
        <v>45</v>
      </c>
      <c r="R527" s="173">
        <f t="shared" si="365"/>
        <v>10.5</v>
      </c>
      <c r="S527" s="173">
        <f t="shared" si="365"/>
        <v>156</v>
      </c>
      <c r="T527" s="180">
        <f t="shared" si="365"/>
        <v>18</v>
      </c>
      <c r="V527" s="185">
        <f t="shared" si="366"/>
        <v>45</v>
      </c>
      <c r="W527" s="173">
        <f t="shared" si="366"/>
        <v>10.5</v>
      </c>
      <c r="X527" s="173">
        <f t="shared" si="366"/>
        <v>150</v>
      </c>
      <c r="Y527" s="180">
        <f t="shared" si="366"/>
        <v>18</v>
      </c>
      <c r="AA527" s="185">
        <f t="shared" si="367"/>
        <v>45</v>
      </c>
      <c r="AB527" s="173">
        <f t="shared" si="367"/>
        <v>10.5</v>
      </c>
      <c r="AC527" s="173">
        <f t="shared" si="367"/>
        <v>138</v>
      </c>
      <c r="AD527" s="180">
        <f t="shared" si="367"/>
        <v>18</v>
      </c>
      <c r="AF527" s="185">
        <f t="shared" si="368"/>
        <v>45</v>
      </c>
      <c r="AG527" s="173">
        <f t="shared" si="368"/>
        <v>10.5</v>
      </c>
      <c r="AH527" s="173">
        <f t="shared" si="368"/>
        <v>138</v>
      </c>
      <c r="AI527" s="180">
        <f t="shared" si="368"/>
        <v>18</v>
      </c>
      <c r="AK527" s="185">
        <f t="shared" si="369"/>
        <v>45</v>
      </c>
      <c r="AL527" s="173">
        <f t="shared" si="369"/>
        <v>10.5</v>
      </c>
      <c r="AM527" s="173">
        <f t="shared" si="369"/>
        <v>134</v>
      </c>
      <c r="AN527" s="180">
        <f t="shared" si="369"/>
        <v>18</v>
      </c>
      <c r="AP527" s="185">
        <f t="shared" si="370"/>
        <v>45</v>
      </c>
      <c r="AQ527" s="173">
        <f t="shared" si="370"/>
        <v>10.5</v>
      </c>
      <c r="AR527" s="173">
        <f t="shared" si="370"/>
        <v>306</v>
      </c>
      <c r="AS527" s="180">
        <f t="shared" si="370"/>
        <v>18</v>
      </c>
      <c r="AT527" s="288"/>
      <c r="AU527" s="185">
        <f t="shared" si="371"/>
        <v>45</v>
      </c>
      <c r="AV527" s="173">
        <f t="shared" si="371"/>
        <v>10.8</v>
      </c>
      <c r="AW527" s="173">
        <f t="shared" si="371"/>
        <v>138</v>
      </c>
      <c r="AX527" s="180">
        <f t="shared" si="371"/>
        <v>17.5</v>
      </c>
      <c r="AZ527" s="185">
        <f t="shared" si="372"/>
        <v>45</v>
      </c>
      <c r="BA527" s="173">
        <f t="shared" si="372"/>
        <v>10.8</v>
      </c>
      <c r="BB527" s="173">
        <f t="shared" si="372"/>
        <v>138</v>
      </c>
      <c r="BC527" s="180">
        <f t="shared" si="372"/>
        <v>17.5</v>
      </c>
      <c r="BE527" s="185">
        <f t="shared" si="373"/>
        <v>45</v>
      </c>
      <c r="BF527" s="173">
        <f t="shared" si="373"/>
        <v>10.8</v>
      </c>
      <c r="BG527" s="173">
        <f t="shared" si="373"/>
        <v>138</v>
      </c>
      <c r="BH527" s="180">
        <f t="shared" si="373"/>
        <v>17.5</v>
      </c>
      <c r="BI527" s="288"/>
      <c r="BJ527" s="185">
        <f t="shared" si="374"/>
        <v>45</v>
      </c>
      <c r="BK527" s="173">
        <f t="shared" si="374"/>
        <v>9.75</v>
      </c>
      <c r="BL527" s="173">
        <f t="shared" si="374"/>
        <v>118</v>
      </c>
      <c r="BM527" s="180">
        <f t="shared" si="374"/>
        <v>17.5</v>
      </c>
      <c r="BO527" s="185">
        <f t="shared" si="375"/>
        <v>45</v>
      </c>
      <c r="BP527" s="173">
        <f t="shared" si="375"/>
        <v>9.75</v>
      </c>
      <c r="BQ527" s="173">
        <f t="shared" si="375"/>
        <v>118</v>
      </c>
      <c r="BR527" s="180">
        <f t="shared" si="375"/>
        <v>17.5</v>
      </c>
      <c r="BT527" s="185">
        <f t="shared" si="376"/>
        <v>45</v>
      </c>
      <c r="BU527" s="173">
        <f t="shared" si="376"/>
        <v>9.75</v>
      </c>
      <c r="BV527" s="173">
        <f t="shared" si="376"/>
        <v>118</v>
      </c>
      <c r="BW527" s="180">
        <f t="shared" si="376"/>
        <v>17.5</v>
      </c>
      <c r="BX527" s="288"/>
      <c r="CM527" s="96"/>
    </row>
    <row r="528" spans="1:91">
      <c r="A528" s="47" t="str">
        <f t="shared" si="362"/>
        <v/>
      </c>
      <c r="B528" s="185">
        <f t="shared" si="362"/>
        <v>45</v>
      </c>
      <c r="C528" s="173">
        <f t="shared" si="362"/>
        <v>10.5</v>
      </c>
      <c r="D528" s="173">
        <f t="shared" si="362"/>
        <v>207</v>
      </c>
      <c r="E528" s="180">
        <f t="shared" si="362"/>
        <v>18</v>
      </c>
      <c r="G528" s="185">
        <f t="shared" si="363"/>
        <v>45</v>
      </c>
      <c r="H528" s="173">
        <f t="shared" si="363"/>
        <v>10.5</v>
      </c>
      <c r="I528" s="173">
        <f t="shared" si="363"/>
        <v>207</v>
      </c>
      <c r="J528" s="180">
        <f t="shared" si="363"/>
        <v>18</v>
      </c>
      <c r="L528" s="185">
        <f t="shared" si="364"/>
        <v>45</v>
      </c>
      <c r="M528" s="173">
        <f t="shared" si="364"/>
        <v>10.5</v>
      </c>
      <c r="N528" s="173">
        <f t="shared" si="364"/>
        <v>216</v>
      </c>
      <c r="O528" s="180">
        <f t="shared" si="364"/>
        <v>18</v>
      </c>
      <c r="Q528" s="185">
        <f t="shared" si="365"/>
        <v>45</v>
      </c>
      <c r="R528" s="173">
        <f t="shared" si="365"/>
        <v>10.5</v>
      </c>
      <c r="S528" s="173">
        <f t="shared" si="365"/>
        <v>213</v>
      </c>
      <c r="T528" s="180">
        <f t="shared" si="365"/>
        <v>18</v>
      </c>
      <c r="V528" s="185">
        <f t="shared" si="366"/>
        <v>45</v>
      </c>
      <c r="W528" s="173">
        <f t="shared" si="366"/>
        <v>10.5</v>
      </c>
      <c r="X528" s="173">
        <f t="shared" si="366"/>
        <v>207</v>
      </c>
      <c r="Y528" s="180">
        <f t="shared" si="366"/>
        <v>18</v>
      </c>
      <c r="AA528" s="185">
        <f t="shared" si="367"/>
        <v>45</v>
      </c>
      <c r="AB528" s="173">
        <f t="shared" si="367"/>
        <v>10.5</v>
      </c>
      <c r="AC528" s="173">
        <f t="shared" si="367"/>
        <v>196</v>
      </c>
      <c r="AD528" s="180">
        <f t="shared" si="367"/>
        <v>18</v>
      </c>
      <c r="AF528" s="185">
        <f t="shared" si="368"/>
        <v>45</v>
      </c>
      <c r="AG528" s="173">
        <f t="shared" si="368"/>
        <v>10.5</v>
      </c>
      <c r="AH528" s="173">
        <f t="shared" si="368"/>
        <v>196</v>
      </c>
      <c r="AI528" s="180">
        <f t="shared" si="368"/>
        <v>18</v>
      </c>
      <c r="AK528" s="185">
        <f t="shared" si="369"/>
        <v>45</v>
      </c>
      <c r="AL528" s="173">
        <f t="shared" si="369"/>
        <v>10.5</v>
      </c>
      <c r="AM528" s="173">
        <f t="shared" si="369"/>
        <v>192</v>
      </c>
      <c r="AN528" s="180">
        <f t="shared" si="369"/>
        <v>18</v>
      </c>
      <c r="AP528" s="185">
        <f t="shared" si="370"/>
        <v>45</v>
      </c>
      <c r="AQ528" s="173">
        <f t="shared" si="370"/>
        <v>10.5</v>
      </c>
      <c r="AR528" s="173">
        <f t="shared" si="370"/>
        <v>363</v>
      </c>
      <c r="AS528" s="180">
        <f t="shared" si="370"/>
        <v>18</v>
      </c>
      <c r="AT528" s="288"/>
      <c r="AU528" s="185">
        <f t="shared" si="371"/>
        <v>45</v>
      </c>
      <c r="AV528" s="173">
        <f t="shared" si="371"/>
        <v>10.8</v>
      </c>
      <c r="AW528" s="173">
        <f t="shared" si="371"/>
        <v>196</v>
      </c>
      <c r="AX528" s="180">
        <f t="shared" si="371"/>
        <v>17.5</v>
      </c>
      <c r="AZ528" s="185">
        <f t="shared" si="372"/>
        <v>45</v>
      </c>
      <c r="BA528" s="173">
        <f t="shared" si="372"/>
        <v>10.8</v>
      </c>
      <c r="BB528" s="173">
        <f t="shared" si="372"/>
        <v>196</v>
      </c>
      <c r="BC528" s="180">
        <f t="shared" si="372"/>
        <v>17.5</v>
      </c>
      <c r="BE528" s="185">
        <f t="shared" si="373"/>
        <v>45</v>
      </c>
      <c r="BF528" s="173">
        <f t="shared" si="373"/>
        <v>10.8</v>
      </c>
      <c r="BG528" s="173">
        <f t="shared" si="373"/>
        <v>196</v>
      </c>
      <c r="BH528" s="180">
        <f t="shared" si="373"/>
        <v>17.5</v>
      </c>
      <c r="BI528" s="288"/>
      <c r="BJ528" s="185">
        <f t="shared" si="374"/>
        <v>45</v>
      </c>
      <c r="BK528" s="173">
        <f t="shared" si="374"/>
        <v>9.75</v>
      </c>
      <c r="BL528" s="173">
        <f t="shared" si="374"/>
        <v>176</v>
      </c>
      <c r="BM528" s="180">
        <f t="shared" si="374"/>
        <v>17.5</v>
      </c>
      <c r="BO528" s="185">
        <f t="shared" si="375"/>
        <v>45</v>
      </c>
      <c r="BP528" s="173">
        <f t="shared" si="375"/>
        <v>9.75</v>
      </c>
      <c r="BQ528" s="173">
        <f t="shared" si="375"/>
        <v>176</v>
      </c>
      <c r="BR528" s="180">
        <f t="shared" si="375"/>
        <v>17.5</v>
      </c>
      <c r="BT528" s="185">
        <f t="shared" si="376"/>
        <v>45</v>
      </c>
      <c r="BU528" s="173">
        <f t="shared" si="376"/>
        <v>9.75</v>
      </c>
      <c r="BV528" s="173">
        <f t="shared" si="376"/>
        <v>176</v>
      </c>
      <c r="BW528" s="180">
        <f t="shared" si="376"/>
        <v>17.5</v>
      </c>
      <c r="BX528" s="288"/>
      <c r="CM528" s="96"/>
    </row>
    <row r="529" spans="1:91">
      <c r="A529" s="47" t="str">
        <f t="shared" si="362"/>
        <v/>
      </c>
      <c r="B529" s="185">
        <f t="shared" si="362"/>
        <v>45</v>
      </c>
      <c r="C529" s="173">
        <f t="shared" si="362"/>
        <v>10.5</v>
      </c>
      <c r="D529" s="173">
        <f t="shared" si="362"/>
        <v>264</v>
      </c>
      <c r="E529" s="180">
        <f t="shared" si="362"/>
        <v>18</v>
      </c>
      <c r="G529" s="185">
        <f t="shared" si="363"/>
        <v>45</v>
      </c>
      <c r="H529" s="173">
        <f t="shared" si="363"/>
        <v>10.5</v>
      </c>
      <c r="I529" s="173">
        <f t="shared" si="363"/>
        <v>264</v>
      </c>
      <c r="J529" s="180">
        <f t="shared" si="363"/>
        <v>18</v>
      </c>
      <c r="L529" s="185">
        <f t="shared" si="364"/>
        <v>45</v>
      </c>
      <c r="M529" s="173">
        <f t="shared" si="364"/>
        <v>10.5</v>
      </c>
      <c r="N529" s="173">
        <f t="shared" si="364"/>
        <v>273</v>
      </c>
      <c r="O529" s="180">
        <f t="shared" si="364"/>
        <v>18</v>
      </c>
      <c r="Q529" s="185">
        <f t="shared" si="365"/>
        <v>45</v>
      </c>
      <c r="R529" s="173">
        <f t="shared" si="365"/>
        <v>10.5</v>
      </c>
      <c r="S529" s="173">
        <f t="shared" si="365"/>
        <v>270</v>
      </c>
      <c r="T529" s="180">
        <f t="shared" si="365"/>
        <v>18</v>
      </c>
      <c r="V529" s="185">
        <f t="shared" si="366"/>
        <v>45</v>
      </c>
      <c r="W529" s="173">
        <f t="shared" si="366"/>
        <v>10.5</v>
      </c>
      <c r="X529" s="173">
        <f t="shared" si="366"/>
        <v>264</v>
      </c>
      <c r="Y529" s="180">
        <f t="shared" si="366"/>
        <v>18</v>
      </c>
      <c r="AA529" s="185">
        <f t="shared" si="367"/>
        <v>45</v>
      </c>
      <c r="AB529" s="173">
        <f t="shared" si="367"/>
        <v>10.5</v>
      </c>
      <c r="AC529" s="173">
        <f t="shared" si="367"/>
        <v>254</v>
      </c>
      <c r="AD529" s="180">
        <f t="shared" si="367"/>
        <v>18</v>
      </c>
      <c r="AF529" s="185">
        <f t="shared" si="368"/>
        <v>45</v>
      </c>
      <c r="AG529" s="173">
        <f t="shared" si="368"/>
        <v>10.5</v>
      </c>
      <c r="AH529" s="173">
        <f t="shared" si="368"/>
        <v>254</v>
      </c>
      <c r="AI529" s="180">
        <f t="shared" si="368"/>
        <v>18</v>
      </c>
      <c r="AK529" s="185">
        <f t="shared" si="369"/>
        <v>45</v>
      </c>
      <c r="AL529" s="173">
        <f t="shared" si="369"/>
        <v>10.5</v>
      </c>
      <c r="AM529" s="173">
        <f t="shared" si="369"/>
        <v>250</v>
      </c>
      <c r="AN529" s="180">
        <f t="shared" si="369"/>
        <v>18</v>
      </c>
      <c r="AP529" s="185">
        <f t="shared" si="370"/>
        <v>45</v>
      </c>
      <c r="AQ529" s="173">
        <f t="shared" si="370"/>
        <v>10.5</v>
      </c>
      <c r="AR529" s="173">
        <f t="shared" si="370"/>
        <v>420</v>
      </c>
      <c r="AS529" s="180">
        <f t="shared" si="370"/>
        <v>18</v>
      </c>
      <c r="AT529" s="288"/>
      <c r="AU529" s="185">
        <f t="shared" si="371"/>
        <v>45</v>
      </c>
      <c r="AV529" s="173">
        <f t="shared" si="371"/>
        <v>10.8</v>
      </c>
      <c r="AW529" s="173">
        <f t="shared" si="371"/>
        <v>254</v>
      </c>
      <c r="AX529" s="180">
        <f t="shared" si="371"/>
        <v>17.5</v>
      </c>
      <c r="AZ529" s="185">
        <f t="shared" si="372"/>
        <v>45</v>
      </c>
      <c r="BA529" s="173">
        <f t="shared" si="372"/>
        <v>10.8</v>
      </c>
      <c r="BB529" s="173">
        <f t="shared" si="372"/>
        <v>254</v>
      </c>
      <c r="BC529" s="180">
        <f t="shared" si="372"/>
        <v>17.5</v>
      </c>
      <c r="BE529" s="185">
        <f t="shared" si="373"/>
        <v>45</v>
      </c>
      <c r="BF529" s="173">
        <f t="shared" si="373"/>
        <v>10.8</v>
      </c>
      <c r="BG529" s="173">
        <f t="shared" si="373"/>
        <v>254</v>
      </c>
      <c r="BH529" s="180">
        <f t="shared" si="373"/>
        <v>17.5</v>
      </c>
      <c r="BI529" s="288"/>
      <c r="BJ529" s="185">
        <f t="shared" si="374"/>
        <v>45</v>
      </c>
      <c r="BK529" s="173">
        <f t="shared" si="374"/>
        <v>9.75</v>
      </c>
      <c r="BL529" s="173">
        <f t="shared" si="374"/>
        <v>234</v>
      </c>
      <c r="BM529" s="180">
        <f t="shared" si="374"/>
        <v>17.5</v>
      </c>
      <c r="BO529" s="185">
        <f t="shared" si="375"/>
        <v>45</v>
      </c>
      <c r="BP529" s="173">
        <f t="shared" si="375"/>
        <v>9.75</v>
      </c>
      <c r="BQ529" s="173">
        <f t="shared" si="375"/>
        <v>234</v>
      </c>
      <c r="BR529" s="180">
        <f t="shared" si="375"/>
        <v>17.5</v>
      </c>
      <c r="BT529" s="185">
        <f t="shared" si="376"/>
        <v>45</v>
      </c>
      <c r="BU529" s="173">
        <f t="shared" si="376"/>
        <v>9.75</v>
      </c>
      <c r="BV529" s="173">
        <f t="shared" si="376"/>
        <v>234</v>
      </c>
      <c r="BW529" s="180">
        <f t="shared" si="376"/>
        <v>17.5</v>
      </c>
      <c r="BX529" s="288"/>
      <c r="CM529" s="96"/>
    </row>
    <row r="530" spans="1:91">
      <c r="A530" s="47" t="str">
        <f t="shared" si="362"/>
        <v/>
      </c>
      <c r="B530" s="185">
        <f t="shared" si="362"/>
        <v>45</v>
      </c>
      <c r="C530" s="173">
        <f t="shared" si="362"/>
        <v>10.5</v>
      </c>
      <c r="D530" s="173">
        <f t="shared" si="362"/>
        <v>321</v>
      </c>
      <c r="E530" s="180">
        <f t="shared" si="362"/>
        <v>18</v>
      </c>
      <c r="G530" s="185">
        <f t="shared" si="363"/>
        <v>45</v>
      </c>
      <c r="H530" s="173">
        <f t="shared" si="363"/>
        <v>10.5</v>
      </c>
      <c r="I530" s="173">
        <f t="shared" si="363"/>
        <v>321</v>
      </c>
      <c r="J530" s="180">
        <f t="shared" si="363"/>
        <v>18</v>
      </c>
      <c r="L530" s="185">
        <f t="shared" si="364"/>
        <v>45</v>
      </c>
      <c r="M530" s="173">
        <f t="shared" si="364"/>
        <v>10.5</v>
      </c>
      <c r="N530" s="173">
        <f t="shared" si="364"/>
        <v>330</v>
      </c>
      <c r="O530" s="180">
        <f t="shared" si="364"/>
        <v>18</v>
      </c>
      <c r="Q530" s="185">
        <f t="shared" si="365"/>
        <v>45</v>
      </c>
      <c r="R530" s="173">
        <f t="shared" si="365"/>
        <v>10.5</v>
      </c>
      <c r="S530" s="173">
        <f t="shared" si="365"/>
        <v>327</v>
      </c>
      <c r="T530" s="180">
        <f t="shared" si="365"/>
        <v>18</v>
      </c>
      <c r="V530" s="185">
        <f t="shared" si="366"/>
        <v>45</v>
      </c>
      <c r="W530" s="173">
        <f t="shared" si="366"/>
        <v>10.5</v>
      </c>
      <c r="X530" s="173">
        <f t="shared" si="366"/>
        <v>321</v>
      </c>
      <c r="Y530" s="180">
        <f t="shared" si="366"/>
        <v>18</v>
      </c>
      <c r="AA530" s="185">
        <f t="shared" si="367"/>
        <v>45</v>
      </c>
      <c r="AB530" s="173">
        <f t="shared" si="367"/>
        <v>10.5</v>
      </c>
      <c r="AC530" s="173">
        <f t="shared" si="367"/>
        <v>312</v>
      </c>
      <c r="AD530" s="180">
        <f t="shared" si="367"/>
        <v>18</v>
      </c>
      <c r="AF530" s="185">
        <f t="shared" si="368"/>
        <v>45</v>
      </c>
      <c r="AG530" s="173">
        <f t="shared" si="368"/>
        <v>10.5</v>
      </c>
      <c r="AH530" s="173">
        <f t="shared" si="368"/>
        <v>312</v>
      </c>
      <c r="AI530" s="180">
        <f t="shared" si="368"/>
        <v>18</v>
      </c>
      <c r="AK530" s="185">
        <f t="shared" si="369"/>
        <v>45</v>
      </c>
      <c r="AL530" s="173">
        <f t="shared" si="369"/>
        <v>53.5</v>
      </c>
      <c r="AM530" s="173">
        <f t="shared" si="369"/>
        <v>110</v>
      </c>
      <c r="AN530" s="180">
        <f t="shared" si="369"/>
        <v>18</v>
      </c>
      <c r="AP530" s="185">
        <f t="shared" si="370"/>
        <v>45</v>
      </c>
      <c r="AQ530" s="173">
        <f t="shared" si="370"/>
        <v>10.5</v>
      </c>
      <c r="AR530" s="173">
        <f t="shared" si="370"/>
        <v>477</v>
      </c>
      <c r="AS530" s="180">
        <f t="shared" si="370"/>
        <v>18</v>
      </c>
      <c r="AT530" s="288"/>
      <c r="AU530" s="185">
        <f t="shared" si="371"/>
        <v>45</v>
      </c>
      <c r="AV530" s="173">
        <f t="shared" si="371"/>
        <v>10.8</v>
      </c>
      <c r="AW530" s="173">
        <f t="shared" si="371"/>
        <v>312</v>
      </c>
      <c r="AX530" s="180">
        <f t="shared" si="371"/>
        <v>17.5</v>
      </c>
      <c r="AZ530" s="185">
        <f t="shared" si="372"/>
        <v>45</v>
      </c>
      <c r="BA530" s="173">
        <f t="shared" si="372"/>
        <v>10.8</v>
      </c>
      <c r="BB530" s="173">
        <f t="shared" si="372"/>
        <v>312</v>
      </c>
      <c r="BC530" s="180">
        <f t="shared" si="372"/>
        <v>17.5</v>
      </c>
      <c r="BE530" s="185">
        <f t="shared" si="373"/>
        <v>45</v>
      </c>
      <c r="BF530" s="173">
        <f t="shared" si="373"/>
        <v>50</v>
      </c>
      <c r="BG530" s="173">
        <f t="shared" si="373"/>
        <v>110</v>
      </c>
      <c r="BH530" s="180">
        <f t="shared" si="373"/>
        <v>17.5</v>
      </c>
      <c r="BI530" s="288"/>
      <c r="BJ530" s="185">
        <f t="shared" si="374"/>
        <v>45</v>
      </c>
      <c r="BK530" s="173">
        <f t="shared" si="374"/>
        <v>9.75</v>
      </c>
      <c r="BL530" s="173">
        <f t="shared" si="374"/>
        <v>292</v>
      </c>
      <c r="BM530" s="180">
        <f t="shared" si="374"/>
        <v>17.5</v>
      </c>
      <c r="BO530" s="185">
        <f t="shared" si="375"/>
        <v>45</v>
      </c>
      <c r="BP530" s="173">
        <f t="shared" si="375"/>
        <v>9.75</v>
      </c>
      <c r="BQ530" s="173">
        <f t="shared" si="375"/>
        <v>292</v>
      </c>
      <c r="BR530" s="180">
        <f t="shared" si="375"/>
        <v>17.5</v>
      </c>
      <c r="BT530" s="185">
        <f t="shared" si="376"/>
        <v>45</v>
      </c>
      <c r="BU530" s="173">
        <f t="shared" si="376"/>
        <v>50.25</v>
      </c>
      <c r="BV530" s="173">
        <f t="shared" si="376"/>
        <v>80</v>
      </c>
      <c r="BW530" s="180">
        <f t="shared" si="376"/>
        <v>17.5</v>
      </c>
      <c r="BX530" s="288"/>
      <c r="CM530" s="96"/>
    </row>
    <row r="531" spans="1:91">
      <c r="A531" s="47" t="str">
        <f t="shared" si="362"/>
        <v/>
      </c>
      <c r="B531" s="185">
        <f t="shared" si="362"/>
        <v>45</v>
      </c>
      <c r="C531" s="173">
        <f t="shared" si="362"/>
        <v>10.5</v>
      </c>
      <c r="D531" s="173">
        <f t="shared" si="362"/>
        <v>378</v>
      </c>
      <c r="E531" s="180">
        <f t="shared" si="362"/>
        <v>18</v>
      </c>
      <c r="G531" s="185">
        <f t="shared" si="363"/>
        <v>45</v>
      </c>
      <c r="H531" s="173">
        <f t="shared" si="363"/>
        <v>10.5</v>
      </c>
      <c r="I531" s="173">
        <f t="shared" si="363"/>
        <v>378</v>
      </c>
      <c r="J531" s="180">
        <f t="shared" si="363"/>
        <v>18</v>
      </c>
      <c r="L531" s="185">
        <f t="shared" si="364"/>
        <v>45</v>
      </c>
      <c r="M531" s="173">
        <f t="shared" si="364"/>
        <v>10.5</v>
      </c>
      <c r="N531" s="173">
        <f t="shared" si="364"/>
        <v>387</v>
      </c>
      <c r="O531" s="180">
        <f t="shared" si="364"/>
        <v>18</v>
      </c>
      <c r="Q531" s="185">
        <f t="shared" si="365"/>
        <v>45</v>
      </c>
      <c r="R531" s="173">
        <f t="shared" si="365"/>
        <v>10.5</v>
      </c>
      <c r="S531" s="173">
        <f t="shared" si="365"/>
        <v>384</v>
      </c>
      <c r="T531" s="180">
        <f t="shared" si="365"/>
        <v>18</v>
      </c>
      <c r="V531" s="185">
        <f t="shared" si="366"/>
        <v>45</v>
      </c>
      <c r="W531" s="173">
        <f t="shared" si="366"/>
        <v>10.5</v>
      </c>
      <c r="X531" s="173">
        <f t="shared" si="366"/>
        <v>378</v>
      </c>
      <c r="Y531" s="180">
        <f t="shared" si="366"/>
        <v>18</v>
      </c>
      <c r="AA531" s="185">
        <f t="shared" si="367"/>
        <v>45</v>
      </c>
      <c r="AB531" s="173">
        <f t="shared" si="367"/>
        <v>10.5</v>
      </c>
      <c r="AC531" s="173">
        <f t="shared" si="367"/>
        <v>370</v>
      </c>
      <c r="AD531" s="180">
        <f t="shared" si="367"/>
        <v>18</v>
      </c>
      <c r="AF531" s="185">
        <f t="shared" si="368"/>
        <v>45</v>
      </c>
      <c r="AG531" s="173">
        <f t="shared" si="368"/>
        <v>10.5</v>
      </c>
      <c r="AH531" s="173">
        <f t="shared" si="368"/>
        <v>370</v>
      </c>
      <c r="AI531" s="180">
        <f t="shared" si="368"/>
        <v>18</v>
      </c>
      <c r="AK531" s="185">
        <f t="shared" si="369"/>
        <v>45</v>
      </c>
      <c r="AL531" s="173">
        <f t="shared" si="369"/>
        <v>53.5</v>
      </c>
      <c r="AM531" s="173">
        <f t="shared" si="369"/>
        <v>168</v>
      </c>
      <c r="AN531" s="180">
        <f t="shared" si="369"/>
        <v>18</v>
      </c>
      <c r="AP531" s="185">
        <f t="shared" si="370"/>
        <v>45</v>
      </c>
      <c r="AQ531" s="173">
        <f t="shared" si="370"/>
        <v>10.5</v>
      </c>
      <c r="AR531" s="173">
        <f t="shared" si="370"/>
        <v>534</v>
      </c>
      <c r="AS531" s="180">
        <f t="shared" si="370"/>
        <v>18</v>
      </c>
      <c r="AT531" s="288"/>
      <c r="AU531" s="185">
        <f t="shared" si="371"/>
        <v>45</v>
      </c>
      <c r="AV531" s="173">
        <f t="shared" si="371"/>
        <v>10.8</v>
      </c>
      <c r="AW531" s="173">
        <f t="shared" si="371"/>
        <v>370</v>
      </c>
      <c r="AX531" s="180">
        <f t="shared" si="371"/>
        <v>17.5</v>
      </c>
      <c r="AZ531" s="185">
        <f t="shared" si="372"/>
        <v>45</v>
      </c>
      <c r="BA531" s="173">
        <f t="shared" si="372"/>
        <v>10.8</v>
      </c>
      <c r="BB531" s="173">
        <f t="shared" si="372"/>
        <v>370</v>
      </c>
      <c r="BC531" s="180">
        <f t="shared" si="372"/>
        <v>17.5</v>
      </c>
      <c r="BE531" s="185">
        <f t="shared" si="373"/>
        <v>45</v>
      </c>
      <c r="BF531" s="173">
        <f t="shared" si="373"/>
        <v>50</v>
      </c>
      <c r="BG531" s="173">
        <f t="shared" si="373"/>
        <v>168</v>
      </c>
      <c r="BH531" s="180">
        <f t="shared" si="373"/>
        <v>17.5</v>
      </c>
      <c r="BI531" s="288"/>
      <c r="BJ531" s="185">
        <f t="shared" si="374"/>
        <v>45</v>
      </c>
      <c r="BK531" s="173">
        <f t="shared" si="374"/>
        <v>9.75</v>
      </c>
      <c r="BL531" s="173">
        <f t="shared" si="374"/>
        <v>350</v>
      </c>
      <c r="BM531" s="180">
        <f t="shared" si="374"/>
        <v>17.5</v>
      </c>
      <c r="BO531" s="185">
        <f t="shared" si="375"/>
        <v>45</v>
      </c>
      <c r="BP531" s="173">
        <f t="shared" si="375"/>
        <v>9.75</v>
      </c>
      <c r="BQ531" s="173">
        <f t="shared" si="375"/>
        <v>350</v>
      </c>
      <c r="BR531" s="180">
        <f t="shared" si="375"/>
        <v>17.5</v>
      </c>
      <c r="BT531" s="185">
        <f t="shared" si="376"/>
        <v>45</v>
      </c>
      <c r="BU531" s="173">
        <f t="shared" si="376"/>
        <v>50.25</v>
      </c>
      <c r="BV531" s="173">
        <f t="shared" si="376"/>
        <v>138</v>
      </c>
      <c r="BW531" s="180">
        <f t="shared" si="376"/>
        <v>17.5</v>
      </c>
      <c r="BX531" s="288"/>
      <c r="CM531" s="96"/>
    </row>
    <row r="532" spans="1:91">
      <c r="A532" s="47" t="str">
        <f t="shared" ref="A532:E547" si="377">IF(A66="","",A66)</f>
        <v/>
      </c>
      <c r="B532" s="185">
        <f t="shared" si="377"/>
        <v>45</v>
      </c>
      <c r="C532" s="173">
        <f t="shared" si="377"/>
        <v>10.5</v>
      </c>
      <c r="D532" s="173">
        <f t="shared" si="377"/>
        <v>435</v>
      </c>
      <c r="E532" s="180">
        <f t="shared" si="377"/>
        <v>18</v>
      </c>
      <c r="G532" s="185">
        <f t="shared" ref="G532:J547" si="378">IF(G66="","",G66)</f>
        <v>45</v>
      </c>
      <c r="H532" s="173">
        <f t="shared" si="378"/>
        <v>10.5</v>
      </c>
      <c r="I532" s="173">
        <f t="shared" si="378"/>
        <v>435</v>
      </c>
      <c r="J532" s="180">
        <f t="shared" si="378"/>
        <v>18</v>
      </c>
      <c r="L532" s="185">
        <f t="shared" ref="L532:O547" si="379">IF(L66="","",L66)</f>
        <v>45</v>
      </c>
      <c r="M532" s="173">
        <f t="shared" si="379"/>
        <v>10.5</v>
      </c>
      <c r="N532" s="173">
        <f t="shared" si="379"/>
        <v>444</v>
      </c>
      <c r="O532" s="180">
        <f t="shared" si="379"/>
        <v>18</v>
      </c>
      <c r="Q532" s="185">
        <f t="shared" ref="Q532:T547" si="380">IF(Q66="","",Q66)</f>
        <v>45</v>
      </c>
      <c r="R532" s="173">
        <f t="shared" si="380"/>
        <v>10.5</v>
      </c>
      <c r="S532" s="173">
        <f t="shared" si="380"/>
        <v>441</v>
      </c>
      <c r="T532" s="180">
        <f t="shared" si="380"/>
        <v>18</v>
      </c>
      <c r="V532" s="185">
        <f t="shared" ref="V532:Y547" si="381">IF(V66="","",V66)</f>
        <v>45</v>
      </c>
      <c r="W532" s="173">
        <f t="shared" si="381"/>
        <v>10.5</v>
      </c>
      <c r="X532" s="173">
        <f t="shared" si="381"/>
        <v>435</v>
      </c>
      <c r="Y532" s="180">
        <f t="shared" si="381"/>
        <v>18</v>
      </c>
      <c r="AA532" s="185">
        <f t="shared" ref="AA532:AD547" si="382">IF(AA66="","",AA66)</f>
        <v>45</v>
      </c>
      <c r="AB532" s="173">
        <f t="shared" si="382"/>
        <v>10.5</v>
      </c>
      <c r="AC532" s="173">
        <f t="shared" si="382"/>
        <v>428</v>
      </c>
      <c r="AD532" s="180">
        <f t="shared" si="382"/>
        <v>18</v>
      </c>
      <c r="AF532" s="185">
        <f t="shared" ref="AF532:AI547" si="383">IF(AF66="","",AF66)</f>
        <v>45</v>
      </c>
      <c r="AG532" s="173">
        <f t="shared" si="383"/>
        <v>53.5</v>
      </c>
      <c r="AH532" s="173">
        <f t="shared" si="383"/>
        <v>110</v>
      </c>
      <c r="AI532" s="180">
        <f t="shared" si="383"/>
        <v>18</v>
      </c>
      <c r="AK532" s="185">
        <f t="shared" ref="AK532:AN547" si="384">IF(AK66="","",AK66)</f>
        <v>45</v>
      </c>
      <c r="AL532" s="173">
        <f t="shared" si="384"/>
        <v>53.5</v>
      </c>
      <c r="AM532" s="173">
        <f t="shared" si="384"/>
        <v>226</v>
      </c>
      <c r="AN532" s="180">
        <f t="shared" si="384"/>
        <v>18</v>
      </c>
      <c r="AP532" s="185">
        <f t="shared" ref="AP532:AS547" si="385">IF(AP66="","",AP66)</f>
        <v>45</v>
      </c>
      <c r="AQ532" s="173">
        <f t="shared" si="385"/>
        <v>10.5</v>
      </c>
      <c r="AR532" s="173">
        <f t="shared" si="385"/>
        <v>591</v>
      </c>
      <c r="AS532" s="180">
        <f t="shared" si="385"/>
        <v>18</v>
      </c>
      <c r="AT532" s="288"/>
      <c r="AU532" s="185">
        <f t="shared" ref="AU532:AX547" si="386">IF(AU66="","",AU66)</f>
        <v>45</v>
      </c>
      <c r="AV532" s="173">
        <f t="shared" si="386"/>
        <v>10.8</v>
      </c>
      <c r="AW532" s="173">
        <f t="shared" si="386"/>
        <v>428</v>
      </c>
      <c r="AX532" s="180">
        <f t="shared" si="386"/>
        <v>17.5</v>
      </c>
      <c r="AZ532" s="185">
        <f t="shared" ref="AZ532:BC547" si="387">IF(AZ66="","",AZ66)</f>
        <v>45</v>
      </c>
      <c r="BA532" s="173">
        <f t="shared" si="387"/>
        <v>50</v>
      </c>
      <c r="BB532" s="173">
        <f t="shared" si="387"/>
        <v>110</v>
      </c>
      <c r="BC532" s="180">
        <f t="shared" si="387"/>
        <v>17.5</v>
      </c>
      <c r="BE532" s="185">
        <f t="shared" ref="BE532:BH547" si="388">IF(BE66="","",BE66)</f>
        <v>45</v>
      </c>
      <c r="BF532" s="173">
        <f t="shared" si="388"/>
        <v>50</v>
      </c>
      <c r="BG532" s="173">
        <f t="shared" si="388"/>
        <v>226</v>
      </c>
      <c r="BH532" s="180">
        <f t="shared" si="388"/>
        <v>17.5</v>
      </c>
      <c r="BI532" s="288"/>
      <c r="BJ532" s="185">
        <f t="shared" ref="BJ532:BM547" si="389">IF(BJ66="","",BJ66)</f>
        <v>45</v>
      </c>
      <c r="BK532" s="173">
        <f t="shared" si="389"/>
        <v>9.75</v>
      </c>
      <c r="BL532" s="173">
        <f t="shared" si="389"/>
        <v>408</v>
      </c>
      <c r="BM532" s="180">
        <f t="shared" si="389"/>
        <v>17.5</v>
      </c>
      <c r="BO532" s="185">
        <f t="shared" ref="BO532:BR547" si="390">IF(BO66="","",BO66)</f>
        <v>45</v>
      </c>
      <c r="BP532" s="173">
        <f t="shared" si="390"/>
        <v>50.25</v>
      </c>
      <c r="BQ532" s="173">
        <f t="shared" si="390"/>
        <v>80</v>
      </c>
      <c r="BR532" s="180">
        <f t="shared" si="390"/>
        <v>17.5</v>
      </c>
      <c r="BT532" s="185">
        <f t="shared" ref="BT532:BW547" si="391">IF(BT66="","",BT66)</f>
        <v>45</v>
      </c>
      <c r="BU532" s="173">
        <f t="shared" si="391"/>
        <v>50.25</v>
      </c>
      <c r="BV532" s="173">
        <f t="shared" si="391"/>
        <v>196</v>
      </c>
      <c r="BW532" s="180">
        <f t="shared" si="391"/>
        <v>17.5</v>
      </c>
      <c r="BX532" s="288"/>
      <c r="CM532" s="96"/>
    </row>
    <row r="533" spans="1:91">
      <c r="A533" s="47" t="str">
        <f t="shared" si="377"/>
        <v/>
      </c>
      <c r="B533" s="185">
        <f t="shared" si="377"/>
        <v>45</v>
      </c>
      <c r="C533" s="173">
        <f t="shared" si="377"/>
        <v>10.5</v>
      </c>
      <c r="D533" s="173">
        <f t="shared" si="377"/>
        <v>492</v>
      </c>
      <c r="E533" s="180">
        <f t="shared" si="377"/>
        <v>18</v>
      </c>
      <c r="G533" s="185">
        <f t="shared" si="378"/>
        <v>45</v>
      </c>
      <c r="H533" s="173">
        <f t="shared" si="378"/>
        <v>10.5</v>
      </c>
      <c r="I533" s="173">
        <f t="shared" si="378"/>
        <v>492</v>
      </c>
      <c r="J533" s="180">
        <f t="shared" si="378"/>
        <v>18</v>
      </c>
      <c r="L533" s="185">
        <f t="shared" si="379"/>
        <v>45</v>
      </c>
      <c r="M533" s="173">
        <f t="shared" si="379"/>
        <v>10.5</v>
      </c>
      <c r="N533" s="173">
        <f t="shared" si="379"/>
        <v>501</v>
      </c>
      <c r="O533" s="180">
        <f t="shared" si="379"/>
        <v>18</v>
      </c>
      <c r="Q533" s="185">
        <f t="shared" si="380"/>
        <v>45</v>
      </c>
      <c r="R533" s="173">
        <f t="shared" si="380"/>
        <v>10.5</v>
      </c>
      <c r="S533" s="173">
        <f t="shared" si="380"/>
        <v>498</v>
      </c>
      <c r="T533" s="180">
        <f t="shared" si="380"/>
        <v>18</v>
      </c>
      <c r="V533" s="185">
        <f t="shared" si="381"/>
        <v>45</v>
      </c>
      <c r="W533" s="173">
        <f t="shared" si="381"/>
        <v>10.5</v>
      </c>
      <c r="X533" s="173">
        <f t="shared" si="381"/>
        <v>492</v>
      </c>
      <c r="Y533" s="180">
        <f t="shared" si="381"/>
        <v>18</v>
      </c>
      <c r="AA533" s="185">
        <f t="shared" si="382"/>
        <v>45</v>
      </c>
      <c r="AB533" s="173">
        <f t="shared" si="382"/>
        <v>10.5</v>
      </c>
      <c r="AC533" s="173">
        <f t="shared" si="382"/>
        <v>486</v>
      </c>
      <c r="AD533" s="180">
        <f t="shared" si="382"/>
        <v>18</v>
      </c>
      <c r="AF533" s="185">
        <f t="shared" si="383"/>
        <v>45</v>
      </c>
      <c r="AG533" s="173">
        <f t="shared" si="383"/>
        <v>53.5</v>
      </c>
      <c r="AH533" s="173">
        <f t="shared" si="383"/>
        <v>168</v>
      </c>
      <c r="AI533" s="180">
        <f t="shared" si="383"/>
        <v>18</v>
      </c>
      <c r="AK533" s="185">
        <f t="shared" si="384"/>
        <v>45</v>
      </c>
      <c r="AL533" s="173">
        <f t="shared" si="384"/>
        <v>96.5</v>
      </c>
      <c r="AM533" s="173">
        <f t="shared" si="384"/>
        <v>110</v>
      </c>
      <c r="AN533" s="180">
        <f t="shared" si="384"/>
        <v>18</v>
      </c>
      <c r="AP533" s="185">
        <f t="shared" si="385"/>
        <v>45</v>
      </c>
      <c r="AQ533" s="173">
        <f t="shared" si="385"/>
        <v>10.5</v>
      </c>
      <c r="AR533" s="173">
        <f t="shared" si="385"/>
        <v>648</v>
      </c>
      <c r="AS533" s="180">
        <f t="shared" si="385"/>
        <v>18</v>
      </c>
      <c r="AT533" s="288"/>
      <c r="AU533" s="185">
        <f t="shared" si="386"/>
        <v>45</v>
      </c>
      <c r="AV533" s="173">
        <f t="shared" si="386"/>
        <v>10.8</v>
      </c>
      <c r="AW533" s="173">
        <f t="shared" si="386"/>
        <v>486</v>
      </c>
      <c r="AX533" s="180">
        <f t="shared" si="386"/>
        <v>17.5</v>
      </c>
      <c r="AZ533" s="185">
        <f t="shared" si="387"/>
        <v>45</v>
      </c>
      <c r="BA533" s="173">
        <f t="shared" si="387"/>
        <v>50</v>
      </c>
      <c r="BB533" s="173">
        <f t="shared" si="387"/>
        <v>168</v>
      </c>
      <c r="BC533" s="180">
        <f t="shared" si="387"/>
        <v>17.5</v>
      </c>
      <c r="BE533" s="185">
        <f t="shared" si="388"/>
        <v>45</v>
      </c>
      <c r="BF533" s="173">
        <f t="shared" si="388"/>
        <v>89.2</v>
      </c>
      <c r="BG533" s="173">
        <f t="shared" si="388"/>
        <v>138</v>
      </c>
      <c r="BH533" s="180">
        <f t="shared" si="388"/>
        <v>17.5</v>
      </c>
      <c r="BI533" s="288"/>
      <c r="BJ533" s="185">
        <f t="shared" si="389"/>
        <v>45</v>
      </c>
      <c r="BK533" s="173">
        <f t="shared" si="389"/>
        <v>9.75</v>
      </c>
      <c r="BL533" s="173">
        <f t="shared" si="389"/>
        <v>466</v>
      </c>
      <c r="BM533" s="180">
        <f t="shared" si="389"/>
        <v>17.5</v>
      </c>
      <c r="BO533" s="185">
        <f t="shared" si="390"/>
        <v>45</v>
      </c>
      <c r="BP533" s="173">
        <f t="shared" si="390"/>
        <v>50.25</v>
      </c>
      <c r="BQ533" s="173">
        <f t="shared" si="390"/>
        <v>138</v>
      </c>
      <c r="BR533" s="180">
        <f t="shared" si="390"/>
        <v>17.5</v>
      </c>
      <c r="BT533" s="185">
        <f t="shared" si="391"/>
        <v>45</v>
      </c>
      <c r="BU533" s="173">
        <f t="shared" si="391"/>
        <v>50.25</v>
      </c>
      <c r="BV533" s="173">
        <f t="shared" si="391"/>
        <v>254</v>
      </c>
      <c r="BW533" s="180">
        <f t="shared" si="391"/>
        <v>17.5</v>
      </c>
      <c r="BX533" s="288"/>
      <c r="CM533" s="96"/>
    </row>
    <row r="534" spans="1:91">
      <c r="A534" s="47" t="str">
        <f t="shared" si="377"/>
        <v/>
      </c>
      <c r="B534" s="185">
        <f t="shared" si="377"/>
        <v>45</v>
      </c>
      <c r="C534" s="173">
        <f t="shared" si="377"/>
        <v>10.5</v>
      </c>
      <c r="D534" s="173">
        <f t="shared" si="377"/>
        <v>549</v>
      </c>
      <c r="E534" s="180">
        <f t="shared" si="377"/>
        <v>18</v>
      </c>
      <c r="G534" s="185">
        <f t="shared" si="378"/>
        <v>45</v>
      </c>
      <c r="H534" s="173">
        <f t="shared" si="378"/>
        <v>10.5</v>
      </c>
      <c r="I534" s="173">
        <f t="shared" si="378"/>
        <v>549</v>
      </c>
      <c r="J534" s="180">
        <f t="shared" si="378"/>
        <v>18</v>
      </c>
      <c r="L534" s="185">
        <f t="shared" si="379"/>
        <v>45</v>
      </c>
      <c r="M534" s="173">
        <f t="shared" si="379"/>
        <v>10.5</v>
      </c>
      <c r="N534" s="173">
        <f t="shared" si="379"/>
        <v>558</v>
      </c>
      <c r="O534" s="180">
        <f t="shared" si="379"/>
        <v>18</v>
      </c>
      <c r="Q534" s="185">
        <f t="shared" si="380"/>
        <v>45</v>
      </c>
      <c r="R534" s="173">
        <f t="shared" si="380"/>
        <v>10.5</v>
      </c>
      <c r="S534" s="173">
        <f t="shared" si="380"/>
        <v>555</v>
      </c>
      <c r="T534" s="180">
        <f t="shared" si="380"/>
        <v>18</v>
      </c>
      <c r="V534" s="185">
        <f t="shared" si="381"/>
        <v>45</v>
      </c>
      <c r="W534" s="173">
        <f t="shared" si="381"/>
        <v>10.5</v>
      </c>
      <c r="X534" s="173">
        <f t="shared" si="381"/>
        <v>549</v>
      </c>
      <c r="Y534" s="180">
        <f t="shared" si="381"/>
        <v>18</v>
      </c>
      <c r="AA534" s="185">
        <f t="shared" si="382"/>
        <v>45</v>
      </c>
      <c r="AB534" s="173">
        <f t="shared" si="382"/>
        <v>53.5</v>
      </c>
      <c r="AC534" s="173">
        <f t="shared" si="382"/>
        <v>110</v>
      </c>
      <c r="AD534" s="180">
        <f t="shared" si="382"/>
        <v>18</v>
      </c>
      <c r="AF534" s="185">
        <f t="shared" si="383"/>
        <v>45</v>
      </c>
      <c r="AG534" s="173">
        <f t="shared" si="383"/>
        <v>53.5</v>
      </c>
      <c r="AH534" s="173">
        <f t="shared" si="383"/>
        <v>226</v>
      </c>
      <c r="AI534" s="180">
        <f t="shared" si="383"/>
        <v>18</v>
      </c>
      <c r="AK534" s="185">
        <f t="shared" si="384"/>
        <v>45</v>
      </c>
      <c r="AL534" s="173">
        <f t="shared" si="384"/>
        <v>96.5</v>
      </c>
      <c r="AM534" s="173">
        <f t="shared" si="384"/>
        <v>168</v>
      </c>
      <c r="AN534" s="180">
        <f t="shared" si="384"/>
        <v>18</v>
      </c>
      <c r="AP534" s="185">
        <f t="shared" si="385"/>
        <v>45</v>
      </c>
      <c r="AQ534" s="173">
        <f t="shared" si="385"/>
        <v>10.5</v>
      </c>
      <c r="AR534" s="173">
        <f t="shared" si="385"/>
        <v>705</v>
      </c>
      <c r="AS534" s="180">
        <f t="shared" si="385"/>
        <v>18</v>
      </c>
      <c r="AT534" s="288"/>
      <c r="AU534" s="185">
        <f t="shared" si="386"/>
        <v>45</v>
      </c>
      <c r="AV534" s="173">
        <f t="shared" si="386"/>
        <v>50</v>
      </c>
      <c r="AW534" s="173">
        <f t="shared" si="386"/>
        <v>110</v>
      </c>
      <c r="AX534" s="180">
        <f t="shared" si="386"/>
        <v>17.5</v>
      </c>
      <c r="AZ534" s="185">
        <f t="shared" si="387"/>
        <v>45</v>
      </c>
      <c r="BA534" s="173">
        <f t="shared" si="387"/>
        <v>50</v>
      </c>
      <c r="BB534" s="173">
        <f t="shared" si="387"/>
        <v>226</v>
      </c>
      <c r="BC534" s="180">
        <f t="shared" si="387"/>
        <v>17.5</v>
      </c>
      <c r="BE534" s="185">
        <f t="shared" si="388"/>
        <v>45</v>
      </c>
      <c r="BF534" s="173">
        <f t="shared" si="388"/>
        <v>89.2</v>
      </c>
      <c r="BG534" s="173">
        <f t="shared" si="388"/>
        <v>196</v>
      </c>
      <c r="BH534" s="180">
        <f t="shared" si="388"/>
        <v>17.5</v>
      </c>
      <c r="BI534" s="288"/>
      <c r="BJ534" s="185">
        <f t="shared" si="389"/>
        <v>45</v>
      </c>
      <c r="BK534" s="173">
        <f t="shared" si="389"/>
        <v>50.25</v>
      </c>
      <c r="BL534" s="173">
        <f t="shared" si="389"/>
        <v>80</v>
      </c>
      <c r="BM534" s="180">
        <f t="shared" si="389"/>
        <v>17.5</v>
      </c>
      <c r="BO534" s="185">
        <f t="shared" si="390"/>
        <v>45</v>
      </c>
      <c r="BP534" s="173">
        <f t="shared" si="390"/>
        <v>50.25</v>
      </c>
      <c r="BQ534" s="173">
        <f t="shared" si="390"/>
        <v>196</v>
      </c>
      <c r="BR534" s="180">
        <f t="shared" si="390"/>
        <v>17.5</v>
      </c>
      <c r="BT534" s="185" t="str">
        <f t="shared" si="391"/>
        <v/>
      </c>
      <c r="BU534" s="173" t="str">
        <f t="shared" si="391"/>
        <v/>
      </c>
      <c r="BV534" s="173" t="str">
        <f t="shared" si="391"/>
        <v/>
      </c>
      <c r="BW534" s="180" t="str">
        <f t="shared" si="391"/>
        <v/>
      </c>
      <c r="BX534" s="288"/>
      <c r="CM534" s="96"/>
    </row>
    <row r="535" spans="1:91">
      <c r="A535" s="47" t="str">
        <f t="shared" si="377"/>
        <v/>
      </c>
      <c r="B535" s="185">
        <f t="shared" si="377"/>
        <v>45</v>
      </c>
      <c r="C535" s="173">
        <f t="shared" si="377"/>
        <v>10.5</v>
      </c>
      <c r="D535" s="173">
        <f t="shared" si="377"/>
        <v>606</v>
      </c>
      <c r="E535" s="180">
        <f t="shared" si="377"/>
        <v>18</v>
      </c>
      <c r="G535" s="185">
        <f t="shared" si="378"/>
        <v>45</v>
      </c>
      <c r="H535" s="173">
        <f t="shared" si="378"/>
        <v>10.5</v>
      </c>
      <c r="I535" s="173">
        <f t="shared" si="378"/>
        <v>606</v>
      </c>
      <c r="J535" s="180">
        <f t="shared" si="378"/>
        <v>18</v>
      </c>
      <c r="L535" s="185">
        <f t="shared" si="379"/>
        <v>45</v>
      </c>
      <c r="M535" s="173">
        <f t="shared" si="379"/>
        <v>10.5</v>
      </c>
      <c r="N535" s="173">
        <f t="shared" si="379"/>
        <v>615</v>
      </c>
      <c r="O535" s="180">
        <f t="shared" si="379"/>
        <v>18</v>
      </c>
      <c r="Q535" s="185">
        <f t="shared" si="380"/>
        <v>45</v>
      </c>
      <c r="R535" s="173">
        <f t="shared" si="380"/>
        <v>10.5</v>
      </c>
      <c r="S535" s="173">
        <f t="shared" si="380"/>
        <v>612</v>
      </c>
      <c r="T535" s="180">
        <f t="shared" si="380"/>
        <v>18</v>
      </c>
      <c r="V535" s="185">
        <f t="shared" si="381"/>
        <v>45</v>
      </c>
      <c r="W535" s="173">
        <f t="shared" si="381"/>
        <v>53.5</v>
      </c>
      <c r="X535" s="173">
        <f t="shared" si="381"/>
        <v>121.5</v>
      </c>
      <c r="Y535" s="180">
        <f t="shared" si="381"/>
        <v>18</v>
      </c>
      <c r="AA535" s="185">
        <f t="shared" si="382"/>
        <v>45</v>
      </c>
      <c r="AB535" s="173">
        <f t="shared" si="382"/>
        <v>53.5</v>
      </c>
      <c r="AC535" s="173">
        <f t="shared" si="382"/>
        <v>168</v>
      </c>
      <c r="AD535" s="180">
        <f t="shared" si="382"/>
        <v>18</v>
      </c>
      <c r="AF535" s="185">
        <f t="shared" si="383"/>
        <v>45</v>
      </c>
      <c r="AG535" s="173">
        <f t="shared" si="383"/>
        <v>53.5</v>
      </c>
      <c r="AH535" s="173">
        <f t="shared" si="383"/>
        <v>284</v>
      </c>
      <c r="AI535" s="180">
        <f t="shared" si="383"/>
        <v>18</v>
      </c>
      <c r="AK535" s="185">
        <f t="shared" si="384"/>
        <v>45</v>
      </c>
      <c r="AL535" s="173">
        <f t="shared" si="384"/>
        <v>96.5</v>
      </c>
      <c r="AM535" s="173">
        <f t="shared" si="384"/>
        <v>226</v>
      </c>
      <c r="AN535" s="180">
        <f t="shared" si="384"/>
        <v>18</v>
      </c>
      <c r="AP535" s="185">
        <f t="shared" si="385"/>
        <v>45</v>
      </c>
      <c r="AQ535" s="173">
        <f t="shared" si="385"/>
        <v>10.5</v>
      </c>
      <c r="AR535" s="173">
        <f t="shared" si="385"/>
        <v>762</v>
      </c>
      <c r="AS535" s="180">
        <f t="shared" si="385"/>
        <v>18</v>
      </c>
      <c r="AT535" s="288"/>
      <c r="AU535" s="185">
        <f t="shared" si="386"/>
        <v>45</v>
      </c>
      <c r="AV535" s="173">
        <f t="shared" si="386"/>
        <v>50</v>
      </c>
      <c r="AW535" s="173">
        <f t="shared" si="386"/>
        <v>168</v>
      </c>
      <c r="AX535" s="180">
        <f t="shared" si="386"/>
        <v>17.5</v>
      </c>
      <c r="AZ535" s="185">
        <f t="shared" si="387"/>
        <v>45</v>
      </c>
      <c r="BA535" s="173">
        <f t="shared" si="387"/>
        <v>50</v>
      </c>
      <c r="BB535" s="173">
        <f t="shared" si="387"/>
        <v>284</v>
      </c>
      <c r="BC535" s="180">
        <f t="shared" si="387"/>
        <v>17.5</v>
      </c>
      <c r="BE535" s="185">
        <f t="shared" si="388"/>
        <v>45</v>
      </c>
      <c r="BF535" s="173">
        <f t="shared" si="388"/>
        <v>89.2</v>
      </c>
      <c r="BG535" s="173">
        <f t="shared" si="388"/>
        <v>254</v>
      </c>
      <c r="BH535" s="180">
        <f t="shared" si="388"/>
        <v>17.5</v>
      </c>
      <c r="BI535" s="288"/>
      <c r="BJ535" s="185">
        <f t="shared" si="389"/>
        <v>45</v>
      </c>
      <c r="BK535" s="173">
        <f t="shared" si="389"/>
        <v>50.25</v>
      </c>
      <c r="BL535" s="173">
        <f t="shared" si="389"/>
        <v>138</v>
      </c>
      <c r="BM535" s="180">
        <f t="shared" si="389"/>
        <v>17.5</v>
      </c>
      <c r="BO535" s="185">
        <f t="shared" si="390"/>
        <v>45</v>
      </c>
      <c r="BP535" s="173">
        <f t="shared" si="390"/>
        <v>50.25</v>
      </c>
      <c r="BQ535" s="173">
        <f t="shared" si="390"/>
        <v>254</v>
      </c>
      <c r="BR535" s="180">
        <f t="shared" si="390"/>
        <v>17.5</v>
      </c>
      <c r="BT535" s="185" t="str">
        <f t="shared" si="391"/>
        <v/>
      </c>
      <c r="BU535" s="173" t="str">
        <f t="shared" si="391"/>
        <v/>
      </c>
      <c r="BV535" s="173" t="str">
        <f t="shared" si="391"/>
        <v/>
      </c>
      <c r="BW535" s="180" t="str">
        <f t="shared" si="391"/>
        <v/>
      </c>
      <c r="BX535" s="288"/>
      <c r="CM535" s="96"/>
    </row>
    <row r="536" spans="1:91">
      <c r="A536" s="47" t="str">
        <f t="shared" si="377"/>
        <v/>
      </c>
      <c r="B536" s="185">
        <f t="shared" si="377"/>
        <v>45</v>
      </c>
      <c r="C536" s="173">
        <f t="shared" si="377"/>
        <v>10.5</v>
      </c>
      <c r="D536" s="173">
        <f t="shared" si="377"/>
        <v>663</v>
      </c>
      <c r="E536" s="180">
        <f t="shared" si="377"/>
        <v>18</v>
      </c>
      <c r="G536" s="185">
        <f t="shared" si="378"/>
        <v>45</v>
      </c>
      <c r="H536" s="173">
        <f t="shared" si="378"/>
        <v>10.5</v>
      </c>
      <c r="I536" s="173">
        <f t="shared" si="378"/>
        <v>663</v>
      </c>
      <c r="J536" s="180">
        <f t="shared" si="378"/>
        <v>18</v>
      </c>
      <c r="L536" s="185">
        <f t="shared" si="379"/>
        <v>45</v>
      </c>
      <c r="M536" s="173">
        <f t="shared" si="379"/>
        <v>10.5</v>
      </c>
      <c r="N536" s="173">
        <f t="shared" si="379"/>
        <v>672</v>
      </c>
      <c r="O536" s="180">
        <f t="shared" si="379"/>
        <v>18</v>
      </c>
      <c r="Q536" s="185">
        <f t="shared" si="380"/>
        <v>45</v>
      </c>
      <c r="R536" s="173">
        <f t="shared" si="380"/>
        <v>10.5</v>
      </c>
      <c r="S536" s="173">
        <f t="shared" si="380"/>
        <v>669</v>
      </c>
      <c r="T536" s="180">
        <f t="shared" si="380"/>
        <v>18</v>
      </c>
      <c r="V536" s="185">
        <f t="shared" si="381"/>
        <v>45</v>
      </c>
      <c r="W536" s="173">
        <f t="shared" si="381"/>
        <v>53.5</v>
      </c>
      <c r="X536" s="173">
        <f t="shared" si="381"/>
        <v>178.5</v>
      </c>
      <c r="Y536" s="180">
        <f t="shared" si="381"/>
        <v>18</v>
      </c>
      <c r="AA536" s="185">
        <f t="shared" si="382"/>
        <v>45</v>
      </c>
      <c r="AB536" s="173">
        <f t="shared" si="382"/>
        <v>53.5</v>
      </c>
      <c r="AC536" s="173">
        <f t="shared" si="382"/>
        <v>226</v>
      </c>
      <c r="AD536" s="180">
        <f t="shared" si="382"/>
        <v>18</v>
      </c>
      <c r="AF536" s="185">
        <f t="shared" si="383"/>
        <v>45</v>
      </c>
      <c r="AG536" s="173">
        <f t="shared" si="383"/>
        <v>53.5</v>
      </c>
      <c r="AH536" s="173">
        <f t="shared" si="383"/>
        <v>342</v>
      </c>
      <c r="AI536" s="180">
        <f t="shared" si="383"/>
        <v>18</v>
      </c>
      <c r="AK536" s="185">
        <f t="shared" si="384"/>
        <v>45</v>
      </c>
      <c r="AL536" s="173">
        <f t="shared" si="384"/>
        <v>139.5</v>
      </c>
      <c r="AM536" s="173">
        <f t="shared" si="384"/>
        <v>134</v>
      </c>
      <c r="AN536" s="180">
        <f t="shared" si="384"/>
        <v>18</v>
      </c>
      <c r="AP536" s="185">
        <f t="shared" si="385"/>
        <v>45</v>
      </c>
      <c r="AQ536" s="173">
        <f t="shared" si="385"/>
        <v>10.5</v>
      </c>
      <c r="AR536" s="173">
        <f t="shared" si="385"/>
        <v>819</v>
      </c>
      <c r="AS536" s="180">
        <f t="shared" si="385"/>
        <v>18</v>
      </c>
      <c r="AT536" s="288"/>
      <c r="AU536" s="185">
        <f t="shared" si="386"/>
        <v>45</v>
      </c>
      <c r="AV536" s="173">
        <f t="shared" si="386"/>
        <v>50</v>
      </c>
      <c r="AW536" s="173">
        <f t="shared" si="386"/>
        <v>226</v>
      </c>
      <c r="AX536" s="180">
        <f t="shared" si="386"/>
        <v>17.5</v>
      </c>
      <c r="AZ536" s="185">
        <f t="shared" si="387"/>
        <v>45</v>
      </c>
      <c r="BA536" s="173">
        <f t="shared" si="387"/>
        <v>50</v>
      </c>
      <c r="BB536" s="173">
        <f t="shared" si="387"/>
        <v>342</v>
      </c>
      <c r="BC536" s="180">
        <f t="shared" si="387"/>
        <v>17.5</v>
      </c>
      <c r="BE536" s="185" t="str">
        <f t="shared" si="388"/>
        <v/>
      </c>
      <c r="BF536" s="173" t="str">
        <f t="shared" si="388"/>
        <v/>
      </c>
      <c r="BG536" s="173" t="str">
        <f t="shared" si="388"/>
        <v/>
      </c>
      <c r="BH536" s="180" t="str">
        <f t="shared" si="388"/>
        <v/>
      </c>
      <c r="BI536" s="288"/>
      <c r="BJ536" s="185">
        <f t="shared" si="389"/>
        <v>45</v>
      </c>
      <c r="BK536" s="173">
        <f t="shared" si="389"/>
        <v>50.25</v>
      </c>
      <c r="BL536" s="173">
        <f t="shared" si="389"/>
        <v>196</v>
      </c>
      <c r="BM536" s="180">
        <f t="shared" si="389"/>
        <v>17.5</v>
      </c>
      <c r="BO536" s="185">
        <f t="shared" si="390"/>
        <v>45</v>
      </c>
      <c r="BP536" s="173">
        <f t="shared" si="390"/>
        <v>50.25</v>
      </c>
      <c r="BQ536" s="173">
        <f t="shared" si="390"/>
        <v>312</v>
      </c>
      <c r="BR536" s="180">
        <f t="shared" si="390"/>
        <v>17.5</v>
      </c>
      <c r="BT536" s="185" t="str">
        <f t="shared" si="391"/>
        <v/>
      </c>
      <c r="BU536" s="173" t="str">
        <f t="shared" si="391"/>
        <v/>
      </c>
      <c r="BV536" s="173" t="str">
        <f t="shared" si="391"/>
        <v/>
      </c>
      <c r="BW536" s="180" t="str">
        <f t="shared" si="391"/>
        <v/>
      </c>
      <c r="BX536" s="288"/>
      <c r="CM536" s="96"/>
    </row>
    <row r="537" spans="1:91">
      <c r="A537" s="47" t="str">
        <f t="shared" si="377"/>
        <v/>
      </c>
      <c r="B537" s="185">
        <f t="shared" si="377"/>
        <v>45</v>
      </c>
      <c r="C537" s="173">
        <f t="shared" si="377"/>
        <v>10.5</v>
      </c>
      <c r="D537" s="173">
        <f t="shared" si="377"/>
        <v>720</v>
      </c>
      <c r="E537" s="180">
        <f t="shared" si="377"/>
        <v>18</v>
      </c>
      <c r="G537" s="185">
        <f t="shared" si="378"/>
        <v>45</v>
      </c>
      <c r="H537" s="173">
        <f t="shared" si="378"/>
        <v>10.5</v>
      </c>
      <c r="I537" s="173">
        <f t="shared" si="378"/>
        <v>720</v>
      </c>
      <c r="J537" s="180">
        <f t="shared" si="378"/>
        <v>18</v>
      </c>
      <c r="L537" s="185">
        <f t="shared" si="379"/>
        <v>45</v>
      </c>
      <c r="M537" s="173">
        <f t="shared" si="379"/>
        <v>10.5</v>
      </c>
      <c r="N537" s="173">
        <f t="shared" si="379"/>
        <v>729</v>
      </c>
      <c r="O537" s="180">
        <f t="shared" si="379"/>
        <v>18</v>
      </c>
      <c r="Q537" s="185">
        <f t="shared" si="380"/>
        <v>45</v>
      </c>
      <c r="R537" s="173">
        <f t="shared" si="380"/>
        <v>53.5</v>
      </c>
      <c r="S537" s="173">
        <f t="shared" si="380"/>
        <v>127</v>
      </c>
      <c r="T537" s="180">
        <f t="shared" si="380"/>
        <v>18</v>
      </c>
      <c r="V537" s="185">
        <f t="shared" si="381"/>
        <v>45</v>
      </c>
      <c r="W537" s="173">
        <f t="shared" si="381"/>
        <v>53.5</v>
      </c>
      <c r="X537" s="173">
        <f t="shared" si="381"/>
        <v>235.5</v>
      </c>
      <c r="Y537" s="180">
        <f t="shared" si="381"/>
        <v>18</v>
      </c>
      <c r="AA537" s="185">
        <f t="shared" si="382"/>
        <v>45</v>
      </c>
      <c r="AB537" s="173">
        <f t="shared" si="382"/>
        <v>53.5</v>
      </c>
      <c r="AC537" s="173">
        <f t="shared" si="382"/>
        <v>284</v>
      </c>
      <c r="AD537" s="180">
        <f t="shared" si="382"/>
        <v>18</v>
      </c>
      <c r="AF537" s="185">
        <f t="shared" si="383"/>
        <v>45</v>
      </c>
      <c r="AG537" s="173">
        <f t="shared" si="383"/>
        <v>96.5</v>
      </c>
      <c r="AH537" s="173">
        <f t="shared" si="383"/>
        <v>110</v>
      </c>
      <c r="AI537" s="180">
        <f t="shared" si="383"/>
        <v>18</v>
      </c>
      <c r="AK537" s="185">
        <f t="shared" si="384"/>
        <v>45</v>
      </c>
      <c r="AL537" s="173">
        <f t="shared" si="384"/>
        <v>139.5</v>
      </c>
      <c r="AM537" s="173">
        <f t="shared" si="384"/>
        <v>192</v>
      </c>
      <c r="AN537" s="180">
        <f t="shared" si="384"/>
        <v>18</v>
      </c>
      <c r="AP537" s="185">
        <f t="shared" si="385"/>
        <v>45</v>
      </c>
      <c r="AQ537" s="173">
        <f t="shared" si="385"/>
        <v>53.5</v>
      </c>
      <c r="AR537" s="173">
        <f t="shared" si="385"/>
        <v>277</v>
      </c>
      <c r="AS537" s="180">
        <f t="shared" si="385"/>
        <v>18</v>
      </c>
      <c r="AT537" s="288"/>
      <c r="AU537" s="185">
        <f t="shared" si="386"/>
        <v>45</v>
      </c>
      <c r="AV537" s="173">
        <f t="shared" si="386"/>
        <v>50</v>
      </c>
      <c r="AW537" s="173">
        <f t="shared" si="386"/>
        <v>284</v>
      </c>
      <c r="AX537" s="180">
        <f t="shared" si="386"/>
        <v>17.5</v>
      </c>
      <c r="AZ537" s="185">
        <f t="shared" si="387"/>
        <v>45</v>
      </c>
      <c r="BA537" s="173">
        <f t="shared" si="387"/>
        <v>89.2</v>
      </c>
      <c r="BB537" s="173">
        <f t="shared" si="387"/>
        <v>138</v>
      </c>
      <c r="BC537" s="180">
        <f t="shared" si="387"/>
        <v>17.5</v>
      </c>
      <c r="BE537" s="185" t="str">
        <f t="shared" si="388"/>
        <v/>
      </c>
      <c r="BF537" s="173" t="str">
        <f t="shared" si="388"/>
        <v/>
      </c>
      <c r="BG537" s="173" t="str">
        <f t="shared" si="388"/>
        <v/>
      </c>
      <c r="BH537" s="180" t="str">
        <f t="shared" si="388"/>
        <v/>
      </c>
      <c r="BI537" s="288"/>
      <c r="BJ537" s="185">
        <f t="shared" si="389"/>
        <v>45</v>
      </c>
      <c r="BK537" s="173">
        <f t="shared" si="389"/>
        <v>50.25</v>
      </c>
      <c r="BL537" s="173">
        <f t="shared" si="389"/>
        <v>254</v>
      </c>
      <c r="BM537" s="180">
        <f t="shared" si="389"/>
        <v>17.5</v>
      </c>
      <c r="BO537" s="185">
        <f t="shared" si="390"/>
        <v>45</v>
      </c>
      <c r="BP537" s="173">
        <f t="shared" si="390"/>
        <v>50.25</v>
      </c>
      <c r="BQ537" s="173">
        <f t="shared" si="390"/>
        <v>370</v>
      </c>
      <c r="BR537" s="180">
        <f t="shared" si="390"/>
        <v>17.5</v>
      </c>
      <c r="BT537" s="185" t="str">
        <f t="shared" si="391"/>
        <v/>
      </c>
      <c r="BU537" s="173" t="str">
        <f t="shared" si="391"/>
        <v/>
      </c>
      <c r="BV537" s="173" t="str">
        <f t="shared" si="391"/>
        <v/>
      </c>
      <c r="BW537" s="180" t="str">
        <f t="shared" si="391"/>
        <v/>
      </c>
      <c r="BX537" s="288"/>
      <c r="CM537" s="96"/>
    </row>
    <row r="538" spans="1:91">
      <c r="A538" s="47" t="str">
        <f t="shared" si="377"/>
        <v/>
      </c>
      <c r="B538" s="185">
        <f t="shared" si="377"/>
        <v>45</v>
      </c>
      <c r="C538" s="173">
        <f t="shared" si="377"/>
        <v>10.5</v>
      </c>
      <c r="D538" s="173">
        <f t="shared" si="377"/>
        <v>777</v>
      </c>
      <c r="E538" s="180">
        <f t="shared" si="377"/>
        <v>18</v>
      </c>
      <c r="G538" s="185">
        <f t="shared" si="378"/>
        <v>45</v>
      </c>
      <c r="H538" s="173">
        <f t="shared" si="378"/>
        <v>10.5</v>
      </c>
      <c r="I538" s="173">
        <f t="shared" si="378"/>
        <v>777</v>
      </c>
      <c r="J538" s="180">
        <f t="shared" si="378"/>
        <v>18</v>
      </c>
      <c r="L538" s="185">
        <f t="shared" si="379"/>
        <v>45</v>
      </c>
      <c r="M538" s="173">
        <f t="shared" si="379"/>
        <v>53.5</v>
      </c>
      <c r="N538" s="173">
        <f t="shared" si="379"/>
        <v>130</v>
      </c>
      <c r="O538" s="180">
        <f t="shared" si="379"/>
        <v>18</v>
      </c>
      <c r="Q538" s="185">
        <f t="shared" si="380"/>
        <v>45</v>
      </c>
      <c r="R538" s="173">
        <f t="shared" si="380"/>
        <v>53.5</v>
      </c>
      <c r="S538" s="173">
        <f t="shared" si="380"/>
        <v>184</v>
      </c>
      <c r="T538" s="180">
        <f t="shared" si="380"/>
        <v>18</v>
      </c>
      <c r="V538" s="185">
        <f t="shared" si="381"/>
        <v>45</v>
      </c>
      <c r="W538" s="173">
        <f t="shared" si="381"/>
        <v>53.5</v>
      </c>
      <c r="X538" s="173">
        <f t="shared" si="381"/>
        <v>292.5</v>
      </c>
      <c r="Y538" s="180">
        <f t="shared" si="381"/>
        <v>18</v>
      </c>
      <c r="AA538" s="185">
        <f t="shared" si="382"/>
        <v>45</v>
      </c>
      <c r="AB538" s="173">
        <f t="shared" si="382"/>
        <v>53.5</v>
      </c>
      <c r="AC538" s="173">
        <f t="shared" si="382"/>
        <v>342</v>
      </c>
      <c r="AD538" s="180">
        <f t="shared" si="382"/>
        <v>18</v>
      </c>
      <c r="AF538" s="185">
        <f t="shared" si="383"/>
        <v>45</v>
      </c>
      <c r="AG538" s="173">
        <f t="shared" si="383"/>
        <v>96.5</v>
      </c>
      <c r="AH538" s="173">
        <f t="shared" si="383"/>
        <v>168</v>
      </c>
      <c r="AI538" s="180">
        <f t="shared" si="383"/>
        <v>18</v>
      </c>
      <c r="AK538" s="185">
        <f t="shared" si="384"/>
        <v>45</v>
      </c>
      <c r="AL538" s="173">
        <f t="shared" si="384"/>
        <v>139.5</v>
      </c>
      <c r="AM538" s="173">
        <f t="shared" si="384"/>
        <v>250</v>
      </c>
      <c r="AN538" s="180">
        <f t="shared" si="384"/>
        <v>18</v>
      </c>
      <c r="AP538" s="185">
        <f t="shared" si="385"/>
        <v>45</v>
      </c>
      <c r="AQ538" s="173">
        <f t="shared" si="385"/>
        <v>53.5</v>
      </c>
      <c r="AR538" s="173">
        <f t="shared" si="385"/>
        <v>334</v>
      </c>
      <c r="AS538" s="180">
        <f t="shared" si="385"/>
        <v>18</v>
      </c>
      <c r="AT538" s="288"/>
      <c r="AU538" s="185">
        <f t="shared" si="386"/>
        <v>45</v>
      </c>
      <c r="AV538" s="173">
        <f t="shared" si="386"/>
        <v>50</v>
      </c>
      <c r="AW538" s="173">
        <f t="shared" si="386"/>
        <v>342</v>
      </c>
      <c r="AX538" s="180">
        <f t="shared" si="386"/>
        <v>17.5</v>
      </c>
      <c r="AZ538" s="185">
        <f t="shared" si="387"/>
        <v>45</v>
      </c>
      <c r="BA538" s="173">
        <f t="shared" si="387"/>
        <v>89.2</v>
      </c>
      <c r="BB538" s="173">
        <f t="shared" si="387"/>
        <v>196</v>
      </c>
      <c r="BC538" s="180">
        <f t="shared" si="387"/>
        <v>17.5</v>
      </c>
      <c r="BE538" s="185" t="str">
        <f t="shared" si="388"/>
        <v/>
      </c>
      <c r="BF538" s="173" t="str">
        <f t="shared" si="388"/>
        <v/>
      </c>
      <c r="BG538" s="173" t="str">
        <f t="shared" si="388"/>
        <v/>
      </c>
      <c r="BH538" s="180" t="str">
        <f t="shared" si="388"/>
        <v/>
      </c>
      <c r="BI538" s="288"/>
      <c r="BJ538" s="185">
        <f t="shared" si="389"/>
        <v>45</v>
      </c>
      <c r="BK538" s="173">
        <f t="shared" si="389"/>
        <v>50.25</v>
      </c>
      <c r="BL538" s="173">
        <f t="shared" si="389"/>
        <v>312</v>
      </c>
      <c r="BM538" s="180">
        <f t="shared" si="389"/>
        <v>17.5</v>
      </c>
      <c r="BO538" s="185" t="str">
        <f t="shared" si="390"/>
        <v/>
      </c>
      <c r="BP538" s="173" t="str">
        <f t="shared" si="390"/>
        <v/>
      </c>
      <c r="BQ538" s="173" t="str">
        <f t="shared" si="390"/>
        <v/>
      </c>
      <c r="BR538" s="180" t="str">
        <f t="shared" si="390"/>
        <v/>
      </c>
      <c r="BT538" s="185" t="str">
        <f t="shared" si="391"/>
        <v/>
      </c>
      <c r="BU538" s="173" t="str">
        <f t="shared" si="391"/>
        <v/>
      </c>
      <c r="BV538" s="173" t="str">
        <f t="shared" si="391"/>
        <v/>
      </c>
      <c r="BW538" s="180" t="str">
        <f t="shared" si="391"/>
        <v/>
      </c>
      <c r="BX538" s="288"/>
      <c r="CM538" s="96"/>
    </row>
    <row r="539" spans="1:91">
      <c r="A539" s="47" t="str">
        <f t="shared" si="377"/>
        <v/>
      </c>
      <c r="B539" s="185">
        <f t="shared" si="377"/>
        <v>45</v>
      </c>
      <c r="C539" s="173">
        <f t="shared" si="377"/>
        <v>53.5</v>
      </c>
      <c r="D539" s="173">
        <f t="shared" si="377"/>
        <v>121</v>
      </c>
      <c r="E539" s="180">
        <f t="shared" si="377"/>
        <v>18</v>
      </c>
      <c r="G539" s="185">
        <f t="shared" si="378"/>
        <v>45</v>
      </c>
      <c r="H539" s="173">
        <f t="shared" si="378"/>
        <v>53.5</v>
      </c>
      <c r="I539" s="173">
        <f t="shared" si="378"/>
        <v>121</v>
      </c>
      <c r="J539" s="180">
        <f t="shared" si="378"/>
        <v>18</v>
      </c>
      <c r="L539" s="185">
        <f t="shared" si="379"/>
        <v>45</v>
      </c>
      <c r="M539" s="173">
        <f t="shared" si="379"/>
        <v>53.5</v>
      </c>
      <c r="N539" s="173">
        <f t="shared" si="379"/>
        <v>187</v>
      </c>
      <c r="O539" s="180">
        <f t="shared" si="379"/>
        <v>18</v>
      </c>
      <c r="Q539" s="185">
        <f t="shared" si="380"/>
        <v>45</v>
      </c>
      <c r="R539" s="173">
        <f t="shared" si="380"/>
        <v>53.5</v>
      </c>
      <c r="S539" s="173">
        <f t="shared" si="380"/>
        <v>241</v>
      </c>
      <c r="T539" s="180">
        <f t="shared" si="380"/>
        <v>18</v>
      </c>
      <c r="V539" s="185">
        <f t="shared" si="381"/>
        <v>45</v>
      </c>
      <c r="W539" s="173">
        <f t="shared" si="381"/>
        <v>53.5</v>
      </c>
      <c r="X539" s="173">
        <f t="shared" si="381"/>
        <v>349.5</v>
      </c>
      <c r="Y539" s="180">
        <f t="shared" si="381"/>
        <v>18</v>
      </c>
      <c r="AA539" s="185">
        <f t="shared" si="382"/>
        <v>45</v>
      </c>
      <c r="AB539" s="173">
        <f t="shared" si="382"/>
        <v>53.5</v>
      </c>
      <c r="AC539" s="173">
        <f t="shared" si="382"/>
        <v>400</v>
      </c>
      <c r="AD539" s="180">
        <f t="shared" si="382"/>
        <v>18</v>
      </c>
      <c r="AF539" s="185">
        <f t="shared" si="383"/>
        <v>45</v>
      </c>
      <c r="AG539" s="173">
        <f t="shared" si="383"/>
        <v>96.5</v>
      </c>
      <c r="AH539" s="173">
        <f t="shared" si="383"/>
        <v>226</v>
      </c>
      <c r="AI539" s="180">
        <f t="shared" si="383"/>
        <v>18</v>
      </c>
      <c r="AK539" s="185" t="str">
        <f t="shared" si="384"/>
        <v/>
      </c>
      <c r="AL539" s="173" t="str">
        <f t="shared" si="384"/>
        <v/>
      </c>
      <c r="AM539" s="173" t="str">
        <f t="shared" si="384"/>
        <v/>
      </c>
      <c r="AN539" s="180" t="str">
        <f t="shared" si="384"/>
        <v/>
      </c>
      <c r="AP539" s="185">
        <f t="shared" si="385"/>
        <v>45</v>
      </c>
      <c r="AQ539" s="173">
        <f t="shared" si="385"/>
        <v>53.5</v>
      </c>
      <c r="AR539" s="173">
        <f t="shared" si="385"/>
        <v>391</v>
      </c>
      <c r="AS539" s="180">
        <f t="shared" si="385"/>
        <v>18</v>
      </c>
      <c r="AT539" s="288"/>
      <c r="AU539" s="185">
        <f t="shared" si="386"/>
        <v>45</v>
      </c>
      <c r="AV539" s="173">
        <f t="shared" si="386"/>
        <v>50</v>
      </c>
      <c r="AW539" s="173">
        <f t="shared" si="386"/>
        <v>400</v>
      </c>
      <c r="AX539" s="180">
        <f t="shared" si="386"/>
        <v>17.5</v>
      </c>
      <c r="AZ539" s="185">
        <f t="shared" si="387"/>
        <v>45</v>
      </c>
      <c r="BA539" s="173">
        <f t="shared" si="387"/>
        <v>89.2</v>
      </c>
      <c r="BB539" s="173">
        <f t="shared" si="387"/>
        <v>254</v>
      </c>
      <c r="BC539" s="180">
        <f t="shared" si="387"/>
        <v>17.5</v>
      </c>
      <c r="BE539" s="185" t="str">
        <f t="shared" si="388"/>
        <v/>
      </c>
      <c r="BF539" s="173" t="str">
        <f t="shared" si="388"/>
        <v/>
      </c>
      <c r="BG539" s="173" t="str">
        <f t="shared" si="388"/>
        <v/>
      </c>
      <c r="BH539" s="180" t="str">
        <f t="shared" si="388"/>
        <v/>
      </c>
      <c r="BI539" s="288"/>
      <c r="BJ539" s="185">
        <f t="shared" si="389"/>
        <v>45</v>
      </c>
      <c r="BK539" s="173">
        <f t="shared" si="389"/>
        <v>50.25</v>
      </c>
      <c r="BL539" s="173">
        <f t="shared" si="389"/>
        <v>370</v>
      </c>
      <c r="BM539" s="180">
        <f t="shared" si="389"/>
        <v>17.5</v>
      </c>
      <c r="BO539" s="185" t="str">
        <f t="shared" si="390"/>
        <v/>
      </c>
      <c r="BP539" s="173" t="str">
        <f t="shared" si="390"/>
        <v/>
      </c>
      <c r="BQ539" s="173" t="str">
        <f t="shared" si="390"/>
        <v/>
      </c>
      <c r="BR539" s="180" t="str">
        <f t="shared" si="390"/>
        <v/>
      </c>
      <c r="BT539" s="185" t="str">
        <f t="shared" si="391"/>
        <v/>
      </c>
      <c r="BU539" s="173" t="str">
        <f t="shared" si="391"/>
        <v/>
      </c>
      <c r="BV539" s="173" t="str">
        <f t="shared" si="391"/>
        <v/>
      </c>
      <c r="BW539" s="180" t="str">
        <f t="shared" si="391"/>
        <v/>
      </c>
      <c r="BX539" s="288"/>
      <c r="CM539" s="96"/>
    </row>
    <row r="540" spans="1:91">
      <c r="A540" s="47" t="str">
        <f t="shared" si="377"/>
        <v/>
      </c>
      <c r="B540" s="185">
        <f t="shared" si="377"/>
        <v>45</v>
      </c>
      <c r="C540" s="173">
        <f t="shared" si="377"/>
        <v>53.5</v>
      </c>
      <c r="D540" s="173">
        <f t="shared" si="377"/>
        <v>178</v>
      </c>
      <c r="E540" s="180">
        <f t="shared" si="377"/>
        <v>18</v>
      </c>
      <c r="G540" s="185">
        <f t="shared" si="378"/>
        <v>45</v>
      </c>
      <c r="H540" s="173">
        <f t="shared" si="378"/>
        <v>53.5</v>
      </c>
      <c r="I540" s="173">
        <f t="shared" si="378"/>
        <v>178</v>
      </c>
      <c r="J540" s="180">
        <f t="shared" si="378"/>
        <v>18</v>
      </c>
      <c r="L540" s="185">
        <f t="shared" si="379"/>
        <v>45</v>
      </c>
      <c r="M540" s="173">
        <f t="shared" si="379"/>
        <v>53.5</v>
      </c>
      <c r="N540" s="173">
        <f t="shared" si="379"/>
        <v>244</v>
      </c>
      <c r="O540" s="180">
        <f t="shared" si="379"/>
        <v>18</v>
      </c>
      <c r="Q540" s="185">
        <f t="shared" si="380"/>
        <v>45</v>
      </c>
      <c r="R540" s="173">
        <f t="shared" si="380"/>
        <v>53.5</v>
      </c>
      <c r="S540" s="173">
        <f t="shared" si="380"/>
        <v>298</v>
      </c>
      <c r="T540" s="180">
        <f t="shared" si="380"/>
        <v>18</v>
      </c>
      <c r="V540" s="185">
        <f t="shared" si="381"/>
        <v>45</v>
      </c>
      <c r="W540" s="173">
        <f t="shared" si="381"/>
        <v>53.5</v>
      </c>
      <c r="X540" s="173">
        <f t="shared" si="381"/>
        <v>406.5</v>
      </c>
      <c r="Y540" s="180">
        <f t="shared" si="381"/>
        <v>18</v>
      </c>
      <c r="AA540" s="185">
        <f t="shared" si="382"/>
        <v>45</v>
      </c>
      <c r="AB540" s="173">
        <f t="shared" si="382"/>
        <v>53.5</v>
      </c>
      <c r="AC540" s="173">
        <f t="shared" si="382"/>
        <v>458</v>
      </c>
      <c r="AD540" s="180">
        <f t="shared" si="382"/>
        <v>18</v>
      </c>
      <c r="AF540" s="185">
        <f t="shared" si="383"/>
        <v>45</v>
      </c>
      <c r="AG540" s="173">
        <f t="shared" si="383"/>
        <v>96.5</v>
      </c>
      <c r="AH540" s="173">
        <f t="shared" si="383"/>
        <v>284</v>
      </c>
      <c r="AI540" s="180">
        <f t="shared" si="383"/>
        <v>18</v>
      </c>
      <c r="AK540" s="185" t="str">
        <f t="shared" si="384"/>
        <v/>
      </c>
      <c r="AL540" s="173" t="str">
        <f t="shared" si="384"/>
        <v/>
      </c>
      <c r="AM540" s="173" t="str">
        <f t="shared" si="384"/>
        <v/>
      </c>
      <c r="AN540" s="180" t="str">
        <f t="shared" si="384"/>
        <v/>
      </c>
      <c r="AP540" s="185">
        <f t="shared" si="385"/>
        <v>45</v>
      </c>
      <c r="AQ540" s="173">
        <f t="shared" si="385"/>
        <v>53.5</v>
      </c>
      <c r="AR540" s="173">
        <f t="shared" si="385"/>
        <v>448</v>
      </c>
      <c r="AS540" s="180">
        <f t="shared" si="385"/>
        <v>18</v>
      </c>
      <c r="AT540" s="288"/>
      <c r="AU540" s="185">
        <f t="shared" si="386"/>
        <v>45</v>
      </c>
      <c r="AV540" s="173">
        <f t="shared" si="386"/>
        <v>50</v>
      </c>
      <c r="AW540" s="173">
        <f t="shared" si="386"/>
        <v>458</v>
      </c>
      <c r="AX540" s="180">
        <f t="shared" si="386"/>
        <v>17.5</v>
      </c>
      <c r="AZ540" s="185">
        <f t="shared" si="387"/>
        <v>45</v>
      </c>
      <c r="BA540" s="173">
        <f t="shared" si="387"/>
        <v>89.2</v>
      </c>
      <c r="BB540" s="173">
        <f t="shared" si="387"/>
        <v>312</v>
      </c>
      <c r="BC540" s="180">
        <f t="shared" si="387"/>
        <v>17.5</v>
      </c>
      <c r="BE540" s="185" t="str">
        <f t="shared" si="388"/>
        <v/>
      </c>
      <c r="BF540" s="173" t="str">
        <f t="shared" si="388"/>
        <v/>
      </c>
      <c r="BG540" s="173" t="str">
        <f t="shared" si="388"/>
        <v/>
      </c>
      <c r="BH540" s="180" t="str">
        <f t="shared" si="388"/>
        <v/>
      </c>
      <c r="BI540" s="288"/>
      <c r="BJ540" s="185">
        <f t="shared" si="389"/>
        <v>45</v>
      </c>
      <c r="BK540" s="173">
        <f t="shared" si="389"/>
        <v>50.25</v>
      </c>
      <c r="BL540" s="173">
        <f t="shared" si="389"/>
        <v>428</v>
      </c>
      <c r="BM540" s="180">
        <f t="shared" si="389"/>
        <v>17.5</v>
      </c>
      <c r="BO540" s="185" t="str">
        <f t="shared" si="390"/>
        <v/>
      </c>
      <c r="BP540" s="173" t="str">
        <f t="shared" si="390"/>
        <v/>
      </c>
      <c r="BQ540" s="173" t="str">
        <f t="shared" si="390"/>
        <v/>
      </c>
      <c r="BR540" s="180" t="str">
        <f t="shared" si="390"/>
        <v/>
      </c>
      <c r="BT540" s="185" t="str">
        <f t="shared" si="391"/>
        <v/>
      </c>
      <c r="BU540" s="173" t="str">
        <f t="shared" si="391"/>
        <v/>
      </c>
      <c r="BV540" s="173" t="str">
        <f t="shared" si="391"/>
        <v/>
      </c>
      <c r="BW540" s="180" t="str">
        <f t="shared" si="391"/>
        <v/>
      </c>
      <c r="BX540" s="288"/>
      <c r="CM540" s="96"/>
    </row>
    <row r="541" spans="1:91">
      <c r="A541" s="47" t="str">
        <f t="shared" si="377"/>
        <v/>
      </c>
      <c r="B541" s="185">
        <f t="shared" si="377"/>
        <v>45</v>
      </c>
      <c r="C541" s="173">
        <f t="shared" si="377"/>
        <v>53.5</v>
      </c>
      <c r="D541" s="173">
        <f t="shared" si="377"/>
        <v>235</v>
      </c>
      <c r="E541" s="180">
        <f t="shared" si="377"/>
        <v>18</v>
      </c>
      <c r="G541" s="185">
        <f t="shared" si="378"/>
        <v>45</v>
      </c>
      <c r="H541" s="173">
        <f t="shared" si="378"/>
        <v>53.5</v>
      </c>
      <c r="I541" s="173">
        <f t="shared" si="378"/>
        <v>235</v>
      </c>
      <c r="J541" s="180">
        <f t="shared" si="378"/>
        <v>18</v>
      </c>
      <c r="L541" s="185">
        <f t="shared" si="379"/>
        <v>45</v>
      </c>
      <c r="M541" s="173">
        <f t="shared" si="379"/>
        <v>53.5</v>
      </c>
      <c r="N541" s="173">
        <f t="shared" si="379"/>
        <v>301</v>
      </c>
      <c r="O541" s="180">
        <f t="shared" si="379"/>
        <v>18</v>
      </c>
      <c r="Q541" s="185">
        <f t="shared" si="380"/>
        <v>45</v>
      </c>
      <c r="R541" s="173">
        <f t="shared" si="380"/>
        <v>53.5</v>
      </c>
      <c r="S541" s="173">
        <f t="shared" si="380"/>
        <v>355</v>
      </c>
      <c r="T541" s="180">
        <f t="shared" si="380"/>
        <v>18</v>
      </c>
      <c r="V541" s="185">
        <f t="shared" si="381"/>
        <v>45</v>
      </c>
      <c r="W541" s="173">
        <f t="shared" si="381"/>
        <v>53.5</v>
      </c>
      <c r="X541" s="173">
        <f t="shared" si="381"/>
        <v>463.5</v>
      </c>
      <c r="Y541" s="180">
        <f t="shared" si="381"/>
        <v>18</v>
      </c>
      <c r="AA541" s="185">
        <f t="shared" si="382"/>
        <v>45</v>
      </c>
      <c r="AB541" s="173">
        <f t="shared" si="382"/>
        <v>96.5</v>
      </c>
      <c r="AC541" s="173">
        <f t="shared" si="382"/>
        <v>110</v>
      </c>
      <c r="AD541" s="180">
        <f t="shared" si="382"/>
        <v>18</v>
      </c>
      <c r="AF541" s="185">
        <f t="shared" si="383"/>
        <v>45</v>
      </c>
      <c r="AG541" s="173">
        <f t="shared" si="383"/>
        <v>96.5</v>
      </c>
      <c r="AH541" s="173">
        <f t="shared" si="383"/>
        <v>342</v>
      </c>
      <c r="AI541" s="180">
        <f t="shared" si="383"/>
        <v>18</v>
      </c>
      <c r="AK541" s="185" t="str">
        <f t="shared" si="384"/>
        <v/>
      </c>
      <c r="AL541" s="173" t="str">
        <f t="shared" si="384"/>
        <v/>
      </c>
      <c r="AM541" s="173" t="str">
        <f t="shared" si="384"/>
        <v/>
      </c>
      <c r="AN541" s="180" t="str">
        <f t="shared" si="384"/>
        <v/>
      </c>
      <c r="AP541" s="185">
        <f t="shared" si="385"/>
        <v>45</v>
      </c>
      <c r="AQ541" s="173">
        <f t="shared" si="385"/>
        <v>53.5</v>
      </c>
      <c r="AR541" s="173">
        <f t="shared" si="385"/>
        <v>505</v>
      </c>
      <c r="AS541" s="180">
        <f t="shared" si="385"/>
        <v>18</v>
      </c>
      <c r="AT541" s="288"/>
      <c r="AU541" s="185">
        <f t="shared" si="386"/>
        <v>45</v>
      </c>
      <c r="AV541" s="173">
        <f t="shared" si="386"/>
        <v>89.2</v>
      </c>
      <c r="AW541" s="173">
        <f t="shared" si="386"/>
        <v>138</v>
      </c>
      <c r="AX541" s="180">
        <f t="shared" si="386"/>
        <v>17.5</v>
      </c>
      <c r="AZ541" s="185">
        <f t="shared" si="387"/>
        <v>45</v>
      </c>
      <c r="BA541" s="173">
        <f t="shared" si="387"/>
        <v>89.2</v>
      </c>
      <c r="BB541" s="173">
        <f t="shared" si="387"/>
        <v>370</v>
      </c>
      <c r="BC541" s="180">
        <f t="shared" si="387"/>
        <v>17.5</v>
      </c>
      <c r="BE541" s="185" t="str">
        <f t="shared" si="388"/>
        <v/>
      </c>
      <c r="BF541" s="173" t="str">
        <f t="shared" si="388"/>
        <v/>
      </c>
      <c r="BG541" s="173" t="str">
        <f t="shared" si="388"/>
        <v/>
      </c>
      <c r="BH541" s="180" t="str">
        <f t="shared" si="388"/>
        <v/>
      </c>
      <c r="BI541" s="288"/>
      <c r="BJ541" s="185">
        <f t="shared" si="389"/>
        <v>45</v>
      </c>
      <c r="BK541" s="173">
        <f t="shared" si="389"/>
        <v>50.25</v>
      </c>
      <c r="BL541" s="173">
        <f t="shared" si="389"/>
        <v>486</v>
      </c>
      <c r="BM541" s="180">
        <f t="shared" si="389"/>
        <v>17.5</v>
      </c>
      <c r="BO541" s="185" t="str">
        <f t="shared" si="390"/>
        <v/>
      </c>
      <c r="BP541" s="173" t="str">
        <f t="shared" si="390"/>
        <v/>
      </c>
      <c r="BQ541" s="173" t="str">
        <f t="shared" si="390"/>
        <v/>
      </c>
      <c r="BR541" s="180" t="str">
        <f t="shared" si="390"/>
        <v/>
      </c>
      <c r="BT541" s="185" t="str">
        <f t="shared" si="391"/>
        <v/>
      </c>
      <c r="BU541" s="173" t="str">
        <f t="shared" si="391"/>
        <v/>
      </c>
      <c r="BV541" s="173" t="str">
        <f t="shared" si="391"/>
        <v/>
      </c>
      <c r="BW541" s="180" t="str">
        <f t="shared" si="391"/>
        <v/>
      </c>
      <c r="BX541" s="288"/>
      <c r="CM541" s="96"/>
    </row>
    <row r="542" spans="1:91">
      <c r="A542" s="47" t="str">
        <f t="shared" si="377"/>
        <v/>
      </c>
      <c r="B542" s="185">
        <f t="shared" si="377"/>
        <v>45</v>
      </c>
      <c r="C542" s="173">
        <f t="shared" si="377"/>
        <v>53.5</v>
      </c>
      <c r="D542" s="173">
        <f t="shared" si="377"/>
        <v>292</v>
      </c>
      <c r="E542" s="180">
        <f t="shared" si="377"/>
        <v>18</v>
      </c>
      <c r="G542" s="185">
        <f t="shared" si="378"/>
        <v>45</v>
      </c>
      <c r="H542" s="173">
        <f t="shared" si="378"/>
        <v>53.5</v>
      </c>
      <c r="I542" s="173">
        <f t="shared" si="378"/>
        <v>292</v>
      </c>
      <c r="J542" s="180">
        <f t="shared" si="378"/>
        <v>18</v>
      </c>
      <c r="L542" s="185">
        <f t="shared" si="379"/>
        <v>45</v>
      </c>
      <c r="M542" s="173">
        <f t="shared" si="379"/>
        <v>53.5</v>
      </c>
      <c r="N542" s="173">
        <f t="shared" si="379"/>
        <v>358</v>
      </c>
      <c r="O542" s="180">
        <f t="shared" si="379"/>
        <v>18</v>
      </c>
      <c r="Q542" s="185">
        <f t="shared" si="380"/>
        <v>45</v>
      </c>
      <c r="R542" s="173">
        <f t="shared" si="380"/>
        <v>53.5</v>
      </c>
      <c r="S542" s="173">
        <f t="shared" si="380"/>
        <v>412</v>
      </c>
      <c r="T542" s="180">
        <f t="shared" si="380"/>
        <v>18</v>
      </c>
      <c r="V542" s="185">
        <f t="shared" si="381"/>
        <v>45</v>
      </c>
      <c r="W542" s="173">
        <f t="shared" si="381"/>
        <v>53.5</v>
      </c>
      <c r="X542" s="173">
        <f t="shared" si="381"/>
        <v>520.5</v>
      </c>
      <c r="Y542" s="180">
        <f t="shared" si="381"/>
        <v>18</v>
      </c>
      <c r="AA542" s="185">
        <f t="shared" si="382"/>
        <v>45</v>
      </c>
      <c r="AB542" s="173">
        <f t="shared" si="382"/>
        <v>96.5</v>
      </c>
      <c r="AC542" s="173">
        <f t="shared" si="382"/>
        <v>168</v>
      </c>
      <c r="AD542" s="180">
        <f t="shared" si="382"/>
        <v>18</v>
      </c>
      <c r="AF542" s="185">
        <f t="shared" si="383"/>
        <v>45</v>
      </c>
      <c r="AG542" s="173">
        <f t="shared" si="383"/>
        <v>139.5</v>
      </c>
      <c r="AH542" s="173">
        <f t="shared" si="383"/>
        <v>138</v>
      </c>
      <c r="AI542" s="180">
        <f t="shared" si="383"/>
        <v>18</v>
      </c>
      <c r="AK542" s="185" t="str">
        <f t="shared" si="384"/>
        <v/>
      </c>
      <c r="AL542" s="173" t="str">
        <f t="shared" si="384"/>
        <v/>
      </c>
      <c r="AM542" s="173" t="str">
        <f t="shared" si="384"/>
        <v/>
      </c>
      <c r="AN542" s="180" t="str">
        <f t="shared" si="384"/>
        <v/>
      </c>
      <c r="AP542" s="185">
        <f t="shared" si="385"/>
        <v>45</v>
      </c>
      <c r="AQ542" s="173">
        <f t="shared" si="385"/>
        <v>53.5</v>
      </c>
      <c r="AR542" s="173">
        <f t="shared" si="385"/>
        <v>562</v>
      </c>
      <c r="AS542" s="180">
        <f t="shared" si="385"/>
        <v>18</v>
      </c>
      <c r="AT542" s="288"/>
      <c r="AU542" s="185">
        <f t="shared" si="386"/>
        <v>45</v>
      </c>
      <c r="AV542" s="173">
        <f t="shared" si="386"/>
        <v>89.2</v>
      </c>
      <c r="AW542" s="173">
        <f t="shared" si="386"/>
        <v>196</v>
      </c>
      <c r="AX542" s="180">
        <f t="shared" si="386"/>
        <v>17.5</v>
      </c>
      <c r="AZ542" s="185" t="str">
        <f t="shared" si="387"/>
        <v/>
      </c>
      <c r="BA542" s="173" t="str">
        <f t="shared" si="387"/>
        <v/>
      </c>
      <c r="BB542" s="173" t="str">
        <f t="shared" si="387"/>
        <v/>
      </c>
      <c r="BC542" s="180" t="str">
        <f t="shared" si="387"/>
        <v/>
      </c>
      <c r="BE542" s="185" t="str">
        <f t="shared" si="388"/>
        <v/>
      </c>
      <c r="BF542" s="173" t="str">
        <f t="shared" si="388"/>
        <v/>
      </c>
      <c r="BG542" s="173" t="str">
        <f t="shared" si="388"/>
        <v/>
      </c>
      <c r="BH542" s="180" t="str">
        <f t="shared" si="388"/>
        <v/>
      </c>
      <c r="BI542" s="288"/>
      <c r="BJ542" s="185" t="str">
        <f t="shared" si="389"/>
        <v/>
      </c>
      <c r="BK542" s="173" t="str">
        <f t="shared" si="389"/>
        <v/>
      </c>
      <c r="BL542" s="173" t="str">
        <f t="shared" si="389"/>
        <v/>
      </c>
      <c r="BM542" s="180" t="str">
        <f t="shared" si="389"/>
        <v/>
      </c>
      <c r="BO542" s="185" t="str">
        <f t="shared" si="390"/>
        <v/>
      </c>
      <c r="BP542" s="173" t="str">
        <f t="shared" si="390"/>
        <v/>
      </c>
      <c r="BQ542" s="173" t="str">
        <f t="shared" si="390"/>
        <v/>
      </c>
      <c r="BR542" s="180" t="str">
        <f t="shared" si="390"/>
        <v/>
      </c>
      <c r="BT542" s="185" t="str">
        <f t="shared" si="391"/>
        <v/>
      </c>
      <c r="BU542" s="173" t="str">
        <f t="shared" si="391"/>
        <v/>
      </c>
      <c r="BV542" s="173" t="str">
        <f t="shared" si="391"/>
        <v/>
      </c>
      <c r="BW542" s="180" t="str">
        <f t="shared" si="391"/>
        <v/>
      </c>
      <c r="BX542" s="288"/>
      <c r="CM542" s="96"/>
    </row>
    <row r="543" spans="1:91">
      <c r="A543" s="47" t="str">
        <f t="shared" si="377"/>
        <v/>
      </c>
      <c r="B543" s="185">
        <f t="shared" si="377"/>
        <v>45</v>
      </c>
      <c r="C543" s="173">
        <f t="shared" si="377"/>
        <v>53.5</v>
      </c>
      <c r="D543" s="173">
        <f t="shared" si="377"/>
        <v>349</v>
      </c>
      <c r="E543" s="180">
        <f t="shared" si="377"/>
        <v>18</v>
      </c>
      <c r="G543" s="185">
        <f t="shared" si="378"/>
        <v>45</v>
      </c>
      <c r="H543" s="173">
        <f t="shared" si="378"/>
        <v>53.5</v>
      </c>
      <c r="I543" s="173">
        <f t="shared" si="378"/>
        <v>349</v>
      </c>
      <c r="J543" s="180">
        <f t="shared" si="378"/>
        <v>18</v>
      </c>
      <c r="L543" s="185">
        <f t="shared" si="379"/>
        <v>45</v>
      </c>
      <c r="M543" s="173">
        <f t="shared" si="379"/>
        <v>53.5</v>
      </c>
      <c r="N543" s="173">
        <f t="shared" si="379"/>
        <v>415</v>
      </c>
      <c r="O543" s="180">
        <f t="shared" si="379"/>
        <v>18</v>
      </c>
      <c r="Q543" s="185">
        <f t="shared" si="380"/>
        <v>45</v>
      </c>
      <c r="R543" s="173">
        <f t="shared" si="380"/>
        <v>53.5</v>
      </c>
      <c r="S543" s="173">
        <f t="shared" si="380"/>
        <v>469</v>
      </c>
      <c r="T543" s="180">
        <f t="shared" si="380"/>
        <v>18</v>
      </c>
      <c r="V543" s="185">
        <f t="shared" si="381"/>
        <v>45</v>
      </c>
      <c r="W543" s="173">
        <f t="shared" si="381"/>
        <v>96.5</v>
      </c>
      <c r="X543" s="173">
        <f t="shared" si="381"/>
        <v>121.5</v>
      </c>
      <c r="Y543" s="180">
        <f t="shared" si="381"/>
        <v>18</v>
      </c>
      <c r="AA543" s="185">
        <f t="shared" si="382"/>
        <v>45</v>
      </c>
      <c r="AB543" s="173">
        <f t="shared" si="382"/>
        <v>96.5</v>
      </c>
      <c r="AC543" s="173">
        <f t="shared" si="382"/>
        <v>226</v>
      </c>
      <c r="AD543" s="180">
        <f t="shared" si="382"/>
        <v>18</v>
      </c>
      <c r="AF543" s="185">
        <f t="shared" si="383"/>
        <v>45</v>
      </c>
      <c r="AG543" s="173">
        <f t="shared" si="383"/>
        <v>139.5</v>
      </c>
      <c r="AH543" s="173">
        <f t="shared" si="383"/>
        <v>196</v>
      </c>
      <c r="AI543" s="180">
        <f t="shared" si="383"/>
        <v>18</v>
      </c>
      <c r="AK543" s="185" t="str">
        <f t="shared" si="384"/>
        <v/>
      </c>
      <c r="AL543" s="173" t="str">
        <f t="shared" si="384"/>
        <v/>
      </c>
      <c r="AM543" s="173" t="str">
        <f t="shared" si="384"/>
        <v/>
      </c>
      <c r="AN543" s="180" t="str">
        <f t="shared" si="384"/>
        <v/>
      </c>
      <c r="AP543" s="185">
        <f t="shared" si="385"/>
        <v>45</v>
      </c>
      <c r="AQ543" s="173">
        <f t="shared" si="385"/>
        <v>53.5</v>
      </c>
      <c r="AR543" s="173">
        <f t="shared" si="385"/>
        <v>619</v>
      </c>
      <c r="AS543" s="180">
        <f t="shared" si="385"/>
        <v>18</v>
      </c>
      <c r="AT543" s="288"/>
      <c r="AU543" s="185">
        <f t="shared" si="386"/>
        <v>45</v>
      </c>
      <c r="AV543" s="173">
        <f t="shared" si="386"/>
        <v>89.2</v>
      </c>
      <c r="AW543" s="173">
        <f t="shared" si="386"/>
        <v>254</v>
      </c>
      <c r="AX543" s="180">
        <f t="shared" si="386"/>
        <v>17.5</v>
      </c>
      <c r="AZ543" s="185" t="str">
        <f t="shared" si="387"/>
        <v/>
      </c>
      <c r="BA543" s="173" t="str">
        <f t="shared" si="387"/>
        <v/>
      </c>
      <c r="BB543" s="173" t="str">
        <f t="shared" si="387"/>
        <v/>
      </c>
      <c r="BC543" s="180" t="str">
        <f t="shared" si="387"/>
        <v/>
      </c>
      <c r="BE543" s="185" t="str">
        <f t="shared" si="388"/>
        <v/>
      </c>
      <c r="BF543" s="173" t="str">
        <f t="shared" si="388"/>
        <v/>
      </c>
      <c r="BG543" s="173" t="str">
        <f t="shared" si="388"/>
        <v/>
      </c>
      <c r="BH543" s="180" t="str">
        <f t="shared" si="388"/>
        <v/>
      </c>
      <c r="BI543" s="288"/>
      <c r="BJ543" s="185" t="str">
        <f t="shared" si="389"/>
        <v/>
      </c>
      <c r="BK543" s="173" t="str">
        <f t="shared" si="389"/>
        <v/>
      </c>
      <c r="BL543" s="173" t="str">
        <f t="shared" si="389"/>
        <v/>
      </c>
      <c r="BM543" s="180" t="str">
        <f t="shared" si="389"/>
        <v/>
      </c>
      <c r="BO543" s="185" t="str">
        <f t="shared" si="390"/>
        <v/>
      </c>
      <c r="BP543" s="173" t="str">
        <f t="shared" si="390"/>
        <v/>
      </c>
      <c r="BQ543" s="173" t="str">
        <f t="shared" si="390"/>
        <v/>
      </c>
      <c r="BR543" s="180" t="str">
        <f t="shared" si="390"/>
        <v/>
      </c>
      <c r="BT543" s="185" t="str">
        <f t="shared" si="391"/>
        <v/>
      </c>
      <c r="BU543" s="173" t="str">
        <f t="shared" si="391"/>
        <v/>
      </c>
      <c r="BV543" s="173" t="str">
        <f t="shared" si="391"/>
        <v/>
      </c>
      <c r="BW543" s="180" t="str">
        <f t="shared" si="391"/>
        <v/>
      </c>
      <c r="BX543" s="288"/>
      <c r="CM543" s="96"/>
    </row>
    <row r="544" spans="1:91">
      <c r="A544" s="47" t="str">
        <f t="shared" si="377"/>
        <v/>
      </c>
      <c r="B544" s="185">
        <f t="shared" si="377"/>
        <v>45</v>
      </c>
      <c r="C544" s="173">
        <f t="shared" si="377"/>
        <v>53.5</v>
      </c>
      <c r="D544" s="173">
        <f t="shared" si="377"/>
        <v>406</v>
      </c>
      <c r="E544" s="180">
        <f t="shared" si="377"/>
        <v>18</v>
      </c>
      <c r="G544" s="185">
        <f t="shared" si="378"/>
        <v>45</v>
      </c>
      <c r="H544" s="173">
        <f t="shared" si="378"/>
        <v>53.5</v>
      </c>
      <c r="I544" s="173">
        <f t="shared" si="378"/>
        <v>406</v>
      </c>
      <c r="J544" s="180">
        <f t="shared" si="378"/>
        <v>18</v>
      </c>
      <c r="L544" s="185">
        <f t="shared" si="379"/>
        <v>45</v>
      </c>
      <c r="M544" s="173">
        <f t="shared" si="379"/>
        <v>53.5</v>
      </c>
      <c r="N544" s="173">
        <f t="shared" si="379"/>
        <v>472</v>
      </c>
      <c r="O544" s="180">
        <f t="shared" si="379"/>
        <v>18</v>
      </c>
      <c r="Q544" s="185">
        <f t="shared" si="380"/>
        <v>45</v>
      </c>
      <c r="R544" s="173">
        <f t="shared" si="380"/>
        <v>53.5</v>
      </c>
      <c r="S544" s="173">
        <f t="shared" si="380"/>
        <v>526</v>
      </c>
      <c r="T544" s="180">
        <f t="shared" si="380"/>
        <v>18</v>
      </c>
      <c r="V544" s="185">
        <f t="shared" si="381"/>
        <v>45</v>
      </c>
      <c r="W544" s="173">
        <f t="shared" si="381"/>
        <v>96.5</v>
      </c>
      <c r="X544" s="173">
        <f t="shared" si="381"/>
        <v>178.5</v>
      </c>
      <c r="Y544" s="180">
        <f t="shared" si="381"/>
        <v>18</v>
      </c>
      <c r="AA544" s="185">
        <f t="shared" si="382"/>
        <v>45</v>
      </c>
      <c r="AB544" s="173">
        <f t="shared" si="382"/>
        <v>96.5</v>
      </c>
      <c r="AC544" s="173">
        <f t="shared" si="382"/>
        <v>284</v>
      </c>
      <c r="AD544" s="180">
        <f t="shared" si="382"/>
        <v>18</v>
      </c>
      <c r="AF544" s="185">
        <f t="shared" si="383"/>
        <v>45</v>
      </c>
      <c r="AG544" s="173">
        <f t="shared" si="383"/>
        <v>139.5</v>
      </c>
      <c r="AH544" s="173">
        <f t="shared" si="383"/>
        <v>254</v>
      </c>
      <c r="AI544" s="180">
        <f t="shared" si="383"/>
        <v>18</v>
      </c>
      <c r="AK544" s="185" t="str">
        <f t="shared" si="384"/>
        <v/>
      </c>
      <c r="AL544" s="173" t="str">
        <f t="shared" si="384"/>
        <v/>
      </c>
      <c r="AM544" s="173" t="str">
        <f t="shared" si="384"/>
        <v/>
      </c>
      <c r="AN544" s="180" t="str">
        <f t="shared" si="384"/>
        <v/>
      </c>
      <c r="AP544" s="185">
        <f t="shared" si="385"/>
        <v>45</v>
      </c>
      <c r="AQ544" s="173">
        <f t="shared" si="385"/>
        <v>53.5</v>
      </c>
      <c r="AR544" s="173">
        <f t="shared" si="385"/>
        <v>676</v>
      </c>
      <c r="AS544" s="180">
        <f t="shared" si="385"/>
        <v>18</v>
      </c>
      <c r="AT544" s="288"/>
      <c r="AU544" s="185">
        <f t="shared" si="386"/>
        <v>45</v>
      </c>
      <c r="AV544" s="173">
        <f t="shared" si="386"/>
        <v>89.2</v>
      </c>
      <c r="AW544" s="173">
        <f t="shared" si="386"/>
        <v>312</v>
      </c>
      <c r="AX544" s="180">
        <f t="shared" si="386"/>
        <v>17.5</v>
      </c>
      <c r="AZ544" s="185" t="str">
        <f t="shared" si="387"/>
        <v/>
      </c>
      <c r="BA544" s="173" t="str">
        <f t="shared" si="387"/>
        <v/>
      </c>
      <c r="BB544" s="173" t="str">
        <f t="shared" si="387"/>
        <v/>
      </c>
      <c r="BC544" s="180" t="str">
        <f t="shared" si="387"/>
        <v/>
      </c>
      <c r="BE544" s="185" t="str">
        <f t="shared" si="388"/>
        <v/>
      </c>
      <c r="BF544" s="173" t="str">
        <f t="shared" si="388"/>
        <v/>
      </c>
      <c r="BG544" s="173" t="str">
        <f t="shared" si="388"/>
        <v/>
      </c>
      <c r="BH544" s="180" t="str">
        <f t="shared" si="388"/>
        <v/>
      </c>
      <c r="BI544" s="288"/>
      <c r="BJ544" s="185" t="str">
        <f t="shared" si="389"/>
        <v/>
      </c>
      <c r="BK544" s="173" t="str">
        <f t="shared" si="389"/>
        <v/>
      </c>
      <c r="BL544" s="173" t="str">
        <f t="shared" si="389"/>
        <v/>
      </c>
      <c r="BM544" s="180" t="str">
        <f t="shared" si="389"/>
        <v/>
      </c>
      <c r="BO544" s="185" t="str">
        <f t="shared" si="390"/>
        <v/>
      </c>
      <c r="BP544" s="173" t="str">
        <f t="shared" si="390"/>
        <v/>
      </c>
      <c r="BQ544" s="173" t="str">
        <f t="shared" si="390"/>
        <v/>
      </c>
      <c r="BR544" s="180" t="str">
        <f t="shared" si="390"/>
        <v/>
      </c>
      <c r="BT544" s="185" t="str">
        <f t="shared" si="391"/>
        <v/>
      </c>
      <c r="BU544" s="173" t="str">
        <f t="shared" si="391"/>
        <v/>
      </c>
      <c r="BV544" s="173" t="str">
        <f t="shared" si="391"/>
        <v/>
      </c>
      <c r="BW544" s="180" t="str">
        <f t="shared" si="391"/>
        <v/>
      </c>
      <c r="BX544" s="288"/>
      <c r="CM544" s="96"/>
    </row>
    <row r="545" spans="1:91">
      <c r="A545" s="47" t="str">
        <f t="shared" si="377"/>
        <v/>
      </c>
      <c r="B545" s="185">
        <f t="shared" si="377"/>
        <v>45</v>
      </c>
      <c r="C545" s="173">
        <f t="shared" si="377"/>
        <v>53.5</v>
      </c>
      <c r="D545" s="173">
        <f t="shared" si="377"/>
        <v>463</v>
      </c>
      <c r="E545" s="180">
        <f t="shared" si="377"/>
        <v>18</v>
      </c>
      <c r="G545" s="185">
        <f t="shared" si="378"/>
        <v>45</v>
      </c>
      <c r="H545" s="173">
        <f t="shared" si="378"/>
        <v>53.5</v>
      </c>
      <c r="I545" s="173">
        <f t="shared" si="378"/>
        <v>463</v>
      </c>
      <c r="J545" s="180">
        <f t="shared" si="378"/>
        <v>18</v>
      </c>
      <c r="L545" s="185">
        <f t="shared" si="379"/>
        <v>45</v>
      </c>
      <c r="M545" s="173">
        <f t="shared" si="379"/>
        <v>53.5</v>
      </c>
      <c r="N545" s="173">
        <f t="shared" si="379"/>
        <v>529</v>
      </c>
      <c r="O545" s="180">
        <f t="shared" si="379"/>
        <v>18</v>
      </c>
      <c r="Q545" s="185">
        <f t="shared" si="380"/>
        <v>45</v>
      </c>
      <c r="R545" s="173">
        <f t="shared" si="380"/>
        <v>53.5</v>
      </c>
      <c r="S545" s="173">
        <f t="shared" si="380"/>
        <v>583</v>
      </c>
      <c r="T545" s="180">
        <f t="shared" si="380"/>
        <v>18</v>
      </c>
      <c r="V545" s="185">
        <f t="shared" si="381"/>
        <v>45</v>
      </c>
      <c r="W545" s="173">
        <f t="shared" si="381"/>
        <v>96.5</v>
      </c>
      <c r="X545" s="173">
        <f t="shared" si="381"/>
        <v>235.5</v>
      </c>
      <c r="Y545" s="180">
        <f t="shared" si="381"/>
        <v>18</v>
      </c>
      <c r="AA545" s="185">
        <f t="shared" si="382"/>
        <v>45</v>
      </c>
      <c r="AB545" s="173">
        <f t="shared" si="382"/>
        <v>96.5</v>
      </c>
      <c r="AC545" s="173">
        <f t="shared" si="382"/>
        <v>342</v>
      </c>
      <c r="AD545" s="180">
        <f t="shared" si="382"/>
        <v>18</v>
      </c>
      <c r="AF545" s="185">
        <f t="shared" si="383"/>
        <v>45</v>
      </c>
      <c r="AG545" s="173">
        <f t="shared" si="383"/>
        <v>139.5</v>
      </c>
      <c r="AH545" s="173">
        <f t="shared" si="383"/>
        <v>312</v>
      </c>
      <c r="AI545" s="180">
        <f t="shared" si="383"/>
        <v>18</v>
      </c>
      <c r="AK545" s="185" t="str">
        <f t="shared" si="384"/>
        <v/>
      </c>
      <c r="AL545" s="173" t="str">
        <f t="shared" si="384"/>
        <v/>
      </c>
      <c r="AM545" s="173" t="str">
        <f t="shared" si="384"/>
        <v/>
      </c>
      <c r="AN545" s="180" t="str">
        <f t="shared" si="384"/>
        <v/>
      </c>
      <c r="AP545" s="185">
        <f t="shared" si="385"/>
        <v>45</v>
      </c>
      <c r="AQ545" s="173">
        <f t="shared" si="385"/>
        <v>53.5</v>
      </c>
      <c r="AR545" s="173">
        <f t="shared" si="385"/>
        <v>733</v>
      </c>
      <c r="AS545" s="180">
        <f t="shared" si="385"/>
        <v>18</v>
      </c>
      <c r="AT545" s="288"/>
      <c r="AU545" s="185">
        <f t="shared" si="386"/>
        <v>45</v>
      </c>
      <c r="AV545" s="173">
        <f t="shared" si="386"/>
        <v>89.2</v>
      </c>
      <c r="AW545" s="173">
        <f t="shared" si="386"/>
        <v>370</v>
      </c>
      <c r="AX545" s="180">
        <f t="shared" si="386"/>
        <v>17.5</v>
      </c>
      <c r="AZ545" s="185" t="str">
        <f t="shared" si="387"/>
        <v/>
      </c>
      <c r="BA545" s="173" t="str">
        <f t="shared" si="387"/>
        <v/>
      </c>
      <c r="BB545" s="173" t="str">
        <f t="shared" si="387"/>
        <v/>
      </c>
      <c r="BC545" s="180" t="str">
        <f t="shared" si="387"/>
        <v/>
      </c>
      <c r="BE545" s="185" t="str">
        <f t="shared" si="388"/>
        <v/>
      </c>
      <c r="BF545" s="173" t="str">
        <f t="shared" si="388"/>
        <v/>
      </c>
      <c r="BG545" s="173" t="str">
        <f t="shared" si="388"/>
        <v/>
      </c>
      <c r="BH545" s="180" t="str">
        <f t="shared" si="388"/>
        <v/>
      </c>
      <c r="BI545" s="288"/>
      <c r="BJ545" s="185" t="str">
        <f t="shared" si="389"/>
        <v/>
      </c>
      <c r="BK545" s="173" t="str">
        <f t="shared" si="389"/>
        <v/>
      </c>
      <c r="BL545" s="173" t="str">
        <f t="shared" si="389"/>
        <v/>
      </c>
      <c r="BM545" s="180" t="str">
        <f t="shared" si="389"/>
        <v/>
      </c>
      <c r="BO545" s="185" t="str">
        <f t="shared" si="390"/>
        <v/>
      </c>
      <c r="BP545" s="173" t="str">
        <f t="shared" si="390"/>
        <v/>
      </c>
      <c r="BQ545" s="173" t="str">
        <f t="shared" si="390"/>
        <v/>
      </c>
      <c r="BR545" s="180" t="str">
        <f t="shared" si="390"/>
        <v/>
      </c>
      <c r="BT545" s="185" t="str">
        <f t="shared" si="391"/>
        <v/>
      </c>
      <c r="BU545" s="173" t="str">
        <f t="shared" si="391"/>
        <v/>
      </c>
      <c r="BV545" s="173" t="str">
        <f t="shared" si="391"/>
        <v/>
      </c>
      <c r="BW545" s="180" t="str">
        <f t="shared" si="391"/>
        <v/>
      </c>
      <c r="BX545" s="288"/>
      <c r="CM545" s="96"/>
    </row>
    <row r="546" spans="1:91">
      <c r="A546" s="47" t="str">
        <f t="shared" si="377"/>
        <v/>
      </c>
      <c r="B546" s="185">
        <f t="shared" si="377"/>
        <v>45</v>
      </c>
      <c r="C546" s="173">
        <f t="shared" si="377"/>
        <v>53.5</v>
      </c>
      <c r="D546" s="173">
        <f t="shared" si="377"/>
        <v>520</v>
      </c>
      <c r="E546" s="180">
        <f t="shared" si="377"/>
        <v>18</v>
      </c>
      <c r="G546" s="185">
        <f t="shared" si="378"/>
        <v>45</v>
      </c>
      <c r="H546" s="173">
        <f t="shared" si="378"/>
        <v>53.5</v>
      </c>
      <c r="I546" s="173">
        <f t="shared" si="378"/>
        <v>520</v>
      </c>
      <c r="J546" s="180">
        <f t="shared" si="378"/>
        <v>18</v>
      </c>
      <c r="L546" s="185">
        <f t="shared" si="379"/>
        <v>45</v>
      </c>
      <c r="M546" s="173">
        <f t="shared" si="379"/>
        <v>53.5</v>
      </c>
      <c r="N546" s="173">
        <f t="shared" si="379"/>
        <v>586</v>
      </c>
      <c r="O546" s="180">
        <f t="shared" si="379"/>
        <v>18</v>
      </c>
      <c r="Q546" s="185">
        <f t="shared" si="380"/>
        <v>45</v>
      </c>
      <c r="R546" s="173">
        <f t="shared" si="380"/>
        <v>53.5</v>
      </c>
      <c r="S546" s="173">
        <f t="shared" si="380"/>
        <v>640</v>
      </c>
      <c r="T546" s="180">
        <f t="shared" si="380"/>
        <v>18</v>
      </c>
      <c r="V546" s="185">
        <f t="shared" si="381"/>
        <v>45</v>
      </c>
      <c r="W546" s="173">
        <f t="shared" si="381"/>
        <v>96.5</v>
      </c>
      <c r="X546" s="173">
        <f t="shared" si="381"/>
        <v>292.5</v>
      </c>
      <c r="Y546" s="180">
        <f t="shared" si="381"/>
        <v>18</v>
      </c>
      <c r="AA546" s="185">
        <f t="shared" si="382"/>
        <v>45</v>
      </c>
      <c r="AB546" s="173">
        <f t="shared" si="382"/>
        <v>96.5</v>
      </c>
      <c r="AC546" s="173">
        <f t="shared" si="382"/>
        <v>400</v>
      </c>
      <c r="AD546" s="180">
        <f t="shared" si="382"/>
        <v>18</v>
      </c>
      <c r="AF546" s="185">
        <f t="shared" si="383"/>
        <v>45</v>
      </c>
      <c r="AG546" s="173">
        <f t="shared" si="383"/>
        <v>139.5</v>
      </c>
      <c r="AH546" s="173">
        <f t="shared" si="383"/>
        <v>370</v>
      </c>
      <c r="AI546" s="180">
        <f t="shared" si="383"/>
        <v>18</v>
      </c>
      <c r="AK546" s="185" t="str">
        <f t="shared" si="384"/>
        <v/>
      </c>
      <c r="AL546" s="173" t="str">
        <f t="shared" si="384"/>
        <v/>
      </c>
      <c r="AM546" s="173" t="str">
        <f t="shared" si="384"/>
        <v/>
      </c>
      <c r="AN546" s="180" t="str">
        <f t="shared" si="384"/>
        <v/>
      </c>
      <c r="AP546" s="185">
        <f t="shared" si="385"/>
        <v>45</v>
      </c>
      <c r="AQ546" s="173">
        <f t="shared" si="385"/>
        <v>53.5</v>
      </c>
      <c r="AR546" s="173">
        <f t="shared" si="385"/>
        <v>790</v>
      </c>
      <c r="AS546" s="180">
        <f t="shared" si="385"/>
        <v>18</v>
      </c>
      <c r="AT546" s="288"/>
      <c r="AU546" s="185">
        <f t="shared" si="386"/>
        <v>45</v>
      </c>
      <c r="AV546" s="173">
        <f t="shared" si="386"/>
        <v>89.2</v>
      </c>
      <c r="AW546" s="173">
        <f t="shared" si="386"/>
        <v>428</v>
      </c>
      <c r="AX546" s="180">
        <f t="shared" si="386"/>
        <v>17.5</v>
      </c>
      <c r="AZ546" s="185" t="str">
        <f t="shared" si="387"/>
        <v/>
      </c>
      <c r="BA546" s="173" t="str">
        <f t="shared" si="387"/>
        <v/>
      </c>
      <c r="BB546" s="173" t="str">
        <f t="shared" si="387"/>
        <v/>
      </c>
      <c r="BC546" s="180" t="str">
        <f t="shared" si="387"/>
        <v/>
      </c>
      <c r="BE546" s="185" t="str">
        <f t="shared" si="388"/>
        <v/>
      </c>
      <c r="BF546" s="173" t="str">
        <f t="shared" si="388"/>
        <v/>
      </c>
      <c r="BG546" s="173" t="str">
        <f t="shared" si="388"/>
        <v/>
      </c>
      <c r="BH546" s="180" t="str">
        <f t="shared" si="388"/>
        <v/>
      </c>
      <c r="BI546" s="288"/>
      <c r="BJ546" s="185" t="str">
        <f t="shared" si="389"/>
        <v/>
      </c>
      <c r="BK546" s="173" t="str">
        <f t="shared" si="389"/>
        <v/>
      </c>
      <c r="BL546" s="173" t="str">
        <f t="shared" si="389"/>
        <v/>
      </c>
      <c r="BM546" s="180" t="str">
        <f t="shared" si="389"/>
        <v/>
      </c>
      <c r="BO546" s="185" t="str">
        <f t="shared" si="390"/>
        <v/>
      </c>
      <c r="BP546" s="173" t="str">
        <f t="shared" si="390"/>
        <v/>
      </c>
      <c r="BQ546" s="173" t="str">
        <f t="shared" si="390"/>
        <v/>
      </c>
      <c r="BR546" s="180" t="str">
        <f t="shared" si="390"/>
        <v/>
      </c>
      <c r="BT546" s="185" t="str">
        <f t="shared" si="391"/>
        <v/>
      </c>
      <c r="BU546" s="173" t="str">
        <f t="shared" si="391"/>
        <v/>
      </c>
      <c r="BV546" s="173" t="str">
        <f t="shared" si="391"/>
        <v/>
      </c>
      <c r="BW546" s="180" t="str">
        <f t="shared" si="391"/>
        <v/>
      </c>
      <c r="BX546" s="288"/>
      <c r="CM546" s="96"/>
    </row>
    <row r="547" spans="1:91">
      <c r="A547" s="47" t="str">
        <f t="shared" si="377"/>
        <v/>
      </c>
      <c r="B547" s="185">
        <f t="shared" si="377"/>
        <v>45</v>
      </c>
      <c r="C547" s="173">
        <f t="shared" si="377"/>
        <v>53.5</v>
      </c>
      <c r="D547" s="173">
        <f t="shared" si="377"/>
        <v>577</v>
      </c>
      <c r="E547" s="180">
        <f t="shared" si="377"/>
        <v>18</v>
      </c>
      <c r="G547" s="185">
        <f t="shared" si="378"/>
        <v>45</v>
      </c>
      <c r="H547" s="173">
        <f t="shared" si="378"/>
        <v>53.5</v>
      </c>
      <c r="I547" s="173">
        <f t="shared" si="378"/>
        <v>577</v>
      </c>
      <c r="J547" s="180">
        <f t="shared" si="378"/>
        <v>18</v>
      </c>
      <c r="L547" s="185">
        <f t="shared" si="379"/>
        <v>45</v>
      </c>
      <c r="M547" s="173">
        <f t="shared" si="379"/>
        <v>53.5</v>
      </c>
      <c r="N547" s="173">
        <f t="shared" si="379"/>
        <v>643</v>
      </c>
      <c r="O547" s="180">
        <f t="shared" si="379"/>
        <v>18</v>
      </c>
      <c r="Q547" s="185">
        <f t="shared" si="380"/>
        <v>45</v>
      </c>
      <c r="R547" s="173">
        <f t="shared" si="380"/>
        <v>96.5</v>
      </c>
      <c r="S547" s="173">
        <f t="shared" si="380"/>
        <v>127</v>
      </c>
      <c r="T547" s="180">
        <f t="shared" si="380"/>
        <v>18</v>
      </c>
      <c r="V547" s="185">
        <f t="shared" si="381"/>
        <v>45</v>
      </c>
      <c r="W547" s="173">
        <f t="shared" si="381"/>
        <v>96.5</v>
      </c>
      <c r="X547" s="173">
        <f t="shared" si="381"/>
        <v>349.5</v>
      </c>
      <c r="Y547" s="180">
        <f t="shared" si="381"/>
        <v>18</v>
      </c>
      <c r="AA547" s="185">
        <f t="shared" si="382"/>
        <v>45</v>
      </c>
      <c r="AB547" s="173">
        <f t="shared" si="382"/>
        <v>96.5</v>
      </c>
      <c r="AC547" s="173">
        <f t="shared" si="382"/>
        <v>458</v>
      </c>
      <c r="AD547" s="180">
        <f t="shared" si="382"/>
        <v>18</v>
      </c>
      <c r="AF547" s="185" t="str">
        <f t="shared" si="383"/>
        <v/>
      </c>
      <c r="AG547" s="173" t="str">
        <f t="shared" si="383"/>
        <v/>
      </c>
      <c r="AH547" s="173" t="str">
        <f t="shared" si="383"/>
        <v/>
      </c>
      <c r="AI547" s="180" t="str">
        <f t="shared" si="383"/>
        <v/>
      </c>
      <c r="AK547" s="185" t="str">
        <f t="shared" si="384"/>
        <v/>
      </c>
      <c r="AL547" s="173" t="str">
        <f t="shared" si="384"/>
        <v/>
      </c>
      <c r="AM547" s="173" t="str">
        <f t="shared" si="384"/>
        <v/>
      </c>
      <c r="AN547" s="180" t="str">
        <f t="shared" si="384"/>
        <v/>
      </c>
      <c r="AP547" s="185">
        <f t="shared" si="385"/>
        <v>45</v>
      </c>
      <c r="AQ547" s="173">
        <f t="shared" si="385"/>
        <v>96.5</v>
      </c>
      <c r="AR547" s="173">
        <f t="shared" si="385"/>
        <v>277</v>
      </c>
      <c r="AS547" s="180">
        <f t="shared" si="385"/>
        <v>18</v>
      </c>
      <c r="AT547" s="288"/>
      <c r="AU547" s="185">
        <f t="shared" si="386"/>
        <v>45</v>
      </c>
      <c r="AV547" s="173">
        <f t="shared" si="386"/>
        <v>89.2</v>
      </c>
      <c r="AW547" s="173">
        <f t="shared" si="386"/>
        <v>486</v>
      </c>
      <c r="AX547" s="180">
        <f t="shared" si="386"/>
        <v>17.5</v>
      </c>
      <c r="AZ547" s="185" t="str">
        <f t="shared" si="387"/>
        <v/>
      </c>
      <c r="BA547" s="173" t="str">
        <f t="shared" si="387"/>
        <v/>
      </c>
      <c r="BB547" s="173" t="str">
        <f t="shared" si="387"/>
        <v/>
      </c>
      <c r="BC547" s="180" t="str">
        <f t="shared" si="387"/>
        <v/>
      </c>
      <c r="BE547" s="185" t="str">
        <f t="shared" si="388"/>
        <v/>
      </c>
      <c r="BF547" s="173" t="str">
        <f t="shared" si="388"/>
        <v/>
      </c>
      <c r="BG547" s="173" t="str">
        <f t="shared" si="388"/>
        <v/>
      </c>
      <c r="BH547" s="180" t="str">
        <f t="shared" si="388"/>
        <v/>
      </c>
      <c r="BI547" s="288"/>
      <c r="BJ547" s="185" t="str">
        <f t="shared" si="389"/>
        <v/>
      </c>
      <c r="BK547" s="173" t="str">
        <f t="shared" si="389"/>
        <v/>
      </c>
      <c r="BL547" s="173" t="str">
        <f t="shared" si="389"/>
        <v/>
      </c>
      <c r="BM547" s="180" t="str">
        <f t="shared" si="389"/>
        <v/>
      </c>
      <c r="BO547" s="185" t="str">
        <f t="shared" si="390"/>
        <v/>
      </c>
      <c r="BP547" s="173" t="str">
        <f t="shared" si="390"/>
        <v/>
      </c>
      <c r="BQ547" s="173" t="str">
        <f t="shared" si="390"/>
        <v/>
      </c>
      <c r="BR547" s="180" t="str">
        <f t="shared" si="390"/>
        <v/>
      </c>
      <c r="BT547" s="185" t="str">
        <f t="shared" si="391"/>
        <v/>
      </c>
      <c r="BU547" s="173" t="str">
        <f t="shared" si="391"/>
        <v/>
      </c>
      <c r="BV547" s="173" t="str">
        <f t="shared" si="391"/>
        <v/>
      </c>
      <c r="BW547" s="180" t="str">
        <f t="shared" si="391"/>
        <v/>
      </c>
      <c r="BX547" s="288"/>
      <c r="CM547" s="96"/>
    </row>
    <row r="548" spans="1:91">
      <c r="A548" s="47" t="str">
        <f t="shared" ref="A548:E563" si="392">IF(A82="","",A82)</f>
        <v/>
      </c>
      <c r="B548" s="185">
        <f t="shared" si="392"/>
        <v>45</v>
      </c>
      <c r="C548" s="173">
        <f t="shared" si="392"/>
        <v>53.5</v>
      </c>
      <c r="D548" s="173">
        <f t="shared" si="392"/>
        <v>634</v>
      </c>
      <c r="E548" s="180">
        <f t="shared" si="392"/>
        <v>18</v>
      </c>
      <c r="G548" s="185">
        <f t="shared" ref="G548:J563" si="393">IF(G82="","",G82)</f>
        <v>45</v>
      </c>
      <c r="H548" s="173">
        <f t="shared" si="393"/>
        <v>53.5</v>
      </c>
      <c r="I548" s="173">
        <f t="shared" si="393"/>
        <v>634</v>
      </c>
      <c r="J548" s="180">
        <f t="shared" si="393"/>
        <v>18</v>
      </c>
      <c r="L548" s="185">
        <f t="shared" ref="L548:O563" si="394">IF(L82="","",L82)</f>
        <v>45</v>
      </c>
      <c r="M548" s="173">
        <f t="shared" si="394"/>
        <v>53.5</v>
      </c>
      <c r="N548" s="173">
        <f t="shared" si="394"/>
        <v>700</v>
      </c>
      <c r="O548" s="180">
        <f t="shared" si="394"/>
        <v>18</v>
      </c>
      <c r="Q548" s="185">
        <f t="shared" ref="Q548:T563" si="395">IF(Q82="","",Q82)</f>
        <v>45</v>
      </c>
      <c r="R548" s="173">
        <f t="shared" si="395"/>
        <v>96.5</v>
      </c>
      <c r="S548" s="173">
        <f t="shared" si="395"/>
        <v>184</v>
      </c>
      <c r="T548" s="180">
        <f t="shared" si="395"/>
        <v>18</v>
      </c>
      <c r="V548" s="185">
        <f t="shared" ref="V548:Y563" si="396">IF(V82="","",V82)</f>
        <v>45</v>
      </c>
      <c r="W548" s="173">
        <f t="shared" si="396"/>
        <v>96.5</v>
      </c>
      <c r="X548" s="173">
        <f t="shared" si="396"/>
        <v>406.5</v>
      </c>
      <c r="Y548" s="180">
        <f t="shared" si="396"/>
        <v>18</v>
      </c>
      <c r="AA548" s="185">
        <f t="shared" ref="AA548:AD563" si="397">IF(AA82="","",AA82)</f>
        <v>45</v>
      </c>
      <c r="AB548" s="173">
        <f t="shared" si="397"/>
        <v>139.5</v>
      </c>
      <c r="AC548" s="173">
        <f t="shared" si="397"/>
        <v>138</v>
      </c>
      <c r="AD548" s="180">
        <f t="shared" si="397"/>
        <v>18</v>
      </c>
      <c r="AF548" s="185" t="str">
        <f t="shared" ref="AF548:AI563" si="398">IF(AF82="","",AF82)</f>
        <v/>
      </c>
      <c r="AG548" s="173" t="str">
        <f t="shared" si="398"/>
        <v/>
      </c>
      <c r="AH548" s="173" t="str">
        <f t="shared" si="398"/>
        <v/>
      </c>
      <c r="AI548" s="180" t="str">
        <f t="shared" si="398"/>
        <v/>
      </c>
      <c r="AK548" s="185" t="str">
        <f t="shared" ref="AK548:AN563" si="399">IF(AK82="","",AK82)</f>
        <v/>
      </c>
      <c r="AL548" s="173" t="str">
        <f t="shared" si="399"/>
        <v/>
      </c>
      <c r="AM548" s="173" t="str">
        <f t="shared" si="399"/>
        <v/>
      </c>
      <c r="AN548" s="180" t="str">
        <f t="shared" si="399"/>
        <v/>
      </c>
      <c r="AP548" s="185">
        <f t="shared" ref="AP548:AS563" si="400">IF(AP82="","",AP82)</f>
        <v>45</v>
      </c>
      <c r="AQ548" s="173">
        <f t="shared" si="400"/>
        <v>96.5</v>
      </c>
      <c r="AR548" s="173">
        <f t="shared" si="400"/>
        <v>334</v>
      </c>
      <c r="AS548" s="180">
        <f t="shared" si="400"/>
        <v>18</v>
      </c>
      <c r="AT548" s="288"/>
      <c r="AU548" s="185" t="str">
        <f t="shared" ref="AU548:AX563" si="401">IF(AU82="","",AU82)</f>
        <v/>
      </c>
      <c r="AV548" s="173" t="str">
        <f t="shared" si="401"/>
        <v/>
      </c>
      <c r="AW548" s="173" t="str">
        <f t="shared" si="401"/>
        <v/>
      </c>
      <c r="AX548" s="180" t="str">
        <f t="shared" si="401"/>
        <v/>
      </c>
      <c r="AZ548" s="185" t="str">
        <f t="shared" ref="AZ548:BC563" si="402">IF(AZ82="","",AZ82)</f>
        <v/>
      </c>
      <c r="BA548" s="173" t="str">
        <f t="shared" si="402"/>
        <v/>
      </c>
      <c r="BB548" s="173" t="str">
        <f t="shared" si="402"/>
        <v/>
      </c>
      <c r="BC548" s="180" t="str">
        <f t="shared" si="402"/>
        <v/>
      </c>
      <c r="BE548" s="185" t="str">
        <f t="shared" ref="BE548:BH563" si="403">IF(BE82="","",BE82)</f>
        <v/>
      </c>
      <c r="BF548" s="173" t="str">
        <f t="shared" si="403"/>
        <v/>
      </c>
      <c r="BG548" s="173" t="str">
        <f t="shared" si="403"/>
        <v/>
      </c>
      <c r="BH548" s="180" t="str">
        <f t="shared" si="403"/>
        <v/>
      </c>
      <c r="BI548" s="288"/>
      <c r="BJ548" s="185" t="str">
        <f t="shared" ref="BJ548:BM563" si="404">IF(BJ82="","",BJ82)</f>
        <v/>
      </c>
      <c r="BK548" s="173" t="str">
        <f t="shared" si="404"/>
        <v/>
      </c>
      <c r="BL548" s="173" t="str">
        <f t="shared" si="404"/>
        <v/>
      </c>
      <c r="BM548" s="180" t="str">
        <f t="shared" si="404"/>
        <v/>
      </c>
      <c r="BO548" s="185" t="str">
        <f t="shared" ref="BO548:BR563" si="405">IF(BO82="","",BO82)</f>
        <v/>
      </c>
      <c r="BP548" s="173" t="str">
        <f t="shared" si="405"/>
        <v/>
      </c>
      <c r="BQ548" s="173" t="str">
        <f t="shared" si="405"/>
        <v/>
      </c>
      <c r="BR548" s="180" t="str">
        <f t="shared" si="405"/>
        <v/>
      </c>
      <c r="BT548" s="185" t="str">
        <f t="shared" ref="BT548:BW563" si="406">IF(BT82="","",BT82)</f>
        <v/>
      </c>
      <c r="BU548" s="173" t="str">
        <f t="shared" si="406"/>
        <v/>
      </c>
      <c r="BV548" s="173" t="str">
        <f t="shared" si="406"/>
        <v/>
      </c>
      <c r="BW548" s="180" t="str">
        <f t="shared" si="406"/>
        <v/>
      </c>
      <c r="BX548" s="288"/>
      <c r="CM548" s="96"/>
    </row>
    <row r="549" spans="1:91">
      <c r="A549" s="47" t="str">
        <f t="shared" si="392"/>
        <v/>
      </c>
      <c r="B549" s="185">
        <f t="shared" si="392"/>
        <v>45</v>
      </c>
      <c r="C549" s="173">
        <f t="shared" si="392"/>
        <v>53.5</v>
      </c>
      <c r="D549" s="173">
        <f t="shared" si="392"/>
        <v>691</v>
      </c>
      <c r="E549" s="180">
        <f t="shared" si="392"/>
        <v>18</v>
      </c>
      <c r="G549" s="185">
        <f t="shared" si="393"/>
        <v>45</v>
      </c>
      <c r="H549" s="173">
        <f t="shared" si="393"/>
        <v>53.5</v>
      </c>
      <c r="I549" s="173">
        <f t="shared" si="393"/>
        <v>691</v>
      </c>
      <c r="J549" s="180">
        <f t="shared" si="393"/>
        <v>18</v>
      </c>
      <c r="L549" s="185">
        <f t="shared" si="394"/>
        <v>45</v>
      </c>
      <c r="M549" s="173">
        <f t="shared" si="394"/>
        <v>96.5</v>
      </c>
      <c r="N549" s="173">
        <f t="shared" si="394"/>
        <v>130</v>
      </c>
      <c r="O549" s="180">
        <f t="shared" si="394"/>
        <v>18</v>
      </c>
      <c r="Q549" s="185">
        <f t="shared" si="395"/>
        <v>45</v>
      </c>
      <c r="R549" s="173">
        <f t="shared" si="395"/>
        <v>96.5</v>
      </c>
      <c r="S549" s="173">
        <f t="shared" si="395"/>
        <v>241</v>
      </c>
      <c r="T549" s="180">
        <f t="shared" si="395"/>
        <v>18</v>
      </c>
      <c r="V549" s="185">
        <f t="shared" si="396"/>
        <v>45</v>
      </c>
      <c r="W549" s="173">
        <f t="shared" si="396"/>
        <v>96.5</v>
      </c>
      <c r="X549" s="173">
        <f t="shared" si="396"/>
        <v>463.5</v>
      </c>
      <c r="Y549" s="180">
        <f t="shared" si="396"/>
        <v>18</v>
      </c>
      <c r="AA549" s="185">
        <f t="shared" si="397"/>
        <v>45</v>
      </c>
      <c r="AB549" s="173">
        <f t="shared" si="397"/>
        <v>139.5</v>
      </c>
      <c r="AC549" s="173">
        <f t="shared" si="397"/>
        <v>196</v>
      </c>
      <c r="AD549" s="180">
        <f t="shared" si="397"/>
        <v>18</v>
      </c>
      <c r="AF549" s="185" t="str">
        <f t="shared" si="398"/>
        <v/>
      </c>
      <c r="AG549" s="173" t="str">
        <f t="shared" si="398"/>
        <v/>
      </c>
      <c r="AH549" s="173" t="str">
        <f t="shared" si="398"/>
        <v/>
      </c>
      <c r="AI549" s="180" t="str">
        <f t="shared" si="398"/>
        <v/>
      </c>
      <c r="AK549" s="185" t="str">
        <f t="shared" si="399"/>
        <v/>
      </c>
      <c r="AL549" s="173" t="str">
        <f t="shared" si="399"/>
        <v/>
      </c>
      <c r="AM549" s="173" t="str">
        <f t="shared" si="399"/>
        <v/>
      </c>
      <c r="AN549" s="180" t="str">
        <f t="shared" si="399"/>
        <v/>
      </c>
      <c r="AP549" s="185">
        <f t="shared" si="400"/>
        <v>45</v>
      </c>
      <c r="AQ549" s="173">
        <f t="shared" si="400"/>
        <v>96.5</v>
      </c>
      <c r="AR549" s="173">
        <f t="shared" si="400"/>
        <v>391</v>
      </c>
      <c r="AS549" s="180">
        <f t="shared" si="400"/>
        <v>18</v>
      </c>
      <c r="AT549" s="288"/>
      <c r="AU549" s="185" t="str">
        <f t="shared" si="401"/>
        <v/>
      </c>
      <c r="AV549" s="173" t="str">
        <f t="shared" si="401"/>
        <v/>
      </c>
      <c r="AW549" s="173" t="str">
        <f t="shared" si="401"/>
        <v/>
      </c>
      <c r="AX549" s="180" t="str">
        <f t="shared" si="401"/>
        <v/>
      </c>
      <c r="AZ549" s="185" t="str">
        <f t="shared" si="402"/>
        <v/>
      </c>
      <c r="BA549" s="173" t="str">
        <f t="shared" si="402"/>
        <v/>
      </c>
      <c r="BB549" s="173" t="str">
        <f t="shared" si="402"/>
        <v/>
      </c>
      <c r="BC549" s="180" t="str">
        <f t="shared" si="402"/>
        <v/>
      </c>
      <c r="BE549" s="185" t="str">
        <f t="shared" si="403"/>
        <v/>
      </c>
      <c r="BF549" s="173" t="str">
        <f t="shared" si="403"/>
        <v/>
      </c>
      <c r="BG549" s="173" t="str">
        <f t="shared" si="403"/>
        <v/>
      </c>
      <c r="BH549" s="180" t="str">
        <f t="shared" si="403"/>
        <v/>
      </c>
      <c r="BI549" s="288"/>
      <c r="BJ549" s="185" t="str">
        <f t="shared" si="404"/>
        <v/>
      </c>
      <c r="BK549" s="173" t="str">
        <f t="shared" si="404"/>
        <v/>
      </c>
      <c r="BL549" s="173" t="str">
        <f t="shared" si="404"/>
        <v/>
      </c>
      <c r="BM549" s="180" t="str">
        <f t="shared" si="404"/>
        <v/>
      </c>
      <c r="BO549" s="185" t="str">
        <f t="shared" si="405"/>
        <v/>
      </c>
      <c r="BP549" s="173" t="str">
        <f t="shared" si="405"/>
        <v/>
      </c>
      <c r="BQ549" s="173" t="str">
        <f t="shared" si="405"/>
        <v/>
      </c>
      <c r="BR549" s="180" t="str">
        <f t="shared" si="405"/>
        <v/>
      </c>
      <c r="BT549" s="185" t="str">
        <f t="shared" si="406"/>
        <v/>
      </c>
      <c r="BU549" s="173" t="str">
        <f t="shared" si="406"/>
        <v/>
      </c>
      <c r="BV549" s="173" t="str">
        <f t="shared" si="406"/>
        <v/>
      </c>
      <c r="BW549" s="180" t="str">
        <f t="shared" si="406"/>
        <v/>
      </c>
      <c r="BX549" s="288"/>
      <c r="CM549" s="96"/>
    </row>
    <row r="550" spans="1:91">
      <c r="A550" s="47" t="str">
        <f t="shared" si="392"/>
        <v/>
      </c>
      <c r="B550" s="185">
        <f t="shared" si="392"/>
        <v>45</v>
      </c>
      <c r="C550" s="173">
        <f t="shared" si="392"/>
        <v>53.5</v>
      </c>
      <c r="D550" s="173">
        <f t="shared" si="392"/>
        <v>748</v>
      </c>
      <c r="E550" s="180">
        <f t="shared" si="392"/>
        <v>18</v>
      </c>
      <c r="G550" s="185">
        <f t="shared" si="393"/>
        <v>45</v>
      </c>
      <c r="H550" s="173">
        <f t="shared" si="393"/>
        <v>53.5</v>
      </c>
      <c r="I550" s="173">
        <f t="shared" si="393"/>
        <v>748</v>
      </c>
      <c r="J550" s="180">
        <f t="shared" si="393"/>
        <v>18</v>
      </c>
      <c r="L550" s="185">
        <f t="shared" si="394"/>
        <v>45</v>
      </c>
      <c r="M550" s="173">
        <f t="shared" si="394"/>
        <v>96.5</v>
      </c>
      <c r="N550" s="173">
        <f t="shared" si="394"/>
        <v>187</v>
      </c>
      <c r="O550" s="180">
        <f t="shared" si="394"/>
        <v>18</v>
      </c>
      <c r="Q550" s="185">
        <f t="shared" si="395"/>
        <v>45</v>
      </c>
      <c r="R550" s="173">
        <f t="shared" si="395"/>
        <v>96.5</v>
      </c>
      <c r="S550" s="173">
        <f t="shared" si="395"/>
        <v>298</v>
      </c>
      <c r="T550" s="180">
        <f t="shared" si="395"/>
        <v>18</v>
      </c>
      <c r="V550" s="185">
        <f t="shared" si="396"/>
        <v>45</v>
      </c>
      <c r="W550" s="173">
        <f t="shared" si="396"/>
        <v>96.5</v>
      </c>
      <c r="X550" s="173">
        <f t="shared" si="396"/>
        <v>520.5</v>
      </c>
      <c r="Y550" s="180">
        <f t="shared" si="396"/>
        <v>18</v>
      </c>
      <c r="AA550" s="185">
        <f t="shared" si="397"/>
        <v>45</v>
      </c>
      <c r="AB550" s="173">
        <f t="shared" si="397"/>
        <v>139.5</v>
      </c>
      <c r="AC550" s="173">
        <f t="shared" si="397"/>
        <v>254</v>
      </c>
      <c r="AD550" s="180">
        <f t="shared" si="397"/>
        <v>18</v>
      </c>
      <c r="AF550" s="185" t="str">
        <f t="shared" si="398"/>
        <v/>
      </c>
      <c r="AG550" s="173" t="str">
        <f t="shared" si="398"/>
        <v/>
      </c>
      <c r="AH550" s="173" t="str">
        <f t="shared" si="398"/>
        <v/>
      </c>
      <c r="AI550" s="180" t="str">
        <f t="shared" si="398"/>
        <v/>
      </c>
      <c r="AK550" s="185" t="str">
        <f t="shared" si="399"/>
        <v/>
      </c>
      <c r="AL550" s="173" t="str">
        <f t="shared" si="399"/>
        <v/>
      </c>
      <c r="AM550" s="173" t="str">
        <f t="shared" si="399"/>
        <v/>
      </c>
      <c r="AN550" s="180" t="str">
        <f t="shared" si="399"/>
        <v/>
      </c>
      <c r="AP550" s="185">
        <f t="shared" si="400"/>
        <v>45</v>
      </c>
      <c r="AQ550" s="173">
        <f t="shared" si="400"/>
        <v>96.5</v>
      </c>
      <c r="AR550" s="173">
        <f t="shared" si="400"/>
        <v>448</v>
      </c>
      <c r="AS550" s="180">
        <f t="shared" si="400"/>
        <v>18</v>
      </c>
      <c r="AT550" s="288"/>
      <c r="AU550" s="185" t="str">
        <f t="shared" si="401"/>
        <v/>
      </c>
      <c r="AV550" s="173" t="str">
        <f t="shared" si="401"/>
        <v/>
      </c>
      <c r="AW550" s="173" t="str">
        <f t="shared" si="401"/>
        <v/>
      </c>
      <c r="AX550" s="180" t="str">
        <f t="shared" si="401"/>
        <v/>
      </c>
      <c r="AZ550" s="185" t="str">
        <f t="shared" si="402"/>
        <v/>
      </c>
      <c r="BA550" s="173" t="str">
        <f t="shared" si="402"/>
        <v/>
      </c>
      <c r="BB550" s="173" t="str">
        <f t="shared" si="402"/>
        <v/>
      </c>
      <c r="BC550" s="180" t="str">
        <f t="shared" si="402"/>
        <v/>
      </c>
      <c r="BE550" s="185" t="str">
        <f t="shared" si="403"/>
        <v/>
      </c>
      <c r="BF550" s="173" t="str">
        <f t="shared" si="403"/>
        <v/>
      </c>
      <c r="BG550" s="173" t="str">
        <f t="shared" si="403"/>
        <v/>
      </c>
      <c r="BH550" s="180" t="str">
        <f t="shared" si="403"/>
        <v/>
      </c>
      <c r="BI550" s="288"/>
      <c r="BJ550" s="185" t="str">
        <f t="shared" si="404"/>
        <v/>
      </c>
      <c r="BK550" s="173" t="str">
        <f t="shared" si="404"/>
        <v/>
      </c>
      <c r="BL550" s="173" t="str">
        <f t="shared" si="404"/>
        <v/>
      </c>
      <c r="BM550" s="180" t="str">
        <f t="shared" si="404"/>
        <v/>
      </c>
      <c r="BO550" s="185" t="str">
        <f t="shared" si="405"/>
        <v/>
      </c>
      <c r="BP550" s="173" t="str">
        <f t="shared" si="405"/>
        <v/>
      </c>
      <c r="BQ550" s="173" t="str">
        <f t="shared" si="405"/>
        <v/>
      </c>
      <c r="BR550" s="180" t="str">
        <f t="shared" si="405"/>
        <v/>
      </c>
      <c r="BT550" s="185" t="str">
        <f t="shared" si="406"/>
        <v/>
      </c>
      <c r="BU550" s="173" t="str">
        <f t="shared" si="406"/>
        <v/>
      </c>
      <c r="BV550" s="173" t="str">
        <f t="shared" si="406"/>
        <v/>
      </c>
      <c r="BW550" s="180" t="str">
        <f t="shared" si="406"/>
        <v/>
      </c>
      <c r="BX550" s="288"/>
      <c r="CM550" s="96"/>
    </row>
    <row r="551" spans="1:91">
      <c r="A551" s="47" t="str">
        <f t="shared" si="392"/>
        <v/>
      </c>
      <c r="B551" s="185">
        <f t="shared" si="392"/>
        <v>45</v>
      </c>
      <c r="C551" s="173">
        <f t="shared" si="392"/>
        <v>96.5</v>
      </c>
      <c r="D551" s="173">
        <f t="shared" si="392"/>
        <v>121</v>
      </c>
      <c r="E551" s="180">
        <f t="shared" si="392"/>
        <v>18</v>
      </c>
      <c r="G551" s="185">
        <f t="shared" si="393"/>
        <v>45</v>
      </c>
      <c r="H551" s="173">
        <f t="shared" si="393"/>
        <v>96.5</v>
      </c>
      <c r="I551" s="173">
        <f t="shared" si="393"/>
        <v>121</v>
      </c>
      <c r="J551" s="180">
        <f t="shared" si="393"/>
        <v>18</v>
      </c>
      <c r="L551" s="185">
        <f t="shared" si="394"/>
        <v>45</v>
      </c>
      <c r="M551" s="173">
        <f t="shared" si="394"/>
        <v>96.5</v>
      </c>
      <c r="N551" s="173">
        <f t="shared" si="394"/>
        <v>244</v>
      </c>
      <c r="O551" s="180">
        <f t="shared" si="394"/>
        <v>18</v>
      </c>
      <c r="Q551" s="185">
        <f t="shared" si="395"/>
        <v>45</v>
      </c>
      <c r="R551" s="173">
        <f t="shared" si="395"/>
        <v>96.5</v>
      </c>
      <c r="S551" s="173">
        <f t="shared" si="395"/>
        <v>355</v>
      </c>
      <c r="T551" s="180">
        <f t="shared" si="395"/>
        <v>18</v>
      </c>
      <c r="V551" s="185">
        <f t="shared" si="396"/>
        <v>45</v>
      </c>
      <c r="W551" s="173">
        <f t="shared" si="396"/>
        <v>139.5</v>
      </c>
      <c r="X551" s="173">
        <f t="shared" si="396"/>
        <v>150</v>
      </c>
      <c r="Y551" s="180">
        <f t="shared" si="396"/>
        <v>18</v>
      </c>
      <c r="AA551" s="185">
        <f t="shared" si="397"/>
        <v>45</v>
      </c>
      <c r="AB551" s="173">
        <f t="shared" si="397"/>
        <v>139.5</v>
      </c>
      <c r="AC551" s="173">
        <f t="shared" si="397"/>
        <v>312</v>
      </c>
      <c r="AD551" s="180">
        <f t="shared" si="397"/>
        <v>18</v>
      </c>
      <c r="AF551" s="185" t="str">
        <f t="shared" si="398"/>
        <v/>
      </c>
      <c r="AG551" s="173" t="str">
        <f t="shared" si="398"/>
        <v/>
      </c>
      <c r="AH551" s="173" t="str">
        <f t="shared" si="398"/>
        <v/>
      </c>
      <c r="AI551" s="180" t="str">
        <f t="shared" si="398"/>
        <v/>
      </c>
      <c r="AK551" s="185" t="str">
        <f t="shared" si="399"/>
        <v/>
      </c>
      <c r="AL551" s="173" t="str">
        <f t="shared" si="399"/>
        <v/>
      </c>
      <c r="AM551" s="173" t="str">
        <f t="shared" si="399"/>
        <v/>
      </c>
      <c r="AN551" s="180" t="str">
        <f t="shared" si="399"/>
        <v/>
      </c>
      <c r="AP551" s="185">
        <f t="shared" si="400"/>
        <v>45</v>
      </c>
      <c r="AQ551" s="173">
        <f t="shared" si="400"/>
        <v>96.5</v>
      </c>
      <c r="AR551" s="173">
        <f t="shared" si="400"/>
        <v>505</v>
      </c>
      <c r="AS551" s="180">
        <f t="shared" si="400"/>
        <v>18</v>
      </c>
      <c r="AT551" s="288"/>
      <c r="AU551" s="185" t="str">
        <f t="shared" si="401"/>
        <v/>
      </c>
      <c r="AV551" s="173" t="str">
        <f t="shared" si="401"/>
        <v/>
      </c>
      <c r="AW551" s="173" t="str">
        <f t="shared" si="401"/>
        <v/>
      </c>
      <c r="AX551" s="180" t="str">
        <f t="shared" si="401"/>
        <v/>
      </c>
      <c r="AZ551" s="185" t="str">
        <f t="shared" si="402"/>
        <v/>
      </c>
      <c r="BA551" s="173" t="str">
        <f t="shared" si="402"/>
        <v/>
      </c>
      <c r="BB551" s="173" t="str">
        <f t="shared" si="402"/>
        <v/>
      </c>
      <c r="BC551" s="180" t="str">
        <f t="shared" si="402"/>
        <v/>
      </c>
      <c r="BE551" s="185" t="str">
        <f t="shared" si="403"/>
        <v/>
      </c>
      <c r="BF551" s="173" t="str">
        <f t="shared" si="403"/>
        <v/>
      </c>
      <c r="BG551" s="173" t="str">
        <f t="shared" si="403"/>
        <v/>
      </c>
      <c r="BH551" s="180" t="str">
        <f t="shared" si="403"/>
        <v/>
      </c>
      <c r="BI551" s="288"/>
      <c r="BJ551" s="185" t="str">
        <f t="shared" si="404"/>
        <v/>
      </c>
      <c r="BK551" s="173" t="str">
        <f t="shared" si="404"/>
        <v/>
      </c>
      <c r="BL551" s="173" t="str">
        <f t="shared" si="404"/>
        <v/>
      </c>
      <c r="BM551" s="180" t="str">
        <f t="shared" si="404"/>
        <v/>
      </c>
      <c r="BO551" s="185" t="str">
        <f t="shared" si="405"/>
        <v/>
      </c>
      <c r="BP551" s="173" t="str">
        <f t="shared" si="405"/>
        <v/>
      </c>
      <c r="BQ551" s="173" t="str">
        <f t="shared" si="405"/>
        <v/>
      </c>
      <c r="BR551" s="180" t="str">
        <f t="shared" si="405"/>
        <v/>
      </c>
      <c r="BT551" s="185" t="str">
        <f t="shared" si="406"/>
        <v/>
      </c>
      <c r="BU551" s="173" t="str">
        <f t="shared" si="406"/>
        <v/>
      </c>
      <c r="BV551" s="173" t="str">
        <f t="shared" si="406"/>
        <v/>
      </c>
      <c r="BW551" s="180" t="str">
        <f t="shared" si="406"/>
        <v/>
      </c>
      <c r="BX551" s="288"/>
      <c r="CM551" s="96"/>
    </row>
    <row r="552" spans="1:91">
      <c r="A552" s="47" t="str">
        <f t="shared" si="392"/>
        <v/>
      </c>
      <c r="B552" s="185">
        <f t="shared" si="392"/>
        <v>45</v>
      </c>
      <c r="C552" s="173">
        <f t="shared" si="392"/>
        <v>96.5</v>
      </c>
      <c r="D552" s="173">
        <f t="shared" si="392"/>
        <v>178</v>
      </c>
      <c r="E552" s="180">
        <f t="shared" si="392"/>
        <v>18</v>
      </c>
      <c r="G552" s="185">
        <f t="shared" si="393"/>
        <v>45</v>
      </c>
      <c r="H552" s="173">
        <f t="shared" si="393"/>
        <v>96.5</v>
      </c>
      <c r="I552" s="173">
        <f t="shared" si="393"/>
        <v>178</v>
      </c>
      <c r="J552" s="180">
        <f t="shared" si="393"/>
        <v>18</v>
      </c>
      <c r="L552" s="185">
        <f t="shared" si="394"/>
        <v>45</v>
      </c>
      <c r="M552" s="173">
        <f t="shared" si="394"/>
        <v>96.5</v>
      </c>
      <c r="N552" s="173">
        <f t="shared" si="394"/>
        <v>301</v>
      </c>
      <c r="O552" s="180">
        <f t="shared" si="394"/>
        <v>18</v>
      </c>
      <c r="Q552" s="185">
        <f t="shared" si="395"/>
        <v>45</v>
      </c>
      <c r="R552" s="173">
        <f t="shared" si="395"/>
        <v>96.5</v>
      </c>
      <c r="S552" s="173">
        <f t="shared" si="395"/>
        <v>412</v>
      </c>
      <c r="T552" s="180">
        <f t="shared" si="395"/>
        <v>18</v>
      </c>
      <c r="V552" s="185">
        <f t="shared" si="396"/>
        <v>45</v>
      </c>
      <c r="W552" s="173">
        <f t="shared" si="396"/>
        <v>139.5</v>
      </c>
      <c r="X552" s="173">
        <f t="shared" si="396"/>
        <v>207</v>
      </c>
      <c r="Y552" s="180">
        <f t="shared" si="396"/>
        <v>18</v>
      </c>
      <c r="AA552" s="185">
        <f t="shared" si="397"/>
        <v>45</v>
      </c>
      <c r="AB552" s="173">
        <f t="shared" si="397"/>
        <v>139.5</v>
      </c>
      <c r="AC552" s="173">
        <f t="shared" si="397"/>
        <v>370</v>
      </c>
      <c r="AD552" s="180">
        <f t="shared" si="397"/>
        <v>18</v>
      </c>
      <c r="AF552" s="185" t="str">
        <f t="shared" si="398"/>
        <v/>
      </c>
      <c r="AG552" s="173" t="str">
        <f t="shared" si="398"/>
        <v/>
      </c>
      <c r="AH552" s="173" t="str">
        <f t="shared" si="398"/>
        <v/>
      </c>
      <c r="AI552" s="180" t="str">
        <f t="shared" si="398"/>
        <v/>
      </c>
      <c r="AK552" s="185" t="str">
        <f t="shared" si="399"/>
        <v/>
      </c>
      <c r="AL552" s="173" t="str">
        <f t="shared" si="399"/>
        <v/>
      </c>
      <c r="AM552" s="173" t="str">
        <f t="shared" si="399"/>
        <v/>
      </c>
      <c r="AN552" s="180" t="str">
        <f t="shared" si="399"/>
        <v/>
      </c>
      <c r="AP552" s="185">
        <f t="shared" si="400"/>
        <v>45</v>
      </c>
      <c r="AQ552" s="173">
        <f t="shared" si="400"/>
        <v>96.5</v>
      </c>
      <c r="AR552" s="173">
        <f t="shared" si="400"/>
        <v>562</v>
      </c>
      <c r="AS552" s="180">
        <f t="shared" si="400"/>
        <v>18</v>
      </c>
      <c r="AT552" s="288"/>
      <c r="AU552" s="185" t="str">
        <f t="shared" si="401"/>
        <v/>
      </c>
      <c r="AV552" s="173" t="str">
        <f t="shared" si="401"/>
        <v/>
      </c>
      <c r="AW552" s="173" t="str">
        <f t="shared" si="401"/>
        <v/>
      </c>
      <c r="AX552" s="180" t="str">
        <f t="shared" si="401"/>
        <v/>
      </c>
      <c r="AZ552" s="185" t="str">
        <f t="shared" si="402"/>
        <v/>
      </c>
      <c r="BA552" s="173" t="str">
        <f t="shared" si="402"/>
        <v/>
      </c>
      <c r="BB552" s="173" t="str">
        <f t="shared" si="402"/>
        <v/>
      </c>
      <c r="BC552" s="180" t="str">
        <f t="shared" si="402"/>
        <v/>
      </c>
      <c r="BE552" s="185" t="str">
        <f t="shared" si="403"/>
        <v/>
      </c>
      <c r="BF552" s="173" t="str">
        <f t="shared" si="403"/>
        <v/>
      </c>
      <c r="BG552" s="173" t="str">
        <f t="shared" si="403"/>
        <v/>
      </c>
      <c r="BH552" s="180" t="str">
        <f t="shared" si="403"/>
        <v/>
      </c>
      <c r="BI552" s="288"/>
      <c r="BJ552" s="185" t="str">
        <f t="shared" si="404"/>
        <v/>
      </c>
      <c r="BK552" s="173" t="str">
        <f t="shared" si="404"/>
        <v/>
      </c>
      <c r="BL552" s="173" t="str">
        <f t="shared" si="404"/>
        <v/>
      </c>
      <c r="BM552" s="180" t="str">
        <f t="shared" si="404"/>
        <v/>
      </c>
      <c r="BO552" s="185" t="str">
        <f t="shared" si="405"/>
        <v/>
      </c>
      <c r="BP552" s="173" t="str">
        <f t="shared" si="405"/>
        <v/>
      </c>
      <c r="BQ552" s="173" t="str">
        <f t="shared" si="405"/>
        <v/>
      </c>
      <c r="BR552" s="180" t="str">
        <f t="shared" si="405"/>
        <v/>
      </c>
      <c r="BT552" s="185" t="str">
        <f t="shared" si="406"/>
        <v/>
      </c>
      <c r="BU552" s="173" t="str">
        <f t="shared" si="406"/>
        <v/>
      </c>
      <c r="BV552" s="173" t="str">
        <f t="shared" si="406"/>
        <v/>
      </c>
      <c r="BW552" s="180" t="str">
        <f t="shared" si="406"/>
        <v/>
      </c>
      <c r="BX552" s="288"/>
      <c r="CM552" s="96"/>
    </row>
    <row r="553" spans="1:91">
      <c r="A553" s="47" t="str">
        <f t="shared" si="392"/>
        <v/>
      </c>
      <c r="B553" s="185">
        <f t="shared" si="392"/>
        <v>45</v>
      </c>
      <c r="C553" s="173">
        <f t="shared" si="392"/>
        <v>96.5</v>
      </c>
      <c r="D553" s="173">
        <f t="shared" si="392"/>
        <v>235</v>
      </c>
      <c r="E553" s="180">
        <f t="shared" si="392"/>
        <v>18</v>
      </c>
      <c r="G553" s="185">
        <f t="shared" si="393"/>
        <v>45</v>
      </c>
      <c r="H553" s="173">
        <f t="shared" si="393"/>
        <v>96.5</v>
      </c>
      <c r="I553" s="173">
        <f t="shared" si="393"/>
        <v>235</v>
      </c>
      <c r="J553" s="180">
        <f t="shared" si="393"/>
        <v>18</v>
      </c>
      <c r="L553" s="185">
        <f t="shared" si="394"/>
        <v>45</v>
      </c>
      <c r="M553" s="173">
        <f t="shared" si="394"/>
        <v>96.5</v>
      </c>
      <c r="N553" s="173">
        <f t="shared" si="394"/>
        <v>358</v>
      </c>
      <c r="O553" s="180">
        <f t="shared" si="394"/>
        <v>18</v>
      </c>
      <c r="Q553" s="185">
        <f t="shared" si="395"/>
        <v>45</v>
      </c>
      <c r="R553" s="173">
        <f t="shared" si="395"/>
        <v>96.5</v>
      </c>
      <c r="S553" s="173">
        <f t="shared" si="395"/>
        <v>469</v>
      </c>
      <c r="T553" s="180">
        <f t="shared" si="395"/>
        <v>18</v>
      </c>
      <c r="V553" s="185">
        <f t="shared" si="396"/>
        <v>45</v>
      </c>
      <c r="W553" s="173">
        <f t="shared" si="396"/>
        <v>139.5</v>
      </c>
      <c r="X553" s="173">
        <f t="shared" si="396"/>
        <v>264</v>
      </c>
      <c r="Y553" s="180">
        <f t="shared" si="396"/>
        <v>18</v>
      </c>
      <c r="AA553" s="185">
        <f t="shared" si="397"/>
        <v>45</v>
      </c>
      <c r="AB553" s="173">
        <f t="shared" si="397"/>
        <v>139.5</v>
      </c>
      <c r="AC553" s="173">
        <f t="shared" si="397"/>
        <v>428</v>
      </c>
      <c r="AD553" s="180">
        <f t="shared" si="397"/>
        <v>18</v>
      </c>
      <c r="AF553" s="185" t="str">
        <f t="shared" si="398"/>
        <v/>
      </c>
      <c r="AG553" s="173" t="str">
        <f t="shared" si="398"/>
        <v/>
      </c>
      <c r="AH553" s="173" t="str">
        <f t="shared" si="398"/>
        <v/>
      </c>
      <c r="AI553" s="180" t="str">
        <f t="shared" si="398"/>
        <v/>
      </c>
      <c r="AK553" s="185" t="str">
        <f t="shared" si="399"/>
        <v/>
      </c>
      <c r="AL553" s="173" t="str">
        <f t="shared" si="399"/>
        <v/>
      </c>
      <c r="AM553" s="173" t="str">
        <f t="shared" si="399"/>
        <v/>
      </c>
      <c r="AN553" s="180" t="str">
        <f t="shared" si="399"/>
        <v/>
      </c>
      <c r="AP553" s="185">
        <f t="shared" si="400"/>
        <v>45</v>
      </c>
      <c r="AQ553" s="173">
        <f t="shared" si="400"/>
        <v>96.5</v>
      </c>
      <c r="AR553" s="173">
        <f t="shared" si="400"/>
        <v>619</v>
      </c>
      <c r="AS553" s="180">
        <f t="shared" si="400"/>
        <v>18</v>
      </c>
      <c r="AT553" s="288"/>
      <c r="AU553" s="185" t="str">
        <f t="shared" si="401"/>
        <v/>
      </c>
      <c r="AV553" s="173" t="str">
        <f t="shared" si="401"/>
        <v/>
      </c>
      <c r="AW553" s="173" t="str">
        <f t="shared" si="401"/>
        <v/>
      </c>
      <c r="AX553" s="180" t="str">
        <f t="shared" si="401"/>
        <v/>
      </c>
      <c r="AZ553" s="185" t="str">
        <f t="shared" si="402"/>
        <v/>
      </c>
      <c r="BA553" s="173" t="str">
        <f t="shared" si="402"/>
        <v/>
      </c>
      <c r="BB553" s="173" t="str">
        <f t="shared" si="402"/>
        <v/>
      </c>
      <c r="BC553" s="180" t="str">
        <f t="shared" si="402"/>
        <v/>
      </c>
      <c r="BE553" s="185" t="str">
        <f t="shared" si="403"/>
        <v/>
      </c>
      <c r="BF553" s="173" t="str">
        <f t="shared" si="403"/>
        <v/>
      </c>
      <c r="BG553" s="173" t="str">
        <f t="shared" si="403"/>
        <v/>
      </c>
      <c r="BH553" s="180" t="str">
        <f t="shared" si="403"/>
        <v/>
      </c>
      <c r="BI553" s="288"/>
      <c r="BJ553" s="185" t="str">
        <f t="shared" si="404"/>
        <v/>
      </c>
      <c r="BK553" s="173" t="str">
        <f t="shared" si="404"/>
        <v/>
      </c>
      <c r="BL553" s="173" t="str">
        <f t="shared" si="404"/>
        <v/>
      </c>
      <c r="BM553" s="180" t="str">
        <f t="shared" si="404"/>
        <v/>
      </c>
      <c r="BO553" s="185" t="str">
        <f t="shared" si="405"/>
        <v/>
      </c>
      <c r="BP553" s="173" t="str">
        <f t="shared" si="405"/>
        <v/>
      </c>
      <c r="BQ553" s="173" t="str">
        <f t="shared" si="405"/>
        <v/>
      </c>
      <c r="BR553" s="180" t="str">
        <f t="shared" si="405"/>
        <v/>
      </c>
      <c r="BT553" s="185" t="str">
        <f t="shared" si="406"/>
        <v/>
      </c>
      <c r="BU553" s="173" t="str">
        <f t="shared" si="406"/>
        <v/>
      </c>
      <c r="BV553" s="173" t="str">
        <f t="shared" si="406"/>
        <v/>
      </c>
      <c r="BW553" s="180" t="str">
        <f t="shared" si="406"/>
        <v/>
      </c>
      <c r="BX553" s="288"/>
      <c r="CM553" s="96"/>
    </row>
    <row r="554" spans="1:91">
      <c r="A554" s="47" t="str">
        <f t="shared" si="392"/>
        <v/>
      </c>
      <c r="B554" s="185">
        <f t="shared" si="392"/>
        <v>45</v>
      </c>
      <c r="C554" s="173">
        <f t="shared" si="392"/>
        <v>96.5</v>
      </c>
      <c r="D554" s="173">
        <f t="shared" si="392"/>
        <v>292</v>
      </c>
      <c r="E554" s="180">
        <f t="shared" si="392"/>
        <v>18</v>
      </c>
      <c r="G554" s="185">
        <f t="shared" si="393"/>
        <v>45</v>
      </c>
      <c r="H554" s="173">
        <f t="shared" si="393"/>
        <v>96.5</v>
      </c>
      <c r="I554" s="173">
        <f t="shared" si="393"/>
        <v>292</v>
      </c>
      <c r="J554" s="180">
        <f t="shared" si="393"/>
        <v>18</v>
      </c>
      <c r="L554" s="185">
        <f t="shared" si="394"/>
        <v>45</v>
      </c>
      <c r="M554" s="173">
        <f t="shared" si="394"/>
        <v>96.5</v>
      </c>
      <c r="N554" s="173">
        <f t="shared" si="394"/>
        <v>415</v>
      </c>
      <c r="O554" s="180">
        <f t="shared" si="394"/>
        <v>18</v>
      </c>
      <c r="Q554" s="185">
        <f t="shared" si="395"/>
        <v>45</v>
      </c>
      <c r="R554" s="173">
        <f t="shared" si="395"/>
        <v>96.5</v>
      </c>
      <c r="S554" s="173">
        <f t="shared" si="395"/>
        <v>526</v>
      </c>
      <c r="T554" s="180">
        <f t="shared" si="395"/>
        <v>18</v>
      </c>
      <c r="V554" s="185">
        <f t="shared" si="396"/>
        <v>45</v>
      </c>
      <c r="W554" s="173">
        <f t="shared" si="396"/>
        <v>139.5</v>
      </c>
      <c r="X554" s="173">
        <f t="shared" si="396"/>
        <v>321</v>
      </c>
      <c r="Y554" s="180">
        <f t="shared" si="396"/>
        <v>18</v>
      </c>
      <c r="AA554" s="185">
        <f t="shared" si="397"/>
        <v>45</v>
      </c>
      <c r="AB554" s="173">
        <f t="shared" si="397"/>
        <v>139.5</v>
      </c>
      <c r="AC554" s="173">
        <f t="shared" si="397"/>
        <v>486</v>
      </c>
      <c r="AD554" s="180">
        <f t="shared" si="397"/>
        <v>18</v>
      </c>
      <c r="AF554" s="185" t="str">
        <f t="shared" si="398"/>
        <v/>
      </c>
      <c r="AG554" s="173" t="str">
        <f t="shared" si="398"/>
        <v/>
      </c>
      <c r="AH554" s="173" t="str">
        <f t="shared" si="398"/>
        <v/>
      </c>
      <c r="AI554" s="180" t="str">
        <f t="shared" si="398"/>
        <v/>
      </c>
      <c r="AK554" s="185" t="str">
        <f t="shared" si="399"/>
        <v/>
      </c>
      <c r="AL554" s="173" t="str">
        <f t="shared" si="399"/>
        <v/>
      </c>
      <c r="AM554" s="173" t="str">
        <f t="shared" si="399"/>
        <v/>
      </c>
      <c r="AN554" s="180" t="str">
        <f t="shared" si="399"/>
        <v/>
      </c>
      <c r="AP554" s="185">
        <f t="shared" si="400"/>
        <v>45</v>
      </c>
      <c r="AQ554" s="173">
        <f t="shared" si="400"/>
        <v>96.5</v>
      </c>
      <c r="AR554" s="173">
        <f t="shared" si="400"/>
        <v>676</v>
      </c>
      <c r="AS554" s="180">
        <f t="shared" si="400"/>
        <v>18</v>
      </c>
      <c r="AT554" s="288"/>
      <c r="AU554" s="185" t="str">
        <f t="shared" si="401"/>
        <v/>
      </c>
      <c r="AV554" s="173" t="str">
        <f t="shared" si="401"/>
        <v/>
      </c>
      <c r="AW554" s="173" t="str">
        <f t="shared" si="401"/>
        <v/>
      </c>
      <c r="AX554" s="180" t="str">
        <f t="shared" si="401"/>
        <v/>
      </c>
      <c r="AZ554" s="185" t="str">
        <f t="shared" si="402"/>
        <v/>
      </c>
      <c r="BA554" s="173" t="str">
        <f t="shared" si="402"/>
        <v/>
      </c>
      <c r="BB554" s="173" t="str">
        <f t="shared" si="402"/>
        <v/>
      </c>
      <c r="BC554" s="180" t="str">
        <f t="shared" si="402"/>
        <v/>
      </c>
      <c r="BE554" s="185" t="str">
        <f t="shared" si="403"/>
        <v/>
      </c>
      <c r="BF554" s="173" t="str">
        <f t="shared" si="403"/>
        <v/>
      </c>
      <c r="BG554" s="173" t="str">
        <f t="shared" si="403"/>
        <v/>
      </c>
      <c r="BH554" s="180" t="str">
        <f t="shared" si="403"/>
        <v/>
      </c>
      <c r="BI554" s="288"/>
      <c r="BJ554" s="185" t="str">
        <f t="shared" si="404"/>
        <v/>
      </c>
      <c r="BK554" s="173" t="str">
        <f t="shared" si="404"/>
        <v/>
      </c>
      <c r="BL554" s="173" t="str">
        <f t="shared" si="404"/>
        <v/>
      </c>
      <c r="BM554" s="180" t="str">
        <f t="shared" si="404"/>
        <v/>
      </c>
      <c r="BO554" s="185" t="str">
        <f t="shared" si="405"/>
        <v/>
      </c>
      <c r="BP554" s="173" t="str">
        <f t="shared" si="405"/>
        <v/>
      </c>
      <c r="BQ554" s="173" t="str">
        <f t="shared" si="405"/>
        <v/>
      </c>
      <c r="BR554" s="180" t="str">
        <f t="shared" si="405"/>
        <v/>
      </c>
      <c r="BT554" s="185" t="str">
        <f t="shared" si="406"/>
        <v/>
      </c>
      <c r="BU554" s="173" t="str">
        <f t="shared" si="406"/>
        <v/>
      </c>
      <c r="BV554" s="173" t="str">
        <f t="shared" si="406"/>
        <v/>
      </c>
      <c r="BW554" s="180" t="str">
        <f t="shared" si="406"/>
        <v/>
      </c>
      <c r="BX554" s="288"/>
      <c r="CM554" s="96"/>
    </row>
    <row r="555" spans="1:91">
      <c r="A555" s="47" t="str">
        <f t="shared" si="392"/>
        <v/>
      </c>
      <c r="B555" s="185">
        <f t="shared" si="392"/>
        <v>45</v>
      </c>
      <c r="C555" s="173">
        <f t="shared" si="392"/>
        <v>96.5</v>
      </c>
      <c r="D555" s="173">
        <f t="shared" si="392"/>
        <v>349</v>
      </c>
      <c r="E555" s="180">
        <f t="shared" si="392"/>
        <v>18</v>
      </c>
      <c r="G555" s="185">
        <f t="shared" si="393"/>
        <v>45</v>
      </c>
      <c r="H555" s="173">
        <f t="shared" si="393"/>
        <v>96.5</v>
      </c>
      <c r="I555" s="173">
        <f t="shared" si="393"/>
        <v>349</v>
      </c>
      <c r="J555" s="180">
        <f t="shared" si="393"/>
        <v>18</v>
      </c>
      <c r="L555" s="185">
        <f t="shared" si="394"/>
        <v>45</v>
      </c>
      <c r="M555" s="173">
        <f t="shared" si="394"/>
        <v>96.5</v>
      </c>
      <c r="N555" s="173">
        <f t="shared" si="394"/>
        <v>472</v>
      </c>
      <c r="O555" s="180">
        <f t="shared" si="394"/>
        <v>18</v>
      </c>
      <c r="Q555" s="185">
        <f t="shared" si="395"/>
        <v>45</v>
      </c>
      <c r="R555" s="173">
        <f t="shared" si="395"/>
        <v>96.5</v>
      </c>
      <c r="S555" s="173">
        <f t="shared" si="395"/>
        <v>583</v>
      </c>
      <c r="T555" s="180">
        <f t="shared" si="395"/>
        <v>18</v>
      </c>
      <c r="V555" s="185">
        <f t="shared" si="396"/>
        <v>45</v>
      </c>
      <c r="W555" s="173">
        <f t="shared" si="396"/>
        <v>139.5</v>
      </c>
      <c r="X555" s="173">
        <f t="shared" si="396"/>
        <v>378</v>
      </c>
      <c r="Y555" s="180">
        <f t="shared" si="396"/>
        <v>18</v>
      </c>
      <c r="AA555" s="185" t="str">
        <f t="shared" si="397"/>
        <v/>
      </c>
      <c r="AB555" s="173" t="str">
        <f t="shared" si="397"/>
        <v/>
      </c>
      <c r="AC555" s="173" t="str">
        <f t="shared" si="397"/>
        <v/>
      </c>
      <c r="AD555" s="180" t="str">
        <f t="shared" si="397"/>
        <v/>
      </c>
      <c r="AF555" s="185" t="str">
        <f t="shared" si="398"/>
        <v/>
      </c>
      <c r="AG555" s="173" t="str">
        <f t="shared" si="398"/>
        <v/>
      </c>
      <c r="AH555" s="173" t="str">
        <f t="shared" si="398"/>
        <v/>
      </c>
      <c r="AI555" s="180" t="str">
        <f t="shared" si="398"/>
        <v/>
      </c>
      <c r="AK555" s="185" t="str">
        <f t="shared" si="399"/>
        <v/>
      </c>
      <c r="AL555" s="173" t="str">
        <f t="shared" si="399"/>
        <v/>
      </c>
      <c r="AM555" s="173" t="str">
        <f t="shared" si="399"/>
        <v/>
      </c>
      <c r="AN555" s="180" t="str">
        <f t="shared" si="399"/>
        <v/>
      </c>
      <c r="AP555" s="185">
        <f t="shared" si="400"/>
        <v>45</v>
      </c>
      <c r="AQ555" s="173">
        <f t="shared" si="400"/>
        <v>96.5</v>
      </c>
      <c r="AR555" s="173">
        <f t="shared" si="400"/>
        <v>733</v>
      </c>
      <c r="AS555" s="180">
        <f t="shared" si="400"/>
        <v>18</v>
      </c>
      <c r="AT555" s="288"/>
      <c r="AU555" s="185" t="str">
        <f t="shared" si="401"/>
        <v/>
      </c>
      <c r="AV555" s="173" t="str">
        <f t="shared" si="401"/>
        <v/>
      </c>
      <c r="AW555" s="173" t="str">
        <f t="shared" si="401"/>
        <v/>
      </c>
      <c r="AX555" s="180" t="str">
        <f t="shared" si="401"/>
        <v/>
      </c>
      <c r="AZ555" s="185" t="str">
        <f t="shared" si="402"/>
        <v/>
      </c>
      <c r="BA555" s="173" t="str">
        <f t="shared" si="402"/>
        <v/>
      </c>
      <c r="BB555" s="173" t="str">
        <f t="shared" si="402"/>
        <v/>
      </c>
      <c r="BC555" s="180" t="str">
        <f t="shared" si="402"/>
        <v/>
      </c>
      <c r="BE555" s="185" t="str">
        <f t="shared" si="403"/>
        <v/>
      </c>
      <c r="BF555" s="173" t="str">
        <f t="shared" si="403"/>
        <v/>
      </c>
      <c r="BG555" s="173" t="str">
        <f t="shared" si="403"/>
        <v/>
      </c>
      <c r="BH555" s="180" t="str">
        <f t="shared" si="403"/>
        <v/>
      </c>
      <c r="BI555" s="288"/>
      <c r="BJ555" s="185" t="str">
        <f t="shared" si="404"/>
        <v/>
      </c>
      <c r="BK555" s="173" t="str">
        <f t="shared" si="404"/>
        <v/>
      </c>
      <c r="BL555" s="173" t="str">
        <f t="shared" si="404"/>
        <v/>
      </c>
      <c r="BM555" s="180" t="str">
        <f t="shared" si="404"/>
        <v/>
      </c>
      <c r="BO555" s="185" t="str">
        <f t="shared" si="405"/>
        <v/>
      </c>
      <c r="BP555" s="173" t="str">
        <f t="shared" si="405"/>
        <v/>
      </c>
      <c r="BQ555" s="173" t="str">
        <f t="shared" si="405"/>
        <v/>
      </c>
      <c r="BR555" s="180" t="str">
        <f t="shared" si="405"/>
        <v/>
      </c>
      <c r="BT555" s="185" t="str">
        <f t="shared" si="406"/>
        <v/>
      </c>
      <c r="BU555" s="173" t="str">
        <f t="shared" si="406"/>
        <v/>
      </c>
      <c r="BV555" s="173" t="str">
        <f t="shared" si="406"/>
        <v/>
      </c>
      <c r="BW555" s="180" t="str">
        <f t="shared" si="406"/>
        <v/>
      </c>
      <c r="BX555" s="288"/>
      <c r="CM555" s="96"/>
    </row>
    <row r="556" spans="1:91">
      <c r="A556" s="47" t="str">
        <f t="shared" si="392"/>
        <v/>
      </c>
      <c r="B556" s="185">
        <f t="shared" si="392"/>
        <v>45</v>
      </c>
      <c r="C556" s="173">
        <f t="shared" si="392"/>
        <v>96.5</v>
      </c>
      <c r="D556" s="173">
        <f t="shared" si="392"/>
        <v>406</v>
      </c>
      <c r="E556" s="180">
        <f t="shared" si="392"/>
        <v>18</v>
      </c>
      <c r="G556" s="185">
        <f t="shared" si="393"/>
        <v>45</v>
      </c>
      <c r="H556" s="173">
        <f t="shared" si="393"/>
        <v>96.5</v>
      </c>
      <c r="I556" s="173">
        <f t="shared" si="393"/>
        <v>406</v>
      </c>
      <c r="J556" s="180">
        <f t="shared" si="393"/>
        <v>18</v>
      </c>
      <c r="L556" s="185">
        <f t="shared" si="394"/>
        <v>45</v>
      </c>
      <c r="M556" s="173">
        <f t="shared" si="394"/>
        <v>96.5</v>
      </c>
      <c r="N556" s="173">
        <f t="shared" si="394"/>
        <v>529</v>
      </c>
      <c r="O556" s="180">
        <f t="shared" si="394"/>
        <v>18</v>
      </c>
      <c r="Q556" s="185">
        <f t="shared" si="395"/>
        <v>45</v>
      </c>
      <c r="R556" s="173">
        <f t="shared" si="395"/>
        <v>96.5</v>
      </c>
      <c r="S556" s="173">
        <f t="shared" si="395"/>
        <v>640</v>
      </c>
      <c r="T556" s="180">
        <f t="shared" si="395"/>
        <v>18</v>
      </c>
      <c r="V556" s="185">
        <f t="shared" si="396"/>
        <v>45</v>
      </c>
      <c r="W556" s="173">
        <f t="shared" si="396"/>
        <v>139.5</v>
      </c>
      <c r="X556" s="173">
        <f t="shared" si="396"/>
        <v>435</v>
      </c>
      <c r="Y556" s="180">
        <f t="shared" si="396"/>
        <v>18</v>
      </c>
      <c r="AA556" s="185" t="str">
        <f t="shared" si="397"/>
        <v/>
      </c>
      <c r="AB556" s="173" t="str">
        <f t="shared" si="397"/>
        <v/>
      </c>
      <c r="AC556" s="173" t="str">
        <f t="shared" si="397"/>
        <v/>
      </c>
      <c r="AD556" s="180" t="str">
        <f t="shared" si="397"/>
        <v/>
      </c>
      <c r="AF556" s="185" t="str">
        <f t="shared" si="398"/>
        <v/>
      </c>
      <c r="AG556" s="173" t="str">
        <f t="shared" si="398"/>
        <v/>
      </c>
      <c r="AH556" s="173" t="str">
        <f t="shared" si="398"/>
        <v/>
      </c>
      <c r="AI556" s="180" t="str">
        <f t="shared" si="398"/>
        <v/>
      </c>
      <c r="AK556" s="185" t="str">
        <f t="shared" si="399"/>
        <v/>
      </c>
      <c r="AL556" s="173" t="str">
        <f t="shared" si="399"/>
        <v/>
      </c>
      <c r="AM556" s="173" t="str">
        <f t="shared" si="399"/>
        <v/>
      </c>
      <c r="AN556" s="180" t="str">
        <f t="shared" si="399"/>
        <v/>
      </c>
      <c r="AP556" s="185">
        <f t="shared" si="400"/>
        <v>45</v>
      </c>
      <c r="AQ556" s="173">
        <f t="shared" si="400"/>
        <v>96.5</v>
      </c>
      <c r="AR556" s="173">
        <f t="shared" si="400"/>
        <v>790</v>
      </c>
      <c r="AS556" s="180">
        <f t="shared" si="400"/>
        <v>18</v>
      </c>
      <c r="AT556" s="288"/>
      <c r="AU556" s="185" t="str">
        <f t="shared" si="401"/>
        <v/>
      </c>
      <c r="AV556" s="173" t="str">
        <f t="shared" si="401"/>
        <v/>
      </c>
      <c r="AW556" s="173" t="str">
        <f t="shared" si="401"/>
        <v/>
      </c>
      <c r="AX556" s="180" t="str">
        <f t="shared" si="401"/>
        <v/>
      </c>
      <c r="AZ556" s="185" t="str">
        <f t="shared" si="402"/>
        <v/>
      </c>
      <c r="BA556" s="173" t="str">
        <f t="shared" si="402"/>
        <v/>
      </c>
      <c r="BB556" s="173" t="str">
        <f t="shared" si="402"/>
        <v/>
      </c>
      <c r="BC556" s="180" t="str">
        <f t="shared" si="402"/>
        <v/>
      </c>
      <c r="BE556" s="185" t="str">
        <f t="shared" si="403"/>
        <v/>
      </c>
      <c r="BF556" s="173" t="str">
        <f t="shared" si="403"/>
        <v/>
      </c>
      <c r="BG556" s="173" t="str">
        <f t="shared" si="403"/>
        <v/>
      </c>
      <c r="BH556" s="180" t="str">
        <f t="shared" si="403"/>
        <v/>
      </c>
      <c r="BI556" s="288"/>
      <c r="BJ556" s="185" t="str">
        <f t="shared" si="404"/>
        <v/>
      </c>
      <c r="BK556" s="173" t="str">
        <f t="shared" si="404"/>
        <v/>
      </c>
      <c r="BL556" s="173" t="str">
        <f t="shared" si="404"/>
        <v/>
      </c>
      <c r="BM556" s="180" t="str">
        <f t="shared" si="404"/>
        <v/>
      </c>
      <c r="BO556" s="185" t="str">
        <f t="shared" si="405"/>
        <v/>
      </c>
      <c r="BP556" s="173" t="str">
        <f t="shared" si="405"/>
        <v/>
      </c>
      <c r="BQ556" s="173" t="str">
        <f t="shared" si="405"/>
        <v/>
      </c>
      <c r="BR556" s="180" t="str">
        <f t="shared" si="405"/>
        <v/>
      </c>
      <c r="BT556" s="185" t="str">
        <f t="shared" si="406"/>
        <v/>
      </c>
      <c r="BU556" s="173" t="str">
        <f t="shared" si="406"/>
        <v/>
      </c>
      <c r="BV556" s="173" t="str">
        <f t="shared" si="406"/>
        <v/>
      </c>
      <c r="BW556" s="180" t="str">
        <f t="shared" si="406"/>
        <v/>
      </c>
      <c r="BX556" s="288"/>
      <c r="CM556" s="96"/>
    </row>
    <row r="557" spans="1:91">
      <c r="A557" s="47" t="str">
        <f t="shared" si="392"/>
        <v/>
      </c>
      <c r="B557" s="185">
        <f t="shared" si="392"/>
        <v>45</v>
      </c>
      <c r="C557" s="173">
        <f t="shared" si="392"/>
        <v>96.5</v>
      </c>
      <c r="D557" s="173">
        <f t="shared" si="392"/>
        <v>463</v>
      </c>
      <c r="E557" s="180">
        <f t="shared" si="392"/>
        <v>18</v>
      </c>
      <c r="G557" s="185">
        <f t="shared" si="393"/>
        <v>45</v>
      </c>
      <c r="H557" s="173">
        <f t="shared" si="393"/>
        <v>96.5</v>
      </c>
      <c r="I557" s="173">
        <f t="shared" si="393"/>
        <v>463</v>
      </c>
      <c r="J557" s="180">
        <f t="shared" si="393"/>
        <v>18</v>
      </c>
      <c r="L557" s="185">
        <f t="shared" si="394"/>
        <v>45</v>
      </c>
      <c r="M557" s="173">
        <f t="shared" si="394"/>
        <v>96.5</v>
      </c>
      <c r="N557" s="173">
        <f t="shared" si="394"/>
        <v>586</v>
      </c>
      <c r="O557" s="180">
        <f t="shared" si="394"/>
        <v>18</v>
      </c>
      <c r="Q557" s="185">
        <f t="shared" si="395"/>
        <v>45</v>
      </c>
      <c r="R557" s="173">
        <f t="shared" si="395"/>
        <v>139.5</v>
      </c>
      <c r="S557" s="173">
        <f t="shared" si="395"/>
        <v>156</v>
      </c>
      <c r="T557" s="180">
        <f t="shared" si="395"/>
        <v>18</v>
      </c>
      <c r="V557" s="185">
        <f t="shared" si="396"/>
        <v>45</v>
      </c>
      <c r="W557" s="173">
        <f t="shared" si="396"/>
        <v>139.5</v>
      </c>
      <c r="X557" s="173">
        <f t="shared" si="396"/>
        <v>492</v>
      </c>
      <c r="Y557" s="180">
        <f t="shared" si="396"/>
        <v>18</v>
      </c>
      <c r="AA557" s="185" t="str">
        <f t="shared" si="397"/>
        <v/>
      </c>
      <c r="AB557" s="173" t="str">
        <f t="shared" si="397"/>
        <v/>
      </c>
      <c r="AC557" s="173" t="str">
        <f t="shared" si="397"/>
        <v/>
      </c>
      <c r="AD557" s="180" t="str">
        <f t="shared" si="397"/>
        <v/>
      </c>
      <c r="AF557" s="185" t="str">
        <f t="shared" si="398"/>
        <v/>
      </c>
      <c r="AG557" s="173" t="str">
        <f t="shared" si="398"/>
        <v/>
      </c>
      <c r="AH557" s="173" t="str">
        <f t="shared" si="398"/>
        <v/>
      </c>
      <c r="AI557" s="180" t="str">
        <f t="shared" si="398"/>
        <v/>
      </c>
      <c r="AK557" s="185" t="str">
        <f t="shared" si="399"/>
        <v/>
      </c>
      <c r="AL557" s="173" t="str">
        <f t="shared" si="399"/>
        <v/>
      </c>
      <c r="AM557" s="173" t="str">
        <f t="shared" si="399"/>
        <v/>
      </c>
      <c r="AN557" s="180" t="str">
        <f t="shared" si="399"/>
        <v/>
      </c>
      <c r="AP557" s="185">
        <f t="shared" si="400"/>
        <v>45</v>
      </c>
      <c r="AQ557" s="173">
        <f t="shared" si="400"/>
        <v>139.5</v>
      </c>
      <c r="AR557" s="173">
        <f t="shared" si="400"/>
        <v>306</v>
      </c>
      <c r="AS557" s="180">
        <f t="shared" si="400"/>
        <v>18</v>
      </c>
      <c r="AT557" s="288"/>
      <c r="AU557" s="185" t="str">
        <f t="shared" si="401"/>
        <v/>
      </c>
      <c r="AV557" s="173" t="str">
        <f t="shared" si="401"/>
        <v/>
      </c>
      <c r="AW557" s="173" t="str">
        <f t="shared" si="401"/>
        <v/>
      </c>
      <c r="AX557" s="180" t="str">
        <f t="shared" si="401"/>
        <v/>
      </c>
      <c r="AZ557" s="185" t="str">
        <f t="shared" si="402"/>
        <v/>
      </c>
      <c r="BA557" s="173" t="str">
        <f t="shared" si="402"/>
        <v/>
      </c>
      <c r="BB557" s="173" t="str">
        <f t="shared" si="402"/>
        <v/>
      </c>
      <c r="BC557" s="180" t="str">
        <f t="shared" si="402"/>
        <v/>
      </c>
      <c r="BE557" s="185" t="str">
        <f t="shared" si="403"/>
        <v/>
      </c>
      <c r="BF557" s="173" t="str">
        <f t="shared" si="403"/>
        <v/>
      </c>
      <c r="BG557" s="173" t="str">
        <f t="shared" si="403"/>
        <v/>
      </c>
      <c r="BH557" s="180" t="str">
        <f t="shared" si="403"/>
        <v/>
      </c>
      <c r="BI557" s="288"/>
      <c r="BJ557" s="185" t="str">
        <f t="shared" si="404"/>
        <v/>
      </c>
      <c r="BK557" s="173" t="str">
        <f t="shared" si="404"/>
        <v/>
      </c>
      <c r="BL557" s="173" t="str">
        <f t="shared" si="404"/>
        <v/>
      </c>
      <c r="BM557" s="180" t="str">
        <f t="shared" si="404"/>
        <v/>
      </c>
      <c r="BO557" s="185" t="str">
        <f t="shared" si="405"/>
        <v/>
      </c>
      <c r="BP557" s="173" t="str">
        <f t="shared" si="405"/>
        <v/>
      </c>
      <c r="BQ557" s="173" t="str">
        <f t="shared" si="405"/>
        <v/>
      </c>
      <c r="BR557" s="180" t="str">
        <f t="shared" si="405"/>
        <v/>
      </c>
      <c r="BT557" s="185" t="str">
        <f t="shared" si="406"/>
        <v/>
      </c>
      <c r="BU557" s="173" t="str">
        <f t="shared" si="406"/>
        <v/>
      </c>
      <c r="BV557" s="173" t="str">
        <f t="shared" si="406"/>
        <v/>
      </c>
      <c r="BW557" s="180" t="str">
        <f t="shared" si="406"/>
        <v/>
      </c>
      <c r="BX557" s="288"/>
      <c r="CM557" s="96"/>
    </row>
    <row r="558" spans="1:91">
      <c r="A558" s="47" t="str">
        <f t="shared" si="392"/>
        <v/>
      </c>
      <c r="B558" s="185">
        <f t="shared" si="392"/>
        <v>45</v>
      </c>
      <c r="C558" s="173">
        <f t="shared" si="392"/>
        <v>96.5</v>
      </c>
      <c r="D558" s="173">
        <f t="shared" si="392"/>
        <v>520</v>
      </c>
      <c r="E558" s="180">
        <f t="shared" si="392"/>
        <v>18</v>
      </c>
      <c r="G558" s="185">
        <f t="shared" si="393"/>
        <v>45</v>
      </c>
      <c r="H558" s="173">
        <f t="shared" si="393"/>
        <v>96.5</v>
      </c>
      <c r="I558" s="173">
        <f t="shared" si="393"/>
        <v>520</v>
      </c>
      <c r="J558" s="180">
        <f t="shared" si="393"/>
        <v>18</v>
      </c>
      <c r="L558" s="185">
        <f t="shared" si="394"/>
        <v>45</v>
      </c>
      <c r="M558" s="173">
        <f t="shared" si="394"/>
        <v>96.5</v>
      </c>
      <c r="N558" s="173">
        <f t="shared" si="394"/>
        <v>643</v>
      </c>
      <c r="O558" s="180">
        <f t="shared" si="394"/>
        <v>18</v>
      </c>
      <c r="Q558" s="185">
        <f t="shared" si="395"/>
        <v>45</v>
      </c>
      <c r="R558" s="173">
        <f t="shared" si="395"/>
        <v>139.5</v>
      </c>
      <c r="S558" s="173">
        <f t="shared" si="395"/>
        <v>213</v>
      </c>
      <c r="T558" s="180">
        <f t="shared" si="395"/>
        <v>18</v>
      </c>
      <c r="V558" s="185">
        <f t="shared" si="396"/>
        <v>45</v>
      </c>
      <c r="W558" s="173">
        <f t="shared" si="396"/>
        <v>139.5</v>
      </c>
      <c r="X558" s="173">
        <f t="shared" si="396"/>
        <v>549</v>
      </c>
      <c r="Y558" s="180">
        <f t="shared" si="396"/>
        <v>18</v>
      </c>
      <c r="AA558" s="185" t="str">
        <f t="shared" si="397"/>
        <v/>
      </c>
      <c r="AB558" s="173" t="str">
        <f t="shared" si="397"/>
        <v/>
      </c>
      <c r="AC558" s="173" t="str">
        <f t="shared" si="397"/>
        <v/>
      </c>
      <c r="AD558" s="180" t="str">
        <f t="shared" si="397"/>
        <v/>
      </c>
      <c r="AF558" s="185" t="str">
        <f t="shared" si="398"/>
        <v/>
      </c>
      <c r="AG558" s="173" t="str">
        <f t="shared" si="398"/>
        <v/>
      </c>
      <c r="AH558" s="173" t="str">
        <f t="shared" si="398"/>
        <v/>
      </c>
      <c r="AI558" s="180" t="str">
        <f t="shared" si="398"/>
        <v/>
      </c>
      <c r="AK558" s="185" t="str">
        <f t="shared" si="399"/>
        <v/>
      </c>
      <c r="AL558" s="173" t="str">
        <f t="shared" si="399"/>
        <v/>
      </c>
      <c r="AM558" s="173" t="str">
        <f t="shared" si="399"/>
        <v/>
      </c>
      <c r="AN558" s="180" t="str">
        <f t="shared" si="399"/>
        <v/>
      </c>
      <c r="AP558" s="185">
        <f t="shared" si="400"/>
        <v>45</v>
      </c>
      <c r="AQ558" s="173">
        <f t="shared" si="400"/>
        <v>139.5</v>
      </c>
      <c r="AR558" s="173">
        <f t="shared" si="400"/>
        <v>363</v>
      </c>
      <c r="AS558" s="180">
        <f t="shared" si="400"/>
        <v>18</v>
      </c>
      <c r="AT558" s="288"/>
      <c r="AU558" s="185" t="str">
        <f t="shared" si="401"/>
        <v/>
      </c>
      <c r="AV558" s="173" t="str">
        <f t="shared" si="401"/>
        <v/>
      </c>
      <c r="AW558" s="173" t="str">
        <f t="shared" si="401"/>
        <v/>
      </c>
      <c r="AX558" s="180" t="str">
        <f t="shared" si="401"/>
        <v/>
      </c>
      <c r="AZ558" s="185" t="str">
        <f t="shared" si="402"/>
        <v/>
      </c>
      <c r="BA558" s="173" t="str">
        <f t="shared" si="402"/>
        <v/>
      </c>
      <c r="BB558" s="173" t="str">
        <f t="shared" si="402"/>
        <v/>
      </c>
      <c r="BC558" s="180" t="str">
        <f t="shared" si="402"/>
        <v/>
      </c>
      <c r="BE558" s="185" t="str">
        <f t="shared" si="403"/>
        <v/>
      </c>
      <c r="BF558" s="173" t="str">
        <f t="shared" si="403"/>
        <v/>
      </c>
      <c r="BG558" s="173" t="str">
        <f t="shared" si="403"/>
        <v/>
      </c>
      <c r="BH558" s="180" t="str">
        <f t="shared" si="403"/>
        <v/>
      </c>
      <c r="BI558" s="288"/>
      <c r="BJ558" s="185" t="str">
        <f t="shared" si="404"/>
        <v/>
      </c>
      <c r="BK558" s="173" t="str">
        <f t="shared" si="404"/>
        <v/>
      </c>
      <c r="BL558" s="173" t="str">
        <f t="shared" si="404"/>
        <v/>
      </c>
      <c r="BM558" s="180" t="str">
        <f t="shared" si="404"/>
        <v/>
      </c>
      <c r="BO558" s="185" t="str">
        <f t="shared" si="405"/>
        <v/>
      </c>
      <c r="BP558" s="173" t="str">
        <f t="shared" si="405"/>
        <v/>
      </c>
      <c r="BQ558" s="173" t="str">
        <f t="shared" si="405"/>
        <v/>
      </c>
      <c r="BR558" s="180" t="str">
        <f t="shared" si="405"/>
        <v/>
      </c>
      <c r="BT558" s="185" t="str">
        <f t="shared" si="406"/>
        <v/>
      </c>
      <c r="BU558" s="173" t="str">
        <f t="shared" si="406"/>
        <v/>
      </c>
      <c r="BV558" s="173" t="str">
        <f t="shared" si="406"/>
        <v/>
      </c>
      <c r="BW558" s="180" t="str">
        <f t="shared" si="406"/>
        <v/>
      </c>
      <c r="BX558" s="288"/>
      <c r="CM558" s="96"/>
    </row>
    <row r="559" spans="1:91">
      <c r="A559" s="47" t="str">
        <f t="shared" si="392"/>
        <v/>
      </c>
      <c r="B559" s="185">
        <f t="shared" si="392"/>
        <v>45</v>
      </c>
      <c r="C559" s="173">
        <f t="shared" si="392"/>
        <v>96.5</v>
      </c>
      <c r="D559" s="173">
        <f t="shared" si="392"/>
        <v>577</v>
      </c>
      <c r="E559" s="180">
        <f t="shared" si="392"/>
        <v>18</v>
      </c>
      <c r="G559" s="185">
        <f t="shared" si="393"/>
        <v>45</v>
      </c>
      <c r="H559" s="173">
        <f t="shared" si="393"/>
        <v>96.5</v>
      </c>
      <c r="I559" s="173">
        <f t="shared" si="393"/>
        <v>577</v>
      </c>
      <c r="J559" s="180">
        <f t="shared" si="393"/>
        <v>18</v>
      </c>
      <c r="L559" s="185">
        <f t="shared" si="394"/>
        <v>45</v>
      </c>
      <c r="M559" s="173">
        <f t="shared" si="394"/>
        <v>96.5</v>
      </c>
      <c r="N559" s="173">
        <f t="shared" si="394"/>
        <v>700</v>
      </c>
      <c r="O559" s="180">
        <f t="shared" si="394"/>
        <v>18</v>
      </c>
      <c r="Q559" s="185">
        <f t="shared" si="395"/>
        <v>45</v>
      </c>
      <c r="R559" s="173">
        <f t="shared" si="395"/>
        <v>139.5</v>
      </c>
      <c r="S559" s="173">
        <f t="shared" si="395"/>
        <v>270</v>
      </c>
      <c r="T559" s="180">
        <f t="shared" si="395"/>
        <v>18</v>
      </c>
      <c r="V559" s="185" t="str">
        <f t="shared" si="396"/>
        <v/>
      </c>
      <c r="W559" s="173" t="str">
        <f t="shared" si="396"/>
        <v/>
      </c>
      <c r="X559" s="173" t="str">
        <f t="shared" si="396"/>
        <v/>
      </c>
      <c r="Y559" s="180" t="str">
        <f t="shared" si="396"/>
        <v/>
      </c>
      <c r="AA559" s="185" t="str">
        <f t="shared" si="397"/>
        <v/>
      </c>
      <c r="AB559" s="173" t="str">
        <f t="shared" si="397"/>
        <v/>
      </c>
      <c r="AC559" s="173" t="str">
        <f t="shared" si="397"/>
        <v/>
      </c>
      <c r="AD559" s="180" t="str">
        <f t="shared" si="397"/>
        <v/>
      </c>
      <c r="AF559" s="185" t="str">
        <f t="shared" si="398"/>
        <v/>
      </c>
      <c r="AG559" s="173" t="str">
        <f t="shared" si="398"/>
        <v/>
      </c>
      <c r="AH559" s="173" t="str">
        <f t="shared" si="398"/>
        <v/>
      </c>
      <c r="AI559" s="180" t="str">
        <f t="shared" si="398"/>
        <v/>
      </c>
      <c r="AK559" s="185" t="str">
        <f t="shared" si="399"/>
        <v/>
      </c>
      <c r="AL559" s="173" t="str">
        <f t="shared" si="399"/>
        <v/>
      </c>
      <c r="AM559" s="173" t="str">
        <f t="shared" si="399"/>
        <v/>
      </c>
      <c r="AN559" s="180" t="str">
        <f t="shared" si="399"/>
        <v/>
      </c>
      <c r="AP559" s="185">
        <f t="shared" si="400"/>
        <v>45</v>
      </c>
      <c r="AQ559" s="173">
        <f t="shared" si="400"/>
        <v>139.5</v>
      </c>
      <c r="AR559" s="173">
        <f t="shared" si="400"/>
        <v>420</v>
      </c>
      <c r="AS559" s="180">
        <f t="shared" si="400"/>
        <v>18</v>
      </c>
      <c r="AT559" s="288"/>
      <c r="AU559" s="185" t="str">
        <f t="shared" si="401"/>
        <v/>
      </c>
      <c r="AV559" s="173" t="str">
        <f t="shared" si="401"/>
        <v/>
      </c>
      <c r="AW559" s="173" t="str">
        <f t="shared" si="401"/>
        <v/>
      </c>
      <c r="AX559" s="180" t="str">
        <f t="shared" si="401"/>
        <v/>
      </c>
      <c r="AZ559" s="185" t="str">
        <f t="shared" si="402"/>
        <v/>
      </c>
      <c r="BA559" s="173" t="str">
        <f t="shared" si="402"/>
        <v/>
      </c>
      <c r="BB559" s="173" t="str">
        <f t="shared" si="402"/>
        <v/>
      </c>
      <c r="BC559" s="180" t="str">
        <f t="shared" si="402"/>
        <v/>
      </c>
      <c r="BE559" s="185" t="str">
        <f t="shared" si="403"/>
        <v/>
      </c>
      <c r="BF559" s="173" t="str">
        <f t="shared" si="403"/>
        <v/>
      </c>
      <c r="BG559" s="173" t="str">
        <f t="shared" si="403"/>
        <v/>
      </c>
      <c r="BH559" s="180" t="str">
        <f t="shared" si="403"/>
        <v/>
      </c>
      <c r="BI559" s="288"/>
      <c r="BJ559" s="185" t="str">
        <f t="shared" si="404"/>
        <v/>
      </c>
      <c r="BK559" s="173" t="str">
        <f t="shared" si="404"/>
        <v/>
      </c>
      <c r="BL559" s="173" t="str">
        <f t="shared" si="404"/>
        <v/>
      </c>
      <c r="BM559" s="180" t="str">
        <f t="shared" si="404"/>
        <v/>
      </c>
      <c r="BO559" s="185" t="str">
        <f t="shared" si="405"/>
        <v/>
      </c>
      <c r="BP559" s="173" t="str">
        <f t="shared" si="405"/>
        <v/>
      </c>
      <c r="BQ559" s="173" t="str">
        <f t="shared" si="405"/>
        <v/>
      </c>
      <c r="BR559" s="180" t="str">
        <f t="shared" si="405"/>
        <v/>
      </c>
      <c r="BT559" s="185" t="str">
        <f t="shared" si="406"/>
        <v/>
      </c>
      <c r="BU559" s="173" t="str">
        <f t="shared" si="406"/>
        <v/>
      </c>
      <c r="BV559" s="173" t="str">
        <f t="shared" si="406"/>
        <v/>
      </c>
      <c r="BW559" s="180" t="str">
        <f t="shared" si="406"/>
        <v/>
      </c>
      <c r="BX559" s="288"/>
      <c r="CM559" s="96"/>
    </row>
    <row r="560" spans="1:91">
      <c r="A560" s="47" t="str">
        <f t="shared" si="392"/>
        <v/>
      </c>
      <c r="B560" s="185">
        <f t="shared" si="392"/>
        <v>45</v>
      </c>
      <c r="C560" s="173">
        <f t="shared" si="392"/>
        <v>96.5</v>
      </c>
      <c r="D560" s="173">
        <f t="shared" si="392"/>
        <v>634</v>
      </c>
      <c r="E560" s="180">
        <f t="shared" si="392"/>
        <v>18</v>
      </c>
      <c r="G560" s="185">
        <f t="shared" si="393"/>
        <v>45</v>
      </c>
      <c r="H560" s="173">
        <f t="shared" si="393"/>
        <v>96.5</v>
      </c>
      <c r="I560" s="173">
        <f t="shared" si="393"/>
        <v>634</v>
      </c>
      <c r="J560" s="180">
        <f t="shared" si="393"/>
        <v>18</v>
      </c>
      <c r="L560" s="185">
        <f t="shared" si="394"/>
        <v>45</v>
      </c>
      <c r="M560" s="173">
        <f t="shared" si="394"/>
        <v>139.5</v>
      </c>
      <c r="N560" s="173">
        <f t="shared" si="394"/>
        <v>159</v>
      </c>
      <c r="O560" s="180">
        <f t="shared" si="394"/>
        <v>18</v>
      </c>
      <c r="Q560" s="185">
        <f t="shared" si="395"/>
        <v>45</v>
      </c>
      <c r="R560" s="173">
        <f t="shared" si="395"/>
        <v>139.5</v>
      </c>
      <c r="S560" s="173">
        <f t="shared" si="395"/>
        <v>327</v>
      </c>
      <c r="T560" s="180">
        <f t="shared" si="395"/>
        <v>18</v>
      </c>
      <c r="V560" s="185" t="str">
        <f t="shared" si="396"/>
        <v/>
      </c>
      <c r="W560" s="173" t="str">
        <f t="shared" si="396"/>
        <v/>
      </c>
      <c r="X560" s="173" t="str">
        <f t="shared" si="396"/>
        <v/>
      </c>
      <c r="Y560" s="180" t="str">
        <f t="shared" si="396"/>
        <v/>
      </c>
      <c r="AA560" s="185" t="str">
        <f t="shared" si="397"/>
        <v/>
      </c>
      <c r="AB560" s="173" t="str">
        <f t="shared" si="397"/>
        <v/>
      </c>
      <c r="AC560" s="173" t="str">
        <f t="shared" si="397"/>
        <v/>
      </c>
      <c r="AD560" s="180" t="str">
        <f t="shared" si="397"/>
        <v/>
      </c>
      <c r="AF560" s="185" t="str">
        <f t="shared" si="398"/>
        <v/>
      </c>
      <c r="AG560" s="173" t="str">
        <f t="shared" si="398"/>
        <v/>
      </c>
      <c r="AH560" s="173" t="str">
        <f t="shared" si="398"/>
        <v/>
      </c>
      <c r="AI560" s="180" t="str">
        <f t="shared" si="398"/>
        <v/>
      </c>
      <c r="AK560" s="185" t="str">
        <f t="shared" si="399"/>
        <v/>
      </c>
      <c r="AL560" s="173" t="str">
        <f t="shared" si="399"/>
        <v/>
      </c>
      <c r="AM560" s="173" t="str">
        <f t="shared" si="399"/>
        <v/>
      </c>
      <c r="AN560" s="180" t="str">
        <f t="shared" si="399"/>
        <v/>
      </c>
      <c r="AP560" s="185">
        <f t="shared" si="400"/>
        <v>45</v>
      </c>
      <c r="AQ560" s="173">
        <f t="shared" si="400"/>
        <v>139.5</v>
      </c>
      <c r="AR560" s="173">
        <f t="shared" si="400"/>
        <v>477</v>
      </c>
      <c r="AS560" s="180">
        <f t="shared" si="400"/>
        <v>18</v>
      </c>
      <c r="AT560" s="288"/>
      <c r="AU560" s="185" t="str">
        <f t="shared" si="401"/>
        <v/>
      </c>
      <c r="AV560" s="173" t="str">
        <f t="shared" si="401"/>
        <v/>
      </c>
      <c r="AW560" s="173" t="str">
        <f t="shared" si="401"/>
        <v/>
      </c>
      <c r="AX560" s="180" t="str">
        <f t="shared" si="401"/>
        <v/>
      </c>
      <c r="AZ560" s="185" t="str">
        <f t="shared" si="402"/>
        <v/>
      </c>
      <c r="BA560" s="173" t="str">
        <f t="shared" si="402"/>
        <v/>
      </c>
      <c r="BB560" s="173" t="str">
        <f t="shared" si="402"/>
        <v/>
      </c>
      <c r="BC560" s="180" t="str">
        <f t="shared" si="402"/>
        <v/>
      </c>
      <c r="BE560" s="185" t="str">
        <f t="shared" si="403"/>
        <v/>
      </c>
      <c r="BF560" s="173" t="str">
        <f t="shared" si="403"/>
        <v/>
      </c>
      <c r="BG560" s="173" t="str">
        <f t="shared" si="403"/>
        <v/>
      </c>
      <c r="BH560" s="180" t="str">
        <f t="shared" si="403"/>
        <v/>
      </c>
      <c r="BI560" s="288"/>
      <c r="BJ560" s="185" t="str">
        <f t="shared" si="404"/>
        <v/>
      </c>
      <c r="BK560" s="173" t="str">
        <f t="shared" si="404"/>
        <v/>
      </c>
      <c r="BL560" s="173" t="str">
        <f t="shared" si="404"/>
        <v/>
      </c>
      <c r="BM560" s="180" t="str">
        <f t="shared" si="404"/>
        <v/>
      </c>
      <c r="BO560" s="185" t="str">
        <f t="shared" si="405"/>
        <v/>
      </c>
      <c r="BP560" s="173" t="str">
        <f t="shared" si="405"/>
        <v/>
      </c>
      <c r="BQ560" s="173" t="str">
        <f t="shared" si="405"/>
        <v/>
      </c>
      <c r="BR560" s="180" t="str">
        <f t="shared" si="405"/>
        <v/>
      </c>
      <c r="BT560" s="185" t="str">
        <f t="shared" si="406"/>
        <v/>
      </c>
      <c r="BU560" s="173" t="str">
        <f t="shared" si="406"/>
        <v/>
      </c>
      <c r="BV560" s="173" t="str">
        <f t="shared" si="406"/>
        <v/>
      </c>
      <c r="BW560" s="180" t="str">
        <f t="shared" si="406"/>
        <v/>
      </c>
      <c r="BX560" s="288"/>
      <c r="CM560" s="96"/>
    </row>
    <row r="561" spans="1:91">
      <c r="A561" s="47" t="str">
        <f t="shared" si="392"/>
        <v/>
      </c>
      <c r="B561" s="185">
        <f t="shared" si="392"/>
        <v>45</v>
      </c>
      <c r="C561" s="173">
        <f t="shared" si="392"/>
        <v>96.5</v>
      </c>
      <c r="D561" s="173">
        <f t="shared" si="392"/>
        <v>691</v>
      </c>
      <c r="E561" s="180">
        <f t="shared" si="392"/>
        <v>18</v>
      </c>
      <c r="G561" s="185">
        <f t="shared" si="393"/>
        <v>45</v>
      </c>
      <c r="H561" s="173">
        <f t="shared" si="393"/>
        <v>96.5</v>
      </c>
      <c r="I561" s="173">
        <f t="shared" si="393"/>
        <v>691</v>
      </c>
      <c r="J561" s="180">
        <f t="shared" si="393"/>
        <v>18</v>
      </c>
      <c r="L561" s="185">
        <f t="shared" si="394"/>
        <v>45</v>
      </c>
      <c r="M561" s="173">
        <f t="shared" si="394"/>
        <v>139.5</v>
      </c>
      <c r="N561" s="173">
        <f t="shared" si="394"/>
        <v>216</v>
      </c>
      <c r="O561" s="180">
        <f t="shared" si="394"/>
        <v>18</v>
      </c>
      <c r="Q561" s="185">
        <f t="shared" si="395"/>
        <v>45</v>
      </c>
      <c r="R561" s="173">
        <f t="shared" si="395"/>
        <v>139.5</v>
      </c>
      <c r="S561" s="173">
        <f t="shared" si="395"/>
        <v>384</v>
      </c>
      <c r="T561" s="180">
        <f t="shared" si="395"/>
        <v>18</v>
      </c>
      <c r="V561" s="185" t="str">
        <f t="shared" si="396"/>
        <v/>
      </c>
      <c r="W561" s="173" t="str">
        <f t="shared" si="396"/>
        <v/>
      </c>
      <c r="X561" s="173" t="str">
        <f t="shared" si="396"/>
        <v/>
      </c>
      <c r="Y561" s="180" t="str">
        <f t="shared" si="396"/>
        <v/>
      </c>
      <c r="AA561" s="185" t="str">
        <f t="shared" si="397"/>
        <v/>
      </c>
      <c r="AB561" s="173" t="str">
        <f t="shared" si="397"/>
        <v/>
      </c>
      <c r="AC561" s="173" t="str">
        <f t="shared" si="397"/>
        <v/>
      </c>
      <c r="AD561" s="180" t="str">
        <f t="shared" si="397"/>
        <v/>
      </c>
      <c r="AF561" s="185" t="str">
        <f t="shared" si="398"/>
        <v/>
      </c>
      <c r="AG561" s="173" t="str">
        <f t="shared" si="398"/>
        <v/>
      </c>
      <c r="AH561" s="173" t="str">
        <f t="shared" si="398"/>
        <v/>
      </c>
      <c r="AI561" s="180" t="str">
        <f t="shared" si="398"/>
        <v/>
      </c>
      <c r="AK561" s="185" t="str">
        <f t="shared" si="399"/>
        <v/>
      </c>
      <c r="AL561" s="173" t="str">
        <f t="shared" si="399"/>
        <v/>
      </c>
      <c r="AM561" s="173" t="str">
        <f t="shared" si="399"/>
        <v/>
      </c>
      <c r="AN561" s="180" t="str">
        <f t="shared" si="399"/>
        <v/>
      </c>
      <c r="AP561" s="185">
        <f t="shared" si="400"/>
        <v>45</v>
      </c>
      <c r="AQ561" s="173">
        <f t="shared" si="400"/>
        <v>139.5</v>
      </c>
      <c r="AR561" s="173">
        <f t="shared" si="400"/>
        <v>534</v>
      </c>
      <c r="AS561" s="180">
        <f t="shared" si="400"/>
        <v>18</v>
      </c>
      <c r="AT561" s="288"/>
      <c r="AU561" s="185" t="str">
        <f t="shared" si="401"/>
        <v/>
      </c>
      <c r="AV561" s="173" t="str">
        <f t="shared" si="401"/>
        <v/>
      </c>
      <c r="AW561" s="173" t="str">
        <f t="shared" si="401"/>
        <v/>
      </c>
      <c r="AX561" s="180" t="str">
        <f t="shared" si="401"/>
        <v/>
      </c>
      <c r="AZ561" s="185" t="str">
        <f t="shared" si="402"/>
        <v/>
      </c>
      <c r="BA561" s="173" t="str">
        <f t="shared" si="402"/>
        <v/>
      </c>
      <c r="BB561" s="173" t="str">
        <f t="shared" si="402"/>
        <v/>
      </c>
      <c r="BC561" s="180" t="str">
        <f t="shared" si="402"/>
        <v/>
      </c>
      <c r="BE561" s="185" t="str">
        <f t="shared" si="403"/>
        <v/>
      </c>
      <c r="BF561" s="173" t="str">
        <f t="shared" si="403"/>
        <v/>
      </c>
      <c r="BG561" s="173" t="str">
        <f t="shared" si="403"/>
        <v/>
      </c>
      <c r="BH561" s="180" t="str">
        <f t="shared" si="403"/>
        <v/>
      </c>
      <c r="BI561" s="288"/>
      <c r="BJ561" s="185" t="str">
        <f t="shared" si="404"/>
        <v/>
      </c>
      <c r="BK561" s="173" t="str">
        <f t="shared" si="404"/>
        <v/>
      </c>
      <c r="BL561" s="173" t="str">
        <f t="shared" si="404"/>
        <v/>
      </c>
      <c r="BM561" s="180" t="str">
        <f t="shared" si="404"/>
        <v/>
      </c>
      <c r="BO561" s="185" t="str">
        <f t="shared" si="405"/>
        <v/>
      </c>
      <c r="BP561" s="173" t="str">
        <f t="shared" si="405"/>
        <v/>
      </c>
      <c r="BQ561" s="173" t="str">
        <f t="shared" si="405"/>
        <v/>
      </c>
      <c r="BR561" s="180" t="str">
        <f t="shared" si="405"/>
        <v/>
      </c>
      <c r="BT561" s="185" t="str">
        <f t="shared" si="406"/>
        <v/>
      </c>
      <c r="BU561" s="173" t="str">
        <f t="shared" si="406"/>
        <v/>
      </c>
      <c r="BV561" s="173" t="str">
        <f t="shared" si="406"/>
        <v/>
      </c>
      <c r="BW561" s="180" t="str">
        <f t="shared" si="406"/>
        <v/>
      </c>
      <c r="BX561" s="288"/>
      <c r="CM561" s="96"/>
    </row>
    <row r="562" spans="1:91">
      <c r="A562" s="47" t="str">
        <f t="shared" si="392"/>
        <v/>
      </c>
      <c r="B562" s="185">
        <f t="shared" si="392"/>
        <v>45</v>
      </c>
      <c r="C562" s="173">
        <f t="shared" si="392"/>
        <v>96.5</v>
      </c>
      <c r="D562" s="173">
        <f t="shared" si="392"/>
        <v>748</v>
      </c>
      <c r="E562" s="180">
        <f t="shared" si="392"/>
        <v>18</v>
      </c>
      <c r="G562" s="185">
        <f t="shared" si="393"/>
        <v>45</v>
      </c>
      <c r="H562" s="173">
        <f t="shared" si="393"/>
        <v>96.5</v>
      </c>
      <c r="I562" s="173">
        <f t="shared" si="393"/>
        <v>748</v>
      </c>
      <c r="J562" s="180">
        <f t="shared" si="393"/>
        <v>18</v>
      </c>
      <c r="L562" s="185">
        <f t="shared" si="394"/>
        <v>45</v>
      </c>
      <c r="M562" s="173">
        <f t="shared" si="394"/>
        <v>139.5</v>
      </c>
      <c r="N562" s="173">
        <f t="shared" si="394"/>
        <v>273</v>
      </c>
      <c r="O562" s="180">
        <f t="shared" si="394"/>
        <v>18</v>
      </c>
      <c r="Q562" s="185">
        <f t="shared" si="395"/>
        <v>45</v>
      </c>
      <c r="R562" s="173">
        <f t="shared" si="395"/>
        <v>139.5</v>
      </c>
      <c r="S562" s="173">
        <f t="shared" si="395"/>
        <v>441</v>
      </c>
      <c r="T562" s="180">
        <f t="shared" si="395"/>
        <v>18</v>
      </c>
      <c r="V562" s="185" t="str">
        <f t="shared" si="396"/>
        <v/>
      </c>
      <c r="W562" s="173" t="str">
        <f t="shared" si="396"/>
        <v/>
      </c>
      <c r="X562" s="173" t="str">
        <f t="shared" si="396"/>
        <v/>
      </c>
      <c r="Y562" s="180" t="str">
        <f t="shared" si="396"/>
        <v/>
      </c>
      <c r="AA562" s="185" t="str">
        <f t="shared" si="397"/>
        <v/>
      </c>
      <c r="AB562" s="173" t="str">
        <f t="shared" si="397"/>
        <v/>
      </c>
      <c r="AC562" s="173" t="str">
        <f t="shared" si="397"/>
        <v/>
      </c>
      <c r="AD562" s="180" t="str">
        <f t="shared" si="397"/>
        <v/>
      </c>
      <c r="AF562" s="185" t="str">
        <f t="shared" si="398"/>
        <v/>
      </c>
      <c r="AG562" s="173" t="str">
        <f t="shared" si="398"/>
        <v/>
      </c>
      <c r="AH562" s="173" t="str">
        <f t="shared" si="398"/>
        <v/>
      </c>
      <c r="AI562" s="180" t="str">
        <f t="shared" si="398"/>
        <v/>
      </c>
      <c r="AK562" s="185" t="str">
        <f t="shared" si="399"/>
        <v/>
      </c>
      <c r="AL562" s="173" t="str">
        <f t="shared" si="399"/>
        <v/>
      </c>
      <c r="AM562" s="173" t="str">
        <f t="shared" si="399"/>
        <v/>
      </c>
      <c r="AN562" s="180" t="str">
        <f t="shared" si="399"/>
        <v/>
      </c>
      <c r="AP562" s="185">
        <f t="shared" si="400"/>
        <v>45</v>
      </c>
      <c r="AQ562" s="173">
        <f t="shared" si="400"/>
        <v>139.5</v>
      </c>
      <c r="AR562" s="173">
        <f t="shared" si="400"/>
        <v>591</v>
      </c>
      <c r="AS562" s="180">
        <f t="shared" si="400"/>
        <v>18</v>
      </c>
      <c r="AT562" s="288"/>
      <c r="AU562" s="185" t="str">
        <f t="shared" si="401"/>
        <v/>
      </c>
      <c r="AV562" s="173" t="str">
        <f t="shared" si="401"/>
        <v/>
      </c>
      <c r="AW562" s="173" t="str">
        <f t="shared" si="401"/>
        <v/>
      </c>
      <c r="AX562" s="180" t="str">
        <f t="shared" si="401"/>
        <v/>
      </c>
      <c r="AZ562" s="185" t="str">
        <f t="shared" si="402"/>
        <v/>
      </c>
      <c r="BA562" s="173" t="str">
        <f t="shared" si="402"/>
        <v/>
      </c>
      <c r="BB562" s="173" t="str">
        <f t="shared" si="402"/>
        <v/>
      </c>
      <c r="BC562" s="180" t="str">
        <f t="shared" si="402"/>
        <v/>
      </c>
      <c r="BE562" s="185" t="str">
        <f t="shared" si="403"/>
        <v/>
      </c>
      <c r="BF562" s="173" t="str">
        <f t="shared" si="403"/>
        <v/>
      </c>
      <c r="BG562" s="173" t="str">
        <f t="shared" si="403"/>
        <v/>
      </c>
      <c r="BH562" s="180" t="str">
        <f t="shared" si="403"/>
        <v/>
      </c>
      <c r="BI562" s="288"/>
      <c r="BJ562" s="185" t="str">
        <f t="shared" si="404"/>
        <v/>
      </c>
      <c r="BK562" s="173" t="str">
        <f t="shared" si="404"/>
        <v/>
      </c>
      <c r="BL562" s="173" t="str">
        <f t="shared" si="404"/>
        <v/>
      </c>
      <c r="BM562" s="180" t="str">
        <f t="shared" si="404"/>
        <v/>
      </c>
      <c r="BO562" s="185" t="str">
        <f t="shared" si="405"/>
        <v/>
      </c>
      <c r="BP562" s="173" t="str">
        <f t="shared" si="405"/>
        <v/>
      </c>
      <c r="BQ562" s="173" t="str">
        <f t="shared" si="405"/>
        <v/>
      </c>
      <c r="BR562" s="180" t="str">
        <f t="shared" si="405"/>
        <v/>
      </c>
      <c r="BT562" s="185" t="str">
        <f t="shared" si="406"/>
        <v/>
      </c>
      <c r="BU562" s="173" t="str">
        <f t="shared" si="406"/>
        <v/>
      </c>
      <c r="BV562" s="173" t="str">
        <f t="shared" si="406"/>
        <v/>
      </c>
      <c r="BW562" s="180" t="str">
        <f t="shared" si="406"/>
        <v/>
      </c>
      <c r="BX562" s="288"/>
      <c r="CM562" s="96"/>
    </row>
    <row r="563" spans="1:91">
      <c r="A563" s="47" t="str">
        <f t="shared" si="392"/>
        <v/>
      </c>
      <c r="B563" s="185">
        <f t="shared" si="392"/>
        <v>45</v>
      </c>
      <c r="C563" s="173">
        <f t="shared" si="392"/>
        <v>139.5</v>
      </c>
      <c r="D563" s="173">
        <f t="shared" si="392"/>
        <v>150</v>
      </c>
      <c r="E563" s="180">
        <f t="shared" si="392"/>
        <v>18</v>
      </c>
      <c r="G563" s="185">
        <f t="shared" si="393"/>
        <v>45</v>
      </c>
      <c r="H563" s="173">
        <f t="shared" si="393"/>
        <v>139.5</v>
      </c>
      <c r="I563" s="173">
        <f t="shared" si="393"/>
        <v>150</v>
      </c>
      <c r="J563" s="180">
        <f t="shared" si="393"/>
        <v>18</v>
      </c>
      <c r="L563" s="185">
        <f t="shared" si="394"/>
        <v>45</v>
      </c>
      <c r="M563" s="173">
        <f t="shared" si="394"/>
        <v>139.5</v>
      </c>
      <c r="N563" s="173">
        <f t="shared" si="394"/>
        <v>330</v>
      </c>
      <c r="O563" s="180">
        <f t="shared" si="394"/>
        <v>18</v>
      </c>
      <c r="Q563" s="185">
        <f t="shared" si="395"/>
        <v>45</v>
      </c>
      <c r="R563" s="173">
        <f t="shared" si="395"/>
        <v>139.5</v>
      </c>
      <c r="S563" s="173">
        <f t="shared" si="395"/>
        <v>498</v>
      </c>
      <c r="T563" s="180">
        <f t="shared" si="395"/>
        <v>18</v>
      </c>
      <c r="V563" s="185" t="str">
        <f t="shared" si="396"/>
        <v/>
      </c>
      <c r="W563" s="173" t="str">
        <f t="shared" si="396"/>
        <v/>
      </c>
      <c r="X563" s="173" t="str">
        <f t="shared" si="396"/>
        <v/>
      </c>
      <c r="Y563" s="180" t="str">
        <f t="shared" si="396"/>
        <v/>
      </c>
      <c r="AA563" s="185" t="str">
        <f t="shared" si="397"/>
        <v/>
      </c>
      <c r="AB563" s="173" t="str">
        <f t="shared" si="397"/>
        <v/>
      </c>
      <c r="AC563" s="173" t="str">
        <f t="shared" si="397"/>
        <v/>
      </c>
      <c r="AD563" s="180" t="str">
        <f t="shared" si="397"/>
        <v/>
      </c>
      <c r="AF563" s="185" t="str">
        <f t="shared" si="398"/>
        <v/>
      </c>
      <c r="AG563" s="173" t="str">
        <f t="shared" si="398"/>
        <v/>
      </c>
      <c r="AH563" s="173" t="str">
        <f t="shared" si="398"/>
        <v/>
      </c>
      <c r="AI563" s="180" t="str">
        <f t="shared" si="398"/>
        <v/>
      </c>
      <c r="AK563" s="185" t="str">
        <f t="shared" si="399"/>
        <v/>
      </c>
      <c r="AL563" s="173" t="str">
        <f t="shared" si="399"/>
        <v/>
      </c>
      <c r="AM563" s="173" t="str">
        <f t="shared" si="399"/>
        <v/>
      </c>
      <c r="AN563" s="180" t="str">
        <f t="shared" si="399"/>
        <v/>
      </c>
      <c r="AP563" s="185">
        <f t="shared" si="400"/>
        <v>45</v>
      </c>
      <c r="AQ563" s="173">
        <f t="shared" si="400"/>
        <v>139.5</v>
      </c>
      <c r="AR563" s="173">
        <f t="shared" si="400"/>
        <v>648</v>
      </c>
      <c r="AS563" s="180">
        <f t="shared" si="400"/>
        <v>18</v>
      </c>
      <c r="AT563" s="288"/>
      <c r="AU563" s="185" t="str">
        <f t="shared" si="401"/>
        <v/>
      </c>
      <c r="AV563" s="173" t="str">
        <f t="shared" si="401"/>
        <v/>
      </c>
      <c r="AW563" s="173" t="str">
        <f t="shared" si="401"/>
        <v/>
      </c>
      <c r="AX563" s="180" t="str">
        <f t="shared" si="401"/>
        <v/>
      </c>
      <c r="AZ563" s="185" t="str">
        <f t="shared" si="402"/>
        <v/>
      </c>
      <c r="BA563" s="173" t="str">
        <f t="shared" si="402"/>
        <v/>
      </c>
      <c r="BB563" s="173" t="str">
        <f t="shared" si="402"/>
        <v/>
      </c>
      <c r="BC563" s="180" t="str">
        <f t="shared" si="402"/>
        <v/>
      </c>
      <c r="BE563" s="185" t="str">
        <f t="shared" si="403"/>
        <v/>
      </c>
      <c r="BF563" s="173" t="str">
        <f t="shared" si="403"/>
        <v/>
      </c>
      <c r="BG563" s="173" t="str">
        <f t="shared" si="403"/>
        <v/>
      </c>
      <c r="BH563" s="180" t="str">
        <f t="shared" si="403"/>
        <v/>
      </c>
      <c r="BI563" s="288"/>
      <c r="BJ563" s="185" t="str">
        <f t="shared" si="404"/>
        <v/>
      </c>
      <c r="BK563" s="173" t="str">
        <f t="shared" si="404"/>
        <v/>
      </c>
      <c r="BL563" s="173" t="str">
        <f t="shared" si="404"/>
        <v/>
      </c>
      <c r="BM563" s="180" t="str">
        <f t="shared" si="404"/>
        <v/>
      </c>
      <c r="BO563" s="185" t="str">
        <f t="shared" si="405"/>
        <v/>
      </c>
      <c r="BP563" s="173" t="str">
        <f t="shared" si="405"/>
        <v/>
      </c>
      <c r="BQ563" s="173" t="str">
        <f t="shared" si="405"/>
        <v/>
      </c>
      <c r="BR563" s="180" t="str">
        <f t="shared" si="405"/>
        <v/>
      </c>
      <c r="BT563" s="185" t="str">
        <f t="shared" si="406"/>
        <v/>
      </c>
      <c r="BU563" s="173" t="str">
        <f t="shared" si="406"/>
        <v/>
      </c>
      <c r="BV563" s="173" t="str">
        <f t="shared" si="406"/>
        <v/>
      </c>
      <c r="BW563" s="180" t="str">
        <f t="shared" si="406"/>
        <v/>
      </c>
      <c r="BX563" s="288"/>
      <c r="CM563" s="96"/>
    </row>
    <row r="564" spans="1:91">
      <c r="A564" s="47" t="str">
        <f t="shared" ref="A564:E579" si="407">IF(A98="","",A98)</f>
        <v/>
      </c>
      <c r="B564" s="185">
        <f t="shared" si="407"/>
        <v>45</v>
      </c>
      <c r="C564" s="173">
        <f t="shared" si="407"/>
        <v>139.5</v>
      </c>
      <c r="D564" s="173">
        <f t="shared" si="407"/>
        <v>207</v>
      </c>
      <c r="E564" s="180">
        <f t="shared" si="407"/>
        <v>18</v>
      </c>
      <c r="G564" s="185">
        <f t="shared" ref="G564:J579" si="408">IF(G98="","",G98)</f>
        <v>45</v>
      </c>
      <c r="H564" s="173">
        <f t="shared" si="408"/>
        <v>139.5</v>
      </c>
      <c r="I564" s="173">
        <f t="shared" si="408"/>
        <v>207</v>
      </c>
      <c r="J564" s="180">
        <f t="shared" si="408"/>
        <v>18</v>
      </c>
      <c r="L564" s="185">
        <f t="shared" ref="L564:O579" si="409">IF(L98="","",L98)</f>
        <v>45</v>
      </c>
      <c r="M564" s="173">
        <f t="shared" si="409"/>
        <v>139.5</v>
      </c>
      <c r="N564" s="173">
        <f t="shared" si="409"/>
        <v>387</v>
      </c>
      <c r="O564" s="180">
        <f t="shared" si="409"/>
        <v>18</v>
      </c>
      <c r="Q564" s="185">
        <f t="shared" ref="Q564:T579" si="410">IF(Q98="","",Q98)</f>
        <v>45</v>
      </c>
      <c r="R564" s="173">
        <f t="shared" si="410"/>
        <v>139.5</v>
      </c>
      <c r="S564" s="173">
        <f t="shared" si="410"/>
        <v>555</v>
      </c>
      <c r="T564" s="180">
        <f t="shared" si="410"/>
        <v>18</v>
      </c>
      <c r="V564" s="185" t="str">
        <f t="shared" ref="V564:Y579" si="411">IF(V98="","",V98)</f>
        <v/>
      </c>
      <c r="W564" s="173" t="str">
        <f t="shared" si="411"/>
        <v/>
      </c>
      <c r="X564" s="173" t="str">
        <f t="shared" si="411"/>
        <v/>
      </c>
      <c r="Y564" s="180" t="str">
        <f t="shared" si="411"/>
        <v/>
      </c>
      <c r="AA564" s="185" t="str">
        <f t="shared" ref="AA564:AD579" si="412">IF(AA98="","",AA98)</f>
        <v/>
      </c>
      <c r="AB564" s="173" t="str">
        <f t="shared" si="412"/>
        <v/>
      </c>
      <c r="AC564" s="173" t="str">
        <f t="shared" si="412"/>
        <v/>
      </c>
      <c r="AD564" s="180" t="str">
        <f t="shared" si="412"/>
        <v/>
      </c>
      <c r="AF564" s="185" t="str">
        <f t="shared" ref="AF564:AI579" si="413">IF(AF98="","",AF98)</f>
        <v/>
      </c>
      <c r="AG564" s="173" t="str">
        <f t="shared" si="413"/>
        <v/>
      </c>
      <c r="AH564" s="173" t="str">
        <f t="shared" si="413"/>
        <v/>
      </c>
      <c r="AI564" s="180" t="str">
        <f t="shared" si="413"/>
        <v/>
      </c>
      <c r="AK564" s="185" t="str">
        <f t="shared" ref="AK564:AN579" si="414">IF(AK98="","",AK98)</f>
        <v/>
      </c>
      <c r="AL564" s="173" t="str">
        <f t="shared" si="414"/>
        <v/>
      </c>
      <c r="AM564" s="173" t="str">
        <f t="shared" si="414"/>
        <v/>
      </c>
      <c r="AN564" s="180" t="str">
        <f t="shared" si="414"/>
        <v/>
      </c>
      <c r="AP564" s="185">
        <f t="shared" ref="AP564:AS574" si="415">IF(AP98="","",AP98)</f>
        <v>45</v>
      </c>
      <c r="AQ564" s="173">
        <f t="shared" si="415"/>
        <v>139.5</v>
      </c>
      <c r="AR564" s="173">
        <f t="shared" si="415"/>
        <v>705</v>
      </c>
      <c r="AS564" s="180">
        <f t="shared" si="415"/>
        <v>18</v>
      </c>
      <c r="AT564" s="288"/>
      <c r="AU564" s="185" t="str">
        <f t="shared" ref="AU564:AX579" si="416">IF(AU98="","",AU98)</f>
        <v/>
      </c>
      <c r="AV564" s="173" t="str">
        <f t="shared" si="416"/>
        <v/>
      </c>
      <c r="AW564" s="173" t="str">
        <f t="shared" si="416"/>
        <v/>
      </c>
      <c r="AX564" s="180" t="str">
        <f t="shared" si="416"/>
        <v/>
      </c>
      <c r="AZ564" s="185" t="str">
        <f t="shared" ref="AZ564:BC579" si="417">IF(AZ98="","",AZ98)</f>
        <v/>
      </c>
      <c r="BA564" s="173" t="str">
        <f t="shared" si="417"/>
        <v/>
      </c>
      <c r="BB564" s="173" t="str">
        <f t="shared" si="417"/>
        <v/>
      </c>
      <c r="BC564" s="180" t="str">
        <f t="shared" si="417"/>
        <v/>
      </c>
      <c r="BE564" s="185" t="str">
        <f t="shared" ref="BE564:BH579" si="418">IF(BE98="","",BE98)</f>
        <v/>
      </c>
      <c r="BF564" s="173" t="str">
        <f t="shared" si="418"/>
        <v/>
      </c>
      <c r="BG564" s="173" t="str">
        <f t="shared" si="418"/>
        <v/>
      </c>
      <c r="BH564" s="180" t="str">
        <f t="shared" si="418"/>
        <v/>
      </c>
      <c r="BI564" s="288"/>
      <c r="BJ564" s="185" t="str">
        <f t="shared" ref="BJ564:BM579" si="419">IF(BJ98="","",BJ98)</f>
        <v/>
      </c>
      <c r="BK564" s="173" t="str">
        <f t="shared" si="419"/>
        <v/>
      </c>
      <c r="BL564" s="173" t="str">
        <f t="shared" si="419"/>
        <v/>
      </c>
      <c r="BM564" s="180" t="str">
        <f t="shared" si="419"/>
        <v/>
      </c>
      <c r="BO564" s="185" t="str">
        <f t="shared" ref="BO564:BR579" si="420">IF(BO98="","",BO98)</f>
        <v/>
      </c>
      <c r="BP564" s="173" t="str">
        <f t="shared" si="420"/>
        <v/>
      </c>
      <c r="BQ564" s="173" t="str">
        <f t="shared" si="420"/>
        <v/>
      </c>
      <c r="BR564" s="180" t="str">
        <f t="shared" si="420"/>
        <v/>
      </c>
      <c r="BT564" s="185" t="str">
        <f t="shared" ref="BT564:BW579" si="421">IF(BT98="","",BT98)</f>
        <v/>
      </c>
      <c r="BU564" s="173" t="str">
        <f t="shared" si="421"/>
        <v/>
      </c>
      <c r="BV564" s="173" t="str">
        <f t="shared" si="421"/>
        <v/>
      </c>
      <c r="BW564" s="180" t="str">
        <f t="shared" si="421"/>
        <v/>
      </c>
      <c r="BX564" s="288"/>
      <c r="CM564" s="96"/>
    </row>
    <row r="565" spans="1:91">
      <c r="A565" s="47" t="str">
        <f t="shared" si="407"/>
        <v/>
      </c>
      <c r="B565" s="185">
        <f t="shared" si="407"/>
        <v>45</v>
      </c>
      <c r="C565" s="173">
        <f t="shared" si="407"/>
        <v>139.5</v>
      </c>
      <c r="D565" s="173">
        <f t="shared" si="407"/>
        <v>264</v>
      </c>
      <c r="E565" s="180">
        <f t="shared" si="407"/>
        <v>18</v>
      </c>
      <c r="G565" s="185">
        <f t="shared" si="408"/>
        <v>45</v>
      </c>
      <c r="H565" s="173">
        <f t="shared" si="408"/>
        <v>139.5</v>
      </c>
      <c r="I565" s="173">
        <f t="shared" si="408"/>
        <v>264</v>
      </c>
      <c r="J565" s="180">
        <f t="shared" si="408"/>
        <v>18</v>
      </c>
      <c r="L565" s="185">
        <f t="shared" si="409"/>
        <v>45</v>
      </c>
      <c r="M565" s="173">
        <f t="shared" si="409"/>
        <v>139.5</v>
      </c>
      <c r="N565" s="173">
        <f t="shared" si="409"/>
        <v>444</v>
      </c>
      <c r="O565" s="180">
        <f t="shared" si="409"/>
        <v>18</v>
      </c>
      <c r="Q565" s="185">
        <f t="shared" si="410"/>
        <v>45</v>
      </c>
      <c r="R565" s="173">
        <f t="shared" si="410"/>
        <v>139.5</v>
      </c>
      <c r="S565" s="173">
        <f t="shared" si="410"/>
        <v>612</v>
      </c>
      <c r="T565" s="180">
        <f t="shared" si="410"/>
        <v>18</v>
      </c>
      <c r="V565" s="185" t="str">
        <f t="shared" si="411"/>
        <v/>
      </c>
      <c r="W565" s="173" t="str">
        <f t="shared" si="411"/>
        <v/>
      </c>
      <c r="X565" s="173" t="str">
        <f t="shared" si="411"/>
        <v/>
      </c>
      <c r="Y565" s="180" t="str">
        <f t="shared" si="411"/>
        <v/>
      </c>
      <c r="AA565" s="185" t="str">
        <f t="shared" si="412"/>
        <v/>
      </c>
      <c r="AB565" s="173" t="str">
        <f t="shared" si="412"/>
        <v/>
      </c>
      <c r="AC565" s="173" t="str">
        <f t="shared" si="412"/>
        <v/>
      </c>
      <c r="AD565" s="180" t="str">
        <f t="shared" si="412"/>
        <v/>
      </c>
      <c r="AF565" s="185" t="str">
        <f t="shared" si="413"/>
        <v/>
      </c>
      <c r="AG565" s="173" t="str">
        <f t="shared" si="413"/>
        <v/>
      </c>
      <c r="AH565" s="173" t="str">
        <f t="shared" si="413"/>
        <v/>
      </c>
      <c r="AI565" s="180" t="str">
        <f t="shared" si="413"/>
        <v/>
      </c>
      <c r="AK565" s="185" t="str">
        <f t="shared" si="414"/>
        <v/>
      </c>
      <c r="AL565" s="173" t="str">
        <f t="shared" si="414"/>
        <v/>
      </c>
      <c r="AM565" s="173" t="str">
        <f t="shared" si="414"/>
        <v/>
      </c>
      <c r="AN565" s="180" t="str">
        <f t="shared" si="414"/>
        <v/>
      </c>
      <c r="AP565" s="185">
        <f t="shared" si="415"/>
        <v>45</v>
      </c>
      <c r="AQ565" s="173">
        <f t="shared" si="415"/>
        <v>139.5</v>
      </c>
      <c r="AR565" s="173">
        <f t="shared" si="415"/>
        <v>762</v>
      </c>
      <c r="AS565" s="180">
        <f t="shared" si="415"/>
        <v>18</v>
      </c>
      <c r="AT565" s="288"/>
      <c r="AU565" s="185" t="str">
        <f t="shared" si="416"/>
        <v/>
      </c>
      <c r="AV565" s="173" t="str">
        <f t="shared" si="416"/>
        <v/>
      </c>
      <c r="AW565" s="173" t="str">
        <f t="shared" si="416"/>
        <v/>
      </c>
      <c r="AX565" s="180" t="str">
        <f t="shared" si="416"/>
        <v/>
      </c>
      <c r="AZ565" s="185" t="str">
        <f t="shared" si="417"/>
        <v/>
      </c>
      <c r="BA565" s="173" t="str">
        <f t="shared" si="417"/>
        <v/>
      </c>
      <c r="BB565" s="173" t="str">
        <f t="shared" si="417"/>
        <v/>
      </c>
      <c r="BC565" s="180" t="str">
        <f t="shared" si="417"/>
        <v/>
      </c>
      <c r="BE565" s="185" t="str">
        <f t="shared" si="418"/>
        <v/>
      </c>
      <c r="BF565" s="173" t="str">
        <f t="shared" si="418"/>
        <v/>
      </c>
      <c r="BG565" s="173" t="str">
        <f t="shared" si="418"/>
        <v/>
      </c>
      <c r="BH565" s="180" t="str">
        <f t="shared" si="418"/>
        <v/>
      </c>
      <c r="BI565" s="288"/>
      <c r="BJ565" s="185" t="str">
        <f t="shared" si="419"/>
        <v/>
      </c>
      <c r="BK565" s="173" t="str">
        <f t="shared" si="419"/>
        <v/>
      </c>
      <c r="BL565" s="173" t="str">
        <f t="shared" si="419"/>
        <v/>
      </c>
      <c r="BM565" s="180" t="str">
        <f t="shared" si="419"/>
        <v/>
      </c>
      <c r="BO565" s="185" t="str">
        <f t="shared" si="420"/>
        <v/>
      </c>
      <c r="BP565" s="173" t="str">
        <f t="shared" si="420"/>
        <v/>
      </c>
      <c r="BQ565" s="173" t="str">
        <f t="shared" si="420"/>
        <v/>
      </c>
      <c r="BR565" s="180" t="str">
        <f t="shared" si="420"/>
        <v/>
      </c>
      <c r="BT565" s="185" t="str">
        <f t="shared" si="421"/>
        <v/>
      </c>
      <c r="BU565" s="173" t="str">
        <f t="shared" si="421"/>
        <v/>
      </c>
      <c r="BV565" s="173" t="str">
        <f t="shared" si="421"/>
        <v/>
      </c>
      <c r="BW565" s="180" t="str">
        <f t="shared" si="421"/>
        <v/>
      </c>
      <c r="BX565" s="288"/>
      <c r="CM565" s="96"/>
    </row>
    <row r="566" spans="1:91">
      <c r="A566" s="47" t="str">
        <f t="shared" si="407"/>
        <v/>
      </c>
      <c r="B566" s="185">
        <f t="shared" si="407"/>
        <v>45</v>
      </c>
      <c r="C566" s="173">
        <f t="shared" si="407"/>
        <v>139.5</v>
      </c>
      <c r="D566" s="173">
        <f t="shared" si="407"/>
        <v>321</v>
      </c>
      <c r="E566" s="180">
        <f t="shared" si="407"/>
        <v>18</v>
      </c>
      <c r="G566" s="185">
        <f t="shared" si="408"/>
        <v>45</v>
      </c>
      <c r="H566" s="173">
        <f t="shared" si="408"/>
        <v>139.5</v>
      </c>
      <c r="I566" s="173">
        <f t="shared" si="408"/>
        <v>321</v>
      </c>
      <c r="J566" s="180">
        <f t="shared" si="408"/>
        <v>18</v>
      </c>
      <c r="L566" s="185">
        <f t="shared" si="409"/>
        <v>45</v>
      </c>
      <c r="M566" s="173">
        <f t="shared" si="409"/>
        <v>139.5</v>
      </c>
      <c r="N566" s="173">
        <f t="shared" si="409"/>
        <v>501</v>
      </c>
      <c r="O566" s="180">
        <f t="shared" si="409"/>
        <v>18</v>
      </c>
      <c r="Q566" s="185">
        <f t="shared" si="410"/>
        <v>45</v>
      </c>
      <c r="R566" s="173">
        <f t="shared" si="410"/>
        <v>139.5</v>
      </c>
      <c r="S566" s="173">
        <f t="shared" si="410"/>
        <v>669</v>
      </c>
      <c r="T566" s="180">
        <f t="shared" si="410"/>
        <v>18</v>
      </c>
      <c r="V566" s="185" t="str">
        <f t="shared" si="411"/>
        <v/>
      </c>
      <c r="W566" s="173" t="str">
        <f t="shared" si="411"/>
        <v/>
      </c>
      <c r="X566" s="173" t="str">
        <f t="shared" si="411"/>
        <v/>
      </c>
      <c r="Y566" s="180" t="str">
        <f t="shared" si="411"/>
        <v/>
      </c>
      <c r="AA566" s="185" t="str">
        <f t="shared" si="412"/>
        <v/>
      </c>
      <c r="AB566" s="173" t="str">
        <f t="shared" si="412"/>
        <v/>
      </c>
      <c r="AC566" s="173" t="str">
        <f t="shared" si="412"/>
        <v/>
      </c>
      <c r="AD566" s="180" t="str">
        <f t="shared" si="412"/>
        <v/>
      </c>
      <c r="AF566" s="185" t="str">
        <f t="shared" si="413"/>
        <v/>
      </c>
      <c r="AG566" s="173" t="str">
        <f t="shared" si="413"/>
        <v/>
      </c>
      <c r="AH566" s="173" t="str">
        <f t="shared" si="413"/>
        <v/>
      </c>
      <c r="AI566" s="180" t="str">
        <f t="shared" si="413"/>
        <v/>
      </c>
      <c r="AK566" s="185" t="str">
        <f t="shared" si="414"/>
        <v/>
      </c>
      <c r="AL566" s="173" t="str">
        <f t="shared" si="414"/>
        <v/>
      </c>
      <c r="AM566" s="173" t="str">
        <f t="shared" si="414"/>
        <v/>
      </c>
      <c r="AN566" s="180" t="str">
        <f t="shared" si="414"/>
        <v/>
      </c>
      <c r="AP566" s="185">
        <f t="shared" si="415"/>
        <v>45</v>
      </c>
      <c r="AQ566" s="173">
        <f t="shared" si="415"/>
        <v>139.5</v>
      </c>
      <c r="AR566" s="173">
        <f t="shared" si="415"/>
        <v>819</v>
      </c>
      <c r="AS566" s="180">
        <f t="shared" si="415"/>
        <v>18</v>
      </c>
      <c r="AT566" s="288"/>
      <c r="AU566" s="185" t="str">
        <f t="shared" si="416"/>
        <v/>
      </c>
      <c r="AV566" s="173" t="str">
        <f t="shared" si="416"/>
        <v/>
      </c>
      <c r="AW566" s="173" t="str">
        <f t="shared" si="416"/>
        <v/>
      </c>
      <c r="AX566" s="180" t="str">
        <f t="shared" si="416"/>
        <v/>
      </c>
      <c r="AZ566" s="185" t="str">
        <f t="shared" si="417"/>
        <v/>
      </c>
      <c r="BA566" s="173" t="str">
        <f t="shared" si="417"/>
        <v/>
      </c>
      <c r="BB566" s="173" t="str">
        <f t="shared" si="417"/>
        <v/>
      </c>
      <c r="BC566" s="180" t="str">
        <f t="shared" si="417"/>
        <v/>
      </c>
      <c r="BE566" s="185" t="str">
        <f t="shared" si="418"/>
        <v/>
      </c>
      <c r="BF566" s="173" t="str">
        <f t="shared" si="418"/>
        <v/>
      </c>
      <c r="BG566" s="173" t="str">
        <f t="shared" si="418"/>
        <v/>
      </c>
      <c r="BH566" s="180" t="str">
        <f t="shared" si="418"/>
        <v/>
      </c>
      <c r="BI566" s="288"/>
      <c r="BJ566" s="185" t="str">
        <f t="shared" si="419"/>
        <v/>
      </c>
      <c r="BK566" s="173" t="str">
        <f t="shared" si="419"/>
        <v/>
      </c>
      <c r="BL566" s="173" t="str">
        <f t="shared" si="419"/>
        <v/>
      </c>
      <c r="BM566" s="180" t="str">
        <f t="shared" si="419"/>
        <v/>
      </c>
      <c r="BO566" s="185" t="str">
        <f t="shared" si="420"/>
        <v/>
      </c>
      <c r="BP566" s="173" t="str">
        <f t="shared" si="420"/>
        <v/>
      </c>
      <c r="BQ566" s="173" t="str">
        <f t="shared" si="420"/>
        <v/>
      </c>
      <c r="BR566" s="180" t="str">
        <f t="shared" si="420"/>
        <v/>
      </c>
      <c r="BT566" s="185" t="str">
        <f t="shared" si="421"/>
        <v/>
      </c>
      <c r="BU566" s="173" t="str">
        <f t="shared" si="421"/>
        <v/>
      </c>
      <c r="BV566" s="173" t="str">
        <f t="shared" si="421"/>
        <v/>
      </c>
      <c r="BW566" s="180" t="str">
        <f t="shared" si="421"/>
        <v/>
      </c>
      <c r="BX566" s="288"/>
      <c r="CM566" s="96"/>
    </row>
    <row r="567" spans="1:91">
      <c r="A567" s="47" t="str">
        <f t="shared" si="407"/>
        <v/>
      </c>
      <c r="B567" s="185">
        <f t="shared" si="407"/>
        <v>45</v>
      </c>
      <c r="C567" s="173">
        <f t="shared" si="407"/>
        <v>139.5</v>
      </c>
      <c r="D567" s="173">
        <f t="shared" si="407"/>
        <v>378</v>
      </c>
      <c r="E567" s="180">
        <f t="shared" si="407"/>
        <v>18</v>
      </c>
      <c r="G567" s="185">
        <f t="shared" si="408"/>
        <v>45</v>
      </c>
      <c r="H567" s="173">
        <f t="shared" si="408"/>
        <v>139.5</v>
      </c>
      <c r="I567" s="173">
        <f t="shared" si="408"/>
        <v>378</v>
      </c>
      <c r="J567" s="180">
        <f t="shared" si="408"/>
        <v>18</v>
      </c>
      <c r="L567" s="185">
        <f t="shared" si="409"/>
        <v>45</v>
      </c>
      <c r="M567" s="173">
        <f t="shared" si="409"/>
        <v>139.5</v>
      </c>
      <c r="N567" s="173">
        <f t="shared" si="409"/>
        <v>558</v>
      </c>
      <c r="O567" s="180">
        <f t="shared" si="409"/>
        <v>18</v>
      </c>
      <c r="Q567" s="185" t="str">
        <f t="shared" si="410"/>
        <v/>
      </c>
      <c r="R567" s="173" t="str">
        <f t="shared" si="410"/>
        <v/>
      </c>
      <c r="S567" s="173" t="str">
        <f t="shared" si="410"/>
        <v/>
      </c>
      <c r="T567" s="180" t="str">
        <f t="shared" si="410"/>
        <v/>
      </c>
      <c r="V567" s="185" t="str">
        <f t="shared" si="411"/>
        <v/>
      </c>
      <c r="W567" s="173" t="str">
        <f t="shared" si="411"/>
        <v/>
      </c>
      <c r="X567" s="173" t="str">
        <f t="shared" si="411"/>
        <v/>
      </c>
      <c r="Y567" s="180" t="str">
        <f t="shared" si="411"/>
        <v/>
      </c>
      <c r="AA567" s="185" t="str">
        <f t="shared" si="412"/>
        <v/>
      </c>
      <c r="AB567" s="173" t="str">
        <f t="shared" si="412"/>
        <v/>
      </c>
      <c r="AC567" s="173" t="str">
        <f t="shared" si="412"/>
        <v/>
      </c>
      <c r="AD567" s="180" t="str">
        <f t="shared" si="412"/>
        <v/>
      </c>
      <c r="AF567" s="185" t="str">
        <f t="shared" si="413"/>
        <v/>
      </c>
      <c r="AG567" s="173" t="str">
        <f t="shared" si="413"/>
        <v/>
      </c>
      <c r="AH567" s="173" t="str">
        <f t="shared" si="413"/>
        <v/>
      </c>
      <c r="AI567" s="180" t="str">
        <f t="shared" si="413"/>
        <v/>
      </c>
      <c r="AK567" s="185" t="str">
        <f t="shared" si="414"/>
        <v/>
      </c>
      <c r="AL567" s="173" t="str">
        <f t="shared" si="414"/>
        <v/>
      </c>
      <c r="AM567" s="173" t="str">
        <f t="shared" si="414"/>
        <v/>
      </c>
      <c r="AN567" s="180" t="str">
        <f t="shared" si="414"/>
        <v/>
      </c>
      <c r="AP567" s="241">
        <f t="shared" si="415"/>
        <v>45</v>
      </c>
      <c r="AQ567" s="242">
        <f t="shared" si="415"/>
        <v>10</v>
      </c>
      <c r="AR567" s="242">
        <f t="shared" si="415"/>
        <v>50</v>
      </c>
      <c r="AS567" s="243">
        <f t="shared" si="415"/>
        <v>18</v>
      </c>
      <c r="AT567" s="288"/>
      <c r="AU567" s="185" t="str">
        <f t="shared" si="416"/>
        <v/>
      </c>
      <c r="AV567" s="173" t="str">
        <f t="shared" si="416"/>
        <v/>
      </c>
      <c r="AW567" s="173" t="str">
        <f t="shared" si="416"/>
        <v/>
      </c>
      <c r="AX567" s="180" t="str">
        <f t="shared" si="416"/>
        <v/>
      </c>
      <c r="AZ567" s="185" t="str">
        <f t="shared" si="417"/>
        <v/>
      </c>
      <c r="BA567" s="173" t="str">
        <f t="shared" si="417"/>
        <v/>
      </c>
      <c r="BB567" s="173" t="str">
        <f t="shared" si="417"/>
        <v/>
      </c>
      <c r="BC567" s="180" t="str">
        <f t="shared" si="417"/>
        <v/>
      </c>
      <c r="BE567" s="185" t="str">
        <f t="shared" si="418"/>
        <v/>
      </c>
      <c r="BF567" s="173" t="str">
        <f t="shared" si="418"/>
        <v/>
      </c>
      <c r="BG567" s="173" t="str">
        <f t="shared" si="418"/>
        <v/>
      </c>
      <c r="BH567" s="180" t="str">
        <f t="shared" si="418"/>
        <v/>
      </c>
      <c r="BI567" s="288"/>
      <c r="BJ567" s="185" t="str">
        <f t="shared" si="419"/>
        <v/>
      </c>
      <c r="BK567" s="173" t="str">
        <f t="shared" si="419"/>
        <v/>
      </c>
      <c r="BL567" s="173" t="str">
        <f t="shared" si="419"/>
        <v/>
      </c>
      <c r="BM567" s="180" t="str">
        <f t="shared" si="419"/>
        <v/>
      </c>
      <c r="BO567" s="185" t="str">
        <f t="shared" si="420"/>
        <v/>
      </c>
      <c r="BP567" s="173" t="str">
        <f t="shared" si="420"/>
        <v/>
      </c>
      <c r="BQ567" s="173" t="str">
        <f t="shared" si="420"/>
        <v/>
      </c>
      <c r="BR567" s="180" t="str">
        <f t="shared" si="420"/>
        <v/>
      </c>
      <c r="BT567" s="185" t="str">
        <f t="shared" si="421"/>
        <v/>
      </c>
      <c r="BU567" s="173" t="str">
        <f t="shared" si="421"/>
        <v/>
      </c>
      <c r="BV567" s="173" t="str">
        <f t="shared" si="421"/>
        <v/>
      </c>
      <c r="BW567" s="180" t="str">
        <f t="shared" si="421"/>
        <v/>
      </c>
      <c r="BX567" s="288"/>
      <c r="CM567" s="96"/>
    </row>
    <row r="568" spans="1:91">
      <c r="A568" s="47" t="str">
        <f t="shared" si="407"/>
        <v/>
      </c>
      <c r="B568" s="185">
        <f t="shared" si="407"/>
        <v>45</v>
      </c>
      <c r="C568" s="173">
        <f t="shared" si="407"/>
        <v>139.5</v>
      </c>
      <c r="D568" s="173">
        <f t="shared" si="407"/>
        <v>435</v>
      </c>
      <c r="E568" s="180">
        <f t="shared" si="407"/>
        <v>18</v>
      </c>
      <c r="G568" s="185">
        <f t="shared" si="408"/>
        <v>45</v>
      </c>
      <c r="H568" s="173">
        <f t="shared" si="408"/>
        <v>139.5</v>
      </c>
      <c r="I568" s="173">
        <f t="shared" si="408"/>
        <v>435</v>
      </c>
      <c r="J568" s="180">
        <f t="shared" si="408"/>
        <v>18</v>
      </c>
      <c r="L568" s="185">
        <f t="shared" si="409"/>
        <v>45</v>
      </c>
      <c r="M568" s="173">
        <f t="shared" si="409"/>
        <v>139.5</v>
      </c>
      <c r="N568" s="173">
        <f t="shared" si="409"/>
        <v>615</v>
      </c>
      <c r="O568" s="180">
        <f t="shared" si="409"/>
        <v>18</v>
      </c>
      <c r="Q568" s="185" t="str">
        <f t="shared" si="410"/>
        <v/>
      </c>
      <c r="R568" s="173" t="str">
        <f t="shared" si="410"/>
        <v/>
      </c>
      <c r="S568" s="173" t="str">
        <f t="shared" si="410"/>
        <v/>
      </c>
      <c r="T568" s="180" t="str">
        <f t="shared" si="410"/>
        <v/>
      </c>
      <c r="V568" s="185" t="str">
        <f t="shared" si="411"/>
        <v/>
      </c>
      <c r="W568" s="173" t="str">
        <f t="shared" si="411"/>
        <v/>
      </c>
      <c r="X568" s="173" t="str">
        <f t="shared" si="411"/>
        <v/>
      </c>
      <c r="Y568" s="180" t="str">
        <f t="shared" si="411"/>
        <v/>
      </c>
      <c r="AA568" s="185" t="str">
        <f t="shared" si="412"/>
        <v/>
      </c>
      <c r="AB568" s="173" t="str">
        <f t="shared" si="412"/>
        <v/>
      </c>
      <c r="AC568" s="173" t="str">
        <f t="shared" si="412"/>
        <v/>
      </c>
      <c r="AD568" s="180" t="str">
        <f t="shared" si="412"/>
        <v/>
      </c>
      <c r="AF568" s="185" t="str">
        <f t="shared" si="413"/>
        <v/>
      </c>
      <c r="AG568" s="173" t="str">
        <f t="shared" si="413"/>
        <v/>
      </c>
      <c r="AH568" s="173" t="str">
        <f t="shared" si="413"/>
        <v/>
      </c>
      <c r="AI568" s="180" t="str">
        <f t="shared" si="413"/>
        <v/>
      </c>
      <c r="AK568" s="185" t="str">
        <f t="shared" si="414"/>
        <v/>
      </c>
      <c r="AL568" s="173" t="str">
        <f t="shared" si="414"/>
        <v/>
      </c>
      <c r="AM568" s="173" t="str">
        <f t="shared" si="414"/>
        <v/>
      </c>
      <c r="AN568" s="180" t="str">
        <f t="shared" si="414"/>
        <v/>
      </c>
      <c r="AP568" s="244">
        <f t="shared" si="415"/>
        <v>45</v>
      </c>
      <c r="AQ568" s="245">
        <f t="shared" si="415"/>
        <v>10</v>
      </c>
      <c r="AR568" s="245">
        <f t="shared" si="415"/>
        <v>107</v>
      </c>
      <c r="AS568" s="246">
        <f t="shared" si="415"/>
        <v>18</v>
      </c>
      <c r="AT568" s="288"/>
      <c r="AU568" s="185" t="str">
        <f t="shared" si="416"/>
        <v/>
      </c>
      <c r="AV568" s="173" t="str">
        <f t="shared" si="416"/>
        <v/>
      </c>
      <c r="AW568" s="173" t="str">
        <f t="shared" si="416"/>
        <v/>
      </c>
      <c r="AX568" s="180" t="str">
        <f t="shared" si="416"/>
        <v/>
      </c>
      <c r="AZ568" s="185" t="str">
        <f t="shared" si="417"/>
        <v/>
      </c>
      <c r="BA568" s="173" t="str">
        <f t="shared" si="417"/>
        <v/>
      </c>
      <c r="BB568" s="173" t="str">
        <f t="shared" si="417"/>
        <v/>
      </c>
      <c r="BC568" s="180" t="str">
        <f t="shared" si="417"/>
        <v/>
      </c>
      <c r="BE568" s="185" t="str">
        <f t="shared" si="418"/>
        <v/>
      </c>
      <c r="BF568" s="173" t="str">
        <f t="shared" si="418"/>
        <v/>
      </c>
      <c r="BG568" s="173" t="str">
        <f t="shared" si="418"/>
        <v/>
      </c>
      <c r="BH568" s="180" t="str">
        <f t="shared" si="418"/>
        <v/>
      </c>
      <c r="BI568" s="288"/>
      <c r="BJ568" s="185" t="str">
        <f t="shared" si="419"/>
        <v/>
      </c>
      <c r="BK568" s="173" t="str">
        <f t="shared" si="419"/>
        <v/>
      </c>
      <c r="BL568" s="173" t="str">
        <f t="shared" si="419"/>
        <v/>
      </c>
      <c r="BM568" s="180" t="str">
        <f t="shared" si="419"/>
        <v/>
      </c>
      <c r="BO568" s="185" t="str">
        <f t="shared" si="420"/>
        <v/>
      </c>
      <c r="BP568" s="173" t="str">
        <f t="shared" si="420"/>
        <v/>
      </c>
      <c r="BQ568" s="173" t="str">
        <f t="shared" si="420"/>
        <v/>
      </c>
      <c r="BR568" s="180" t="str">
        <f t="shared" si="420"/>
        <v/>
      </c>
      <c r="BT568" s="185" t="str">
        <f t="shared" si="421"/>
        <v/>
      </c>
      <c r="BU568" s="173" t="str">
        <f t="shared" si="421"/>
        <v/>
      </c>
      <c r="BV568" s="173" t="str">
        <f t="shared" si="421"/>
        <v/>
      </c>
      <c r="BW568" s="180" t="str">
        <f t="shared" si="421"/>
        <v/>
      </c>
      <c r="BX568" s="288"/>
      <c r="CM568" s="96"/>
    </row>
    <row r="569" spans="1:91">
      <c r="A569" s="47" t="str">
        <f t="shared" si="407"/>
        <v/>
      </c>
      <c r="B569" s="185">
        <f t="shared" si="407"/>
        <v>45</v>
      </c>
      <c r="C569" s="173">
        <f t="shared" si="407"/>
        <v>139.5</v>
      </c>
      <c r="D569" s="173">
        <f t="shared" si="407"/>
        <v>492</v>
      </c>
      <c r="E569" s="180">
        <f t="shared" si="407"/>
        <v>18</v>
      </c>
      <c r="G569" s="185">
        <f t="shared" si="408"/>
        <v>45</v>
      </c>
      <c r="H569" s="173">
        <f t="shared" si="408"/>
        <v>139.5</v>
      </c>
      <c r="I569" s="173">
        <f t="shared" si="408"/>
        <v>492</v>
      </c>
      <c r="J569" s="180">
        <f t="shared" si="408"/>
        <v>18</v>
      </c>
      <c r="L569" s="185">
        <f t="shared" si="409"/>
        <v>45</v>
      </c>
      <c r="M569" s="173">
        <f t="shared" si="409"/>
        <v>139.5</v>
      </c>
      <c r="N569" s="173">
        <f t="shared" si="409"/>
        <v>672</v>
      </c>
      <c r="O569" s="180">
        <f t="shared" si="409"/>
        <v>18</v>
      </c>
      <c r="Q569" s="185" t="str">
        <f t="shared" si="410"/>
        <v/>
      </c>
      <c r="R569" s="173" t="str">
        <f t="shared" si="410"/>
        <v/>
      </c>
      <c r="S569" s="173" t="str">
        <f t="shared" si="410"/>
        <v/>
      </c>
      <c r="T569" s="180" t="str">
        <f t="shared" si="410"/>
        <v/>
      </c>
      <c r="V569" s="185" t="str">
        <f t="shared" si="411"/>
        <v/>
      </c>
      <c r="W569" s="173" t="str">
        <f t="shared" si="411"/>
        <v/>
      </c>
      <c r="X569" s="173" t="str">
        <f t="shared" si="411"/>
        <v/>
      </c>
      <c r="Y569" s="180" t="str">
        <f t="shared" si="411"/>
        <v/>
      </c>
      <c r="AA569" s="185" t="str">
        <f t="shared" si="412"/>
        <v/>
      </c>
      <c r="AB569" s="173" t="str">
        <f t="shared" si="412"/>
        <v/>
      </c>
      <c r="AC569" s="173" t="str">
        <f t="shared" si="412"/>
        <v/>
      </c>
      <c r="AD569" s="180" t="str">
        <f t="shared" si="412"/>
        <v/>
      </c>
      <c r="AF569" s="185" t="str">
        <f t="shared" si="413"/>
        <v/>
      </c>
      <c r="AG569" s="173" t="str">
        <f t="shared" si="413"/>
        <v/>
      </c>
      <c r="AH569" s="173" t="str">
        <f t="shared" si="413"/>
        <v/>
      </c>
      <c r="AI569" s="180" t="str">
        <f t="shared" si="413"/>
        <v/>
      </c>
      <c r="AK569" s="185" t="str">
        <f t="shared" si="414"/>
        <v/>
      </c>
      <c r="AL569" s="173" t="str">
        <f t="shared" si="414"/>
        <v/>
      </c>
      <c r="AM569" s="173" t="str">
        <f t="shared" si="414"/>
        <v/>
      </c>
      <c r="AN569" s="180" t="str">
        <f t="shared" si="414"/>
        <v/>
      </c>
      <c r="AP569" s="244">
        <f t="shared" si="415"/>
        <v>45</v>
      </c>
      <c r="AQ569" s="245">
        <f t="shared" si="415"/>
        <v>54</v>
      </c>
      <c r="AR569" s="245">
        <f t="shared" si="415"/>
        <v>50</v>
      </c>
      <c r="AS569" s="246">
        <f t="shared" si="415"/>
        <v>18</v>
      </c>
      <c r="AT569" s="288"/>
      <c r="AU569" s="185" t="str">
        <f t="shared" si="416"/>
        <v/>
      </c>
      <c r="AV569" s="173" t="str">
        <f t="shared" si="416"/>
        <v/>
      </c>
      <c r="AW569" s="173" t="str">
        <f t="shared" si="416"/>
        <v/>
      </c>
      <c r="AX569" s="180" t="str">
        <f t="shared" si="416"/>
        <v/>
      </c>
      <c r="AZ569" s="185" t="str">
        <f t="shared" si="417"/>
        <v/>
      </c>
      <c r="BA569" s="173" t="str">
        <f t="shared" si="417"/>
        <v/>
      </c>
      <c r="BB569" s="173" t="str">
        <f t="shared" si="417"/>
        <v/>
      </c>
      <c r="BC569" s="180" t="str">
        <f t="shared" si="417"/>
        <v/>
      </c>
      <c r="BE569" s="185" t="str">
        <f t="shared" si="418"/>
        <v/>
      </c>
      <c r="BF569" s="173" t="str">
        <f t="shared" si="418"/>
        <v/>
      </c>
      <c r="BG569" s="173" t="str">
        <f t="shared" si="418"/>
        <v/>
      </c>
      <c r="BH569" s="180" t="str">
        <f t="shared" si="418"/>
        <v/>
      </c>
      <c r="BI569" s="288"/>
      <c r="BJ569" s="185" t="str">
        <f t="shared" si="419"/>
        <v/>
      </c>
      <c r="BK569" s="173" t="str">
        <f t="shared" si="419"/>
        <v/>
      </c>
      <c r="BL569" s="173" t="str">
        <f t="shared" si="419"/>
        <v/>
      </c>
      <c r="BM569" s="180" t="str">
        <f t="shared" si="419"/>
        <v/>
      </c>
      <c r="BO569" s="185" t="str">
        <f t="shared" si="420"/>
        <v/>
      </c>
      <c r="BP569" s="173" t="str">
        <f t="shared" si="420"/>
        <v/>
      </c>
      <c r="BQ569" s="173" t="str">
        <f t="shared" si="420"/>
        <v/>
      </c>
      <c r="BR569" s="180" t="str">
        <f t="shared" si="420"/>
        <v/>
      </c>
      <c r="BT569" s="185" t="str">
        <f t="shared" si="421"/>
        <v/>
      </c>
      <c r="BU569" s="173" t="str">
        <f t="shared" si="421"/>
        <v/>
      </c>
      <c r="BV569" s="173" t="str">
        <f t="shared" si="421"/>
        <v/>
      </c>
      <c r="BW569" s="180" t="str">
        <f t="shared" si="421"/>
        <v/>
      </c>
      <c r="BX569" s="288"/>
      <c r="CM569" s="96"/>
    </row>
    <row r="570" spans="1:91">
      <c r="A570" s="47" t="str">
        <f t="shared" si="407"/>
        <v/>
      </c>
      <c r="B570" s="185">
        <f t="shared" si="407"/>
        <v>45</v>
      </c>
      <c r="C570" s="173">
        <f t="shared" si="407"/>
        <v>139.5</v>
      </c>
      <c r="D570" s="173">
        <f t="shared" si="407"/>
        <v>549</v>
      </c>
      <c r="E570" s="180">
        <f t="shared" si="407"/>
        <v>18</v>
      </c>
      <c r="G570" s="185">
        <f t="shared" si="408"/>
        <v>45</v>
      </c>
      <c r="H570" s="173">
        <f t="shared" si="408"/>
        <v>139.5</v>
      </c>
      <c r="I570" s="173">
        <f t="shared" si="408"/>
        <v>549</v>
      </c>
      <c r="J570" s="180">
        <f t="shared" si="408"/>
        <v>18</v>
      </c>
      <c r="L570" s="185">
        <f t="shared" si="409"/>
        <v>45</v>
      </c>
      <c r="M570" s="173">
        <f t="shared" si="409"/>
        <v>139.5</v>
      </c>
      <c r="N570" s="173">
        <f t="shared" si="409"/>
        <v>729</v>
      </c>
      <c r="O570" s="180">
        <f t="shared" si="409"/>
        <v>18</v>
      </c>
      <c r="Q570" s="185" t="str">
        <f t="shared" si="410"/>
        <v/>
      </c>
      <c r="R570" s="173" t="str">
        <f t="shared" si="410"/>
        <v/>
      </c>
      <c r="S570" s="173" t="str">
        <f t="shared" si="410"/>
        <v/>
      </c>
      <c r="T570" s="180" t="str">
        <f t="shared" si="410"/>
        <v/>
      </c>
      <c r="V570" s="185" t="str">
        <f t="shared" si="411"/>
        <v/>
      </c>
      <c r="W570" s="173" t="str">
        <f t="shared" si="411"/>
        <v/>
      </c>
      <c r="X570" s="173" t="str">
        <f t="shared" si="411"/>
        <v/>
      </c>
      <c r="Y570" s="180" t="str">
        <f t="shared" si="411"/>
        <v/>
      </c>
      <c r="AA570" s="185" t="str">
        <f t="shared" si="412"/>
        <v/>
      </c>
      <c r="AB570" s="173" t="str">
        <f t="shared" si="412"/>
        <v/>
      </c>
      <c r="AC570" s="173" t="str">
        <f t="shared" si="412"/>
        <v/>
      </c>
      <c r="AD570" s="180" t="str">
        <f t="shared" si="412"/>
        <v/>
      </c>
      <c r="AF570" s="185" t="str">
        <f t="shared" si="413"/>
        <v/>
      </c>
      <c r="AG570" s="173" t="str">
        <f t="shared" si="413"/>
        <v/>
      </c>
      <c r="AH570" s="173" t="str">
        <f t="shared" si="413"/>
        <v/>
      </c>
      <c r="AI570" s="180" t="str">
        <f t="shared" si="413"/>
        <v/>
      </c>
      <c r="AK570" s="185" t="str">
        <f t="shared" si="414"/>
        <v/>
      </c>
      <c r="AL570" s="173" t="str">
        <f t="shared" si="414"/>
        <v/>
      </c>
      <c r="AM570" s="173" t="str">
        <f t="shared" si="414"/>
        <v/>
      </c>
      <c r="AN570" s="180" t="str">
        <f t="shared" si="414"/>
        <v/>
      </c>
      <c r="AP570" s="244">
        <f t="shared" si="415"/>
        <v>45</v>
      </c>
      <c r="AQ570" s="245">
        <f t="shared" si="415"/>
        <v>54</v>
      </c>
      <c r="AR570" s="245">
        <f t="shared" si="415"/>
        <v>107</v>
      </c>
      <c r="AS570" s="246">
        <f t="shared" si="415"/>
        <v>18</v>
      </c>
      <c r="AT570" s="288"/>
      <c r="AU570" s="185" t="str">
        <f t="shared" si="416"/>
        <v/>
      </c>
      <c r="AV570" s="173" t="str">
        <f t="shared" si="416"/>
        <v/>
      </c>
      <c r="AW570" s="173" t="str">
        <f t="shared" si="416"/>
        <v/>
      </c>
      <c r="AX570" s="180" t="str">
        <f t="shared" si="416"/>
        <v/>
      </c>
      <c r="AZ570" s="185" t="str">
        <f t="shared" si="417"/>
        <v/>
      </c>
      <c r="BA570" s="173" t="str">
        <f t="shared" si="417"/>
        <v/>
      </c>
      <c r="BB570" s="173" t="str">
        <f t="shared" si="417"/>
        <v/>
      </c>
      <c r="BC570" s="180" t="str">
        <f t="shared" si="417"/>
        <v/>
      </c>
      <c r="BE570" s="185" t="str">
        <f t="shared" si="418"/>
        <v/>
      </c>
      <c r="BF570" s="173" t="str">
        <f t="shared" si="418"/>
        <v/>
      </c>
      <c r="BG570" s="173" t="str">
        <f t="shared" si="418"/>
        <v/>
      </c>
      <c r="BH570" s="180" t="str">
        <f t="shared" si="418"/>
        <v/>
      </c>
      <c r="BI570" s="288"/>
      <c r="BJ570" s="185" t="str">
        <f t="shared" si="419"/>
        <v/>
      </c>
      <c r="BK570" s="173" t="str">
        <f t="shared" si="419"/>
        <v/>
      </c>
      <c r="BL570" s="173" t="str">
        <f t="shared" si="419"/>
        <v/>
      </c>
      <c r="BM570" s="180" t="str">
        <f t="shared" si="419"/>
        <v/>
      </c>
      <c r="BO570" s="185" t="str">
        <f t="shared" si="420"/>
        <v/>
      </c>
      <c r="BP570" s="173" t="str">
        <f t="shared" si="420"/>
        <v/>
      </c>
      <c r="BQ570" s="173" t="str">
        <f t="shared" si="420"/>
        <v/>
      </c>
      <c r="BR570" s="180" t="str">
        <f t="shared" si="420"/>
        <v/>
      </c>
      <c r="BT570" s="185" t="str">
        <f t="shared" si="421"/>
        <v/>
      </c>
      <c r="BU570" s="173" t="str">
        <f t="shared" si="421"/>
        <v/>
      </c>
      <c r="BV570" s="173" t="str">
        <f t="shared" si="421"/>
        <v/>
      </c>
      <c r="BW570" s="180" t="str">
        <f t="shared" si="421"/>
        <v/>
      </c>
      <c r="BX570" s="288"/>
      <c r="CM570" s="96"/>
    </row>
    <row r="571" spans="1:91">
      <c r="A571" s="47" t="str">
        <f t="shared" si="407"/>
        <v/>
      </c>
      <c r="B571" s="185">
        <f t="shared" si="407"/>
        <v>45</v>
      </c>
      <c r="C571" s="173">
        <f t="shared" si="407"/>
        <v>139.5</v>
      </c>
      <c r="D571" s="173">
        <f t="shared" si="407"/>
        <v>606</v>
      </c>
      <c r="E571" s="180">
        <f t="shared" si="407"/>
        <v>18</v>
      </c>
      <c r="G571" s="185">
        <f t="shared" si="408"/>
        <v>45</v>
      </c>
      <c r="H571" s="173">
        <f t="shared" si="408"/>
        <v>139.5</v>
      </c>
      <c r="I571" s="173">
        <f t="shared" si="408"/>
        <v>606</v>
      </c>
      <c r="J571" s="180">
        <f t="shared" si="408"/>
        <v>18</v>
      </c>
      <c r="L571" s="185" t="str">
        <f t="shared" si="409"/>
        <v/>
      </c>
      <c r="M571" s="173" t="str">
        <f t="shared" si="409"/>
        <v/>
      </c>
      <c r="N571" s="173" t="str">
        <f t="shared" si="409"/>
        <v/>
      </c>
      <c r="O571" s="180" t="str">
        <f t="shared" si="409"/>
        <v/>
      </c>
      <c r="Q571" s="185" t="str">
        <f t="shared" si="410"/>
        <v/>
      </c>
      <c r="R571" s="173" t="str">
        <f t="shared" si="410"/>
        <v/>
      </c>
      <c r="S571" s="173" t="str">
        <f t="shared" si="410"/>
        <v/>
      </c>
      <c r="T571" s="180" t="str">
        <f t="shared" si="410"/>
        <v/>
      </c>
      <c r="V571" s="185" t="str">
        <f t="shared" si="411"/>
        <v/>
      </c>
      <c r="W571" s="173" t="str">
        <f t="shared" si="411"/>
        <v/>
      </c>
      <c r="X571" s="173" t="str">
        <f t="shared" si="411"/>
        <v/>
      </c>
      <c r="Y571" s="180" t="str">
        <f t="shared" si="411"/>
        <v/>
      </c>
      <c r="AA571" s="185" t="str">
        <f t="shared" si="412"/>
        <v/>
      </c>
      <c r="AB571" s="173" t="str">
        <f t="shared" si="412"/>
        <v/>
      </c>
      <c r="AC571" s="173" t="str">
        <f t="shared" si="412"/>
        <v/>
      </c>
      <c r="AD571" s="180" t="str">
        <f t="shared" si="412"/>
        <v/>
      </c>
      <c r="AF571" s="185" t="str">
        <f t="shared" si="413"/>
        <v/>
      </c>
      <c r="AG571" s="173" t="str">
        <f t="shared" si="413"/>
        <v/>
      </c>
      <c r="AH571" s="173" t="str">
        <f t="shared" si="413"/>
        <v/>
      </c>
      <c r="AI571" s="180" t="str">
        <f t="shared" si="413"/>
        <v/>
      </c>
      <c r="AK571" s="185" t="str">
        <f t="shared" si="414"/>
        <v/>
      </c>
      <c r="AL571" s="173" t="str">
        <f t="shared" si="414"/>
        <v/>
      </c>
      <c r="AM571" s="173" t="str">
        <f t="shared" si="414"/>
        <v/>
      </c>
      <c r="AN571" s="180" t="str">
        <f t="shared" si="414"/>
        <v/>
      </c>
      <c r="AP571" s="244">
        <f t="shared" si="415"/>
        <v>45</v>
      </c>
      <c r="AQ571" s="245">
        <f t="shared" si="415"/>
        <v>96</v>
      </c>
      <c r="AR571" s="245">
        <f t="shared" si="415"/>
        <v>50</v>
      </c>
      <c r="AS571" s="246">
        <f t="shared" si="415"/>
        <v>18</v>
      </c>
      <c r="AT571" s="288"/>
      <c r="AU571" s="185" t="str">
        <f t="shared" si="416"/>
        <v/>
      </c>
      <c r="AV571" s="173" t="str">
        <f t="shared" si="416"/>
        <v/>
      </c>
      <c r="AW571" s="173" t="str">
        <f t="shared" si="416"/>
        <v/>
      </c>
      <c r="AX571" s="180" t="str">
        <f t="shared" si="416"/>
        <v/>
      </c>
      <c r="AZ571" s="185" t="str">
        <f t="shared" si="417"/>
        <v/>
      </c>
      <c r="BA571" s="173" t="str">
        <f t="shared" si="417"/>
        <v/>
      </c>
      <c r="BB571" s="173" t="str">
        <f t="shared" si="417"/>
        <v/>
      </c>
      <c r="BC571" s="180" t="str">
        <f t="shared" si="417"/>
        <v/>
      </c>
      <c r="BE571" s="185" t="str">
        <f t="shared" si="418"/>
        <v/>
      </c>
      <c r="BF571" s="173" t="str">
        <f t="shared" si="418"/>
        <v/>
      </c>
      <c r="BG571" s="173" t="str">
        <f t="shared" si="418"/>
        <v/>
      </c>
      <c r="BH571" s="180" t="str">
        <f t="shared" si="418"/>
        <v/>
      </c>
      <c r="BI571" s="288"/>
      <c r="BJ571" s="185" t="str">
        <f t="shared" si="419"/>
        <v/>
      </c>
      <c r="BK571" s="173" t="str">
        <f t="shared" si="419"/>
        <v/>
      </c>
      <c r="BL571" s="173" t="str">
        <f t="shared" si="419"/>
        <v/>
      </c>
      <c r="BM571" s="180" t="str">
        <f t="shared" si="419"/>
        <v/>
      </c>
      <c r="BO571" s="185" t="str">
        <f t="shared" si="420"/>
        <v/>
      </c>
      <c r="BP571" s="173" t="str">
        <f t="shared" si="420"/>
        <v/>
      </c>
      <c r="BQ571" s="173" t="str">
        <f t="shared" si="420"/>
        <v/>
      </c>
      <c r="BR571" s="180" t="str">
        <f t="shared" si="420"/>
        <v/>
      </c>
      <c r="BT571" s="185" t="str">
        <f t="shared" si="421"/>
        <v/>
      </c>
      <c r="BU571" s="173" t="str">
        <f t="shared" si="421"/>
        <v/>
      </c>
      <c r="BV571" s="173" t="str">
        <f t="shared" si="421"/>
        <v/>
      </c>
      <c r="BW571" s="180" t="str">
        <f t="shared" si="421"/>
        <v/>
      </c>
      <c r="BX571" s="288"/>
      <c r="CM571" s="96"/>
    </row>
    <row r="572" spans="1:91">
      <c r="A572" s="47" t="str">
        <f t="shared" si="407"/>
        <v/>
      </c>
      <c r="B572" s="185">
        <f t="shared" si="407"/>
        <v>45</v>
      </c>
      <c r="C572" s="173">
        <f t="shared" si="407"/>
        <v>139.5</v>
      </c>
      <c r="D572" s="173">
        <f t="shared" si="407"/>
        <v>663</v>
      </c>
      <c r="E572" s="180">
        <f t="shared" si="407"/>
        <v>18</v>
      </c>
      <c r="G572" s="185">
        <f t="shared" si="408"/>
        <v>45</v>
      </c>
      <c r="H572" s="173">
        <f t="shared" si="408"/>
        <v>139.5</v>
      </c>
      <c r="I572" s="173">
        <f t="shared" si="408"/>
        <v>663</v>
      </c>
      <c r="J572" s="180">
        <f t="shared" si="408"/>
        <v>18</v>
      </c>
      <c r="L572" s="185" t="str">
        <f t="shared" si="409"/>
        <v/>
      </c>
      <c r="M572" s="173" t="str">
        <f t="shared" si="409"/>
        <v/>
      </c>
      <c r="N572" s="173" t="str">
        <f t="shared" si="409"/>
        <v/>
      </c>
      <c r="O572" s="180" t="str">
        <f t="shared" si="409"/>
        <v/>
      </c>
      <c r="Q572" s="185" t="str">
        <f t="shared" si="410"/>
        <v/>
      </c>
      <c r="R572" s="173" t="str">
        <f t="shared" si="410"/>
        <v/>
      </c>
      <c r="S572" s="173" t="str">
        <f t="shared" si="410"/>
        <v/>
      </c>
      <c r="T572" s="180" t="str">
        <f t="shared" si="410"/>
        <v/>
      </c>
      <c r="V572" s="185" t="str">
        <f t="shared" si="411"/>
        <v/>
      </c>
      <c r="W572" s="173" t="str">
        <f t="shared" si="411"/>
        <v/>
      </c>
      <c r="X572" s="173" t="str">
        <f t="shared" si="411"/>
        <v/>
      </c>
      <c r="Y572" s="180" t="str">
        <f t="shared" si="411"/>
        <v/>
      </c>
      <c r="AA572" s="185" t="str">
        <f t="shared" si="412"/>
        <v/>
      </c>
      <c r="AB572" s="173" t="str">
        <f t="shared" si="412"/>
        <v/>
      </c>
      <c r="AC572" s="173" t="str">
        <f t="shared" si="412"/>
        <v/>
      </c>
      <c r="AD572" s="180" t="str">
        <f t="shared" si="412"/>
        <v/>
      </c>
      <c r="AF572" s="185" t="str">
        <f t="shared" si="413"/>
        <v/>
      </c>
      <c r="AG572" s="173" t="str">
        <f t="shared" si="413"/>
        <v/>
      </c>
      <c r="AH572" s="173" t="str">
        <f t="shared" si="413"/>
        <v/>
      </c>
      <c r="AI572" s="180" t="str">
        <f t="shared" si="413"/>
        <v/>
      </c>
      <c r="AK572" s="185" t="str">
        <f t="shared" si="414"/>
        <v/>
      </c>
      <c r="AL572" s="173" t="str">
        <f t="shared" si="414"/>
        <v/>
      </c>
      <c r="AM572" s="173" t="str">
        <f t="shared" si="414"/>
        <v/>
      </c>
      <c r="AN572" s="180" t="str">
        <f t="shared" si="414"/>
        <v/>
      </c>
      <c r="AP572" s="244">
        <f t="shared" si="415"/>
        <v>45</v>
      </c>
      <c r="AQ572" s="245">
        <f t="shared" si="415"/>
        <v>96</v>
      </c>
      <c r="AR572" s="245">
        <f t="shared" si="415"/>
        <v>107</v>
      </c>
      <c r="AS572" s="246">
        <f t="shared" si="415"/>
        <v>18</v>
      </c>
      <c r="AT572" s="288"/>
      <c r="AU572" s="185" t="str">
        <f t="shared" si="416"/>
        <v/>
      </c>
      <c r="AV572" s="173" t="str">
        <f t="shared" si="416"/>
        <v/>
      </c>
      <c r="AW572" s="173" t="str">
        <f t="shared" si="416"/>
        <v/>
      </c>
      <c r="AX572" s="180" t="str">
        <f t="shared" si="416"/>
        <v/>
      </c>
      <c r="AZ572" s="185" t="str">
        <f t="shared" si="417"/>
        <v/>
      </c>
      <c r="BA572" s="173" t="str">
        <f t="shared" si="417"/>
        <v/>
      </c>
      <c r="BB572" s="173" t="str">
        <f t="shared" si="417"/>
        <v/>
      </c>
      <c r="BC572" s="180" t="str">
        <f t="shared" si="417"/>
        <v/>
      </c>
      <c r="BE572" s="185" t="str">
        <f t="shared" si="418"/>
        <v/>
      </c>
      <c r="BF572" s="173" t="str">
        <f t="shared" si="418"/>
        <v/>
      </c>
      <c r="BG572" s="173" t="str">
        <f t="shared" si="418"/>
        <v/>
      </c>
      <c r="BH572" s="180" t="str">
        <f t="shared" si="418"/>
        <v/>
      </c>
      <c r="BI572" s="288"/>
      <c r="BJ572" s="185" t="str">
        <f t="shared" si="419"/>
        <v/>
      </c>
      <c r="BK572" s="173" t="str">
        <f t="shared" si="419"/>
        <v/>
      </c>
      <c r="BL572" s="173" t="str">
        <f t="shared" si="419"/>
        <v/>
      </c>
      <c r="BM572" s="180" t="str">
        <f t="shared" si="419"/>
        <v/>
      </c>
      <c r="BO572" s="185" t="str">
        <f t="shared" si="420"/>
        <v/>
      </c>
      <c r="BP572" s="173" t="str">
        <f t="shared" si="420"/>
        <v/>
      </c>
      <c r="BQ572" s="173" t="str">
        <f t="shared" si="420"/>
        <v/>
      </c>
      <c r="BR572" s="180" t="str">
        <f t="shared" si="420"/>
        <v/>
      </c>
      <c r="BT572" s="185" t="str">
        <f t="shared" si="421"/>
        <v/>
      </c>
      <c r="BU572" s="173" t="str">
        <f t="shared" si="421"/>
        <v/>
      </c>
      <c r="BV572" s="173" t="str">
        <f t="shared" si="421"/>
        <v/>
      </c>
      <c r="BW572" s="180" t="str">
        <f t="shared" si="421"/>
        <v/>
      </c>
      <c r="BX572" s="288"/>
      <c r="CM572" s="96"/>
    </row>
    <row r="573" spans="1:91">
      <c r="A573" s="47" t="str">
        <f t="shared" si="407"/>
        <v/>
      </c>
      <c r="B573" s="185">
        <f t="shared" si="407"/>
        <v>45</v>
      </c>
      <c r="C573" s="173">
        <f t="shared" si="407"/>
        <v>139.5</v>
      </c>
      <c r="D573" s="173">
        <f t="shared" si="407"/>
        <v>720</v>
      </c>
      <c r="E573" s="180">
        <f t="shared" si="407"/>
        <v>18</v>
      </c>
      <c r="G573" s="185">
        <f t="shared" si="408"/>
        <v>45</v>
      </c>
      <c r="H573" s="173">
        <f t="shared" si="408"/>
        <v>139.5</v>
      </c>
      <c r="I573" s="173">
        <f t="shared" si="408"/>
        <v>720</v>
      </c>
      <c r="J573" s="180">
        <f t="shared" si="408"/>
        <v>18</v>
      </c>
      <c r="L573" s="185" t="str">
        <f t="shared" si="409"/>
        <v/>
      </c>
      <c r="M573" s="173" t="str">
        <f t="shared" si="409"/>
        <v/>
      </c>
      <c r="N573" s="173" t="str">
        <f t="shared" si="409"/>
        <v/>
      </c>
      <c r="O573" s="180" t="str">
        <f t="shared" si="409"/>
        <v/>
      </c>
      <c r="Q573" s="185" t="str">
        <f t="shared" si="410"/>
        <v/>
      </c>
      <c r="R573" s="173" t="str">
        <f t="shared" si="410"/>
        <v/>
      </c>
      <c r="S573" s="173" t="str">
        <f t="shared" si="410"/>
        <v/>
      </c>
      <c r="T573" s="180" t="str">
        <f t="shared" si="410"/>
        <v/>
      </c>
      <c r="V573" s="185" t="str">
        <f t="shared" si="411"/>
        <v/>
      </c>
      <c r="W573" s="173" t="str">
        <f t="shared" si="411"/>
        <v/>
      </c>
      <c r="X573" s="173" t="str">
        <f t="shared" si="411"/>
        <v/>
      </c>
      <c r="Y573" s="180" t="str">
        <f t="shared" si="411"/>
        <v/>
      </c>
      <c r="AA573" s="185" t="str">
        <f t="shared" si="412"/>
        <v/>
      </c>
      <c r="AB573" s="173" t="str">
        <f t="shared" si="412"/>
        <v/>
      </c>
      <c r="AC573" s="173" t="str">
        <f t="shared" si="412"/>
        <v/>
      </c>
      <c r="AD573" s="180" t="str">
        <f t="shared" si="412"/>
        <v/>
      </c>
      <c r="AF573" s="185" t="str">
        <f t="shared" si="413"/>
        <v/>
      </c>
      <c r="AG573" s="173" t="str">
        <f t="shared" si="413"/>
        <v/>
      </c>
      <c r="AH573" s="173" t="str">
        <f t="shared" si="413"/>
        <v/>
      </c>
      <c r="AI573" s="180" t="str">
        <f t="shared" si="413"/>
        <v/>
      </c>
      <c r="AK573" s="185" t="str">
        <f t="shared" si="414"/>
        <v/>
      </c>
      <c r="AL573" s="173" t="str">
        <f t="shared" si="414"/>
        <v/>
      </c>
      <c r="AM573" s="173" t="str">
        <f t="shared" si="414"/>
        <v/>
      </c>
      <c r="AN573" s="180" t="str">
        <f t="shared" si="414"/>
        <v/>
      </c>
      <c r="AP573" s="244">
        <f t="shared" si="415"/>
        <v>45</v>
      </c>
      <c r="AQ573" s="245">
        <f t="shared" si="415"/>
        <v>140</v>
      </c>
      <c r="AR573" s="245">
        <f t="shared" si="415"/>
        <v>50</v>
      </c>
      <c r="AS573" s="246">
        <f t="shared" si="415"/>
        <v>18</v>
      </c>
      <c r="AT573" s="288"/>
      <c r="AU573" s="185" t="str">
        <f t="shared" si="416"/>
        <v/>
      </c>
      <c r="AV573" s="173" t="str">
        <f t="shared" si="416"/>
        <v/>
      </c>
      <c r="AW573" s="173" t="str">
        <f t="shared" si="416"/>
        <v/>
      </c>
      <c r="AX573" s="180" t="str">
        <f t="shared" si="416"/>
        <v/>
      </c>
      <c r="AZ573" s="185" t="str">
        <f t="shared" si="417"/>
        <v/>
      </c>
      <c r="BA573" s="173" t="str">
        <f t="shared" si="417"/>
        <v/>
      </c>
      <c r="BB573" s="173" t="str">
        <f t="shared" si="417"/>
        <v/>
      </c>
      <c r="BC573" s="180" t="str">
        <f t="shared" si="417"/>
        <v/>
      </c>
      <c r="BE573" s="185" t="str">
        <f t="shared" si="418"/>
        <v/>
      </c>
      <c r="BF573" s="173" t="str">
        <f t="shared" si="418"/>
        <v/>
      </c>
      <c r="BG573" s="173" t="str">
        <f t="shared" si="418"/>
        <v/>
      </c>
      <c r="BH573" s="180" t="str">
        <f t="shared" si="418"/>
        <v/>
      </c>
      <c r="BI573" s="288"/>
      <c r="BJ573" s="185" t="str">
        <f t="shared" si="419"/>
        <v/>
      </c>
      <c r="BK573" s="173" t="str">
        <f t="shared" si="419"/>
        <v/>
      </c>
      <c r="BL573" s="173" t="str">
        <f t="shared" si="419"/>
        <v/>
      </c>
      <c r="BM573" s="180" t="str">
        <f t="shared" si="419"/>
        <v/>
      </c>
      <c r="BO573" s="185" t="str">
        <f t="shared" si="420"/>
        <v/>
      </c>
      <c r="BP573" s="173" t="str">
        <f t="shared" si="420"/>
        <v/>
      </c>
      <c r="BQ573" s="173" t="str">
        <f t="shared" si="420"/>
        <v/>
      </c>
      <c r="BR573" s="180" t="str">
        <f t="shared" si="420"/>
        <v/>
      </c>
      <c r="BT573" s="185" t="str">
        <f t="shared" si="421"/>
        <v/>
      </c>
      <c r="BU573" s="173" t="str">
        <f t="shared" si="421"/>
        <v/>
      </c>
      <c r="BV573" s="173" t="str">
        <f t="shared" si="421"/>
        <v/>
      </c>
      <c r="BW573" s="180" t="str">
        <f t="shared" si="421"/>
        <v/>
      </c>
      <c r="BX573" s="288"/>
      <c r="CM573" s="96"/>
    </row>
    <row r="574" spans="1:91">
      <c r="A574" s="47" t="str">
        <f t="shared" si="407"/>
        <v/>
      </c>
      <c r="B574" s="185">
        <f t="shared" si="407"/>
        <v>45</v>
      </c>
      <c r="C574" s="173">
        <f t="shared" si="407"/>
        <v>139.5</v>
      </c>
      <c r="D574" s="173">
        <f t="shared" si="407"/>
        <v>777</v>
      </c>
      <c r="E574" s="180">
        <f t="shared" si="407"/>
        <v>18</v>
      </c>
      <c r="G574" s="185">
        <f t="shared" si="408"/>
        <v>45</v>
      </c>
      <c r="H574" s="173">
        <f t="shared" si="408"/>
        <v>139.5</v>
      </c>
      <c r="I574" s="173">
        <f t="shared" si="408"/>
        <v>777</v>
      </c>
      <c r="J574" s="180">
        <f t="shared" si="408"/>
        <v>18</v>
      </c>
      <c r="L574" s="185" t="str">
        <f t="shared" si="409"/>
        <v/>
      </c>
      <c r="M574" s="173" t="str">
        <f t="shared" si="409"/>
        <v/>
      </c>
      <c r="N574" s="173" t="str">
        <f t="shared" si="409"/>
        <v/>
      </c>
      <c r="O574" s="180" t="str">
        <f t="shared" si="409"/>
        <v/>
      </c>
      <c r="Q574" s="185" t="str">
        <f t="shared" si="410"/>
        <v/>
      </c>
      <c r="R574" s="173" t="str">
        <f t="shared" si="410"/>
        <v/>
      </c>
      <c r="S574" s="173" t="str">
        <f t="shared" si="410"/>
        <v/>
      </c>
      <c r="T574" s="180" t="str">
        <f t="shared" si="410"/>
        <v/>
      </c>
      <c r="V574" s="185" t="str">
        <f t="shared" si="411"/>
        <v/>
      </c>
      <c r="W574" s="173" t="str">
        <f t="shared" si="411"/>
        <v/>
      </c>
      <c r="X574" s="173" t="str">
        <f t="shared" si="411"/>
        <v/>
      </c>
      <c r="Y574" s="180" t="str">
        <f t="shared" si="411"/>
        <v/>
      </c>
      <c r="AA574" s="185" t="str">
        <f t="shared" si="412"/>
        <v/>
      </c>
      <c r="AB574" s="173" t="str">
        <f t="shared" si="412"/>
        <v/>
      </c>
      <c r="AC574" s="173" t="str">
        <f t="shared" si="412"/>
        <v/>
      </c>
      <c r="AD574" s="180" t="str">
        <f t="shared" si="412"/>
        <v/>
      </c>
      <c r="AF574" s="185" t="str">
        <f t="shared" si="413"/>
        <v/>
      </c>
      <c r="AG574" s="173" t="str">
        <f t="shared" si="413"/>
        <v/>
      </c>
      <c r="AH574" s="173" t="str">
        <f t="shared" si="413"/>
        <v/>
      </c>
      <c r="AI574" s="180" t="str">
        <f t="shared" si="413"/>
        <v/>
      </c>
      <c r="AK574" s="185" t="str">
        <f t="shared" si="414"/>
        <v/>
      </c>
      <c r="AL574" s="173" t="str">
        <f t="shared" si="414"/>
        <v/>
      </c>
      <c r="AM574" s="173" t="str">
        <f t="shared" si="414"/>
        <v/>
      </c>
      <c r="AN574" s="180" t="str">
        <f t="shared" si="414"/>
        <v/>
      </c>
      <c r="AP574" s="247">
        <f t="shared" si="415"/>
        <v>45</v>
      </c>
      <c r="AQ574" s="248">
        <f t="shared" si="415"/>
        <v>140</v>
      </c>
      <c r="AR574" s="248">
        <f t="shared" si="415"/>
        <v>107</v>
      </c>
      <c r="AS574" s="249">
        <f t="shared" si="415"/>
        <v>18</v>
      </c>
      <c r="AT574" s="288"/>
      <c r="AU574" s="185" t="str">
        <f t="shared" si="416"/>
        <v/>
      </c>
      <c r="AV574" s="173" t="str">
        <f t="shared" si="416"/>
        <v/>
      </c>
      <c r="AW574" s="173" t="str">
        <f t="shared" si="416"/>
        <v/>
      </c>
      <c r="AX574" s="180" t="str">
        <f t="shared" si="416"/>
        <v/>
      </c>
      <c r="AZ574" s="185" t="str">
        <f t="shared" si="417"/>
        <v/>
      </c>
      <c r="BA574" s="173" t="str">
        <f t="shared" si="417"/>
        <v/>
      </c>
      <c r="BB574" s="173" t="str">
        <f t="shared" si="417"/>
        <v/>
      </c>
      <c r="BC574" s="180" t="str">
        <f t="shared" si="417"/>
        <v/>
      </c>
      <c r="BE574" s="185" t="str">
        <f t="shared" si="418"/>
        <v/>
      </c>
      <c r="BF574" s="173" t="str">
        <f t="shared" si="418"/>
        <v/>
      </c>
      <c r="BG574" s="173" t="str">
        <f t="shared" si="418"/>
        <v/>
      </c>
      <c r="BH574" s="180" t="str">
        <f t="shared" si="418"/>
        <v/>
      </c>
      <c r="BI574" s="288"/>
      <c r="BJ574" s="185" t="str">
        <f t="shared" si="419"/>
        <v/>
      </c>
      <c r="BK574" s="173" t="str">
        <f t="shared" si="419"/>
        <v/>
      </c>
      <c r="BL574" s="173" t="str">
        <f t="shared" si="419"/>
        <v/>
      </c>
      <c r="BM574" s="180" t="str">
        <f t="shared" si="419"/>
        <v/>
      </c>
      <c r="BO574" s="185" t="str">
        <f t="shared" si="420"/>
        <v/>
      </c>
      <c r="BP574" s="173" t="str">
        <f t="shared" si="420"/>
        <v/>
      </c>
      <c r="BQ574" s="173" t="str">
        <f t="shared" si="420"/>
        <v/>
      </c>
      <c r="BR574" s="180" t="str">
        <f t="shared" si="420"/>
        <v/>
      </c>
      <c r="BT574" s="185" t="str">
        <f t="shared" si="421"/>
        <v/>
      </c>
      <c r="BU574" s="173" t="str">
        <f t="shared" si="421"/>
        <v/>
      </c>
      <c r="BV574" s="173" t="str">
        <f t="shared" si="421"/>
        <v/>
      </c>
      <c r="BW574" s="180" t="str">
        <f t="shared" si="421"/>
        <v/>
      </c>
      <c r="BX574" s="288"/>
      <c r="CM574" s="96"/>
    </row>
    <row r="575" spans="1:91">
      <c r="A575" s="47" t="str">
        <f t="shared" si="407"/>
        <v/>
      </c>
      <c r="B575" s="241" t="str">
        <f t="shared" si="407"/>
        <v/>
      </c>
      <c r="C575" s="242" t="str">
        <f t="shared" si="407"/>
        <v/>
      </c>
      <c r="D575" s="242" t="str">
        <f t="shared" si="407"/>
        <v/>
      </c>
      <c r="E575" s="243" t="str">
        <f t="shared" si="407"/>
        <v/>
      </c>
      <c r="G575" s="241" t="str">
        <f t="shared" si="408"/>
        <v/>
      </c>
      <c r="H575" s="242" t="str">
        <f t="shared" si="408"/>
        <v/>
      </c>
      <c r="I575" s="242" t="str">
        <f t="shared" si="408"/>
        <v/>
      </c>
      <c r="J575" s="243" t="str">
        <f t="shared" si="408"/>
        <v/>
      </c>
      <c r="L575" s="241" t="str">
        <f t="shared" si="409"/>
        <v/>
      </c>
      <c r="M575" s="242" t="str">
        <f t="shared" si="409"/>
        <v/>
      </c>
      <c r="N575" s="242" t="str">
        <f t="shared" si="409"/>
        <v/>
      </c>
      <c r="O575" s="243" t="str">
        <f t="shared" si="409"/>
        <v/>
      </c>
      <c r="Q575" s="241" t="str">
        <f t="shared" si="410"/>
        <v/>
      </c>
      <c r="R575" s="242" t="str">
        <f t="shared" si="410"/>
        <v/>
      </c>
      <c r="S575" s="242" t="str">
        <f t="shared" si="410"/>
        <v/>
      </c>
      <c r="T575" s="243" t="str">
        <f t="shared" si="410"/>
        <v/>
      </c>
      <c r="V575" s="241" t="str">
        <f t="shared" si="411"/>
        <v/>
      </c>
      <c r="W575" s="242" t="str">
        <f t="shared" si="411"/>
        <v/>
      </c>
      <c r="X575" s="242" t="str">
        <f t="shared" si="411"/>
        <v/>
      </c>
      <c r="Y575" s="243" t="str">
        <f t="shared" si="411"/>
        <v/>
      </c>
      <c r="AA575" s="241" t="str">
        <f t="shared" si="412"/>
        <v/>
      </c>
      <c r="AB575" s="242" t="str">
        <f t="shared" si="412"/>
        <v/>
      </c>
      <c r="AC575" s="242" t="str">
        <f t="shared" si="412"/>
        <v/>
      </c>
      <c r="AD575" s="243" t="str">
        <f t="shared" si="412"/>
        <v/>
      </c>
      <c r="AF575" s="241" t="str">
        <f t="shared" si="413"/>
        <v/>
      </c>
      <c r="AG575" s="242" t="str">
        <f t="shared" si="413"/>
        <v/>
      </c>
      <c r="AH575" s="242" t="str">
        <f t="shared" si="413"/>
        <v/>
      </c>
      <c r="AI575" s="243" t="str">
        <f t="shared" si="413"/>
        <v/>
      </c>
      <c r="AK575" s="241" t="str">
        <f t="shared" si="414"/>
        <v/>
      </c>
      <c r="AL575" s="242" t="str">
        <f t="shared" si="414"/>
        <v/>
      </c>
      <c r="AM575" s="242" t="str">
        <f t="shared" si="414"/>
        <v/>
      </c>
      <c r="AN575" s="243" t="str">
        <f t="shared" si="414"/>
        <v/>
      </c>
      <c r="AP575" s="187" t="str">
        <f>""</f>
        <v/>
      </c>
      <c r="AQ575" s="175" t="str">
        <f>""</f>
        <v/>
      </c>
      <c r="AR575" s="175" t="str">
        <f>""</f>
        <v/>
      </c>
      <c r="AS575" s="188" t="str">
        <f>""</f>
        <v/>
      </c>
      <c r="AT575" s="288"/>
      <c r="AU575" s="241" t="str">
        <f t="shared" si="416"/>
        <v/>
      </c>
      <c r="AV575" s="242" t="str">
        <f t="shared" si="416"/>
        <v/>
      </c>
      <c r="AW575" s="242" t="str">
        <f t="shared" si="416"/>
        <v/>
      </c>
      <c r="AX575" s="243" t="str">
        <f t="shared" si="416"/>
        <v/>
      </c>
      <c r="AZ575" s="241" t="str">
        <f t="shared" si="417"/>
        <v/>
      </c>
      <c r="BA575" s="242" t="str">
        <f t="shared" si="417"/>
        <v/>
      </c>
      <c r="BB575" s="242" t="str">
        <f t="shared" si="417"/>
        <v/>
      </c>
      <c r="BC575" s="243" t="str">
        <f t="shared" si="417"/>
        <v/>
      </c>
      <c r="BE575" s="241" t="str">
        <f t="shared" si="418"/>
        <v/>
      </c>
      <c r="BF575" s="242" t="str">
        <f t="shared" si="418"/>
        <v/>
      </c>
      <c r="BG575" s="242" t="str">
        <f t="shared" si="418"/>
        <v/>
      </c>
      <c r="BH575" s="243" t="str">
        <f t="shared" si="418"/>
        <v/>
      </c>
      <c r="BI575" s="288"/>
      <c r="BJ575" s="241" t="str">
        <f t="shared" si="419"/>
        <v/>
      </c>
      <c r="BK575" s="242" t="str">
        <f t="shared" si="419"/>
        <v/>
      </c>
      <c r="BL575" s="242" t="str">
        <f t="shared" si="419"/>
        <v/>
      </c>
      <c r="BM575" s="243" t="str">
        <f t="shared" si="419"/>
        <v/>
      </c>
      <c r="BO575" s="241" t="str">
        <f t="shared" si="420"/>
        <v/>
      </c>
      <c r="BP575" s="242" t="str">
        <f t="shared" si="420"/>
        <v/>
      </c>
      <c r="BQ575" s="242" t="str">
        <f t="shared" si="420"/>
        <v/>
      </c>
      <c r="BR575" s="243" t="str">
        <f t="shared" si="420"/>
        <v/>
      </c>
      <c r="BT575" s="241" t="str">
        <f t="shared" si="421"/>
        <v/>
      </c>
      <c r="BU575" s="242" t="str">
        <f t="shared" si="421"/>
        <v/>
      </c>
      <c r="BV575" s="242" t="str">
        <f t="shared" si="421"/>
        <v/>
      </c>
      <c r="BW575" s="243" t="str">
        <f t="shared" si="421"/>
        <v/>
      </c>
      <c r="BX575" s="288"/>
      <c r="CM575" s="96"/>
    </row>
    <row r="576" spans="1:91">
      <c r="A576" s="47" t="str">
        <f t="shared" si="407"/>
        <v/>
      </c>
      <c r="B576" s="244" t="str">
        <f t="shared" si="407"/>
        <v/>
      </c>
      <c r="C576" s="245" t="str">
        <f t="shared" si="407"/>
        <v/>
      </c>
      <c r="D576" s="245" t="str">
        <f t="shared" si="407"/>
        <v/>
      </c>
      <c r="E576" s="246" t="str">
        <f t="shared" si="407"/>
        <v/>
      </c>
      <c r="G576" s="244" t="str">
        <f t="shared" si="408"/>
        <v/>
      </c>
      <c r="H576" s="245" t="str">
        <f t="shared" si="408"/>
        <v/>
      </c>
      <c r="I576" s="245" t="str">
        <f t="shared" si="408"/>
        <v/>
      </c>
      <c r="J576" s="246" t="str">
        <f t="shared" si="408"/>
        <v/>
      </c>
      <c r="L576" s="244" t="str">
        <f t="shared" si="409"/>
        <v/>
      </c>
      <c r="M576" s="245" t="str">
        <f t="shared" si="409"/>
        <v/>
      </c>
      <c r="N576" s="245" t="str">
        <f t="shared" si="409"/>
        <v/>
      </c>
      <c r="O576" s="246" t="str">
        <f t="shared" si="409"/>
        <v/>
      </c>
      <c r="Q576" s="244" t="str">
        <f t="shared" si="410"/>
        <v/>
      </c>
      <c r="R576" s="245" t="str">
        <f t="shared" si="410"/>
        <v/>
      </c>
      <c r="S576" s="245" t="str">
        <f t="shared" si="410"/>
        <v/>
      </c>
      <c r="T576" s="246" t="str">
        <f t="shared" si="410"/>
        <v/>
      </c>
      <c r="V576" s="244" t="str">
        <f t="shared" si="411"/>
        <v/>
      </c>
      <c r="W576" s="245" t="str">
        <f t="shared" si="411"/>
        <v/>
      </c>
      <c r="X576" s="245" t="str">
        <f t="shared" si="411"/>
        <v/>
      </c>
      <c r="Y576" s="246" t="str">
        <f t="shared" si="411"/>
        <v/>
      </c>
      <c r="AA576" s="244" t="str">
        <f t="shared" si="412"/>
        <v/>
      </c>
      <c r="AB576" s="245" t="str">
        <f t="shared" si="412"/>
        <v/>
      </c>
      <c r="AC576" s="245" t="str">
        <f t="shared" si="412"/>
        <v/>
      </c>
      <c r="AD576" s="246" t="str">
        <f t="shared" si="412"/>
        <v/>
      </c>
      <c r="AF576" s="244" t="str">
        <f t="shared" si="413"/>
        <v/>
      </c>
      <c r="AG576" s="245" t="str">
        <f t="shared" si="413"/>
        <v/>
      </c>
      <c r="AH576" s="245" t="str">
        <f t="shared" si="413"/>
        <v/>
      </c>
      <c r="AI576" s="246" t="str">
        <f t="shared" si="413"/>
        <v/>
      </c>
      <c r="AK576" s="244" t="str">
        <f t="shared" si="414"/>
        <v/>
      </c>
      <c r="AL576" s="245" t="str">
        <f t="shared" si="414"/>
        <v/>
      </c>
      <c r="AM576" s="245" t="str">
        <f t="shared" si="414"/>
        <v/>
      </c>
      <c r="AN576" s="246" t="str">
        <f t="shared" si="414"/>
        <v/>
      </c>
      <c r="AP576" s="185" t="str">
        <f>""</f>
        <v/>
      </c>
      <c r="AQ576" s="173" t="str">
        <f>""</f>
        <v/>
      </c>
      <c r="AR576" s="173" t="str">
        <f>""</f>
        <v/>
      </c>
      <c r="AS576" s="180" t="str">
        <f>""</f>
        <v/>
      </c>
      <c r="AT576" s="288"/>
      <c r="AU576" s="244" t="str">
        <f t="shared" si="416"/>
        <v/>
      </c>
      <c r="AV576" s="245" t="str">
        <f t="shared" si="416"/>
        <v/>
      </c>
      <c r="AW576" s="245" t="str">
        <f t="shared" si="416"/>
        <v/>
      </c>
      <c r="AX576" s="246" t="str">
        <f t="shared" si="416"/>
        <v/>
      </c>
      <c r="AZ576" s="244" t="str">
        <f t="shared" si="417"/>
        <v/>
      </c>
      <c r="BA576" s="245" t="str">
        <f t="shared" si="417"/>
        <v/>
      </c>
      <c r="BB576" s="245" t="str">
        <f t="shared" si="417"/>
        <v/>
      </c>
      <c r="BC576" s="246" t="str">
        <f t="shared" si="417"/>
        <v/>
      </c>
      <c r="BE576" s="244" t="str">
        <f t="shared" si="418"/>
        <v/>
      </c>
      <c r="BF576" s="245" t="str">
        <f t="shared" si="418"/>
        <v/>
      </c>
      <c r="BG576" s="245" t="str">
        <f t="shared" si="418"/>
        <v/>
      </c>
      <c r="BH576" s="246" t="str">
        <f t="shared" si="418"/>
        <v/>
      </c>
      <c r="BI576" s="288"/>
      <c r="BJ576" s="244" t="str">
        <f t="shared" si="419"/>
        <v/>
      </c>
      <c r="BK576" s="245" t="str">
        <f t="shared" si="419"/>
        <v/>
      </c>
      <c r="BL576" s="245" t="str">
        <f t="shared" si="419"/>
        <v/>
      </c>
      <c r="BM576" s="246" t="str">
        <f t="shared" si="419"/>
        <v/>
      </c>
      <c r="BO576" s="244" t="str">
        <f t="shared" si="420"/>
        <v/>
      </c>
      <c r="BP576" s="245" t="str">
        <f t="shared" si="420"/>
        <v/>
      </c>
      <c r="BQ576" s="245" t="str">
        <f t="shared" si="420"/>
        <v/>
      </c>
      <c r="BR576" s="246" t="str">
        <f t="shared" si="420"/>
        <v/>
      </c>
      <c r="BT576" s="244" t="str">
        <f t="shared" si="421"/>
        <v/>
      </c>
      <c r="BU576" s="245" t="str">
        <f t="shared" si="421"/>
        <v/>
      </c>
      <c r="BV576" s="245" t="str">
        <f t="shared" si="421"/>
        <v/>
      </c>
      <c r="BW576" s="246" t="str">
        <f t="shared" si="421"/>
        <v/>
      </c>
      <c r="BX576" s="288"/>
      <c r="CM576" s="96"/>
    </row>
    <row r="577" spans="1:91">
      <c r="A577" s="47" t="str">
        <f t="shared" si="407"/>
        <v/>
      </c>
      <c r="B577" s="247" t="str">
        <f t="shared" si="407"/>
        <v/>
      </c>
      <c r="C577" s="248" t="str">
        <f t="shared" si="407"/>
        <v/>
      </c>
      <c r="D577" s="248" t="str">
        <f t="shared" si="407"/>
        <v/>
      </c>
      <c r="E577" s="249" t="str">
        <f t="shared" si="407"/>
        <v/>
      </c>
      <c r="G577" s="247" t="str">
        <f t="shared" si="408"/>
        <v/>
      </c>
      <c r="H577" s="248" t="str">
        <f t="shared" si="408"/>
        <v/>
      </c>
      <c r="I577" s="248" t="str">
        <f t="shared" si="408"/>
        <v/>
      </c>
      <c r="J577" s="249" t="str">
        <f t="shared" si="408"/>
        <v/>
      </c>
      <c r="L577" s="247" t="str">
        <f t="shared" si="409"/>
        <v/>
      </c>
      <c r="M577" s="248" t="str">
        <f t="shared" si="409"/>
        <v/>
      </c>
      <c r="N577" s="248" t="str">
        <f t="shared" si="409"/>
        <v/>
      </c>
      <c r="O577" s="249" t="str">
        <f t="shared" si="409"/>
        <v/>
      </c>
      <c r="Q577" s="247" t="str">
        <f t="shared" si="410"/>
        <v/>
      </c>
      <c r="R577" s="248" t="str">
        <f t="shared" si="410"/>
        <v/>
      </c>
      <c r="S577" s="248" t="str">
        <f t="shared" si="410"/>
        <v/>
      </c>
      <c r="T577" s="249" t="str">
        <f t="shared" si="410"/>
        <v/>
      </c>
      <c r="V577" s="247" t="str">
        <f t="shared" si="411"/>
        <v/>
      </c>
      <c r="W577" s="248" t="str">
        <f t="shared" si="411"/>
        <v/>
      </c>
      <c r="X577" s="248" t="str">
        <f t="shared" si="411"/>
        <v/>
      </c>
      <c r="Y577" s="249" t="str">
        <f t="shared" si="411"/>
        <v/>
      </c>
      <c r="AA577" s="247" t="str">
        <f t="shared" si="412"/>
        <v/>
      </c>
      <c r="AB577" s="248" t="str">
        <f t="shared" si="412"/>
        <v/>
      </c>
      <c r="AC577" s="248" t="str">
        <f t="shared" si="412"/>
        <v/>
      </c>
      <c r="AD577" s="249" t="str">
        <f t="shared" si="412"/>
        <v/>
      </c>
      <c r="AF577" s="247" t="str">
        <f t="shared" si="413"/>
        <v/>
      </c>
      <c r="AG577" s="248" t="str">
        <f t="shared" si="413"/>
        <v/>
      </c>
      <c r="AH577" s="248" t="str">
        <f t="shared" si="413"/>
        <v/>
      </c>
      <c r="AI577" s="249" t="str">
        <f t="shared" si="413"/>
        <v/>
      </c>
      <c r="AK577" s="247" t="str">
        <f t="shared" si="414"/>
        <v/>
      </c>
      <c r="AL577" s="248" t="str">
        <f t="shared" si="414"/>
        <v/>
      </c>
      <c r="AM577" s="248" t="str">
        <f t="shared" si="414"/>
        <v/>
      </c>
      <c r="AN577" s="249" t="str">
        <f t="shared" si="414"/>
        <v/>
      </c>
      <c r="AP577" s="185" t="str">
        <f>""</f>
        <v/>
      </c>
      <c r="AQ577" s="173" t="str">
        <f>""</f>
        <v/>
      </c>
      <c r="AR577" s="173" t="str">
        <f>""</f>
        <v/>
      </c>
      <c r="AS577" s="180" t="str">
        <f>""</f>
        <v/>
      </c>
      <c r="AT577" s="288"/>
      <c r="AU577" s="247" t="str">
        <f t="shared" si="416"/>
        <v/>
      </c>
      <c r="AV577" s="248" t="str">
        <f t="shared" si="416"/>
        <v/>
      </c>
      <c r="AW577" s="248" t="str">
        <f t="shared" si="416"/>
        <v/>
      </c>
      <c r="AX577" s="249" t="str">
        <f t="shared" si="416"/>
        <v/>
      </c>
      <c r="AZ577" s="247" t="str">
        <f t="shared" si="417"/>
        <v/>
      </c>
      <c r="BA577" s="248" t="str">
        <f t="shared" si="417"/>
        <v/>
      </c>
      <c r="BB577" s="248" t="str">
        <f t="shared" si="417"/>
        <v/>
      </c>
      <c r="BC577" s="249" t="str">
        <f t="shared" si="417"/>
        <v/>
      </c>
      <c r="BE577" s="247" t="str">
        <f t="shared" si="418"/>
        <v/>
      </c>
      <c r="BF577" s="248" t="str">
        <f t="shared" si="418"/>
        <v/>
      </c>
      <c r="BG577" s="248" t="str">
        <f t="shared" si="418"/>
        <v/>
      </c>
      <c r="BH577" s="249" t="str">
        <f t="shared" si="418"/>
        <v/>
      </c>
      <c r="BI577" s="288"/>
      <c r="BJ577" s="247" t="str">
        <f t="shared" si="419"/>
        <v/>
      </c>
      <c r="BK577" s="248" t="str">
        <f t="shared" si="419"/>
        <v/>
      </c>
      <c r="BL577" s="248" t="str">
        <f t="shared" si="419"/>
        <v/>
      </c>
      <c r="BM577" s="249" t="str">
        <f t="shared" si="419"/>
        <v/>
      </c>
      <c r="BO577" s="247" t="str">
        <f t="shared" si="420"/>
        <v/>
      </c>
      <c r="BP577" s="248" t="str">
        <f t="shared" si="420"/>
        <v/>
      </c>
      <c r="BQ577" s="248" t="str">
        <f t="shared" si="420"/>
        <v/>
      </c>
      <c r="BR577" s="249" t="str">
        <f t="shared" si="420"/>
        <v/>
      </c>
      <c r="BT577" s="247" t="str">
        <f t="shared" si="421"/>
        <v/>
      </c>
      <c r="BU577" s="248" t="str">
        <f t="shared" si="421"/>
        <v/>
      </c>
      <c r="BV577" s="248" t="str">
        <f t="shared" si="421"/>
        <v/>
      </c>
      <c r="BW577" s="249" t="str">
        <f t="shared" si="421"/>
        <v/>
      </c>
      <c r="BX577" s="288"/>
      <c r="CM577" s="96"/>
    </row>
    <row r="578" spans="1:91">
      <c r="A578" s="47" t="str">
        <f t="shared" si="407"/>
        <v/>
      </c>
      <c r="B578" s="241" t="str">
        <f t="shared" si="407"/>
        <v/>
      </c>
      <c r="C578" s="242" t="str">
        <f t="shared" si="407"/>
        <v/>
      </c>
      <c r="D578" s="242" t="str">
        <f t="shared" si="407"/>
        <v/>
      </c>
      <c r="E578" s="243" t="str">
        <f t="shared" si="407"/>
        <v/>
      </c>
      <c r="G578" s="241" t="str">
        <f t="shared" si="408"/>
        <v/>
      </c>
      <c r="H578" s="242" t="str">
        <f t="shared" si="408"/>
        <v/>
      </c>
      <c r="I578" s="242" t="str">
        <f t="shared" si="408"/>
        <v/>
      </c>
      <c r="J578" s="243" t="str">
        <f t="shared" si="408"/>
        <v/>
      </c>
      <c r="L578" s="241" t="str">
        <f t="shared" si="409"/>
        <v/>
      </c>
      <c r="M578" s="242" t="str">
        <f t="shared" si="409"/>
        <v/>
      </c>
      <c r="N578" s="242" t="str">
        <f t="shared" si="409"/>
        <v/>
      </c>
      <c r="O578" s="243" t="str">
        <f t="shared" si="409"/>
        <v/>
      </c>
      <c r="Q578" s="241" t="str">
        <f t="shared" si="410"/>
        <v/>
      </c>
      <c r="R578" s="242" t="str">
        <f t="shared" si="410"/>
        <v/>
      </c>
      <c r="S578" s="242" t="str">
        <f t="shared" si="410"/>
        <v/>
      </c>
      <c r="T578" s="243" t="str">
        <f t="shared" si="410"/>
        <v/>
      </c>
      <c r="V578" s="241" t="str">
        <f t="shared" si="411"/>
        <v/>
      </c>
      <c r="W578" s="242" t="str">
        <f t="shared" si="411"/>
        <v/>
      </c>
      <c r="X578" s="242" t="str">
        <f t="shared" si="411"/>
        <v/>
      </c>
      <c r="Y578" s="243" t="str">
        <f t="shared" si="411"/>
        <v/>
      </c>
      <c r="AA578" s="241" t="str">
        <f t="shared" si="412"/>
        <v/>
      </c>
      <c r="AB578" s="242" t="str">
        <f t="shared" si="412"/>
        <v/>
      </c>
      <c r="AC578" s="242" t="str">
        <f t="shared" si="412"/>
        <v/>
      </c>
      <c r="AD578" s="243" t="str">
        <f t="shared" si="412"/>
        <v/>
      </c>
      <c r="AF578" s="241" t="str">
        <f t="shared" si="413"/>
        <v/>
      </c>
      <c r="AG578" s="242" t="str">
        <f t="shared" si="413"/>
        <v/>
      </c>
      <c r="AH578" s="242" t="str">
        <f t="shared" si="413"/>
        <v/>
      </c>
      <c r="AI578" s="243" t="str">
        <f t="shared" si="413"/>
        <v/>
      </c>
      <c r="AK578" s="241" t="str">
        <f t="shared" si="414"/>
        <v/>
      </c>
      <c r="AL578" s="242" t="str">
        <f t="shared" si="414"/>
        <v/>
      </c>
      <c r="AM578" s="242" t="str">
        <f t="shared" si="414"/>
        <v/>
      </c>
      <c r="AN578" s="243" t="str">
        <f t="shared" si="414"/>
        <v/>
      </c>
      <c r="AP578" s="185" t="str">
        <f>""</f>
        <v/>
      </c>
      <c r="AQ578" s="173" t="str">
        <f>""</f>
        <v/>
      </c>
      <c r="AR578" s="173" t="str">
        <f>""</f>
        <v/>
      </c>
      <c r="AS578" s="180" t="str">
        <f>""</f>
        <v/>
      </c>
      <c r="AT578" s="288"/>
      <c r="AU578" s="241" t="str">
        <f t="shared" si="416"/>
        <v/>
      </c>
      <c r="AV578" s="242" t="str">
        <f t="shared" si="416"/>
        <v/>
      </c>
      <c r="AW578" s="242" t="str">
        <f t="shared" si="416"/>
        <v/>
      </c>
      <c r="AX578" s="243" t="str">
        <f t="shared" si="416"/>
        <v/>
      </c>
      <c r="AZ578" s="241" t="str">
        <f t="shared" si="417"/>
        <v/>
      </c>
      <c r="BA578" s="242" t="str">
        <f t="shared" si="417"/>
        <v/>
      </c>
      <c r="BB578" s="242" t="str">
        <f t="shared" si="417"/>
        <v/>
      </c>
      <c r="BC578" s="243" t="str">
        <f t="shared" si="417"/>
        <v/>
      </c>
      <c r="BE578" s="241" t="str">
        <f t="shared" si="418"/>
        <v/>
      </c>
      <c r="BF578" s="242" t="str">
        <f t="shared" si="418"/>
        <v/>
      </c>
      <c r="BG578" s="242" t="str">
        <f t="shared" si="418"/>
        <v/>
      </c>
      <c r="BH578" s="243" t="str">
        <f t="shared" si="418"/>
        <v/>
      </c>
      <c r="BI578" s="288"/>
      <c r="BJ578" s="241" t="str">
        <f t="shared" si="419"/>
        <v/>
      </c>
      <c r="BK578" s="242" t="str">
        <f t="shared" si="419"/>
        <v/>
      </c>
      <c r="BL578" s="242" t="str">
        <f t="shared" si="419"/>
        <v/>
      </c>
      <c r="BM578" s="243" t="str">
        <f t="shared" si="419"/>
        <v/>
      </c>
      <c r="BO578" s="241" t="str">
        <f t="shared" si="420"/>
        <v/>
      </c>
      <c r="BP578" s="242" t="str">
        <f t="shared" si="420"/>
        <v/>
      </c>
      <c r="BQ578" s="242" t="str">
        <f t="shared" si="420"/>
        <v/>
      </c>
      <c r="BR578" s="243" t="str">
        <f t="shared" si="420"/>
        <v/>
      </c>
      <c r="BT578" s="241" t="str">
        <f t="shared" si="421"/>
        <v/>
      </c>
      <c r="BU578" s="242" t="str">
        <f t="shared" si="421"/>
        <v/>
      </c>
      <c r="BV578" s="242" t="str">
        <f t="shared" si="421"/>
        <v/>
      </c>
      <c r="BW578" s="243" t="str">
        <f t="shared" si="421"/>
        <v/>
      </c>
      <c r="BX578" s="288"/>
      <c r="CM578" s="96"/>
    </row>
    <row r="579" spans="1:91">
      <c r="A579" s="47" t="str">
        <f t="shared" si="407"/>
        <v/>
      </c>
      <c r="B579" s="244" t="str">
        <f t="shared" si="407"/>
        <v/>
      </c>
      <c r="C579" s="245" t="str">
        <f t="shared" si="407"/>
        <v/>
      </c>
      <c r="D579" s="245" t="str">
        <f t="shared" si="407"/>
        <v/>
      </c>
      <c r="E579" s="246" t="str">
        <f t="shared" si="407"/>
        <v/>
      </c>
      <c r="G579" s="244" t="str">
        <f t="shared" si="408"/>
        <v/>
      </c>
      <c r="H579" s="245" t="str">
        <f t="shared" si="408"/>
        <v/>
      </c>
      <c r="I579" s="245" t="str">
        <f t="shared" si="408"/>
        <v/>
      </c>
      <c r="J579" s="246" t="str">
        <f t="shared" si="408"/>
        <v/>
      </c>
      <c r="L579" s="244" t="str">
        <f t="shared" si="409"/>
        <v/>
      </c>
      <c r="M579" s="245" t="str">
        <f t="shared" si="409"/>
        <v/>
      </c>
      <c r="N579" s="245" t="str">
        <f t="shared" si="409"/>
        <v/>
      </c>
      <c r="O579" s="246" t="str">
        <f t="shared" si="409"/>
        <v/>
      </c>
      <c r="Q579" s="244" t="str">
        <f t="shared" si="410"/>
        <v/>
      </c>
      <c r="R579" s="245" t="str">
        <f t="shared" si="410"/>
        <v/>
      </c>
      <c r="S579" s="245" t="str">
        <f t="shared" si="410"/>
        <v/>
      </c>
      <c r="T579" s="246" t="str">
        <f t="shared" si="410"/>
        <v/>
      </c>
      <c r="V579" s="244" t="str">
        <f t="shared" si="411"/>
        <v/>
      </c>
      <c r="W579" s="245" t="str">
        <f t="shared" si="411"/>
        <v/>
      </c>
      <c r="X579" s="245" t="str">
        <f t="shared" si="411"/>
        <v/>
      </c>
      <c r="Y579" s="246" t="str">
        <f t="shared" si="411"/>
        <v/>
      </c>
      <c r="AA579" s="244" t="str">
        <f t="shared" si="412"/>
        <v/>
      </c>
      <c r="AB579" s="245" t="str">
        <f t="shared" si="412"/>
        <v/>
      </c>
      <c r="AC579" s="245" t="str">
        <f t="shared" si="412"/>
        <v/>
      </c>
      <c r="AD579" s="246" t="str">
        <f t="shared" si="412"/>
        <v/>
      </c>
      <c r="AF579" s="244" t="str">
        <f t="shared" si="413"/>
        <v/>
      </c>
      <c r="AG579" s="245" t="str">
        <f t="shared" si="413"/>
        <v/>
      </c>
      <c r="AH579" s="245" t="str">
        <f t="shared" si="413"/>
        <v/>
      </c>
      <c r="AI579" s="246" t="str">
        <f t="shared" si="413"/>
        <v/>
      </c>
      <c r="AK579" s="244" t="str">
        <f t="shared" si="414"/>
        <v/>
      </c>
      <c r="AL579" s="245" t="str">
        <f t="shared" si="414"/>
        <v/>
      </c>
      <c r="AM579" s="245" t="str">
        <f t="shared" si="414"/>
        <v/>
      </c>
      <c r="AN579" s="246" t="str">
        <f t="shared" si="414"/>
        <v/>
      </c>
      <c r="AP579" s="185" t="str">
        <f>""</f>
        <v/>
      </c>
      <c r="AQ579" s="173" t="str">
        <f>""</f>
        <v/>
      </c>
      <c r="AR579" s="173" t="str">
        <f>""</f>
        <v/>
      </c>
      <c r="AS579" s="180" t="str">
        <f>""</f>
        <v/>
      </c>
      <c r="AT579" s="288"/>
      <c r="AU579" s="244" t="str">
        <f t="shared" si="416"/>
        <v/>
      </c>
      <c r="AV579" s="245" t="str">
        <f t="shared" si="416"/>
        <v/>
      </c>
      <c r="AW579" s="245" t="str">
        <f t="shared" si="416"/>
        <v/>
      </c>
      <c r="AX579" s="246" t="str">
        <f t="shared" si="416"/>
        <v/>
      </c>
      <c r="AZ579" s="244" t="str">
        <f t="shared" si="417"/>
        <v/>
      </c>
      <c r="BA579" s="245" t="str">
        <f t="shared" si="417"/>
        <v/>
      </c>
      <c r="BB579" s="245" t="str">
        <f t="shared" si="417"/>
        <v/>
      </c>
      <c r="BC579" s="246" t="str">
        <f t="shared" si="417"/>
        <v/>
      </c>
      <c r="BE579" s="244" t="str">
        <f t="shared" si="418"/>
        <v/>
      </c>
      <c r="BF579" s="245" t="str">
        <f t="shared" si="418"/>
        <v/>
      </c>
      <c r="BG579" s="245" t="str">
        <f t="shared" si="418"/>
        <v/>
      </c>
      <c r="BH579" s="246" t="str">
        <f t="shared" si="418"/>
        <v/>
      </c>
      <c r="BI579" s="288"/>
      <c r="BJ579" s="244" t="str">
        <f t="shared" si="419"/>
        <v/>
      </c>
      <c r="BK579" s="245" t="str">
        <f t="shared" si="419"/>
        <v/>
      </c>
      <c r="BL579" s="245" t="str">
        <f t="shared" si="419"/>
        <v/>
      </c>
      <c r="BM579" s="246" t="str">
        <f t="shared" si="419"/>
        <v/>
      </c>
      <c r="BO579" s="244" t="str">
        <f t="shared" si="420"/>
        <v/>
      </c>
      <c r="BP579" s="245" t="str">
        <f t="shared" si="420"/>
        <v/>
      </c>
      <c r="BQ579" s="245" t="str">
        <f t="shared" si="420"/>
        <v/>
      </c>
      <c r="BR579" s="246" t="str">
        <f t="shared" si="420"/>
        <v/>
      </c>
      <c r="BT579" s="244" t="str">
        <f t="shared" si="421"/>
        <v/>
      </c>
      <c r="BU579" s="245" t="str">
        <f t="shared" si="421"/>
        <v/>
      </c>
      <c r="BV579" s="245" t="str">
        <f t="shared" si="421"/>
        <v/>
      </c>
      <c r="BW579" s="246" t="str">
        <f t="shared" si="421"/>
        <v/>
      </c>
      <c r="BX579" s="288"/>
      <c r="CM579" s="96"/>
    </row>
    <row r="580" spans="1:91">
      <c r="A580" s="47" t="str">
        <f t="shared" ref="A580:E585" si="422">IF(A114="","",A114)</f>
        <v/>
      </c>
      <c r="B580" s="244" t="str">
        <f t="shared" si="422"/>
        <v/>
      </c>
      <c r="C580" s="245" t="str">
        <f t="shared" si="422"/>
        <v/>
      </c>
      <c r="D580" s="245" t="str">
        <f t="shared" si="422"/>
        <v/>
      </c>
      <c r="E580" s="246" t="str">
        <f t="shared" si="422"/>
        <v/>
      </c>
      <c r="G580" s="244" t="str">
        <f t="shared" ref="G580:J585" si="423">IF(G114="","",G114)</f>
        <v/>
      </c>
      <c r="H580" s="245" t="str">
        <f t="shared" si="423"/>
        <v/>
      </c>
      <c r="I580" s="245" t="str">
        <f t="shared" si="423"/>
        <v/>
      </c>
      <c r="J580" s="246" t="str">
        <f t="shared" si="423"/>
        <v/>
      </c>
      <c r="L580" s="244" t="str">
        <f t="shared" ref="L580:O585" si="424">IF(L114="","",L114)</f>
        <v/>
      </c>
      <c r="M580" s="245" t="str">
        <f t="shared" si="424"/>
        <v/>
      </c>
      <c r="N580" s="245" t="str">
        <f t="shared" si="424"/>
        <v/>
      </c>
      <c r="O580" s="246" t="str">
        <f t="shared" si="424"/>
        <v/>
      </c>
      <c r="Q580" s="244" t="str">
        <f t="shared" ref="Q580:T585" si="425">IF(Q114="","",Q114)</f>
        <v/>
      </c>
      <c r="R580" s="245" t="str">
        <f t="shared" si="425"/>
        <v/>
      </c>
      <c r="S580" s="245" t="str">
        <f t="shared" si="425"/>
        <v/>
      </c>
      <c r="T580" s="246" t="str">
        <f t="shared" si="425"/>
        <v/>
      </c>
      <c r="V580" s="244" t="str">
        <f t="shared" ref="V580:Y585" si="426">IF(V114="","",V114)</f>
        <v/>
      </c>
      <c r="W580" s="245" t="str">
        <f t="shared" si="426"/>
        <v/>
      </c>
      <c r="X580" s="245" t="str">
        <f t="shared" si="426"/>
        <v/>
      </c>
      <c r="Y580" s="246" t="str">
        <f t="shared" si="426"/>
        <v/>
      </c>
      <c r="AA580" s="244" t="str">
        <f t="shared" ref="AA580:AD585" si="427">IF(AA114="","",AA114)</f>
        <v/>
      </c>
      <c r="AB580" s="245" t="str">
        <f t="shared" si="427"/>
        <v/>
      </c>
      <c r="AC580" s="245" t="str">
        <f t="shared" si="427"/>
        <v/>
      </c>
      <c r="AD580" s="246" t="str">
        <f t="shared" si="427"/>
        <v/>
      </c>
      <c r="AF580" s="244" t="str">
        <f t="shared" ref="AF580:AI585" si="428">IF(AF114="","",AF114)</f>
        <v/>
      </c>
      <c r="AG580" s="245" t="str">
        <f t="shared" si="428"/>
        <v/>
      </c>
      <c r="AH580" s="245" t="str">
        <f t="shared" si="428"/>
        <v/>
      </c>
      <c r="AI580" s="246" t="str">
        <f t="shared" si="428"/>
        <v/>
      </c>
      <c r="AK580" s="244" t="str">
        <f t="shared" ref="AK580:AN585" si="429">IF(AK114="","",AK114)</f>
        <v/>
      </c>
      <c r="AL580" s="245" t="str">
        <f t="shared" si="429"/>
        <v/>
      </c>
      <c r="AM580" s="245" t="str">
        <f t="shared" si="429"/>
        <v/>
      </c>
      <c r="AN580" s="246" t="str">
        <f t="shared" si="429"/>
        <v/>
      </c>
      <c r="AP580" s="185" t="str">
        <f>""</f>
        <v/>
      </c>
      <c r="AQ580" s="173" t="str">
        <f>""</f>
        <v/>
      </c>
      <c r="AR580" s="173" t="str">
        <f>""</f>
        <v/>
      </c>
      <c r="AS580" s="180" t="str">
        <f>""</f>
        <v/>
      </c>
      <c r="AT580" s="288"/>
      <c r="AU580" s="244" t="str">
        <f t="shared" ref="AU580:AX585" si="430">IF(AU114="","",AU114)</f>
        <v/>
      </c>
      <c r="AV580" s="245" t="str">
        <f t="shared" si="430"/>
        <v/>
      </c>
      <c r="AW580" s="245" t="str">
        <f t="shared" si="430"/>
        <v/>
      </c>
      <c r="AX580" s="246" t="str">
        <f t="shared" si="430"/>
        <v/>
      </c>
      <c r="AZ580" s="244" t="str">
        <f t="shared" ref="AZ580:BC585" si="431">IF(AZ114="","",AZ114)</f>
        <v/>
      </c>
      <c r="BA580" s="245" t="str">
        <f t="shared" si="431"/>
        <v/>
      </c>
      <c r="BB580" s="245" t="str">
        <f t="shared" si="431"/>
        <v/>
      </c>
      <c r="BC580" s="246" t="str">
        <f t="shared" si="431"/>
        <v/>
      </c>
      <c r="BE580" s="244" t="str">
        <f t="shared" ref="BE580:BH585" si="432">IF(BE114="","",BE114)</f>
        <v/>
      </c>
      <c r="BF580" s="245" t="str">
        <f t="shared" si="432"/>
        <v/>
      </c>
      <c r="BG580" s="245" t="str">
        <f t="shared" si="432"/>
        <v/>
      </c>
      <c r="BH580" s="246" t="str">
        <f t="shared" si="432"/>
        <v/>
      </c>
      <c r="BI580" s="288"/>
      <c r="BJ580" s="244" t="str">
        <f t="shared" ref="BJ580:BM585" si="433">IF(BJ114="","",BJ114)</f>
        <v/>
      </c>
      <c r="BK580" s="245" t="str">
        <f t="shared" si="433"/>
        <v/>
      </c>
      <c r="BL580" s="245" t="str">
        <f t="shared" si="433"/>
        <v/>
      </c>
      <c r="BM580" s="246" t="str">
        <f t="shared" si="433"/>
        <v/>
      </c>
      <c r="BO580" s="244" t="str">
        <f t="shared" ref="BO580:BR585" si="434">IF(BO114="","",BO114)</f>
        <v/>
      </c>
      <c r="BP580" s="245" t="str">
        <f t="shared" si="434"/>
        <v/>
      </c>
      <c r="BQ580" s="245" t="str">
        <f t="shared" si="434"/>
        <v/>
      </c>
      <c r="BR580" s="246" t="str">
        <f t="shared" si="434"/>
        <v/>
      </c>
      <c r="BT580" s="244" t="str">
        <f t="shared" ref="BT580:BW585" si="435">IF(BT114="","",BT114)</f>
        <v/>
      </c>
      <c r="BU580" s="245" t="str">
        <f t="shared" si="435"/>
        <v/>
      </c>
      <c r="BV580" s="245" t="str">
        <f t="shared" si="435"/>
        <v/>
      </c>
      <c r="BW580" s="246" t="str">
        <f t="shared" si="435"/>
        <v/>
      </c>
      <c r="BX580" s="288"/>
      <c r="CM580" s="96"/>
    </row>
    <row r="581" spans="1:91">
      <c r="A581" s="47" t="str">
        <f t="shared" si="422"/>
        <v/>
      </c>
      <c r="B581" s="244" t="str">
        <f t="shared" si="422"/>
        <v/>
      </c>
      <c r="C581" s="245" t="str">
        <f t="shared" si="422"/>
        <v/>
      </c>
      <c r="D581" s="245" t="str">
        <f t="shared" si="422"/>
        <v/>
      </c>
      <c r="E581" s="246" t="str">
        <f t="shared" si="422"/>
        <v/>
      </c>
      <c r="G581" s="244" t="str">
        <f t="shared" si="423"/>
        <v/>
      </c>
      <c r="H581" s="245" t="str">
        <f t="shared" si="423"/>
        <v/>
      </c>
      <c r="I581" s="245" t="str">
        <f t="shared" si="423"/>
        <v/>
      </c>
      <c r="J581" s="246" t="str">
        <f t="shared" si="423"/>
        <v/>
      </c>
      <c r="L581" s="244" t="str">
        <f t="shared" si="424"/>
        <v/>
      </c>
      <c r="M581" s="245" t="str">
        <f t="shared" si="424"/>
        <v/>
      </c>
      <c r="N581" s="245" t="str">
        <f t="shared" si="424"/>
        <v/>
      </c>
      <c r="O581" s="246" t="str">
        <f t="shared" si="424"/>
        <v/>
      </c>
      <c r="Q581" s="244" t="str">
        <f t="shared" si="425"/>
        <v/>
      </c>
      <c r="R581" s="245" t="str">
        <f t="shared" si="425"/>
        <v/>
      </c>
      <c r="S581" s="245" t="str">
        <f t="shared" si="425"/>
        <v/>
      </c>
      <c r="T581" s="246" t="str">
        <f t="shared" si="425"/>
        <v/>
      </c>
      <c r="V581" s="244" t="str">
        <f t="shared" si="426"/>
        <v/>
      </c>
      <c r="W581" s="245" t="str">
        <f t="shared" si="426"/>
        <v/>
      </c>
      <c r="X581" s="245" t="str">
        <f t="shared" si="426"/>
        <v/>
      </c>
      <c r="Y581" s="246" t="str">
        <f t="shared" si="426"/>
        <v/>
      </c>
      <c r="AA581" s="244" t="str">
        <f t="shared" si="427"/>
        <v/>
      </c>
      <c r="AB581" s="245" t="str">
        <f t="shared" si="427"/>
        <v/>
      </c>
      <c r="AC581" s="245" t="str">
        <f t="shared" si="427"/>
        <v/>
      </c>
      <c r="AD581" s="246" t="str">
        <f t="shared" si="427"/>
        <v/>
      </c>
      <c r="AF581" s="244" t="str">
        <f t="shared" si="428"/>
        <v/>
      </c>
      <c r="AG581" s="245" t="str">
        <f t="shared" si="428"/>
        <v/>
      </c>
      <c r="AH581" s="245" t="str">
        <f t="shared" si="428"/>
        <v/>
      </c>
      <c r="AI581" s="246" t="str">
        <f t="shared" si="428"/>
        <v/>
      </c>
      <c r="AK581" s="244" t="str">
        <f t="shared" si="429"/>
        <v/>
      </c>
      <c r="AL581" s="245" t="str">
        <f t="shared" si="429"/>
        <v/>
      </c>
      <c r="AM581" s="245" t="str">
        <f t="shared" si="429"/>
        <v/>
      </c>
      <c r="AN581" s="246" t="str">
        <f t="shared" si="429"/>
        <v/>
      </c>
      <c r="AP581" s="185" t="str">
        <f>""</f>
        <v/>
      </c>
      <c r="AQ581" s="173" t="str">
        <f>""</f>
        <v/>
      </c>
      <c r="AR581" s="173" t="str">
        <f>""</f>
        <v/>
      </c>
      <c r="AS581" s="180" t="str">
        <f>""</f>
        <v/>
      </c>
      <c r="AT581" s="288"/>
      <c r="AU581" s="244" t="str">
        <f t="shared" si="430"/>
        <v/>
      </c>
      <c r="AV581" s="245" t="str">
        <f t="shared" si="430"/>
        <v/>
      </c>
      <c r="AW581" s="245" t="str">
        <f t="shared" si="430"/>
        <v/>
      </c>
      <c r="AX581" s="246" t="str">
        <f t="shared" si="430"/>
        <v/>
      </c>
      <c r="AZ581" s="244" t="str">
        <f t="shared" si="431"/>
        <v/>
      </c>
      <c r="BA581" s="245" t="str">
        <f t="shared" si="431"/>
        <v/>
      </c>
      <c r="BB581" s="245" t="str">
        <f t="shared" si="431"/>
        <v/>
      </c>
      <c r="BC581" s="246" t="str">
        <f t="shared" si="431"/>
        <v/>
      </c>
      <c r="BE581" s="244" t="str">
        <f t="shared" si="432"/>
        <v/>
      </c>
      <c r="BF581" s="245" t="str">
        <f t="shared" si="432"/>
        <v/>
      </c>
      <c r="BG581" s="245" t="str">
        <f t="shared" si="432"/>
        <v/>
      </c>
      <c r="BH581" s="246" t="str">
        <f t="shared" si="432"/>
        <v/>
      </c>
      <c r="BI581" s="288"/>
      <c r="BJ581" s="244" t="str">
        <f t="shared" si="433"/>
        <v/>
      </c>
      <c r="BK581" s="245" t="str">
        <f t="shared" si="433"/>
        <v/>
      </c>
      <c r="BL581" s="245" t="str">
        <f t="shared" si="433"/>
        <v/>
      </c>
      <c r="BM581" s="246" t="str">
        <f t="shared" si="433"/>
        <v/>
      </c>
      <c r="BO581" s="244" t="str">
        <f t="shared" si="434"/>
        <v/>
      </c>
      <c r="BP581" s="245" t="str">
        <f t="shared" si="434"/>
        <v/>
      </c>
      <c r="BQ581" s="245" t="str">
        <f t="shared" si="434"/>
        <v/>
      </c>
      <c r="BR581" s="246" t="str">
        <f t="shared" si="434"/>
        <v/>
      </c>
      <c r="BT581" s="244" t="str">
        <f t="shared" si="435"/>
        <v/>
      </c>
      <c r="BU581" s="245" t="str">
        <f t="shared" si="435"/>
        <v/>
      </c>
      <c r="BV581" s="245" t="str">
        <f t="shared" si="435"/>
        <v/>
      </c>
      <c r="BW581" s="246" t="str">
        <f t="shared" si="435"/>
        <v/>
      </c>
      <c r="BX581" s="288"/>
      <c r="CM581" s="96"/>
    </row>
    <row r="582" spans="1:91">
      <c r="A582" s="47"/>
      <c r="B582" s="244" t="str">
        <f t="shared" si="422"/>
        <v/>
      </c>
      <c r="C582" s="245" t="str">
        <f t="shared" si="422"/>
        <v/>
      </c>
      <c r="D582" s="245" t="str">
        <f t="shared" si="422"/>
        <v/>
      </c>
      <c r="E582" s="246" t="str">
        <f t="shared" si="422"/>
        <v/>
      </c>
      <c r="G582" s="244" t="str">
        <f t="shared" si="423"/>
        <v/>
      </c>
      <c r="H582" s="245" t="str">
        <f t="shared" si="423"/>
        <v/>
      </c>
      <c r="I582" s="245" t="str">
        <f t="shared" si="423"/>
        <v/>
      </c>
      <c r="J582" s="246" t="str">
        <f t="shared" si="423"/>
        <v/>
      </c>
      <c r="L582" s="244" t="str">
        <f t="shared" si="424"/>
        <v/>
      </c>
      <c r="M582" s="245" t="str">
        <f t="shared" si="424"/>
        <v/>
      </c>
      <c r="N582" s="245" t="str">
        <f t="shared" si="424"/>
        <v/>
      </c>
      <c r="O582" s="246" t="str">
        <f t="shared" si="424"/>
        <v/>
      </c>
      <c r="Q582" s="244" t="str">
        <f t="shared" si="425"/>
        <v/>
      </c>
      <c r="R582" s="245" t="str">
        <f t="shared" si="425"/>
        <v/>
      </c>
      <c r="S582" s="245" t="str">
        <f t="shared" si="425"/>
        <v/>
      </c>
      <c r="T582" s="246" t="str">
        <f t="shared" si="425"/>
        <v/>
      </c>
      <c r="V582" s="244" t="str">
        <f t="shared" si="426"/>
        <v/>
      </c>
      <c r="W582" s="245" t="str">
        <f t="shared" si="426"/>
        <v/>
      </c>
      <c r="X582" s="245" t="str">
        <f t="shared" si="426"/>
        <v/>
      </c>
      <c r="Y582" s="246" t="str">
        <f t="shared" si="426"/>
        <v/>
      </c>
      <c r="AA582" s="244" t="str">
        <f t="shared" si="427"/>
        <v/>
      </c>
      <c r="AB582" s="245" t="str">
        <f t="shared" si="427"/>
        <v/>
      </c>
      <c r="AC582" s="245" t="str">
        <f t="shared" si="427"/>
        <v/>
      </c>
      <c r="AD582" s="246" t="str">
        <f t="shared" si="427"/>
        <v/>
      </c>
      <c r="AF582" s="244" t="str">
        <f t="shared" si="428"/>
        <v/>
      </c>
      <c r="AG582" s="245" t="str">
        <f t="shared" si="428"/>
        <v/>
      </c>
      <c r="AH582" s="245" t="str">
        <f t="shared" si="428"/>
        <v/>
      </c>
      <c r="AI582" s="246" t="str">
        <f t="shared" si="428"/>
        <v/>
      </c>
      <c r="AK582" s="244" t="str">
        <f t="shared" si="429"/>
        <v/>
      </c>
      <c r="AL582" s="245" t="str">
        <f t="shared" si="429"/>
        <v/>
      </c>
      <c r="AM582" s="245" t="str">
        <f t="shared" si="429"/>
        <v/>
      </c>
      <c r="AN582" s="246" t="str">
        <f t="shared" si="429"/>
        <v/>
      </c>
      <c r="AP582" s="185" t="str">
        <f>""</f>
        <v/>
      </c>
      <c r="AQ582" s="173" t="str">
        <f>""</f>
        <v/>
      </c>
      <c r="AR582" s="173" t="str">
        <f>""</f>
        <v/>
      </c>
      <c r="AS582" s="180" t="str">
        <f>""</f>
        <v/>
      </c>
      <c r="AT582" s="288"/>
      <c r="AU582" s="244" t="str">
        <f t="shared" si="430"/>
        <v/>
      </c>
      <c r="AV582" s="245" t="str">
        <f t="shared" si="430"/>
        <v/>
      </c>
      <c r="AW582" s="245" t="str">
        <f t="shared" si="430"/>
        <v/>
      </c>
      <c r="AX582" s="246" t="str">
        <f t="shared" si="430"/>
        <v/>
      </c>
      <c r="AZ582" s="244" t="str">
        <f t="shared" si="431"/>
        <v/>
      </c>
      <c r="BA582" s="245" t="str">
        <f t="shared" si="431"/>
        <v/>
      </c>
      <c r="BB582" s="245" t="str">
        <f t="shared" si="431"/>
        <v/>
      </c>
      <c r="BC582" s="246" t="str">
        <f t="shared" si="431"/>
        <v/>
      </c>
      <c r="BE582" s="244" t="str">
        <f t="shared" si="432"/>
        <v/>
      </c>
      <c r="BF582" s="245" t="str">
        <f t="shared" si="432"/>
        <v/>
      </c>
      <c r="BG582" s="245" t="str">
        <f t="shared" si="432"/>
        <v/>
      </c>
      <c r="BH582" s="246" t="str">
        <f t="shared" si="432"/>
        <v/>
      </c>
      <c r="BI582" s="288"/>
      <c r="BJ582" s="244" t="str">
        <f t="shared" si="433"/>
        <v/>
      </c>
      <c r="BK582" s="245" t="str">
        <f t="shared" si="433"/>
        <v/>
      </c>
      <c r="BL582" s="245" t="str">
        <f t="shared" si="433"/>
        <v/>
      </c>
      <c r="BM582" s="246" t="str">
        <f t="shared" si="433"/>
        <v/>
      </c>
      <c r="BO582" s="244" t="str">
        <f t="shared" si="434"/>
        <v/>
      </c>
      <c r="BP582" s="245" t="str">
        <f t="shared" si="434"/>
        <v/>
      </c>
      <c r="BQ582" s="245" t="str">
        <f t="shared" si="434"/>
        <v/>
      </c>
      <c r="BR582" s="246" t="str">
        <f t="shared" si="434"/>
        <v/>
      </c>
      <c r="BT582" s="244" t="str">
        <f t="shared" si="435"/>
        <v/>
      </c>
      <c r="BU582" s="245" t="str">
        <f t="shared" si="435"/>
        <v/>
      </c>
      <c r="BV582" s="245" t="str">
        <f t="shared" si="435"/>
        <v/>
      </c>
      <c r="BW582" s="246" t="str">
        <f t="shared" si="435"/>
        <v/>
      </c>
      <c r="BX582" s="288"/>
      <c r="CM582" s="96"/>
    </row>
    <row r="583" spans="1:91">
      <c r="A583" s="47"/>
      <c r="B583" s="244" t="str">
        <f t="shared" si="422"/>
        <v/>
      </c>
      <c r="C583" s="245" t="str">
        <f t="shared" si="422"/>
        <v/>
      </c>
      <c r="D583" s="245" t="str">
        <f t="shared" si="422"/>
        <v/>
      </c>
      <c r="E583" s="246" t="str">
        <f t="shared" si="422"/>
        <v/>
      </c>
      <c r="G583" s="244" t="str">
        <f t="shared" si="423"/>
        <v/>
      </c>
      <c r="H583" s="245" t="str">
        <f t="shared" si="423"/>
        <v/>
      </c>
      <c r="I583" s="245" t="str">
        <f t="shared" si="423"/>
        <v/>
      </c>
      <c r="J583" s="246" t="str">
        <f t="shared" si="423"/>
        <v/>
      </c>
      <c r="L583" s="244" t="str">
        <f t="shared" si="424"/>
        <v/>
      </c>
      <c r="M583" s="245" t="str">
        <f t="shared" si="424"/>
        <v/>
      </c>
      <c r="N583" s="245" t="str">
        <f t="shared" si="424"/>
        <v/>
      </c>
      <c r="O583" s="246" t="str">
        <f t="shared" si="424"/>
        <v/>
      </c>
      <c r="Q583" s="244" t="str">
        <f t="shared" si="425"/>
        <v/>
      </c>
      <c r="R583" s="245" t="str">
        <f t="shared" si="425"/>
        <v/>
      </c>
      <c r="S583" s="245" t="str">
        <f t="shared" si="425"/>
        <v/>
      </c>
      <c r="T583" s="246" t="str">
        <f t="shared" si="425"/>
        <v/>
      </c>
      <c r="V583" s="244" t="str">
        <f t="shared" si="426"/>
        <v/>
      </c>
      <c r="W583" s="245" t="str">
        <f t="shared" si="426"/>
        <v/>
      </c>
      <c r="X583" s="245" t="str">
        <f t="shared" si="426"/>
        <v/>
      </c>
      <c r="Y583" s="246" t="str">
        <f t="shared" si="426"/>
        <v/>
      </c>
      <c r="AA583" s="244" t="str">
        <f t="shared" si="427"/>
        <v/>
      </c>
      <c r="AB583" s="245" t="str">
        <f t="shared" si="427"/>
        <v/>
      </c>
      <c r="AC583" s="245" t="str">
        <f t="shared" si="427"/>
        <v/>
      </c>
      <c r="AD583" s="246" t="str">
        <f t="shared" si="427"/>
        <v/>
      </c>
      <c r="AF583" s="244" t="str">
        <f t="shared" si="428"/>
        <v/>
      </c>
      <c r="AG583" s="245" t="str">
        <f t="shared" si="428"/>
        <v/>
      </c>
      <c r="AH583" s="245" t="str">
        <f t="shared" si="428"/>
        <v/>
      </c>
      <c r="AI583" s="246" t="str">
        <f t="shared" si="428"/>
        <v/>
      </c>
      <c r="AK583" s="244" t="str">
        <f t="shared" si="429"/>
        <v/>
      </c>
      <c r="AL583" s="245" t="str">
        <f t="shared" si="429"/>
        <v/>
      </c>
      <c r="AM583" s="245" t="str">
        <f t="shared" si="429"/>
        <v/>
      </c>
      <c r="AN583" s="246" t="str">
        <f t="shared" si="429"/>
        <v/>
      </c>
      <c r="AP583" s="185" t="str">
        <f>""</f>
        <v/>
      </c>
      <c r="AQ583" s="173" t="str">
        <f>""</f>
        <v/>
      </c>
      <c r="AR583" s="173" t="str">
        <f>""</f>
        <v/>
      </c>
      <c r="AS583" s="180" t="str">
        <f>""</f>
        <v/>
      </c>
      <c r="AT583" s="288"/>
      <c r="AU583" s="244" t="str">
        <f t="shared" si="430"/>
        <v/>
      </c>
      <c r="AV583" s="245" t="str">
        <f t="shared" si="430"/>
        <v/>
      </c>
      <c r="AW583" s="245" t="str">
        <f t="shared" si="430"/>
        <v/>
      </c>
      <c r="AX583" s="246" t="str">
        <f t="shared" si="430"/>
        <v/>
      </c>
      <c r="AZ583" s="244" t="str">
        <f t="shared" si="431"/>
        <v/>
      </c>
      <c r="BA583" s="245" t="str">
        <f t="shared" si="431"/>
        <v/>
      </c>
      <c r="BB583" s="245" t="str">
        <f t="shared" si="431"/>
        <v/>
      </c>
      <c r="BC583" s="246" t="str">
        <f t="shared" si="431"/>
        <v/>
      </c>
      <c r="BE583" s="244" t="str">
        <f t="shared" si="432"/>
        <v/>
      </c>
      <c r="BF583" s="245" t="str">
        <f t="shared" si="432"/>
        <v/>
      </c>
      <c r="BG583" s="245" t="str">
        <f t="shared" si="432"/>
        <v/>
      </c>
      <c r="BH583" s="246" t="str">
        <f t="shared" si="432"/>
        <v/>
      </c>
      <c r="BI583" s="288"/>
      <c r="BJ583" s="244" t="str">
        <f t="shared" si="433"/>
        <v/>
      </c>
      <c r="BK583" s="245" t="str">
        <f t="shared" si="433"/>
        <v/>
      </c>
      <c r="BL583" s="245" t="str">
        <f t="shared" si="433"/>
        <v/>
      </c>
      <c r="BM583" s="246" t="str">
        <f t="shared" si="433"/>
        <v/>
      </c>
      <c r="BO583" s="244" t="str">
        <f t="shared" si="434"/>
        <v/>
      </c>
      <c r="BP583" s="245" t="str">
        <f t="shared" si="434"/>
        <v/>
      </c>
      <c r="BQ583" s="245" t="str">
        <f t="shared" si="434"/>
        <v/>
      </c>
      <c r="BR583" s="246" t="str">
        <f t="shared" si="434"/>
        <v/>
      </c>
      <c r="BT583" s="244" t="str">
        <f t="shared" si="435"/>
        <v/>
      </c>
      <c r="BU583" s="245" t="str">
        <f t="shared" si="435"/>
        <v/>
      </c>
      <c r="BV583" s="245" t="str">
        <f t="shared" si="435"/>
        <v/>
      </c>
      <c r="BW583" s="246" t="str">
        <f t="shared" si="435"/>
        <v/>
      </c>
      <c r="BX583" s="288"/>
      <c r="CM583" s="96"/>
    </row>
    <row r="584" spans="1:91">
      <c r="A584" s="47" t="str">
        <f>IF(A116="","",A116)</f>
        <v/>
      </c>
      <c r="B584" s="244" t="str">
        <f t="shared" si="422"/>
        <v/>
      </c>
      <c r="C584" s="245" t="str">
        <f t="shared" si="422"/>
        <v/>
      </c>
      <c r="D584" s="245" t="str">
        <f t="shared" si="422"/>
        <v/>
      </c>
      <c r="E584" s="246" t="str">
        <f t="shared" si="422"/>
        <v/>
      </c>
      <c r="G584" s="244" t="str">
        <f t="shared" si="423"/>
        <v/>
      </c>
      <c r="H584" s="245" t="str">
        <f t="shared" si="423"/>
        <v/>
      </c>
      <c r="I584" s="245" t="str">
        <f t="shared" si="423"/>
        <v/>
      </c>
      <c r="J584" s="246" t="str">
        <f t="shared" si="423"/>
        <v/>
      </c>
      <c r="L584" s="244" t="str">
        <f t="shared" si="424"/>
        <v/>
      </c>
      <c r="M584" s="245" t="str">
        <f t="shared" si="424"/>
        <v/>
      </c>
      <c r="N584" s="245" t="str">
        <f t="shared" si="424"/>
        <v/>
      </c>
      <c r="O584" s="246" t="str">
        <f t="shared" si="424"/>
        <v/>
      </c>
      <c r="Q584" s="244" t="str">
        <f t="shared" si="425"/>
        <v/>
      </c>
      <c r="R584" s="245" t="str">
        <f t="shared" si="425"/>
        <v/>
      </c>
      <c r="S584" s="245" t="str">
        <f t="shared" si="425"/>
        <v/>
      </c>
      <c r="T584" s="246" t="str">
        <f t="shared" si="425"/>
        <v/>
      </c>
      <c r="V584" s="244" t="str">
        <f t="shared" si="426"/>
        <v/>
      </c>
      <c r="W584" s="245" t="str">
        <f t="shared" si="426"/>
        <v/>
      </c>
      <c r="X584" s="245" t="str">
        <f t="shared" si="426"/>
        <v/>
      </c>
      <c r="Y584" s="246" t="str">
        <f t="shared" si="426"/>
        <v/>
      </c>
      <c r="AA584" s="244" t="str">
        <f t="shared" si="427"/>
        <v/>
      </c>
      <c r="AB584" s="245" t="str">
        <f t="shared" si="427"/>
        <v/>
      </c>
      <c r="AC584" s="245" t="str">
        <f t="shared" si="427"/>
        <v/>
      </c>
      <c r="AD584" s="246" t="str">
        <f t="shared" si="427"/>
        <v/>
      </c>
      <c r="AF584" s="244" t="str">
        <f t="shared" si="428"/>
        <v/>
      </c>
      <c r="AG584" s="245" t="str">
        <f t="shared" si="428"/>
        <v/>
      </c>
      <c r="AH584" s="245" t="str">
        <f t="shared" si="428"/>
        <v/>
      </c>
      <c r="AI584" s="246" t="str">
        <f t="shared" si="428"/>
        <v/>
      </c>
      <c r="AK584" s="244" t="str">
        <f t="shared" si="429"/>
        <v/>
      </c>
      <c r="AL584" s="245" t="str">
        <f t="shared" si="429"/>
        <v/>
      </c>
      <c r="AM584" s="245" t="str">
        <f t="shared" si="429"/>
        <v/>
      </c>
      <c r="AN584" s="246" t="str">
        <f t="shared" si="429"/>
        <v/>
      </c>
      <c r="AP584" s="185" t="str">
        <f>""</f>
        <v/>
      </c>
      <c r="AQ584" s="173" t="str">
        <f>""</f>
        <v/>
      </c>
      <c r="AR584" s="173" t="str">
        <f>""</f>
        <v/>
      </c>
      <c r="AS584" s="180" t="str">
        <f>""</f>
        <v/>
      </c>
      <c r="AT584" s="288"/>
      <c r="AU584" s="244" t="str">
        <f t="shared" si="430"/>
        <v/>
      </c>
      <c r="AV584" s="245" t="str">
        <f t="shared" si="430"/>
        <v/>
      </c>
      <c r="AW584" s="245" t="str">
        <f t="shared" si="430"/>
        <v/>
      </c>
      <c r="AX584" s="246" t="str">
        <f t="shared" si="430"/>
        <v/>
      </c>
      <c r="AZ584" s="244" t="str">
        <f t="shared" si="431"/>
        <v/>
      </c>
      <c r="BA584" s="245" t="str">
        <f t="shared" si="431"/>
        <v/>
      </c>
      <c r="BB584" s="245" t="str">
        <f t="shared" si="431"/>
        <v/>
      </c>
      <c r="BC584" s="246" t="str">
        <f t="shared" si="431"/>
        <v/>
      </c>
      <c r="BE584" s="244" t="str">
        <f t="shared" si="432"/>
        <v/>
      </c>
      <c r="BF584" s="245" t="str">
        <f t="shared" si="432"/>
        <v/>
      </c>
      <c r="BG584" s="245" t="str">
        <f t="shared" si="432"/>
        <v/>
      </c>
      <c r="BH584" s="246" t="str">
        <f t="shared" si="432"/>
        <v/>
      </c>
      <c r="BI584" s="288"/>
      <c r="BJ584" s="244" t="str">
        <f t="shared" si="433"/>
        <v/>
      </c>
      <c r="BK584" s="245" t="str">
        <f t="shared" si="433"/>
        <v/>
      </c>
      <c r="BL584" s="245" t="str">
        <f t="shared" si="433"/>
        <v/>
      </c>
      <c r="BM584" s="246" t="str">
        <f t="shared" si="433"/>
        <v/>
      </c>
      <c r="BO584" s="244" t="str">
        <f t="shared" si="434"/>
        <v/>
      </c>
      <c r="BP584" s="245" t="str">
        <f t="shared" si="434"/>
        <v/>
      </c>
      <c r="BQ584" s="245" t="str">
        <f t="shared" si="434"/>
        <v/>
      </c>
      <c r="BR584" s="246" t="str">
        <f t="shared" si="434"/>
        <v/>
      </c>
      <c r="BT584" s="244" t="str">
        <f t="shared" si="435"/>
        <v/>
      </c>
      <c r="BU584" s="245" t="str">
        <f t="shared" si="435"/>
        <v/>
      </c>
      <c r="BV584" s="245" t="str">
        <f t="shared" si="435"/>
        <v/>
      </c>
      <c r="BW584" s="246" t="str">
        <f t="shared" si="435"/>
        <v/>
      </c>
      <c r="BX584" s="288"/>
      <c r="CM584" s="96"/>
    </row>
    <row r="585" spans="1:91">
      <c r="A585" s="47" t="str">
        <f>IF(A117="","",A117)</f>
        <v/>
      </c>
      <c r="B585" s="247" t="str">
        <f t="shared" si="422"/>
        <v/>
      </c>
      <c r="C585" s="248" t="str">
        <f t="shared" si="422"/>
        <v/>
      </c>
      <c r="D585" s="248" t="str">
        <f t="shared" si="422"/>
        <v/>
      </c>
      <c r="E585" s="249" t="str">
        <f t="shared" si="422"/>
        <v/>
      </c>
      <c r="G585" s="247" t="str">
        <f t="shared" si="423"/>
        <v/>
      </c>
      <c r="H585" s="248" t="str">
        <f t="shared" si="423"/>
        <v/>
      </c>
      <c r="I585" s="248" t="str">
        <f t="shared" si="423"/>
        <v/>
      </c>
      <c r="J585" s="249" t="str">
        <f t="shared" si="423"/>
        <v/>
      </c>
      <c r="L585" s="247" t="str">
        <f t="shared" si="424"/>
        <v/>
      </c>
      <c r="M585" s="248" t="str">
        <f t="shared" si="424"/>
        <v/>
      </c>
      <c r="N585" s="248" t="str">
        <f t="shared" si="424"/>
        <v/>
      </c>
      <c r="O585" s="249" t="str">
        <f t="shared" si="424"/>
        <v/>
      </c>
      <c r="Q585" s="247" t="str">
        <f t="shared" si="425"/>
        <v/>
      </c>
      <c r="R585" s="248" t="str">
        <f t="shared" si="425"/>
        <v/>
      </c>
      <c r="S585" s="248" t="str">
        <f t="shared" si="425"/>
        <v/>
      </c>
      <c r="T585" s="249" t="str">
        <f t="shared" si="425"/>
        <v/>
      </c>
      <c r="V585" s="247" t="str">
        <f t="shared" si="426"/>
        <v/>
      </c>
      <c r="W585" s="248" t="str">
        <f t="shared" si="426"/>
        <v/>
      </c>
      <c r="X585" s="248" t="str">
        <f t="shared" si="426"/>
        <v/>
      </c>
      <c r="Y585" s="249" t="str">
        <f t="shared" si="426"/>
        <v/>
      </c>
      <c r="AA585" s="247" t="str">
        <f t="shared" si="427"/>
        <v/>
      </c>
      <c r="AB585" s="248" t="str">
        <f t="shared" si="427"/>
        <v/>
      </c>
      <c r="AC585" s="248" t="str">
        <f t="shared" si="427"/>
        <v/>
      </c>
      <c r="AD585" s="249" t="str">
        <f t="shared" si="427"/>
        <v/>
      </c>
      <c r="AF585" s="247" t="str">
        <f t="shared" si="428"/>
        <v/>
      </c>
      <c r="AG585" s="248" t="str">
        <f t="shared" si="428"/>
        <v/>
      </c>
      <c r="AH585" s="248" t="str">
        <f t="shared" si="428"/>
        <v/>
      </c>
      <c r="AI585" s="249" t="str">
        <f t="shared" si="428"/>
        <v/>
      </c>
      <c r="AK585" s="247" t="str">
        <f t="shared" si="429"/>
        <v/>
      </c>
      <c r="AL585" s="248" t="str">
        <f t="shared" si="429"/>
        <v/>
      </c>
      <c r="AM585" s="248" t="str">
        <f t="shared" si="429"/>
        <v/>
      </c>
      <c r="AN585" s="249" t="str">
        <f t="shared" si="429"/>
        <v/>
      </c>
      <c r="AP585" s="186" t="str">
        <f>""</f>
        <v/>
      </c>
      <c r="AQ585" s="174" t="str">
        <f>""</f>
        <v/>
      </c>
      <c r="AR585" s="174" t="str">
        <f>""</f>
        <v/>
      </c>
      <c r="AS585" s="181" t="str">
        <f>""</f>
        <v/>
      </c>
      <c r="AT585" s="288"/>
      <c r="AU585" s="247" t="str">
        <f t="shared" si="430"/>
        <v/>
      </c>
      <c r="AV585" s="248" t="str">
        <f t="shared" si="430"/>
        <v/>
      </c>
      <c r="AW585" s="248" t="str">
        <f t="shared" si="430"/>
        <v/>
      </c>
      <c r="AX585" s="249" t="str">
        <f t="shared" si="430"/>
        <v/>
      </c>
      <c r="AZ585" s="247" t="str">
        <f t="shared" si="431"/>
        <v/>
      </c>
      <c r="BA585" s="248" t="str">
        <f t="shared" si="431"/>
        <v/>
      </c>
      <c r="BB585" s="248" t="str">
        <f t="shared" si="431"/>
        <v/>
      </c>
      <c r="BC585" s="249" t="str">
        <f t="shared" si="431"/>
        <v/>
      </c>
      <c r="BE585" s="247" t="str">
        <f t="shared" si="432"/>
        <v/>
      </c>
      <c r="BF585" s="248" t="str">
        <f t="shared" si="432"/>
        <v/>
      </c>
      <c r="BG585" s="248" t="str">
        <f t="shared" si="432"/>
        <v/>
      </c>
      <c r="BH585" s="249" t="str">
        <f t="shared" si="432"/>
        <v/>
      </c>
      <c r="BI585" s="288"/>
      <c r="BJ585" s="247" t="str">
        <f t="shared" si="433"/>
        <v/>
      </c>
      <c r="BK585" s="248" t="str">
        <f t="shared" si="433"/>
        <v/>
      </c>
      <c r="BL585" s="248" t="str">
        <f t="shared" si="433"/>
        <v/>
      </c>
      <c r="BM585" s="249" t="str">
        <f t="shared" si="433"/>
        <v/>
      </c>
      <c r="BO585" s="247" t="str">
        <f t="shared" si="434"/>
        <v/>
      </c>
      <c r="BP585" s="248" t="str">
        <f t="shared" si="434"/>
        <v/>
      </c>
      <c r="BQ585" s="248" t="str">
        <f t="shared" si="434"/>
        <v/>
      </c>
      <c r="BR585" s="249" t="str">
        <f t="shared" si="434"/>
        <v/>
      </c>
      <c r="BT585" s="247" t="str">
        <f t="shared" si="435"/>
        <v/>
      </c>
      <c r="BU585" s="248" t="str">
        <f t="shared" si="435"/>
        <v/>
      </c>
      <c r="BV585" s="248" t="str">
        <f t="shared" si="435"/>
        <v/>
      </c>
      <c r="BW585" s="249" t="str">
        <f t="shared" si="435"/>
        <v/>
      </c>
      <c r="BX585" s="288"/>
      <c r="CM585" s="96"/>
    </row>
    <row r="586" spans="1:91">
      <c r="A586" s="47"/>
      <c r="B586" s="47">
        <f>COUNT(B512:B585)</f>
        <v>63</v>
      </c>
      <c r="C586" s="47"/>
      <c r="D586" s="47"/>
      <c r="E586" s="47"/>
      <c r="F586" s="47"/>
      <c r="G586" s="47">
        <f>COUNT(G512:G585)</f>
        <v>63</v>
      </c>
      <c r="H586" s="47"/>
      <c r="I586" s="47"/>
      <c r="J586" s="47"/>
      <c r="K586" s="47"/>
      <c r="L586" s="47">
        <f>COUNT(L512:L585)</f>
        <v>56</v>
      </c>
      <c r="M586" s="47"/>
      <c r="N586" s="47"/>
      <c r="O586" s="47"/>
      <c r="P586" s="47"/>
      <c r="Q586" s="47">
        <f>COUNT(Q512:Q585)</f>
        <v>52</v>
      </c>
      <c r="R586" s="47"/>
      <c r="S586" s="47"/>
      <c r="T586" s="47"/>
      <c r="U586" s="47"/>
      <c r="V586" s="47">
        <f>COUNT(V512:V585)</f>
        <v>44</v>
      </c>
      <c r="W586" s="47"/>
      <c r="X586" s="47"/>
      <c r="Y586" s="47"/>
      <c r="Z586" s="47"/>
      <c r="AA586" s="47">
        <f>COUNT(AA512:AA585)</f>
        <v>40</v>
      </c>
      <c r="AB586" s="47"/>
      <c r="AC586" s="47"/>
      <c r="AD586" s="47"/>
      <c r="AE586" s="47"/>
      <c r="AF586" s="47">
        <f>COUNT(AF512:AF585)</f>
        <v>32</v>
      </c>
      <c r="AG586" s="47"/>
      <c r="AH586" s="47"/>
      <c r="AI586" s="47"/>
      <c r="AJ586" s="47"/>
      <c r="AK586" s="47">
        <f>COUNT(AK512:AK585)</f>
        <v>24</v>
      </c>
      <c r="AL586" s="47"/>
      <c r="AM586" s="47"/>
      <c r="AN586" s="47"/>
      <c r="AO586" s="47"/>
      <c r="AP586" s="47">
        <f>COUNT(AP512:AP585)</f>
        <v>60</v>
      </c>
      <c r="AQ586" s="47"/>
      <c r="AR586" s="47"/>
      <c r="AS586" s="47"/>
      <c r="AT586" s="292"/>
      <c r="AU586" s="47">
        <f>COUNT(AU512:AU585)</f>
        <v>29</v>
      </c>
      <c r="AV586" s="47"/>
      <c r="AW586" s="47"/>
      <c r="AX586" s="47"/>
      <c r="AY586" s="47"/>
      <c r="AZ586" s="47">
        <f>COUNT(AZ512:AZ585)</f>
        <v>23</v>
      </c>
      <c r="BA586" s="47"/>
      <c r="BB586" s="47"/>
      <c r="BC586" s="47"/>
      <c r="BD586" s="47"/>
      <c r="BE586" s="47">
        <f>COUNT(BE512:BE585)</f>
        <v>17</v>
      </c>
      <c r="BF586" s="47"/>
      <c r="BG586" s="47"/>
      <c r="BH586" s="47"/>
      <c r="BI586" s="292"/>
      <c r="BJ586" s="47">
        <f>COUNT(BJ512:BJ585)</f>
        <v>20</v>
      </c>
      <c r="BK586" s="47"/>
      <c r="BL586" s="47"/>
      <c r="BM586" s="47"/>
      <c r="BN586" s="47"/>
      <c r="BO586" s="47">
        <f>COUNT(BO512:BO585)</f>
        <v>16</v>
      </c>
      <c r="BP586" s="47"/>
      <c r="BQ586" s="47"/>
      <c r="BR586" s="47"/>
      <c r="BS586" s="47"/>
      <c r="BT586" s="47">
        <f>COUNT(BT512:BT585)</f>
        <v>12</v>
      </c>
      <c r="BU586" s="47"/>
      <c r="BV586" s="47"/>
      <c r="BW586" s="47"/>
      <c r="BX586" s="288"/>
      <c r="CM586" s="47"/>
    </row>
    <row r="587" spans="1:91">
      <c r="A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c r="AA587" s="47"/>
      <c r="AB587" s="47"/>
      <c r="AC587" s="47"/>
      <c r="AD587" s="47"/>
      <c r="AE587" s="47"/>
      <c r="AF587" s="47"/>
      <c r="AG587" s="47"/>
      <c r="AH587" s="47"/>
      <c r="AI587" s="47"/>
      <c r="AJ587" s="47"/>
      <c r="AK587" s="47"/>
      <c r="AL587" s="47"/>
      <c r="AM587" s="47"/>
      <c r="AN587" s="47"/>
      <c r="AO587" s="47"/>
      <c r="AP587" s="47"/>
      <c r="AQ587" s="47"/>
      <c r="AR587" s="47"/>
      <c r="AS587" s="47"/>
      <c r="AT587" s="292"/>
      <c r="AU587" s="47"/>
      <c r="AV587" s="47"/>
      <c r="AW587" s="47"/>
      <c r="AX587" s="47"/>
      <c r="AY587" s="47"/>
      <c r="AZ587" s="47"/>
      <c r="BA587" s="47"/>
      <c r="BB587" s="47"/>
      <c r="BC587" s="47"/>
      <c r="BD587" s="47"/>
      <c r="BE587" s="47"/>
      <c r="BF587" s="47"/>
      <c r="BG587" s="47"/>
      <c r="BH587" s="47"/>
      <c r="BI587" s="292"/>
      <c r="BJ587" s="47"/>
      <c r="BK587" s="47"/>
      <c r="BL587" s="47"/>
      <c r="BM587" s="47"/>
      <c r="BN587" s="47"/>
      <c r="BO587" s="47"/>
      <c r="BP587" s="47"/>
      <c r="BQ587" s="47"/>
      <c r="BR587" s="47"/>
      <c r="BS587" s="47"/>
      <c r="BT587" s="47"/>
      <c r="BU587" s="47"/>
      <c r="BV587" s="47"/>
      <c r="BW587" s="47"/>
      <c r="BX587" s="288"/>
      <c r="CM587" s="47"/>
    </row>
    <row r="588" spans="1:91">
      <c r="A588" s="287" t="s">
        <v>7</v>
      </c>
      <c r="B588" s="46"/>
      <c r="C588" s="46"/>
      <c r="E588" s="46"/>
      <c r="F588" s="46"/>
      <c r="G588" s="46"/>
      <c r="J588" s="46"/>
      <c r="K588" s="46"/>
      <c r="L588" s="46"/>
      <c r="M588" s="46"/>
      <c r="N588" s="46"/>
      <c r="O588" s="46"/>
      <c r="P588" s="46"/>
      <c r="Q588" s="46"/>
      <c r="R588" s="46"/>
      <c r="S588" s="46"/>
      <c r="T588" s="46"/>
      <c r="U588" s="46"/>
      <c r="V588" s="46"/>
      <c r="W588" s="46"/>
      <c r="X588" s="46"/>
      <c r="Y588" s="46"/>
      <c r="Z588" s="46"/>
      <c r="AA588" s="46"/>
      <c r="AB588" s="46"/>
      <c r="AC588" s="46"/>
      <c r="AD588" s="46"/>
      <c r="AE588" s="46"/>
      <c r="AF588" s="46"/>
      <c r="AG588" s="46"/>
      <c r="AH588" s="46"/>
      <c r="AI588" s="46"/>
      <c r="AJ588" s="46"/>
      <c r="AK588" s="46"/>
      <c r="AL588" s="46"/>
      <c r="AM588" s="46"/>
      <c r="AN588" s="46"/>
      <c r="AO588" s="46"/>
      <c r="AP588" s="46"/>
      <c r="AQ588" s="46"/>
      <c r="AR588" s="46"/>
      <c r="AS588" s="46"/>
      <c r="AT588" s="293"/>
      <c r="AU588" s="46"/>
      <c r="AV588" s="46"/>
      <c r="AW588" s="46"/>
      <c r="AX588" s="46"/>
      <c r="AY588" s="46"/>
      <c r="AZ588" s="46"/>
      <c r="BA588" s="46"/>
      <c r="BB588" s="46"/>
      <c r="BC588" s="46"/>
      <c r="BD588" s="46"/>
      <c r="BE588" s="46"/>
      <c r="BF588" s="46"/>
      <c r="BG588" s="46"/>
      <c r="BH588" s="46"/>
      <c r="BI588" s="293"/>
      <c r="BJ588" s="46"/>
      <c r="BK588" s="46"/>
      <c r="BL588" s="46"/>
      <c r="BM588" s="46"/>
      <c r="BN588" s="46"/>
      <c r="BO588" s="46"/>
      <c r="BP588" s="46"/>
      <c r="BQ588" s="46"/>
      <c r="BR588" s="46"/>
      <c r="BS588" s="46"/>
      <c r="BT588" s="46"/>
      <c r="BU588" s="46"/>
      <c r="BV588" s="46"/>
      <c r="BW588" s="46"/>
      <c r="BX588" s="288"/>
      <c r="CM588" s="46"/>
    </row>
    <row r="589" spans="1:91">
      <c r="A589" s="47" t="str">
        <f t="shared" ref="A589:E592" si="436">IF(A123="","",A123)</f>
        <v>SB-U</v>
      </c>
      <c r="B589" s="189">
        <f t="shared" si="436"/>
        <v>90</v>
      </c>
      <c r="C589" s="190">
        <f t="shared" si="436"/>
        <v>140</v>
      </c>
      <c r="D589" s="190">
        <f t="shared" si="436"/>
        <v>1080</v>
      </c>
      <c r="E589" s="191">
        <f t="shared" si="436"/>
        <v>50</v>
      </c>
      <c r="G589" s="189">
        <f t="shared" ref="G589:J592" si="437">IF(G123="","",G123)</f>
        <v>90</v>
      </c>
      <c r="H589" s="190">
        <f t="shared" si="437"/>
        <v>140</v>
      </c>
      <c r="I589" s="190">
        <f t="shared" si="437"/>
        <v>840</v>
      </c>
      <c r="J589" s="191">
        <f t="shared" si="437"/>
        <v>50</v>
      </c>
      <c r="L589" s="189">
        <f t="shared" ref="L589:O592" si="438">IF(L123="","",L123)</f>
        <v>90</v>
      </c>
      <c r="M589" s="190">
        <f t="shared" si="438"/>
        <v>140</v>
      </c>
      <c r="N589" s="190">
        <f t="shared" si="438"/>
        <v>780</v>
      </c>
      <c r="O589" s="191">
        <f t="shared" si="438"/>
        <v>50</v>
      </c>
      <c r="Q589" s="189">
        <f t="shared" ref="Q589:T592" si="439">IF(Q123="","",Q123)</f>
        <v>90</v>
      </c>
      <c r="R589" s="190">
        <f t="shared" si="439"/>
        <v>140</v>
      </c>
      <c r="S589" s="190">
        <f t="shared" si="439"/>
        <v>720</v>
      </c>
      <c r="T589" s="191">
        <f t="shared" si="439"/>
        <v>50</v>
      </c>
      <c r="V589" s="189">
        <f t="shared" ref="V589:Y592" si="440">IF(V123="","",V123)</f>
        <v>90</v>
      </c>
      <c r="W589" s="190">
        <f t="shared" si="440"/>
        <v>140</v>
      </c>
      <c r="X589" s="190">
        <f t="shared" si="440"/>
        <v>600</v>
      </c>
      <c r="Y589" s="191">
        <f t="shared" si="440"/>
        <v>50</v>
      </c>
      <c r="AA589" s="189">
        <f t="shared" ref="AA589:AD592" si="441">IF(AA123="","",AA123)</f>
        <v>90</v>
      </c>
      <c r="AB589" s="190">
        <f t="shared" si="441"/>
        <v>140</v>
      </c>
      <c r="AC589" s="190">
        <f t="shared" si="441"/>
        <v>540</v>
      </c>
      <c r="AD589" s="191">
        <f t="shared" si="441"/>
        <v>50</v>
      </c>
      <c r="AF589" s="189">
        <f t="shared" ref="AF589:AI592" si="442">IF(AF123="","",AF123)</f>
        <v>90</v>
      </c>
      <c r="AG589" s="190">
        <f t="shared" si="442"/>
        <v>140</v>
      </c>
      <c r="AH589" s="190">
        <f t="shared" si="442"/>
        <v>420</v>
      </c>
      <c r="AI589" s="191">
        <f t="shared" si="442"/>
        <v>50</v>
      </c>
      <c r="AK589" s="189">
        <f t="shared" ref="AK589:AN592" si="443">IF(AK123="","",AK123)</f>
        <v>90</v>
      </c>
      <c r="AL589" s="190">
        <f t="shared" si="443"/>
        <v>140</v>
      </c>
      <c r="AM589" s="190">
        <f t="shared" si="443"/>
        <v>300</v>
      </c>
      <c r="AN589" s="191">
        <f t="shared" si="443"/>
        <v>50</v>
      </c>
      <c r="AP589" s="189">
        <f t="shared" ref="AP589:AS592" si="444">IF(AP123="","",AP123)</f>
        <v>90</v>
      </c>
      <c r="AQ589" s="190">
        <f t="shared" si="444"/>
        <v>140</v>
      </c>
      <c r="AR589" s="190">
        <f t="shared" si="444"/>
        <v>1015</v>
      </c>
      <c r="AS589" s="191">
        <f t="shared" si="444"/>
        <v>50</v>
      </c>
      <c r="AT589" s="288"/>
      <c r="AU589" s="189">
        <f t="shared" ref="AU589:AX592" si="445">IF(AU123="","",AU123)</f>
        <v>90</v>
      </c>
      <c r="AV589" s="190">
        <f t="shared" si="445"/>
        <v>90</v>
      </c>
      <c r="AW589" s="190">
        <f t="shared" si="445"/>
        <v>540</v>
      </c>
      <c r="AX589" s="191">
        <f t="shared" si="445"/>
        <v>40</v>
      </c>
      <c r="AZ589" s="189">
        <f t="shared" ref="AZ589:BC592" si="446">IF(AZ123="","",AZ123)</f>
        <v>90</v>
      </c>
      <c r="BA589" s="190">
        <f t="shared" si="446"/>
        <v>90</v>
      </c>
      <c r="BB589" s="190">
        <f t="shared" si="446"/>
        <v>420</v>
      </c>
      <c r="BC589" s="191">
        <f t="shared" si="446"/>
        <v>40</v>
      </c>
      <c r="BE589" s="189">
        <f t="shared" ref="BE589:BH592" si="447">IF(BE123="","",BE123)</f>
        <v>90</v>
      </c>
      <c r="BF589" s="190">
        <f t="shared" si="447"/>
        <v>90</v>
      </c>
      <c r="BG589" s="190">
        <f t="shared" si="447"/>
        <v>300</v>
      </c>
      <c r="BH589" s="191">
        <f t="shared" si="447"/>
        <v>40</v>
      </c>
      <c r="BI589" s="288"/>
      <c r="BJ589" s="189">
        <f t="shared" ref="BJ589:BM592" si="448">IF(BJ123="","",BJ123)</f>
        <v>90</v>
      </c>
      <c r="BK589" s="190">
        <f t="shared" si="448"/>
        <v>50</v>
      </c>
      <c r="BL589" s="190">
        <f t="shared" si="448"/>
        <v>540</v>
      </c>
      <c r="BM589" s="191">
        <f t="shared" si="448"/>
        <v>40</v>
      </c>
      <c r="BO589" s="189">
        <f t="shared" ref="BO589:BR592" si="449">IF(BO123="","",BO123)</f>
        <v>90</v>
      </c>
      <c r="BP589" s="190">
        <f t="shared" si="449"/>
        <v>50</v>
      </c>
      <c r="BQ589" s="190">
        <f t="shared" si="449"/>
        <v>420</v>
      </c>
      <c r="BR589" s="191">
        <f t="shared" si="449"/>
        <v>40</v>
      </c>
      <c r="BT589" s="189">
        <f t="shared" ref="BT589:BW592" si="450">IF(BT123="","",BT123)</f>
        <v>90</v>
      </c>
      <c r="BU589" s="190">
        <f t="shared" si="450"/>
        <v>50</v>
      </c>
      <c r="BV589" s="190">
        <f t="shared" si="450"/>
        <v>300</v>
      </c>
      <c r="BW589" s="191">
        <f t="shared" si="450"/>
        <v>40</v>
      </c>
      <c r="BX589" s="288"/>
      <c r="CM589" s="96"/>
    </row>
    <row r="590" spans="1:91">
      <c r="A590" s="47" t="str">
        <f t="shared" si="436"/>
        <v/>
      </c>
      <c r="B590" s="192">
        <f t="shared" si="436"/>
        <v>90</v>
      </c>
      <c r="C590" s="193">
        <f t="shared" si="436"/>
        <v>96</v>
      </c>
      <c r="D590" s="193">
        <f t="shared" si="436"/>
        <v>1070</v>
      </c>
      <c r="E590" s="194">
        <f t="shared" si="436"/>
        <v>50</v>
      </c>
      <c r="G590" s="192">
        <f t="shared" si="437"/>
        <v>90</v>
      </c>
      <c r="H590" s="193">
        <f t="shared" si="437"/>
        <v>96</v>
      </c>
      <c r="I590" s="193">
        <f t="shared" si="437"/>
        <v>830</v>
      </c>
      <c r="J590" s="194">
        <f t="shared" si="437"/>
        <v>50</v>
      </c>
      <c r="L590" s="192">
        <f t="shared" si="438"/>
        <v>90</v>
      </c>
      <c r="M590" s="193">
        <f t="shared" si="438"/>
        <v>96</v>
      </c>
      <c r="N590" s="193">
        <f t="shared" si="438"/>
        <v>770</v>
      </c>
      <c r="O590" s="194">
        <f t="shared" si="438"/>
        <v>50</v>
      </c>
      <c r="Q590" s="192">
        <f t="shared" si="439"/>
        <v>90</v>
      </c>
      <c r="R590" s="193">
        <f t="shared" si="439"/>
        <v>96</v>
      </c>
      <c r="S590" s="193">
        <f t="shared" si="439"/>
        <v>710</v>
      </c>
      <c r="T590" s="194">
        <f t="shared" si="439"/>
        <v>50</v>
      </c>
      <c r="V590" s="192">
        <f t="shared" si="440"/>
        <v>90</v>
      </c>
      <c r="W590" s="193">
        <f t="shared" si="440"/>
        <v>96</v>
      </c>
      <c r="X590" s="193">
        <f t="shared" si="440"/>
        <v>590</v>
      </c>
      <c r="Y590" s="194">
        <f t="shared" si="440"/>
        <v>50</v>
      </c>
      <c r="AA590" s="192">
        <f t="shared" si="441"/>
        <v>90</v>
      </c>
      <c r="AB590" s="193">
        <f t="shared" si="441"/>
        <v>96</v>
      </c>
      <c r="AC590" s="193">
        <f t="shared" si="441"/>
        <v>530</v>
      </c>
      <c r="AD590" s="194">
        <f t="shared" si="441"/>
        <v>50</v>
      </c>
      <c r="AF590" s="192">
        <f t="shared" si="442"/>
        <v>90</v>
      </c>
      <c r="AG590" s="193">
        <f t="shared" si="442"/>
        <v>96</v>
      </c>
      <c r="AH590" s="193">
        <f t="shared" si="442"/>
        <v>410</v>
      </c>
      <c r="AI590" s="194">
        <f t="shared" si="442"/>
        <v>50</v>
      </c>
      <c r="AK590" s="192">
        <f t="shared" si="443"/>
        <v>90</v>
      </c>
      <c r="AL590" s="193">
        <f t="shared" si="443"/>
        <v>96</v>
      </c>
      <c r="AM590" s="193">
        <f t="shared" si="443"/>
        <v>290</v>
      </c>
      <c r="AN590" s="194">
        <f t="shared" si="443"/>
        <v>50</v>
      </c>
      <c r="AP590" s="192">
        <f t="shared" si="444"/>
        <v>90</v>
      </c>
      <c r="AQ590" s="193">
        <f t="shared" si="444"/>
        <v>96</v>
      </c>
      <c r="AR590" s="193">
        <f t="shared" si="444"/>
        <v>1005</v>
      </c>
      <c r="AS590" s="194">
        <f t="shared" si="444"/>
        <v>50</v>
      </c>
      <c r="AT590" s="288"/>
      <c r="AU590" s="192">
        <f t="shared" si="445"/>
        <v>90</v>
      </c>
      <c r="AV590" s="193">
        <f t="shared" si="445"/>
        <v>10</v>
      </c>
      <c r="AW590" s="193">
        <f t="shared" si="445"/>
        <v>540</v>
      </c>
      <c r="AX590" s="194">
        <f t="shared" si="445"/>
        <v>40</v>
      </c>
      <c r="AZ590" s="192">
        <f t="shared" si="446"/>
        <v>90</v>
      </c>
      <c r="BA590" s="193">
        <f t="shared" si="446"/>
        <v>10</v>
      </c>
      <c r="BB590" s="193">
        <f t="shared" si="446"/>
        <v>420</v>
      </c>
      <c r="BC590" s="194">
        <f t="shared" si="446"/>
        <v>40</v>
      </c>
      <c r="BE590" s="192">
        <f t="shared" si="447"/>
        <v>90</v>
      </c>
      <c r="BF590" s="193">
        <f t="shared" si="447"/>
        <v>10</v>
      </c>
      <c r="BG590" s="193">
        <f t="shared" si="447"/>
        <v>300</v>
      </c>
      <c r="BH590" s="194">
        <f t="shared" si="447"/>
        <v>40</v>
      </c>
      <c r="BI590" s="288"/>
      <c r="BJ590" s="192">
        <f t="shared" si="448"/>
        <v>90</v>
      </c>
      <c r="BK590" s="193">
        <f t="shared" si="448"/>
        <v>10</v>
      </c>
      <c r="BL590" s="193">
        <f t="shared" si="448"/>
        <v>540</v>
      </c>
      <c r="BM590" s="194">
        <f t="shared" si="448"/>
        <v>40</v>
      </c>
      <c r="BO590" s="192">
        <f t="shared" si="449"/>
        <v>90</v>
      </c>
      <c r="BP590" s="193">
        <f t="shared" si="449"/>
        <v>10</v>
      </c>
      <c r="BQ590" s="193">
        <f t="shared" si="449"/>
        <v>420</v>
      </c>
      <c r="BR590" s="194">
        <f t="shared" si="449"/>
        <v>40</v>
      </c>
      <c r="BT590" s="192">
        <f t="shared" si="450"/>
        <v>90</v>
      </c>
      <c r="BU590" s="193">
        <f t="shared" si="450"/>
        <v>10</v>
      </c>
      <c r="BV590" s="193">
        <f t="shared" si="450"/>
        <v>300</v>
      </c>
      <c r="BW590" s="194">
        <f t="shared" si="450"/>
        <v>40</v>
      </c>
      <c r="BX590" s="288"/>
      <c r="CM590" s="96"/>
    </row>
    <row r="591" spans="1:91">
      <c r="A591" s="47" t="str">
        <f t="shared" si="436"/>
        <v/>
      </c>
      <c r="B591" s="192">
        <f t="shared" si="436"/>
        <v>90</v>
      </c>
      <c r="C591" s="193">
        <f t="shared" si="436"/>
        <v>54</v>
      </c>
      <c r="D591" s="193">
        <f t="shared" si="436"/>
        <v>1070</v>
      </c>
      <c r="E591" s="194">
        <f t="shared" si="436"/>
        <v>50</v>
      </c>
      <c r="G591" s="192">
        <f t="shared" si="437"/>
        <v>90</v>
      </c>
      <c r="H591" s="193">
        <f t="shared" si="437"/>
        <v>54</v>
      </c>
      <c r="I591" s="193">
        <f t="shared" si="437"/>
        <v>830</v>
      </c>
      <c r="J591" s="194">
        <f t="shared" si="437"/>
        <v>50</v>
      </c>
      <c r="L591" s="192">
        <f t="shared" si="438"/>
        <v>90</v>
      </c>
      <c r="M591" s="193">
        <f t="shared" si="438"/>
        <v>54</v>
      </c>
      <c r="N591" s="193">
        <f t="shared" si="438"/>
        <v>770</v>
      </c>
      <c r="O591" s="194">
        <f t="shared" si="438"/>
        <v>50</v>
      </c>
      <c r="Q591" s="192">
        <f t="shared" si="439"/>
        <v>90</v>
      </c>
      <c r="R591" s="193">
        <f t="shared" si="439"/>
        <v>54</v>
      </c>
      <c r="S591" s="193">
        <f t="shared" si="439"/>
        <v>710</v>
      </c>
      <c r="T591" s="194">
        <f t="shared" si="439"/>
        <v>50</v>
      </c>
      <c r="V591" s="192">
        <f t="shared" si="440"/>
        <v>90</v>
      </c>
      <c r="W591" s="193">
        <f t="shared" si="440"/>
        <v>54</v>
      </c>
      <c r="X591" s="193">
        <f t="shared" si="440"/>
        <v>590</v>
      </c>
      <c r="Y591" s="194">
        <f t="shared" si="440"/>
        <v>50</v>
      </c>
      <c r="AA591" s="192">
        <f t="shared" si="441"/>
        <v>90</v>
      </c>
      <c r="AB591" s="193">
        <f t="shared" si="441"/>
        <v>54</v>
      </c>
      <c r="AC591" s="193">
        <f t="shared" si="441"/>
        <v>530</v>
      </c>
      <c r="AD591" s="194">
        <f t="shared" si="441"/>
        <v>50</v>
      </c>
      <c r="AF591" s="192">
        <f t="shared" si="442"/>
        <v>90</v>
      </c>
      <c r="AG591" s="193">
        <f t="shared" si="442"/>
        <v>54</v>
      </c>
      <c r="AH591" s="193">
        <f t="shared" si="442"/>
        <v>410</v>
      </c>
      <c r="AI591" s="194">
        <f t="shared" si="442"/>
        <v>50</v>
      </c>
      <c r="AK591" s="192">
        <f t="shared" si="443"/>
        <v>90</v>
      </c>
      <c r="AL591" s="193">
        <f t="shared" si="443"/>
        <v>54</v>
      </c>
      <c r="AM591" s="193">
        <f t="shared" si="443"/>
        <v>290</v>
      </c>
      <c r="AN591" s="194">
        <f t="shared" si="443"/>
        <v>50</v>
      </c>
      <c r="AP591" s="192">
        <f t="shared" si="444"/>
        <v>90</v>
      </c>
      <c r="AQ591" s="193">
        <f t="shared" si="444"/>
        <v>54</v>
      </c>
      <c r="AR591" s="193">
        <f t="shared" si="444"/>
        <v>1005</v>
      </c>
      <c r="AS591" s="194">
        <f t="shared" si="444"/>
        <v>50</v>
      </c>
      <c r="AT591" s="288"/>
      <c r="AU591" s="192" t="str">
        <f t="shared" si="445"/>
        <v/>
      </c>
      <c r="AV591" s="193" t="str">
        <f t="shared" si="445"/>
        <v/>
      </c>
      <c r="AW591" s="193" t="str">
        <f t="shared" si="445"/>
        <v/>
      </c>
      <c r="AX591" s="194" t="str">
        <f t="shared" si="445"/>
        <v/>
      </c>
      <c r="AZ591" s="192" t="str">
        <f t="shared" si="446"/>
        <v/>
      </c>
      <c r="BA591" s="193" t="str">
        <f t="shared" si="446"/>
        <v/>
      </c>
      <c r="BB591" s="193" t="str">
        <f t="shared" si="446"/>
        <v/>
      </c>
      <c r="BC591" s="194" t="str">
        <f t="shared" si="446"/>
        <v/>
      </c>
      <c r="BE591" s="192" t="str">
        <f t="shared" si="447"/>
        <v/>
      </c>
      <c r="BF591" s="193" t="str">
        <f t="shared" si="447"/>
        <v/>
      </c>
      <c r="BG591" s="193" t="str">
        <f t="shared" si="447"/>
        <v/>
      </c>
      <c r="BH591" s="194" t="str">
        <f t="shared" si="447"/>
        <v/>
      </c>
      <c r="BI591" s="288"/>
      <c r="BJ591" s="192" t="str">
        <f t="shared" si="448"/>
        <v/>
      </c>
      <c r="BK591" s="193" t="str">
        <f t="shared" si="448"/>
        <v/>
      </c>
      <c r="BL591" s="193" t="str">
        <f t="shared" si="448"/>
        <v/>
      </c>
      <c r="BM591" s="194" t="str">
        <f t="shared" si="448"/>
        <v/>
      </c>
      <c r="BO591" s="192" t="str">
        <f t="shared" si="449"/>
        <v/>
      </c>
      <c r="BP591" s="193" t="str">
        <f t="shared" si="449"/>
        <v/>
      </c>
      <c r="BQ591" s="193" t="str">
        <f t="shared" si="449"/>
        <v/>
      </c>
      <c r="BR591" s="194" t="str">
        <f t="shared" si="449"/>
        <v/>
      </c>
      <c r="BT591" s="192" t="str">
        <f t="shared" si="450"/>
        <v/>
      </c>
      <c r="BU591" s="193" t="str">
        <f t="shared" si="450"/>
        <v/>
      </c>
      <c r="BV591" s="193" t="str">
        <f t="shared" si="450"/>
        <v/>
      </c>
      <c r="BW591" s="194" t="str">
        <f t="shared" si="450"/>
        <v/>
      </c>
      <c r="BX591" s="288"/>
      <c r="CM591" s="96"/>
    </row>
    <row r="592" spans="1:91">
      <c r="A592" s="47" t="str">
        <f t="shared" si="436"/>
        <v/>
      </c>
      <c r="B592" s="195">
        <f t="shared" si="436"/>
        <v>90</v>
      </c>
      <c r="C592" s="196">
        <f t="shared" si="436"/>
        <v>10</v>
      </c>
      <c r="D592" s="196">
        <f t="shared" si="436"/>
        <v>1080</v>
      </c>
      <c r="E592" s="197">
        <f t="shared" si="436"/>
        <v>50</v>
      </c>
      <c r="G592" s="195">
        <f t="shared" si="437"/>
        <v>90</v>
      </c>
      <c r="H592" s="196">
        <f t="shared" si="437"/>
        <v>10</v>
      </c>
      <c r="I592" s="196">
        <f t="shared" si="437"/>
        <v>840</v>
      </c>
      <c r="J592" s="197">
        <f t="shared" si="437"/>
        <v>50</v>
      </c>
      <c r="L592" s="195">
        <f t="shared" si="438"/>
        <v>90</v>
      </c>
      <c r="M592" s="196">
        <f t="shared" si="438"/>
        <v>10</v>
      </c>
      <c r="N592" s="196">
        <f t="shared" si="438"/>
        <v>780</v>
      </c>
      <c r="O592" s="197">
        <f t="shared" si="438"/>
        <v>50</v>
      </c>
      <c r="Q592" s="195">
        <f t="shared" si="439"/>
        <v>90</v>
      </c>
      <c r="R592" s="196">
        <f t="shared" si="439"/>
        <v>10</v>
      </c>
      <c r="S592" s="196">
        <f t="shared" si="439"/>
        <v>720</v>
      </c>
      <c r="T592" s="197">
        <f t="shared" si="439"/>
        <v>50</v>
      </c>
      <c r="V592" s="195">
        <f t="shared" si="440"/>
        <v>90</v>
      </c>
      <c r="W592" s="196">
        <f t="shared" si="440"/>
        <v>10</v>
      </c>
      <c r="X592" s="196">
        <f t="shared" si="440"/>
        <v>600</v>
      </c>
      <c r="Y592" s="197">
        <f t="shared" si="440"/>
        <v>50</v>
      </c>
      <c r="AA592" s="195">
        <f t="shared" si="441"/>
        <v>90</v>
      </c>
      <c r="AB592" s="196">
        <f t="shared" si="441"/>
        <v>10</v>
      </c>
      <c r="AC592" s="196">
        <f t="shared" si="441"/>
        <v>540</v>
      </c>
      <c r="AD592" s="197">
        <f t="shared" si="441"/>
        <v>50</v>
      </c>
      <c r="AF592" s="195">
        <f t="shared" si="442"/>
        <v>90</v>
      </c>
      <c r="AG592" s="196">
        <f t="shared" si="442"/>
        <v>10</v>
      </c>
      <c r="AH592" s="196">
        <f t="shared" si="442"/>
        <v>420</v>
      </c>
      <c r="AI592" s="197">
        <f t="shared" si="442"/>
        <v>50</v>
      </c>
      <c r="AK592" s="195">
        <f t="shared" si="443"/>
        <v>90</v>
      </c>
      <c r="AL592" s="196">
        <f t="shared" si="443"/>
        <v>10</v>
      </c>
      <c r="AM592" s="196">
        <f t="shared" si="443"/>
        <v>300</v>
      </c>
      <c r="AN592" s="197">
        <f t="shared" si="443"/>
        <v>50</v>
      </c>
      <c r="AP592" s="195">
        <f t="shared" si="444"/>
        <v>90</v>
      </c>
      <c r="AQ592" s="196">
        <f t="shared" si="444"/>
        <v>10</v>
      </c>
      <c r="AR592" s="196">
        <f t="shared" si="444"/>
        <v>1015</v>
      </c>
      <c r="AS592" s="197">
        <f t="shared" si="444"/>
        <v>50</v>
      </c>
      <c r="AT592" s="288"/>
      <c r="AU592" s="195" t="str">
        <f t="shared" si="445"/>
        <v/>
      </c>
      <c r="AV592" s="196" t="str">
        <f t="shared" si="445"/>
        <v/>
      </c>
      <c r="AW592" s="196" t="str">
        <f t="shared" si="445"/>
        <v/>
      </c>
      <c r="AX592" s="197" t="str">
        <f t="shared" si="445"/>
        <v/>
      </c>
      <c r="AZ592" s="195" t="str">
        <f t="shared" si="446"/>
        <v/>
      </c>
      <c r="BA592" s="196" t="str">
        <f t="shared" si="446"/>
        <v/>
      </c>
      <c r="BB592" s="196" t="str">
        <f t="shared" si="446"/>
        <v/>
      </c>
      <c r="BC592" s="197" t="str">
        <f t="shared" si="446"/>
        <v/>
      </c>
      <c r="BE592" s="195" t="str">
        <f t="shared" si="447"/>
        <v/>
      </c>
      <c r="BF592" s="196" t="str">
        <f t="shared" si="447"/>
        <v/>
      </c>
      <c r="BG592" s="196" t="str">
        <f t="shared" si="447"/>
        <v/>
      </c>
      <c r="BH592" s="197" t="str">
        <f t="shared" si="447"/>
        <v/>
      </c>
      <c r="BI592" s="288"/>
      <c r="BJ592" s="195" t="str">
        <f t="shared" si="448"/>
        <v/>
      </c>
      <c r="BK592" s="196" t="str">
        <f t="shared" si="448"/>
        <v/>
      </c>
      <c r="BL592" s="196" t="str">
        <f t="shared" si="448"/>
        <v/>
      </c>
      <c r="BM592" s="197" t="str">
        <f t="shared" si="448"/>
        <v/>
      </c>
      <c r="BO592" s="195" t="str">
        <f t="shared" si="449"/>
        <v/>
      </c>
      <c r="BP592" s="196" t="str">
        <f t="shared" si="449"/>
        <v/>
      </c>
      <c r="BQ592" s="196" t="str">
        <f t="shared" si="449"/>
        <v/>
      </c>
      <c r="BR592" s="197" t="str">
        <f t="shared" si="449"/>
        <v/>
      </c>
      <c r="BT592" s="195" t="str">
        <f t="shared" si="450"/>
        <v/>
      </c>
      <c r="BU592" s="196" t="str">
        <f t="shared" si="450"/>
        <v/>
      </c>
      <c r="BV592" s="196" t="str">
        <f t="shared" si="450"/>
        <v/>
      </c>
      <c r="BW592" s="197" t="str">
        <f t="shared" si="450"/>
        <v/>
      </c>
      <c r="BX592" s="288"/>
      <c r="CM592" s="96"/>
    </row>
    <row r="593" spans="1:91">
      <c r="A593" s="47" t="str">
        <f t="shared" ref="A593:E608" si="451">IF(A131="","",A131)</f>
        <v>GP</v>
      </c>
      <c r="B593" s="182">
        <f t="shared" si="451"/>
        <v>90</v>
      </c>
      <c r="C593" s="170">
        <f t="shared" si="451"/>
        <v>139.5</v>
      </c>
      <c r="D593" s="170">
        <f t="shared" si="451"/>
        <v>1010</v>
      </c>
      <c r="E593" s="177">
        <f t="shared" si="451"/>
        <v>20</v>
      </c>
      <c r="G593" s="182">
        <f t="shared" ref="G593:J608" si="452">IF(G131="","",G131)</f>
        <v>90</v>
      </c>
      <c r="H593" s="170">
        <f t="shared" si="452"/>
        <v>139.5</v>
      </c>
      <c r="I593" s="170">
        <f t="shared" si="452"/>
        <v>770</v>
      </c>
      <c r="J593" s="177">
        <f t="shared" si="452"/>
        <v>20</v>
      </c>
      <c r="L593" s="182">
        <f t="shared" ref="L593:O608" si="453">IF(L131="","",L131)</f>
        <v>90</v>
      </c>
      <c r="M593" s="170">
        <f t="shared" si="453"/>
        <v>139.5</v>
      </c>
      <c r="N593" s="170">
        <f t="shared" si="453"/>
        <v>710</v>
      </c>
      <c r="O593" s="177">
        <f t="shared" si="453"/>
        <v>20</v>
      </c>
      <c r="Q593" s="182">
        <f t="shared" ref="Q593:T608" si="454">IF(Q131="","",Q131)</f>
        <v>90</v>
      </c>
      <c r="R593" s="170">
        <f t="shared" si="454"/>
        <v>139.5</v>
      </c>
      <c r="S593" s="170">
        <f t="shared" si="454"/>
        <v>650</v>
      </c>
      <c r="T593" s="177">
        <f t="shared" si="454"/>
        <v>20</v>
      </c>
      <c r="V593" s="182">
        <f t="shared" ref="V593:Y608" si="455">IF(V131="","",V131)</f>
        <v>90</v>
      </c>
      <c r="W593" s="170">
        <f t="shared" si="455"/>
        <v>139.5</v>
      </c>
      <c r="X593" s="170">
        <f t="shared" si="455"/>
        <v>530</v>
      </c>
      <c r="Y593" s="177">
        <f t="shared" si="455"/>
        <v>20</v>
      </c>
      <c r="AA593" s="182">
        <f t="shared" ref="AA593:AD608" si="456">IF(AA131="","",AA131)</f>
        <v>90</v>
      </c>
      <c r="AB593" s="170">
        <f t="shared" si="456"/>
        <v>139.5</v>
      </c>
      <c r="AC593" s="170">
        <f t="shared" si="456"/>
        <v>470</v>
      </c>
      <c r="AD593" s="177">
        <f t="shared" si="456"/>
        <v>20</v>
      </c>
      <c r="AF593" s="182">
        <f t="shared" ref="AF593:AI608" si="457">IF(AF131="","",AF131)</f>
        <v>90</v>
      </c>
      <c r="AG593" s="170">
        <f t="shared" si="457"/>
        <v>139.5</v>
      </c>
      <c r="AH593" s="170">
        <f t="shared" si="457"/>
        <v>350</v>
      </c>
      <c r="AI593" s="177">
        <f t="shared" si="457"/>
        <v>20</v>
      </c>
      <c r="AK593" s="182">
        <f t="shared" ref="AK593:AN608" si="458">IF(AK131="","",AK131)</f>
        <v>90</v>
      </c>
      <c r="AL593" s="170">
        <f t="shared" si="458"/>
        <v>139.5</v>
      </c>
      <c r="AM593" s="170">
        <f t="shared" si="458"/>
        <v>230</v>
      </c>
      <c r="AN593" s="177">
        <f t="shared" si="458"/>
        <v>20</v>
      </c>
      <c r="AP593" s="182">
        <f t="shared" ref="AP593:AS608" si="459">IF(AP131="","",AP131)</f>
        <v>90</v>
      </c>
      <c r="AQ593" s="170">
        <f t="shared" si="459"/>
        <v>139.5</v>
      </c>
      <c r="AR593" s="170">
        <f t="shared" si="459"/>
        <v>800</v>
      </c>
      <c r="AS593" s="177">
        <f t="shared" si="459"/>
        <v>20</v>
      </c>
      <c r="AT593" s="288"/>
      <c r="AU593" s="182">
        <f t="shared" ref="AU593:AX608" si="460">IF(AU131="","",AU131)</f>
        <v>90</v>
      </c>
      <c r="AV593" s="170">
        <f t="shared" si="460"/>
        <v>89.2</v>
      </c>
      <c r="AW593" s="170">
        <f t="shared" si="460"/>
        <v>470</v>
      </c>
      <c r="AX593" s="177">
        <f t="shared" si="460"/>
        <v>16.5</v>
      </c>
      <c r="AZ593" s="182">
        <f t="shared" ref="AZ593:BC608" si="461">IF(AZ131="","",AZ131)</f>
        <v>90</v>
      </c>
      <c r="BA593" s="170">
        <f t="shared" si="461"/>
        <v>89.2</v>
      </c>
      <c r="BB593" s="170">
        <f t="shared" si="461"/>
        <v>350</v>
      </c>
      <c r="BC593" s="177">
        <f t="shared" si="461"/>
        <v>16.5</v>
      </c>
      <c r="BE593" s="182">
        <f t="shared" ref="BE593:BH608" si="462">IF(BE131="","",BE131)</f>
        <v>90</v>
      </c>
      <c r="BF593" s="170">
        <f t="shared" si="462"/>
        <v>89.2</v>
      </c>
      <c r="BG593" s="170">
        <f t="shared" si="462"/>
        <v>230</v>
      </c>
      <c r="BH593" s="177">
        <f t="shared" si="462"/>
        <v>16.5</v>
      </c>
      <c r="BI593" s="288"/>
      <c r="BJ593" s="182">
        <f t="shared" ref="BJ593:BM608" si="463">IF(BJ131="","",BJ131)</f>
        <v>90</v>
      </c>
      <c r="BK593" s="170">
        <f t="shared" si="463"/>
        <v>50.25</v>
      </c>
      <c r="BL593" s="170">
        <f t="shared" si="463"/>
        <v>490</v>
      </c>
      <c r="BM593" s="177">
        <f t="shared" si="463"/>
        <v>16.5</v>
      </c>
      <c r="BO593" s="182">
        <f t="shared" ref="BO593:BR608" si="464">IF(BO131="","",BO131)</f>
        <v>90</v>
      </c>
      <c r="BP593" s="170">
        <f t="shared" si="464"/>
        <v>50.25</v>
      </c>
      <c r="BQ593" s="170">
        <f t="shared" si="464"/>
        <v>370</v>
      </c>
      <c r="BR593" s="177">
        <f t="shared" si="464"/>
        <v>16.5</v>
      </c>
      <c r="BT593" s="182">
        <f t="shared" ref="BT593:BW608" si="465">IF(BT131="","",BT131)</f>
        <v>90</v>
      </c>
      <c r="BU593" s="170">
        <f t="shared" si="465"/>
        <v>50.25</v>
      </c>
      <c r="BV593" s="170">
        <f t="shared" si="465"/>
        <v>250</v>
      </c>
      <c r="BW593" s="177">
        <f t="shared" si="465"/>
        <v>16.5</v>
      </c>
      <c r="BX593" s="288"/>
      <c r="CM593" s="96"/>
    </row>
    <row r="594" spans="1:91">
      <c r="A594" s="47" t="str">
        <f t="shared" si="451"/>
        <v/>
      </c>
      <c r="B594" s="183">
        <f t="shared" si="451"/>
        <v>90</v>
      </c>
      <c r="C594" s="171">
        <f t="shared" si="451"/>
        <v>118</v>
      </c>
      <c r="D594" s="171">
        <f t="shared" si="451"/>
        <v>1025</v>
      </c>
      <c r="E594" s="178">
        <f t="shared" si="451"/>
        <v>14</v>
      </c>
      <c r="G594" s="183">
        <f t="shared" si="452"/>
        <v>90</v>
      </c>
      <c r="H594" s="171">
        <f t="shared" si="452"/>
        <v>118</v>
      </c>
      <c r="I594" s="171">
        <f t="shared" si="452"/>
        <v>785</v>
      </c>
      <c r="J594" s="178">
        <f t="shared" si="452"/>
        <v>14</v>
      </c>
      <c r="L594" s="183">
        <f t="shared" si="453"/>
        <v>90</v>
      </c>
      <c r="M594" s="171">
        <f t="shared" si="453"/>
        <v>118</v>
      </c>
      <c r="N594" s="171">
        <f t="shared" si="453"/>
        <v>725</v>
      </c>
      <c r="O594" s="178">
        <f t="shared" si="453"/>
        <v>14</v>
      </c>
      <c r="Q594" s="183">
        <f t="shared" si="454"/>
        <v>90</v>
      </c>
      <c r="R594" s="171">
        <f t="shared" si="454"/>
        <v>118</v>
      </c>
      <c r="S594" s="171">
        <f t="shared" si="454"/>
        <v>665</v>
      </c>
      <c r="T594" s="178">
        <f t="shared" si="454"/>
        <v>14</v>
      </c>
      <c r="V594" s="183">
        <f t="shared" si="455"/>
        <v>90</v>
      </c>
      <c r="W594" s="171">
        <f t="shared" si="455"/>
        <v>118</v>
      </c>
      <c r="X594" s="171">
        <f t="shared" si="455"/>
        <v>545</v>
      </c>
      <c r="Y594" s="178">
        <f t="shared" si="455"/>
        <v>14</v>
      </c>
      <c r="AA594" s="183">
        <f t="shared" si="456"/>
        <v>90</v>
      </c>
      <c r="AB594" s="171">
        <f t="shared" si="456"/>
        <v>118</v>
      </c>
      <c r="AC594" s="171">
        <f t="shared" si="456"/>
        <v>485</v>
      </c>
      <c r="AD594" s="178">
        <f t="shared" si="456"/>
        <v>14</v>
      </c>
      <c r="AF594" s="183">
        <f t="shared" si="457"/>
        <v>90</v>
      </c>
      <c r="AG594" s="171">
        <f t="shared" si="457"/>
        <v>118</v>
      </c>
      <c r="AH594" s="171">
        <f t="shared" si="457"/>
        <v>365</v>
      </c>
      <c r="AI594" s="178">
        <f t="shared" si="457"/>
        <v>14</v>
      </c>
      <c r="AK594" s="183">
        <f t="shared" si="458"/>
        <v>90</v>
      </c>
      <c r="AL594" s="171">
        <f t="shared" si="458"/>
        <v>118</v>
      </c>
      <c r="AM594" s="171">
        <f t="shared" si="458"/>
        <v>245</v>
      </c>
      <c r="AN594" s="178">
        <f t="shared" si="458"/>
        <v>14</v>
      </c>
      <c r="AP594" s="183">
        <f t="shared" si="459"/>
        <v>90</v>
      </c>
      <c r="AQ594" s="171">
        <f t="shared" si="459"/>
        <v>118</v>
      </c>
      <c r="AR594" s="171">
        <f t="shared" si="459"/>
        <v>815</v>
      </c>
      <c r="AS594" s="178">
        <f t="shared" si="459"/>
        <v>14</v>
      </c>
      <c r="AT594" s="288"/>
      <c r="AU594" s="183">
        <f t="shared" si="460"/>
        <v>90</v>
      </c>
      <c r="AV594" s="171">
        <f t="shared" si="460"/>
        <v>70</v>
      </c>
      <c r="AW594" s="171">
        <f t="shared" si="460"/>
        <v>485</v>
      </c>
      <c r="AX594" s="178">
        <f t="shared" si="460"/>
        <v>14</v>
      </c>
      <c r="AZ594" s="183">
        <f t="shared" si="461"/>
        <v>90</v>
      </c>
      <c r="BA594" s="171">
        <f t="shared" si="461"/>
        <v>70</v>
      </c>
      <c r="BB594" s="171">
        <f t="shared" si="461"/>
        <v>365</v>
      </c>
      <c r="BC594" s="178">
        <f t="shared" si="461"/>
        <v>14</v>
      </c>
      <c r="BE594" s="183">
        <f t="shared" si="462"/>
        <v>90</v>
      </c>
      <c r="BF594" s="171">
        <f t="shared" si="462"/>
        <v>70</v>
      </c>
      <c r="BG594" s="171">
        <f t="shared" si="462"/>
        <v>245</v>
      </c>
      <c r="BH594" s="178">
        <f t="shared" si="462"/>
        <v>14</v>
      </c>
      <c r="BI594" s="288"/>
      <c r="BJ594" s="183">
        <f t="shared" si="463"/>
        <v>90</v>
      </c>
      <c r="BK594" s="171">
        <f t="shared" si="463"/>
        <v>30</v>
      </c>
      <c r="BL594" s="171">
        <f t="shared" si="463"/>
        <v>480</v>
      </c>
      <c r="BM594" s="178">
        <f t="shared" si="463"/>
        <v>14</v>
      </c>
      <c r="BO594" s="183">
        <f t="shared" si="464"/>
        <v>90</v>
      </c>
      <c r="BP594" s="171">
        <f t="shared" si="464"/>
        <v>30</v>
      </c>
      <c r="BQ594" s="171">
        <f t="shared" si="464"/>
        <v>360</v>
      </c>
      <c r="BR594" s="178">
        <f t="shared" si="464"/>
        <v>14</v>
      </c>
      <c r="BT594" s="183">
        <f t="shared" si="465"/>
        <v>90</v>
      </c>
      <c r="BU594" s="171">
        <f t="shared" si="465"/>
        <v>30</v>
      </c>
      <c r="BV594" s="171">
        <f t="shared" si="465"/>
        <v>240</v>
      </c>
      <c r="BW594" s="178">
        <f t="shared" si="465"/>
        <v>14</v>
      </c>
      <c r="BX594" s="288"/>
      <c r="CM594" s="96"/>
    </row>
    <row r="595" spans="1:91">
      <c r="A595" s="47" t="str">
        <f t="shared" si="451"/>
        <v/>
      </c>
      <c r="B595" s="183">
        <f t="shared" si="451"/>
        <v>90</v>
      </c>
      <c r="C595" s="171">
        <f t="shared" si="451"/>
        <v>75</v>
      </c>
      <c r="D595" s="171">
        <f t="shared" si="451"/>
        <v>1015</v>
      </c>
      <c r="E595" s="178">
        <f t="shared" si="451"/>
        <v>14</v>
      </c>
      <c r="G595" s="183">
        <f t="shared" si="452"/>
        <v>90</v>
      </c>
      <c r="H595" s="171">
        <f t="shared" si="452"/>
        <v>75</v>
      </c>
      <c r="I595" s="171">
        <f t="shared" si="452"/>
        <v>775</v>
      </c>
      <c r="J595" s="178">
        <f t="shared" si="452"/>
        <v>14</v>
      </c>
      <c r="L595" s="183">
        <f t="shared" si="453"/>
        <v>90</v>
      </c>
      <c r="M595" s="171">
        <f t="shared" si="453"/>
        <v>75</v>
      </c>
      <c r="N595" s="171">
        <f t="shared" si="453"/>
        <v>715</v>
      </c>
      <c r="O595" s="178">
        <f t="shared" si="453"/>
        <v>14</v>
      </c>
      <c r="Q595" s="183">
        <f t="shared" si="454"/>
        <v>90</v>
      </c>
      <c r="R595" s="171">
        <f t="shared" si="454"/>
        <v>75</v>
      </c>
      <c r="S595" s="171">
        <f t="shared" si="454"/>
        <v>655</v>
      </c>
      <c r="T595" s="178">
        <f t="shared" si="454"/>
        <v>14</v>
      </c>
      <c r="V595" s="183">
        <f t="shared" si="455"/>
        <v>90</v>
      </c>
      <c r="W595" s="171">
        <f t="shared" si="455"/>
        <v>75</v>
      </c>
      <c r="X595" s="171">
        <f t="shared" si="455"/>
        <v>535</v>
      </c>
      <c r="Y595" s="178">
        <f t="shared" si="455"/>
        <v>14</v>
      </c>
      <c r="AA595" s="183">
        <f t="shared" si="456"/>
        <v>90</v>
      </c>
      <c r="AB595" s="171">
        <f t="shared" si="456"/>
        <v>75</v>
      </c>
      <c r="AC595" s="171">
        <f t="shared" si="456"/>
        <v>475</v>
      </c>
      <c r="AD595" s="178">
        <f t="shared" si="456"/>
        <v>14</v>
      </c>
      <c r="AF595" s="183">
        <f t="shared" si="457"/>
        <v>90</v>
      </c>
      <c r="AG595" s="171">
        <f t="shared" si="457"/>
        <v>75</v>
      </c>
      <c r="AH595" s="171">
        <f t="shared" si="457"/>
        <v>355</v>
      </c>
      <c r="AI595" s="178">
        <f t="shared" si="457"/>
        <v>14</v>
      </c>
      <c r="AK595" s="183">
        <f t="shared" si="458"/>
        <v>90</v>
      </c>
      <c r="AL595" s="171">
        <f t="shared" si="458"/>
        <v>75</v>
      </c>
      <c r="AM595" s="171">
        <f t="shared" si="458"/>
        <v>235</v>
      </c>
      <c r="AN595" s="178">
        <f t="shared" si="458"/>
        <v>14</v>
      </c>
      <c r="AP595" s="183">
        <f t="shared" si="459"/>
        <v>90</v>
      </c>
      <c r="AQ595" s="171">
        <f t="shared" si="459"/>
        <v>75</v>
      </c>
      <c r="AR595" s="171">
        <f t="shared" si="459"/>
        <v>805</v>
      </c>
      <c r="AS595" s="178">
        <f t="shared" si="459"/>
        <v>14</v>
      </c>
      <c r="AT595" s="288"/>
      <c r="AU595" s="183">
        <f t="shared" si="460"/>
        <v>90</v>
      </c>
      <c r="AV595" s="171">
        <f t="shared" si="460"/>
        <v>30</v>
      </c>
      <c r="AW595" s="171">
        <f t="shared" si="460"/>
        <v>485</v>
      </c>
      <c r="AX595" s="178">
        <f t="shared" si="460"/>
        <v>14</v>
      </c>
      <c r="AZ595" s="183">
        <f t="shared" si="461"/>
        <v>90</v>
      </c>
      <c r="BA595" s="171">
        <f t="shared" si="461"/>
        <v>30</v>
      </c>
      <c r="BB595" s="171">
        <f t="shared" si="461"/>
        <v>365</v>
      </c>
      <c r="BC595" s="178">
        <f t="shared" si="461"/>
        <v>14</v>
      </c>
      <c r="BE595" s="183">
        <f t="shared" si="462"/>
        <v>90</v>
      </c>
      <c r="BF595" s="171">
        <f t="shared" si="462"/>
        <v>30</v>
      </c>
      <c r="BG595" s="171">
        <f t="shared" si="462"/>
        <v>245</v>
      </c>
      <c r="BH595" s="178">
        <f t="shared" si="462"/>
        <v>14</v>
      </c>
      <c r="BI595" s="288"/>
      <c r="BJ595" s="183">
        <f t="shared" si="463"/>
        <v>90</v>
      </c>
      <c r="BK595" s="171">
        <f t="shared" si="463"/>
        <v>30</v>
      </c>
      <c r="BL595" s="171">
        <f t="shared" si="463"/>
        <v>70</v>
      </c>
      <c r="BM595" s="178">
        <f t="shared" si="463"/>
        <v>14</v>
      </c>
      <c r="BO595" s="183">
        <f t="shared" si="464"/>
        <v>90</v>
      </c>
      <c r="BP595" s="171">
        <f t="shared" si="464"/>
        <v>30</v>
      </c>
      <c r="BQ595" s="171">
        <f t="shared" si="464"/>
        <v>70</v>
      </c>
      <c r="BR595" s="178">
        <f t="shared" si="464"/>
        <v>14</v>
      </c>
      <c r="BT595" s="183">
        <f t="shared" si="465"/>
        <v>90</v>
      </c>
      <c r="BU595" s="171">
        <f t="shared" si="465"/>
        <v>30</v>
      </c>
      <c r="BV595" s="171">
        <f t="shared" si="465"/>
        <v>70</v>
      </c>
      <c r="BW595" s="178">
        <f t="shared" si="465"/>
        <v>14</v>
      </c>
      <c r="BX595" s="288"/>
      <c r="CM595" s="96"/>
    </row>
    <row r="596" spans="1:91">
      <c r="A596" s="47" t="str">
        <f t="shared" si="451"/>
        <v/>
      </c>
      <c r="B596" s="183">
        <f t="shared" si="451"/>
        <v>90</v>
      </c>
      <c r="C596" s="171">
        <f t="shared" si="451"/>
        <v>32</v>
      </c>
      <c r="D596" s="171">
        <f t="shared" si="451"/>
        <v>1025</v>
      </c>
      <c r="E596" s="178">
        <f t="shared" si="451"/>
        <v>14</v>
      </c>
      <c r="G596" s="183">
        <f t="shared" si="452"/>
        <v>90</v>
      </c>
      <c r="H596" s="171">
        <f t="shared" si="452"/>
        <v>32</v>
      </c>
      <c r="I596" s="171">
        <f t="shared" si="452"/>
        <v>785</v>
      </c>
      <c r="J596" s="178">
        <f t="shared" si="452"/>
        <v>14</v>
      </c>
      <c r="L596" s="183">
        <f t="shared" si="453"/>
        <v>90</v>
      </c>
      <c r="M596" s="171">
        <f t="shared" si="453"/>
        <v>32</v>
      </c>
      <c r="N596" s="171">
        <f t="shared" si="453"/>
        <v>725</v>
      </c>
      <c r="O596" s="178">
        <f t="shared" si="453"/>
        <v>14</v>
      </c>
      <c r="Q596" s="183">
        <f t="shared" si="454"/>
        <v>90</v>
      </c>
      <c r="R596" s="171">
        <f t="shared" si="454"/>
        <v>32</v>
      </c>
      <c r="S596" s="171">
        <f t="shared" si="454"/>
        <v>665</v>
      </c>
      <c r="T596" s="178">
        <f t="shared" si="454"/>
        <v>14</v>
      </c>
      <c r="V596" s="183">
        <f t="shared" si="455"/>
        <v>90</v>
      </c>
      <c r="W596" s="171">
        <f t="shared" si="455"/>
        <v>32</v>
      </c>
      <c r="X596" s="171">
        <f t="shared" si="455"/>
        <v>545</v>
      </c>
      <c r="Y596" s="178">
        <f t="shared" si="455"/>
        <v>14</v>
      </c>
      <c r="AA596" s="183">
        <f t="shared" si="456"/>
        <v>90</v>
      </c>
      <c r="AB596" s="171">
        <f t="shared" si="456"/>
        <v>32</v>
      </c>
      <c r="AC596" s="171">
        <f t="shared" si="456"/>
        <v>485</v>
      </c>
      <c r="AD596" s="178">
        <f t="shared" si="456"/>
        <v>14</v>
      </c>
      <c r="AF596" s="183">
        <f t="shared" si="457"/>
        <v>90</v>
      </c>
      <c r="AG596" s="171">
        <f t="shared" si="457"/>
        <v>32</v>
      </c>
      <c r="AH596" s="171">
        <f t="shared" si="457"/>
        <v>365</v>
      </c>
      <c r="AI596" s="178">
        <f t="shared" si="457"/>
        <v>14</v>
      </c>
      <c r="AK596" s="183">
        <f t="shared" si="458"/>
        <v>90</v>
      </c>
      <c r="AL596" s="171">
        <f t="shared" si="458"/>
        <v>32</v>
      </c>
      <c r="AM596" s="171">
        <f t="shared" si="458"/>
        <v>245</v>
      </c>
      <c r="AN596" s="178">
        <f t="shared" si="458"/>
        <v>14</v>
      </c>
      <c r="AP596" s="183">
        <f t="shared" si="459"/>
        <v>90</v>
      </c>
      <c r="AQ596" s="171">
        <f t="shared" si="459"/>
        <v>32</v>
      </c>
      <c r="AR596" s="171">
        <f t="shared" si="459"/>
        <v>815</v>
      </c>
      <c r="AS596" s="178">
        <f t="shared" si="459"/>
        <v>14</v>
      </c>
      <c r="AT596" s="288"/>
      <c r="AU596" s="183">
        <f t="shared" si="460"/>
        <v>90</v>
      </c>
      <c r="AV596" s="171">
        <f t="shared" si="460"/>
        <v>10.799999999999997</v>
      </c>
      <c r="AW596" s="171">
        <f t="shared" si="460"/>
        <v>470</v>
      </c>
      <c r="AX596" s="178">
        <f t="shared" si="460"/>
        <v>14</v>
      </c>
      <c r="AZ596" s="183">
        <f t="shared" si="461"/>
        <v>90</v>
      </c>
      <c r="BA596" s="171">
        <f t="shared" si="461"/>
        <v>10.799999999999997</v>
      </c>
      <c r="BB596" s="171">
        <f t="shared" si="461"/>
        <v>350</v>
      </c>
      <c r="BC596" s="178">
        <f t="shared" si="461"/>
        <v>14</v>
      </c>
      <c r="BE596" s="183">
        <f t="shared" si="462"/>
        <v>90</v>
      </c>
      <c r="BF596" s="171">
        <f t="shared" si="462"/>
        <v>10.799999999999997</v>
      </c>
      <c r="BG596" s="171">
        <f t="shared" si="462"/>
        <v>230</v>
      </c>
      <c r="BH596" s="178">
        <f t="shared" si="462"/>
        <v>14</v>
      </c>
      <c r="BI596" s="288"/>
      <c r="BJ596" s="183" t="str">
        <f t="shared" si="463"/>
        <v/>
      </c>
      <c r="BK596" s="171" t="str">
        <f t="shared" si="463"/>
        <v/>
      </c>
      <c r="BL596" s="171" t="str">
        <f t="shared" si="463"/>
        <v/>
      </c>
      <c r="BM596" s="178" t="str">
        <f t="shared" si="463"/>
        <v/>
      </c>
      <c r="BO596" s="183" t="str">
        <f t="shared" si="464"/>
        <v/>
      </c>
      <c r="BP596" s="171" t="str">
        <f t="shared" si="464"/>
        <v/>
      </c>
      <c r="BQ596" s="171" t="str">
        <f t="shared" si="464"/>
        <v/>
      </c>
      <c r="BR596" s="178" t="str">
        <f t="shared" si="464"/>
        <v/>
      </c>
      <c r="BT596" s="183" t="str">
        <f t="shared" si="465"/>
        <v/>
      </c>
      <c r="BU596" s="171" t="str">
        <f t="shared" si="465"/>
        <v/>
      </c>
      <c r="BV596" s="171" t="str">
        <f t="shared" si="465"/>
        <v/>
      </c>
      <c r="BW596" s="178" t="str">
        <f t="shared" si="465"/>
        <v/>
      </c>
      <c r="BX596" s="288"/>
      <c r="CM596" s="96"/>
    </row>
    <row r="597" spans="1:91">
      <c r="A597" s="47" t="str">
        <f t="shared" si="451"/>
        <v/>
      </c>
      <c r="B597" s="184">
        <f t="shared" si="451"/>
        <v>90</v>
      </c>
      <c r="C597" s="172">
        <f t="shared" si="451"/>
        <v>10.5</v>
      </c>
      <c r="D597" s="172">
        <f t="shared" si="451"/>
        <v>1010</v>
      </c>
      <c r="E597" s="179">
        <f t="shared" si="451"/>
        <v>20</v>
      </c>
      <c r="G597" s="184">
        <f t="shared" si="452"/>
        <v>90</v>
      </c>
      <c r="H597" s="172">
        <f t="shared" si="452"/>
        <v>10.5</v>
      </c>
      <c r="I597" s="172">
        <f t="shared" si="452"/>
        <v>770</v>
      </c>
      <c r="J597" s="179">
        <f t="shared" si="452"/>
        <v>20</v>
      </c>
      <c r="L597" s="184">
        <f t="shared" si="453"/>
        <v>90</v>
      </c>
      <c r="M597" s="172">
        <f t="shared" si="453"/>
        <v>10.5</v>
      </c>
      <c r="N597" s="172">
        <f t="shared" si="453"/>
        <v>710</v>
      </c>
      <c r="O597" s="179">
        <f t="shared" si="453"/>
        <v>20</v>
      </c>
      <c r="Q597" s="184">
        <f t="shared" si="454"/>
        <v>90</v>
      </c>
      <c r="R597" s="172">
        <f t="shared" si="454"/>
        <v>10.5</v>
      </c>
      <c r="S597" s="172">
        <f t="shared" si="454"/>
        <v>650</v>
      </c>
      <c r="T597" s="179">
        <f t="shared" si="454"/>
        <v>20</v>
      </c>
      <c r="V597" s="184">
        <f t="shared" si="455"/>
        <v>90</v>
      </c>
      <c r="W597" s="172">
        <f t="shared" si="455"/>
        <v>10.5</v>
      </c>
      <c r="X597" s="172">
        <f t="shared" si="455"/>
        <v>530</v>
      </c>
      <c r="Y597" s="179">
        <f t="shared" si="455"/>
        <v>20</v>
      </c>
      <c r="AA597" s="184">
        <f t="shared" si="456"/>
        <v>90</v>
      </c>
      <c r="AB597" s="172">
        <f t="shared" si="456"/>
        <v>10.5</v>
      </c>
      <c r="AC597" s="172">
        <f t="shared" si="456"/>
        <v>470</v>
      </c>
      <c r="AD597" s="179">
        <f t="shared" si="456"/>
        <v>20</v>
      </c>
      <c r="AF597" s="184">
        <f t="shared" si="457"/>
        <v>90</v>
      </c>
      <c r="AG597" s="172">
        <f t="shared" si="457"/>
        <v>10.5</v>
      </c>
      <c r="AH597" s="172">
        <f t="shared" si="457"/>
        <v>350</v>
      </c>
      <c r="AI597" s="179">
        <f t="shared" si="457"/>
        <v>20</v>
      </c>
      <c r="AK597" s="184">
        <f t="shared" si="458"/>
        <v>90</v>
      </c>
      <c r="AL597" s="172">
        <f t="shared" si="458"/>
        <v>10.5</v>
      </c>
      <c r="AM597" s="172">
        <f t="shared" si="458"/>
        <v>230</v>
      </c>
      <c r="AN597" s="179">
        <f t="shared" si="458"/>
        <v>20</v>
      </c>
      <c r="AP597" s="184">
        <f t="shared" si="459"/>
        <v>90</v>
      </c>
      <c r="AQ597" s="172">
        <f t="shared" si="459"/>
        <v>10.5</v>
      </c>
      <c r="AR597" s="172">
        <f t="shared" si="459"/>
        <v>800</v>
      </c>
      <c r="AS597" s="179">
        <f t="shared" si="459"/>
        <v>20</v>
      </c>
      <c r="AT597" s="288"/>
      <c r="AU597" s="184" t="str">
        <f t="shared" si="460"/>
        <v/>
      </c>
      <c r="AV597" s="172" t="str">
        <f t="shared" si="460"/>
        <v/>
      </c>
      <c r="AW597" s="172" t="str">
        <f t="shared" si="460"/>
        <v/>
      </c>
      <c r="AX597" s="179" t="str">
        <f t="shared" si="460"/>
        <v/>
      </c>
      <c r="AZ597" s="184" t="str">
        <f t="shared" si="461"/>
        <v/>
      </c>
      <c r="BA597" s="172" t="str">
        <f t="shared" si="461"/>
        <v/>
      </c>
      <c r="BB597" s="172" t="str">
        <f t="shared" si="461"/>
        <v/>
      </c>
      <c r="BC597" s="179" t="str">
        <f t="shared" si="461"/>
        <v/>
      </c>
      <c r="BE597" s="184" t="str">
        <f t="shared" si="462"/>
        <v/>
      </c>
      <c r="BF597" s="172" t="str">
        <f t="shared" si="462"/>
        <v/>
      </c>
      <c r="BG597" s="172" t="str">
        <f t="shared" si="462"/>
        <v/>
      </c>
      <c r="BH597" s="179" t="str">
        <f t="shared" si="462"/>
        <v/>
      </c>
      <c r="BI597" s="288"/>
      <c r="BJ597" s="184" t="str">
        <f t="shared" si="463"/>
        <v/>
      </c>
      <c r="BK597" s="172" t="str">
        <f t="shared" si="463"/>
        <v/>
      </c>
      <c r="BL597" s="172" t="str">
        <f t="shared" si="463"/>
        <v/>
      </c>
      <c r="BM597" s="179" t="str">
        <f t="shared" si="463"/>
        <v/>
      </c>
      <c r="BO597" s="184" t="str">
        <f t="shared" si="464"/>
        <v/>
      </c>
      <c r="BP597" s="172" t="str">
        <f t="shared" si="464"/>
        <v/>
      </c>
      <c r="BQ597" s="172" t="str">
        <f t="shared" si="464"/>
        <v/>
      </c>
      <c r="BR597" s="179" t="str">
        <f t="shared" si="464"/>
        <v/>
      </c>
      <c r="BT597" s="184" t="str">
        <f t="shared" si="465"/>
        <v/>
      </c>
      <c r="BU597" s="172" t="str">
        <f t="shared" si="465"/>
        <v/>
      </c>
      <c r="BV597" s="172" t="str">
        <f t="shared" si="465"/>
        <v/>
      </c>
      <c r="BW597" s="179" t="str">
        <f t="shared" si="465"/>
        <v/>
      </c>
      <c r="BX597" s="288"/>
      <c r="CM597" s="96"/>
    </row>
    <row r="598" spans="1:91">
      <c r="A598" s="47" t="str">
        <f t="shared" si="451"/>
        <v/>
      </c>
      <c r="B598" s="204">
        <f t="shared" si="451"/>
        <v>90</v>
      </c>
      <c r="C598" s="205">
        <f t="shared" si="451"/>
        <v>118</v>
      </c>
      <c r="D598" s="205">
        <f t="shared" si="451"/>
        <v>560</v>
      </c>
      <c r="E598" s="206">
        <f t="shared" si="451"/>
        <v>14</v>
      </c>
      <c r="G598" s="204">
        <f t="shared" si="452"/>
        <v>90</v>
      </c>
      <c r="H598" s="205">
        <f t="shared" si="452"/>
        <v>118</v>
      </c>
      <c r="I598" s="205">
        <f t="shared" si="452"/>
        <v>430</v>
      </c>
      <c r="J598" s="206">
        <f t="shared" si="452"/>
        <v>14</v>
      </c>
      <c r="L598" s="204">
        <f t="shared" si="453"/>
        <v>90</v>
      </c>
      <c r="M598" s="205">
        <f t="shared" si="453"/>
        <v>118</v>
      </c>
      <c r="N598" s="205">
        <f t="shared" si="453"/>
        <v>75</v>
      </c>
      <c r="O598" s="206">
        <f t="shared" si="453"/>
        <v>14</v>
      </c>
      <c r="Q598" s="204">
        <f t="shared" si="454"/>
        <v>90</v>
      </c>
      <c r="R598" s="205">
        <f t="shared" si="454"/>
        <v>118</v>
      </c>
      <c r="S598" s="205">
        <f t="shared" si="454"/>
        <v>75</v>
      </c>
      <c r="T598" s="206">
        <f t="shared" si="454"/>
        <v>14</v>
      </c>
      <c r="V598" s="204">
        <f t="shared" si="455"/>
        <v>90</v>
      </c>
      <c r="W598" s="205">
        <f t="shared" si="455"/>
        <v>118</v>
      </c>
      <c r="X598" s="205">
        <f t="shared" si="455"/>
        <v>75</v>
      </c>
      <c r="Y598" s="206">
        <f t="shared" si="455"/>
        <v>14</v>
      </c>
      <c r="AA598" s="204">
        <f t="shared" si="456"/>
        <v>90</v>
      </c>
      <c r="AB598" s="205">
        <f t="shared" si="456"/>
        <v>118</v>
      </c>
      <c r="AC598" s="205">
        <f t="shared" si="456"/>
        <v>75</v>
      </c>
      <c r="AD598" s="206">
        <f t="shared" si="456"/>
        <v>14</v>
      </c>
      <c r="AF598" s="204">
        <f t="shared" si="457"/>
        <v>90</v>
      </c>
      <c r="AG598" s="205">
        <f t="shared" si="457"/>
        <v>118</v>
      </c>
      <c r="AH598" s="205">
        <f t="shared" si="457"/>
        <v>75</v>
      </c>
      <c r="AI598" s="206">
        <f t="shared" si="457"/>
        <v>14</v>
      </c>
      <c r="AK598" s="204">
        <f t="shared" si="458"/>
        <v>90</v>
      </c>
      <c r="AL598" s="205">
        <f t="shared" si="458"/>
        <v>118</v>
      </c>
      <c r="AM598" s="205">
        <f t="shared" si="458"/>
        <v>75</v>
      </c>
      <c r="AN598" s="206">
        <f t="shared" si="458"/>
        <v>14</v>
      </c>
      <c r="AP598" s="204">
        <f t="shared" si="459"/>
        <v>90</v>
      </c>
      <c r="AQ598" s="205">
        <f t="shared" si="459"/>
        <v>118</v>
      </c>
      <c r="AR598" s="205">
        <f t="shared" si="459"/>
        <v>225</v>
      </c>
      <c r="AS598" s="206">
        <f t="shared" si="459"/>
        <v>14</v>
      </c>
      <c r="AT598" s="288"/>
      <c r="AU598" s="204">
        <f t="shared" si="460"/>
        <v>90</v>
      </c>
      <c r="AV598" s="205">
        <f t="shared" si="460"/>
        <v>70</v>
      </c>
      <c r="AW598" s="205">
        <f t="shared" si="460"/>
        <v>75</v>
      </c>
      <c r="AX598" s="206">
        <f t="shared" si="460"/>
        <v>14</v>
      </c>
      <c r="AZ598" s="204">
        <f t="shared" si="461"/>
        <v>90</v>
      </c>
      <c r="BA598" s="205">
        <f t="shared" si="461"/>
        <v>70</v>
      </c>
      <c r="BB598" s="205">
        <f t="shared" si="461"/>
        <v>75</v>
      </c>
      <c r="BC598" s="206">
        <f t="shared" si="461"/>
        <v>14</v>
      </c>
      <c r="BE598" s="204">
        <f t="shared" si="462"/>
        <v>90</v>
      </c>
      <c r="BF598" s="205">
        <f t="shared" si="462"/>
        <v>70</v>
      </c>
      <c r="BG598" s="205">
        <f t="shared" si="462"/>
        <v>75</v>
      </c>
      <c r="BH598" s="206">
        <f t="shared" si="462"/>
        <v>14</v>
      </c>
      <c r="BI598" s="288"/>
      <c r="BJ598" s="204" t="str">
        <f t="shared" si="463"/>
        <v/>
      </c>
      <c r="BK598" s="205" t="str">
        <f t="shared" si="463"/>
        <v/>
      </c>
      <c r="BL598" s="205" t="str">
        <f t="shared" si="463"/>
        <v/>
      </c>
      <c r="BM598" s="206" t="str">
        <f t="shared" si="463"/>
        <v/>
      </c>
      <c r="BO598" s="204" t="str">
        <f t="shared" si="464"/>
        <v/>
      </c>
      <c r="BP598" s="205" t="str">
        <f t="shared" si="464"/>
        <v/>
      </c>
      <c r="BQ598" s="205" t="str">
        <f t="shared" si="464"/>
        <v/>
      </c>
      <c r="BR598" s="206" t="str">
        <f t="shared" si="464"/>
        <v/>
      </c>
      <c r="BT598" s="204" t="str">
        <f t="shared" si="465"/>
        <v/>
      </c>
      <c r="BU598" s="205" t="str">
        <f t="shared" si="465"/>
        <v/>
      </c>
      <c r="BV598" s="205" t="str">
        <f t="shared" si="465"/>
        <v/>
      </c>
      <c r="BW598" s="206" t="str">
        <f t="shared" si="465"/>
        <v/>
      </c>
      <c r="BX598" s="288"/>
      <c r="CM598" s="96"/>
    </row>
    <row r="599" spans="1:91">
      <c r="A599" s="47" t="str">
        <f t="shared" si="451"/>
        <v/>
      </c>
      <c r="B599" s="201">
        <f t="shared" si="451"/>
        <v>90</v>
      </c>
      <c r="C599" s="202">
        <f t="shared" si="451"/>
        <v>75</v>
      </c>
      <c r="D599" s="202">
        <f t="shared" si="451"/>
        <v>550</v>
      </c>
      <c r="E599" s="203">
        <f t="shared" si="451"/>
        <v>14</v>
      </c>
      <c r="G599" s="201">
        <f t="shared" si="452"/>
        <v>90</v>
      </c>
      <c r="H599" s="202">
        <f t="shared" si="452"/>
        <v>75</v>
      </c>
      <c r="I599" s="202">
        <f t="shared" si="452"/>
        <v>420</v>
      </c>
      <c r="J599" s="203">
        <f t="shared" si="452"/>
        <v>14</v>
      </c>
      <c r="L599" s="201">
        <f t="shared" si="453"/>
        <v>90</v>
      </c>
      <c r="M599" s="202">
        <f t="shared" si="453"/>
        <v>75</v>
      </c>
      <c r="N599" s="202">
        <f t="shared" si="453"/>
        <v>65</v>
      </c>
      <c r="O599" s="203">
        <f t="shared" si="453"/>
        <v>14</v>
      </c>
      <c r="Q599" s="201">
        <f t="shared" si="454"/>
        <v>90</v>
      </c>
      <c r="R599" s="202">
        <f t="shared" si="454"/>
        <v>75</v>
      </c>
      <c r="S599" s="202">
        <f t="shared" si="454"/>
        <v>65</v>
      </c>
      <c r="T599" s="203">
        <f t="shared" si="454"/>
        <v>14</v>
      </c>
      <c r="V599" s="201">
        <f t="shared" si="455"/>
        <v>90</v>
      </c>
      <c r="W599" s="202">
        <f t="shared" si="455"/>
        <v>75</v>
      </c>
      <c r="X599" s="202">
        <f t="shared" si="455"/>
        <v>65</v>
      </c>
      <c r="Y599" s="203">
        <f t="shared" si="455"/>
        <v>14</v>
      </c>
      <c r="AA599" s="201">
        <f t="shared" si="456"/>
        <v>90</v>
      </c>
      <c r="AB599" s="202">
        <f t="shared" si="456"/>
        <v>75</v>
      </c>
      <c r="AC599" s="202">
        <f t="shared" si="456"/>
        <v>65</v>
      </c>
      <c r="AD599" s="203">
        <f t="shared" si="456"/>
        <v>14</v>
      </c>
      <c r="AF599" s="201">
        <f t="shared" si="457"/>
        <v>90</v>
      </c>
      <c r="AG599" s="202">
        <f t="shared" si="457"/>
        <v>75</v>
      </c>
      <c r="AH599" s="202">
        <f t="shared" si="457"/>
        <v>65</v>
      </c>
      <c r="AI599" s="203">
        <f t="shared" si="457"/>
        <v>14</v>
      </c>
      <c r="AK599" s="201">
        <f t="shared" si="458"/>
        <v>90</v>
      </c>
      <c r="AL599" s="202">
        <f t="shared" si="458"/>
        <v>75</v>
      </c>
      <c r="AM599" s="202">
        <f t="shared" si="458"/>
        <v>65</v>
      </c>
      <c r="AN599" s="203">
        <f t="shared" si="458"/>
        <v>14</v>
      </c>
      <c r="AP599" s="201">
        <f t="shared" si="459"/>
        <v>90</v>
      </c>
      <c r="AQ599" s="202">
        <f t="shared" si="459"/>
        <v>75</v>
      </c>
      <c r="AR599" s="202">
        <f t="shared" si="459"/>
        <v>215</v>
      </c>
      <c r="AS599" s="203">
        <f t="shared" si="459"/>
        <v>14</v>
      </c>
      <c r="AT599" s="288"/>
      <c r="AU599" s="201">
        <f t="shared" si="460"/>
        <v>90</v>
      </c>
      <c r="AV599" s="202">
        <f t="shared" si="460"/>
        <v>30</v>
      </c>
      <c r="AW599" s="202">
        <f t="shared" si="460"/>
        <v>75</v>
      </c>
      <c r="AX599" s="203">
        <f t="shared" si="460"/>
        <v>14</v>
      </c>
      <c r="AZ599" s="201">
        <f t="shared" si="461"/>
        <v>90</v>
      </c>
      <c r="BA599" s="202">
        <f t="shared" si="461"/>
        <v>30</v>
      </c>
      <c r="BB599" s="202">
        <f t="shared" si="461"/>
        <v>75</v>
      </c>
      <c r="BC599" s="203">
        <f t="shared" si="461"/>
        <v>14</v>
      </c>
      <c r="BE599" s="201">
        <f t="shared" si="462"/>
        <v>90</v>
      </c>
      <c r="BF599" s="202">
        <f t="shared" si="462"/>
        <v>30</v>
      </c>
      <c r="BG599" s="202">
        <f t="shared" si="462"/>
        <v>75</v>
      </c>
      <c r="BH599" s="203">
        <f t="shared" si="462"/>
        <v>14</v>
      </c>
      <c r="BI599" s="288"/>
      <c r="BJ599" s="201" t="str">
        <f t="shared" si="463"/>
        <v/>
      </c>
      <c r="BK599" s="202" t="str">
        <f t="shared" si="463"/>
        <v/>
      </c>
      <c r="BL599" s="202" t="str">
        <f t="shared" si="463"/>
        <v/>
      </c>
      <c r="BM599" s="203" t="str">
        <f t="shared" si="463"/>
        <v/>
      </c>
      <c r="BO599" s="201" t="str">
        <f t="shared" si="464"/>
        <v/>
      </c>
      <c r="BP599" s="202" t="str">
        <f t="shared" si="464"/>
        <v/>
      </c>
      <c r="BQ599" s="202" t="str">
        <f t="shared" si="464"/>
        <v/>
      </c>
      <c r="BR599" s="203" t="str">
        <f t="shared" si="464"/>
        <v/>
      </c>
      <c r="BT599" s="201" t="str">
        <f t="shared" si="465"/>
        <v/>
      </c>
      <c r="BU599" s="202" t="str">
        <f t="shared" si="465"/>
        <v/>
      </c>
      <c r="BV599" s="202" t="str">
        <f t="shared" si="465"/>
        <v/>
      </c>
      <c r="BW599" s="203" t="str">
        <f t="shared" si="465"/>
        <v/>
      </c>
      <c r="BX599" s="288"/>
      <c r="CM599" s="96"/>
    </row>
    <row r="600" spans="1:91">
      <c r="A600" s="47" t="str">
        <f t="shared" si="451"/>
        <v/>
      </c>
      <c r="B600" s="207">
        <f t="shared" si="451"/>
        <v>90</v>
      </c>
      <c r="C600" s="208">
        <f t="shared" si="451"/>
        <v>32</v>
      </c>
      <c r="D600" s="208">
        <f t="shared" si="451"/>
        <v>560</v>
      </c>
      <c r="E600" s="209">
        <f t="shared" si="451"/>
        <v>14</v>
      </c>
      <c r="G600" s="207">
        <f t="shared" si="452"/>
        <v>90</v>
      </c>
      <c r="H600" s="208">
        <f t="shared" si="452"/>
        <v>32</v>
      </c>
      <c r="I600" s="208">
        <f t="shared" si="452"/>
        <v>430</v>
      </c>
      <c r="J600" s="209">
        <f t="shared" si="452"/>
        <v>14</v>
      </c>
      <c r="L600" s="207">
        <f t="shared" si="453"/>
        <v>90</v>
      </c>
      <c r="M600" s="208">
        <f t="shared" si="453"/>
        <v>32</v>
      </c>
      <c r="N600" s="208">
        <f t="shared" si="453"/>
        <v>75</v>
      </c>
      <c r="O600" s="209">
        <f t="shared" si="453"/>
        <v>14</v>
      </c>
      <c r="Q600" s="207">
        <f t="shared" si="454"/>
        <v>90</v>
      </c>
      <c r="R600" s="208">
        <f t="shared" si="454"/>
        <v>32</v>
      </c>
      <c r="S600" s="208">
        <f t="shared" si="454"/>
        <v>75</v>
      </c>
      <c r="T600" s="209">
        <f t="shared" si="454"/>
        <v>14</v>
      </c>
      <c r="V600" s="207">
        <f t="shared" si="455"/>
        <v>90</v>
      </c>
      <c r="W600" s="208">
        <f t="shared" si="455"/>
        <v>32</v>
      </c>
      <c r="X600" s="208">
        <f t="shared" si="455"/>
        <v>75</v>
      </c>
      <c r="Y600" s="209">
        <f t="shared" si="455"/>
        <v>14</v>
      </c>
      <c r="AA600" s="207">
        <f t="shared" si="456"/>
        <v>90</v>
      </c>
      <c r="AB600" s="208">
        <f t="shared" si="456"/>
        <v>32</v>
      </c>
      <c r="AC600" s="208">
        <f t="shared" si="456"/>
        <v>75</v>
      </c>
      <c r="AD600" s="209">
        <f t="shared" si="456"/>
        <v>14</v>
      </c>
      <c r="AF600" s="207">
        <f t="shared" si="457"/>
        <v>90</v>
      </c>
      <c r="AG600" s="208">
        <f t="shared" si="457"/>
        <v>32</v>
      </c>
      <c r="AH600" s="208">
        <f t="shared" si="457"/>
        <v>75</v>
      </c>
      <c r="AI600" s="209">
        <f t="shared" si="457"/>
        <v>14</v>
      </c>
      <c r="AK600" s="207">
        <f t="shared" si="458"/>
        <v>90</v>
      </c>
      <c r="AL600" s="208">
        <f t="shared" si="458"/>
        <v>32</v>
      </c>
      <c r="AM600" s="208">
        <f t="shared" si="458"/>
        <v>75</v>
      </c>
      <c r="AN600" s="209">
        <f t="shared" si="458"/>
        <v>14</v>
      </c>
      <c r="AP600" s="207">
        <f t="shared" si="459"/>
        <v>90</v>
      </c>
      <c r="AQ600" s="208">
        <f t="shared" si="459"/>
        <v>32</v>
      </c>
      <c r="AR600" s="208">
        <f t="shared" si="459"/>
        <v>225</v>
      </c>
      <c r="AS600" s="209">
        <f t="shared" si="459"/>
        <v>14</v>
      </c>
      <c r="AT600" s="288"/>
      <c r="AU600" s="207" t="str">
        <f t="shared" si="460"/>
        <v/>
      </c>
      <c r="AV600" s="208" t="str">
        <f t="shared" si="460"/>
        <v/>
      </c>
      <c r="AW600" s="208" t="str">
        <f t="shared" si="460"/>
        <v/>
      </c>
      <c r="AX600" s="209" t="str">
        <f t="shared" si="460"/>
        <v/>
      </c>
      <c r="AZ600" s="207" t="str">
        <f t="shared" si="461"/>
        <v/>
      </c>
      <c r="BA600" s="208" t="str">
        <f t="shared" si="461"/>
        <v/>
      </c>
      <c r="BB600" s="208" t="str">
        <f t="shared" si="461"/>
        <v/>
      </c>
      <c r="BC600" s="209" t="str">
        <f t="shared" si="461"/>
        <v/>
      </c>
      <c r="BE600" s="207" t="str">
        <f t="shared" si="462"/>
        <v/>
      </c>
      <c r="BF600" s="208" t="str">
        <f t="shared" si="462"/>
        <v/>
      </c>
      <c r="BG600" s="208" t="str">
        <f t="shared" si="462"/>
        <v/>
      </c>
      <c r="BH600" s="209" t="str">
        <f t="shared" si="462"/>
        <v/>
      </c>
      <c r="BI600" s="288"/>
      <c r="BJ600" s="207" t="str">
        <f t="shared" si="463"/>
        <v/>
      </c>
      <c r="BK600" s="208" t="str">
        <f t="shared" si="463"/>
        <v/>
      </c>
      <c r="BL600" s="208" t="str">
        <f t="shared" si="463"/>
        <v/>
      </c>
      <c r="BM600" s="209" t="str">
        <f t="shared" si="463"/>
        <v/>
      </c>
      <c r="BO600" s="207" t="str">
        <f t="shared" si="464"/>
        <v/>
      </c>
      <c r="BP600" s="208" t="str">
        <f t="shared" si="464"/>
        <v/>
      </c>
      <c r="BQ600" s="208" t="str">
        <f t="shared" si="464"/>
        <v/>
      </c>
      <c r="BR600" s="209" t="str">
        <f t="shared" si="464"/>
        <v/>
      </c>
      <c r="BT600" s="207" t="str">
        <f t="shared" si="465"/>
        <v/>
      </c>
      <c r="BU600" s="208" t="str">
        <f t="shared" si="465"/>
        <v/>
      </c>
      <c r="BV600" s="208" t="str">
        <f t="shared" si="465"/>
        <v/>
      </c>
      <c r="BW600" s="209" t="str">
        <f t="shared" si="465"/>
        <v/>
      </c>
      <c r="BX600" s="288"/>
      <c r="CM600" s="96"/>
    </row>
    <row r="601" spans="1:91">
      <c r="A601" s="47" t="str">
        <f t="shared" si="451"/>
        <v/>
      </c>
      <c r="B601" s="204">
        <f t="shared" si="451"/>
        <v>90</v>
      </c>
      <c r="C601" s="205">
        <f t="shared" si="451"/>
        <v>118</v>
      </c>
      <c r="D601" s="205">
        <f t="shared" si="451"/>
        <v>75</v>
      </c>
      <c r="E601" s="206">
        <f t="shared" si="451"/>
        <v>14</v>
      </c>
      <c r="G601" s="204">
        <f t="shared" si="452"/>
        <v>90</v>
      </c>
      <c r="H601" s="205">
        <f t="shared" si="452"/>
        <v>118</v>
      </c>
      <c r="I601" s="205">
        <f t="shared" si="452"/>
        <v>75</v>
      </c>
      <c r="J601" s="206">
        <f t="shared" si="452"/>
        <v>14</v>
      </c>
      <c r="L601" s="204" t="str">
        <f t="shared" si="453"/>
        <v/>
      </c>
      <c r="M601" s="205" t="str">
        <f t="shared" si="453"/>
        <v/>
      </c>
      <c r="N601" s="205" t="str">
        <f t="shared" si="453"/>
        <v/>
      </c>
      <c r="O601" s="206" t="str">
        <f t="shared" si="453"/>
        <v/>
      </c>
      <c r="Q601" s="204" t="str">
        <f t="shared" si="454"/>
        <v/>
      </c>
      <c r="R601" s="205" t="str">
        <f t="shared" si="454"/>
        <v/>
      </c>
      <c r="S601" s="205" t="str">
        <f t="shared" si="454"/>
        <v/>
      </c>
      <c r="T601" s="206" t="str">
        <f t="shared" si="454"/>
        <v/>
      </c>
      <c r="V601" s="204" t="str">
        <f t="shared" si="455"/>
        <v/>
      </c>
      <c r="W601" s="205" t="str">
        <f t="shared" si="455"/>
        <v/>
      </c>
      <c r="X601" s="205" t="str">
        <f t="shared" si="455"/>
        <v/>
      </c>
      <c r="Y601" s="206" t="str">
        <f t="shared" si="455"/>
        <v/>
      </c>
      <c r="AA601" s="204" t="str">
        <f t="shared" si="456"/>
        <v/>
      </c>
      <c r="AB601" s="205" t="str">
        <f t="shared" si="456"/>
        <v/>
      </c>
      <c r="AC601" s="205" t="str">
        <f t="shared" si="456"/>
        <v/>
      </c>
      <c r="AD601" s="206" t="str">
        <f t="shared" si="456"/>
        <v/>
      </c>
      <c r="AF601" s="204" t="str">
        <f t="shared" si="457"/>
        <v/>
      </c>
      <c r="AG601" s="205" t="str">
        <f t="shared" si="457"/>
        <v/>
      </c>
      <c r="AH601" s="205" t="str">
        <f t="shared" si="457"/>
        <v/>
      </c>
      <c r="AI601" s="206" t="str">
        <f t="shared" si="457"/>
        <v/>
      </c>
      <c r="AK601" s="204" t="str">
        <f t="shared" si="458"/>
        <v/>
      </c>
      <c r="AL601" s="205" t="str">
        <f t="shared" si="458"/>
        <v/>
      </c>
      <c r="AM601" s="205" t="str">
        <f t="shared" si="458"/>
        <v/>
      </c>
      <c r="AN601" s="206" t="str">
        <f t="shared" si="458"/>
        <v/>
      </c>
      <c r="AP601" s="204" t="str">
        <f t="shared" si="459"/>
        <v/>
      </c>
      <c r="AQ601" s="205" t="str">
        <f t="shared" si="459"/>
        <v/>
      </c>
      <c r="AR601" s="205" t="str">
        <f t="shared" si="459"/>
        <v/>
      </c>
      <c r="AS601" s="206" t="str">
        <f t="shared" si="459"/>
        <v/>
      </c>
      <c r="AT601" s="288"/>
      <c r="AU601" s="204" t="str">
        <f t="shared" si="460"/>
        <v/>
      </c>
      <c r="AV601" s="205" t="str">
        <f t="shared" si="460"/>
        <v/>
      </c>
      <c r="AW601" s="205" t="str">
        <f t="shared" si="460"/>
        <v/>
      </c>
      <c r="AX601" s="206" t="str">
        <f t="shared" si="460"/>
        <v/>
      </c>
      <c r="AZ601" s="204" t="str">
        <f t="shared" si="461"/>
        <v/>
      </c>
      <c r="BA601" s="205" t="str">
        <f t="shared" si="461"/>
        <v/>
      </c>
      <c r="BB601" s="205" t="str">
        <f t="shared" si="461"/>
        <v/>
      </c>
      <c r="BC601" s="206" t="str">
        <f t="shared" si="461"/>
        <v/>
      </c>
      <c r="BE601" s="204" t="str">
        <f t="shared" si="462"/>
        <v/>
      </c>
      <c r="BF601" s="205" t="str">
        <f t="shared" si="462"/>
        <v/>
      </c>
      <c r="BG601" s="205" t="str">
        <f t="shared" si="462"/>
        <v/>
      </c>
      <c r="BH601" s="206" t="str">
        <f t="shared" si="462"/>
        <v/>
      </c>
      <c r="BI601" s="288"/>
      <c r="BJ601" s="204" t="str">
        <f t="shared" si="463"/>
        <v/>
      </c>
      <c r="BK601" s="205" t="str">
        <f t="shared" si="463"/>
        <v/>
      </c>
      <c r="BL601" s="205" t="str">
        <f t="shared" si="463"/>
        <v/>
      </c>
      <c r="BM601" s="206" t="str">
        <f t="shared" si="463"/>
        <v/>
      </c>
      <c r="BO601" s="204" t="str">
        <f t="shared" si="464"/>
        <v/>
      </c>
      <c r="BP601" s="205" t="str">
        <f t="shared" si="464"/>
        <v/>
      </c>
      <c r="BQ601" s="205" t="str">
        <f t="shared" si="464"/>
        <v/>
      </c>
      <c r="BR601" s="206" t="str">
        <f t="shared" si="464"/>
        <v/>
      </c>
      <c r="BT601" s="204" t="str">
        <f t="shared" si="465"/>
        <v/>
      </c>
      <c r="BU601" s="205" t="str">
        <f t="shared" si="465"/>
        <v/>
      </c>
      <c r="BV601" s="205" t="str">
        <f t="shared" si="465"/>
        <v/>
      </c>
      <c r="BW601" s="206" t="str">
        <f t="shared" si="465"/>
        <v/>
      </c>
      <c r="BX601" s="288"/>
      <c r="CM601" s="96"/>
    </row>
    <row r="602" spans="1:91">
      <c r="A602" s="47" t="str">
        <f t="shared" si="451"/>
        <v/>
      </c>
      <c r="B602" s="201">
        <f t="shared" si="451"/>
        <v>90</v>
      </c>
      <c r="C602" s="202">
        <f t="shared" si="451"/>
        <v>75</v>
      </c>
      <c r="D602" s="202">
        <f t="shared" si="451"/>
        <v>65</v>
      </c>
      <c r="E602" s="203">
        <f t="shared" si="451"/>
        <v>14</v>
      </c>
      <c r="G602" s="201">
        <f t="shared" si="452"/>
        <v>90</v>
      </c>
      <c r="H602" s="202">
        <f t="shared" si="452"/>
        <v>75</v>
      </c>
      <c r="I602" s="202">
        <f t="shared" si="452"/>
        <v>65</v>
      </c>
      <c r="J602" s="203">
        <f t="shared" si="452"/>
        <v>14</v>
      </c>
      <c r="L602" s="201" t="str">
        <f t="shared" si="453"/>
        <v/>
      </c>
      <c r="M602" s="202" t="str">
        <f t="shared" si="453"/>
        <v/>
      </c>
      <c r="N602" s="202" t="str">
        <f t="shared" si="453"/>
        <v/>
      </c>
      <c r="O602" s="203" t="str">
        <f t="shared" si="453"/>
        <v/>
      </c>
      <c r="Q602" s="201" t="str">
        <f t="shared" si="454"/>
        <v/>
      </c>
      <c r="R602" s="202" t="str">
        <f t="shared" si="454"/>
        <v/>
      </c>
      <c r="S602" s="202" t="str">
        <f t="shared" si="454"/>
        <v/>
      </c>
      <c r="T602" s="203" t="str">
        <f t="shared" si="454"/>
        <v/>
      </c>
      <c r="V602" s="201" t="str">
        <f t="shared" si="455"/>
        <v/>
      </c>
      <c r="W602" s="202" t="str">
        <f t="shared" si="455"/>
        <v/>
      </c>
      <c r="X602" s="202" t="str">
        <f t="shared" si="455"/>
        <v/>
      </c>
      <c r="Y602" s="203" t="str">
        <f t="shared" si="455"/>
        <v/>
      </c>
      <c r="AA602" s="201" t="str">
        <f t="shared" si="456"/>
        <v/>
      </c>
      <c r="AB602" s="202" t="str">
        <f t="shared" si="456"/>
        <v/>
      </c>
      <c r="AC602" s="202" t="str">
        <f t="shared" si="456"/>
        <v/>
      </c>
      <c r="AD602" s="203" t="str">
        <f t="shared" si="456"/>
        <v/>
      </c>
      <c r="AF602" s="201" t="str">
        <f t="shared" si="457"/>
        <v/>
      </c>
      <c r="AG602" s="202" t="str">
        <f t="shared" si="457"/>
        <v/>
      </c>
      <c r="AH602" s="202" t="str">
        <f t="shared" si="457"/>
        <v/>
      </c>
      <c r="AI602" s="203" t="str">
        <f t="shared" si="457"/>
        <v/>
      </c>
      <c r="AK602" s="201" t="str">
        <f t="shared" si="458"/>
        <v/>
      </c>
      <c r="AL602" s="202" t="str">
        <f t="shared" si="458"/>
        <v/>
      </c>
      <c r="AM602" s="202" t="str">
        <f t="shared" si="458"/>
        <v/>
      </c>
      <c r="AN602" s="203" t="str">
        <f t="shared" si="458"/>
        <v/>
      </c>
      <c r="AP602" s="201" t="str">
        <f t="shared" si="459"/>
        <v/>
      </c>
      <c r="AQ602" s="202" t="str">
        <f t="shared" si="459"/>
        <v/>
      </c>
      <c r="AR602" s="202" t="str">
        <f t="shared" si="459"/>
        <v/>
      </c>
      <c r="AS602" s="203" t="str">
        <f t="shared" si="459"/>
        <v/>
      </c>
      <c r="AT602" s="288"/>
      <c r="AU602" s="201" t="str">
        <f t="shared" si="460"/>
        <v/>
      </c>
      <c r="AV602" s="202" t="str">
        <f t="shared" si="460"/>
        <v/>
      </c>
      <c r="AW602" s="202" t="str">
        <f t="shared" si="460"/>
        <v/>
      </c>
      <c r="AX602" s="203" t="str">
        <f t="shared" si="460"/>
        <v/>
      </c>
      <c r="AZ602" s="201" t="str">
        <f t="shared" si="461"/>
        <v/>
      </c>
      <c r="BA602" s="202" t="str">
        <f t="shared" si="461"/>
        <v/>
      </c>
      <c r="BB602" s="202" t="str">
        <f t="shared" si="461"/>
        <v/>
      </c>
      <c r="BC602" s="203" t="str">
        <f t="shared" si="461"/>
        <v/>
      </c>
      <c r="BE602" s="201" t="str">
        <f t="shared" si="462"/>
        <v/>
      </c>
      <c r="BF602" s="202" t="str">
        <f t="shared" si="462"/>
        <v/>
      </c>
      <c r="BG602" s="202" t="str">
        <f t="shared" si="462"/>
        <v/>
      </c>
      <c r="BH602" s="203" t="str">
        <f t="shared" si="462"/>
        <v/>
      </c>
      <c r="BI602" s="288"/>
      <c r="BJ602" s="201" t="str">
        <f t="shared" si="463"/>
        <v/>
      </c>
      <c r="BK602" s="202" t="str">
        <f t="shared" si="463"/>
        <v/>
      </c>
      <c r="BL602" s="202" t="str">
        <f t="shared" si="463"/>
        <v/>
      </c>
      <c r="BM602" s="203" t="str">
        <f t="shared" si="463"/>
        <v/>
      </c>
      <c r="BO602" s="201" t="str">
        <f t="shared" si="464"/>
        <v/>
      </c>
      <c r="BP602" s="202" t="str">
        <f t="shared" si="464"/>
        <v/>
      </c>
      <c r="BQ602" s="202" t="str">
        <f t="shared" si="464"/>
        <v/>
      </c>
      <c r="BR602" s="203" t="str">
        <f t="shared" si="464"/>
        <v/>
      </c>
      <c r="BT602" s="201" t="str">
        <f t="shared" si="465"/>
        <v/>
      </c>
      <c r="BU602" s="202" t="str">
        <f t="shared" si="465"/>
        <v/>
      </c>
      <c r="BV602" s="202" t="str">
        <f t="shared" si="465"/>
        <v/>
      </c>
      <c r="BW602" s="203" t="str">
        <f t="shared" si="465"/>
        <v/>
      </c>
      <c r="BX602" s="288"/>
      <c r="CM602" s="96"/>
    </row>
    <row r="603" spans="1:91">
      <c r="A603" s="47" t="str">
        <f t="shared" si="451"/>
        <v/>
      </c>
      <c r="B603" s="207">
        <f t="shared" si="451"/>
        <v>90</v>
      </c>
      <c r="C603" s="208">
        <f t="shared" si="451"/>
        <v>32</v>
      </c>
      <c r="D603" s="208">
        <f t="shared" si="451"/>
        <v>75</v>
      </c>
      <c r="E603" s="209">
        <f t="shared" si="451"/>
        <v>14</v>
      </c>
      <c r="G603" s="207">
        <f t="shared" si="452"/>
        <v>90</v>
      </c>
      <c r="H603" s="208">
        <f t="shared" si="452"/>
        <v>32</v>
      </c>
      <c r="I603" s="208">
        <f t="shared" si="452"/>
        <v>75</v>
      </c>
      <c r="J603" s="209">
        <f t="shared" si="452"/>
        <v>14</v>
      </c>
      <c r="L603" s="207" t="str">
        <f t="shared" si="453"/>
        <v/>
      </c>
      <c r="M603" s="208" t="str">
        <f t="shared" si="453"/>
        <v/>
      </c>
      <c r="N603" s="208" t="str">
        <f t="shared" si="453"/>
        <v/>
      </c>
      <c r="O603" s="209" t="str">
        <f t="shared" si="453"/>
        <v/>
      </c>
      <c r="Q603" s="207" t="str">
        <f t="shared" si="454"/>
        <v/>
      </c>
      <c r="R603" s="208" t="str">
        <f t="shared" si="454"/>
        <v/>
      </c>
      <c r="S603" s="208" t="str">
        <f t="shared" si="454"/>
        <v/>
      </c>
      <c r="T603" s="209" t="str">
        <f t="shared" si="454"/>
        <v/>
      </c>
      <c r="V603" s="207" t="str">
        <f t="shared" si="455"/>
        <v/>
      </c>
      <c r="W603" s="208" t="str">
        <f t="shared" si="455"/>
        <v/>
      </c>
      <c r="X603" s="208" t="str">
        <f t="shared" si="455"/>
        <v/>
      </c>
      <c r="Y603" s="209" t="str">
        <f t="shared" si="455"/>
        <v/>
      </c>
      <c r="AA603" s="207" t="str">
        <f t="shared" si="456"/>
        <v/>
      </c>
      <c r="AB603" s="208" t="str">
        <f t="shared" si="456"/>
        <v/>
      </c>
      <c r="AC603" s="208" t="str">
        <f t="shared" si="456"/>
        <v/>
      </c>
      <c r="AD603" s="209" t="str">
        <f t="shared" si="456"/>
        <v/>
      </c>
      <c r="AF603" s="207" t="str">
        <f t="shared" si="457"/>
        <v/>
      </c>
      <c r="AG603" s="208" t="str">
        <f t="shared" si="457"/>
        <v/>
      </c>
      <c r="AH603" s="208" t="str">
        <f t="shared" si="457"/>
        <v/>
      </c>
      <c r="AI603" s="209" t="str">
        <f t="shared" si="457"/>
        <v/>
      </c>
      <c r="AK603" s="207" t="str">
        <f t="shared" si="458"/>
        <v/>
      </c>
      <c r="AL603" s="208" t="str">
        <f t="shared" si="458"/>
        <v/>
      </c>
      <c r="AM603" s="208" t="str">
        <f t="shared" si="458"/>
        <v/>
      </c>
      <c r="AN603" s="209" t="str">
        <f t="shared" si="458"/>
        <v/>
      </c>
      <c r="AP603" s="207" t="str">
        <f t="shared" si="459"/>
        <v/>
      </c>
      <c r="AQ603" s="208" t="str">
        <f t="shared" si="459"/>
        <v/>
      </c>
      <c r="AR603" s="208" t="str">
        <f t="shared" si="459"/>
        <v/>
      </c>
      <c r="AS603" s="209" t="str">
        <f t="shared" si="459"/>
        <v/>
      </c>
      <c r="AT603" s="288"/>
      <c r="AU603" s="207" t="str">
        <f t="shared" si="460"/>
        <v/>
      </c>
      <c r="AV603" s="208" t="str">
        <f t="shared" si="460"/>
        <v/>
      </c>
      <c r="AW603" s="208" t="str">
        <f t="shared" si="460"/>
        <v/>
      </c>
      <c r="AX603" s="209" t="str">
        <f t="shared" si="460"/>
        <v/>
      </c>
      <c r="AZ603" s="207" t="str">
        <f t="shared" si="461"/>
        <v/>
      </c>
      <c r="BA603" s="208" t="str">
        <f t="shared" si="461"/>
        <v/>
      </c>
      <c r="BB603" s="208" t="str">
        <f t="shared" si="461"/>
        <v/>
      </c>
      <c r="BC603" s="209" t="str">
        <f t="shared" si="461"/>
        <v/>
      </c>
      <c r="BE603" s="207" t="str">
        <f t="shared" si="462"/>
        <v/>
      </c>
      <c r="BF603" s="208" t="str">
        <f t="shared" si="462"/>
        <v/>
      </c>
      <c r="BG603" s="208" t="str">
        <f t="shared" si="462"/>
        <v/>
      </c>
      <c r="BH603" s="209" t="str">
        <f t="shared" si="462"/>
        <v/>
      </c>
      <c r="BI603" s="288"/>
      <c r="BJ603" s="207" t="str">
        <f t="shared" si="463"/>
        <v/>
      </c>
      <c r="BK603" s="208" t="str">
        <f t="shared" si="463"/>
        <v/>
      </c>
      <c r="BL603" s="208" t="str">
        <f t="shared" si="463"/>
        <v/>
      </c>
      <c r="BM603" s="209" t="str">
        <f t="shared" si="463"/>
        <v/>
      </c>
      <c r="BO603" s="207" t="str">
        <f t="shared" si="464"/>
        <v/>
      </c>
      <c r="BP603" s="208" t="str">
        <f t="shared" si="464"/>
        <v/>
      </c>
      <c r="BQ603" s="208" t="str">
        <f t="shared" si="464"/>
        <v/>
      </c>
      <c r="BR603" s="209" t="str">
        <f t="shared" si="464"/>
        <v/>
      </c>
      <c r="BT603" s="207" t="str">
        <f t="shared" si="465"/>
        <v/>
      </c>
      <c r="BU603" s="208" t="str">
        <f t="shared" si="465"/>
        <v/>
      </c>
      <c r="BV603" s="208" t="str">
        <f t="shared" si="465"/>
        <v/>
      </c>
      <c r="BW603" s="209" t="str">
        <f t="shared" si="465"/>
        <v/>
      </c>
      <c r="BX603" s="288"/>
      <c r="CM603" s="96"/>
    </row>
    <row r="604" spans="1:91">
      <c r="A604" s="47" t="str">
        <f t="shared" si="451"/>
        <v/>
      </c>
      <c r="B604" s="185">
        <f t="shared" si="451"/>
        <v>45</v>
      </c>
      <c r="C604" s="173">
        <f t="shared" si="451"/>
        <v>139.5</v>
      </c>
      <c r="D604" s="173">
        <f t="shared" si="451"/>
        <v>940</v>
      </c>
      <c r="E604" s="180">
        <f t="shared" si="451"/>
        <v>18</v>
      </c>
      <c r="G604" s="185">
        <f t="shared" si="452"/>
        <v>45</v>
      </c>
      <c r="H604" s="173">
        <f t="shared" si="452"/>
        <v>139.5</v>
      </c>
      <c r="I604" s="173">
        <f t="shared" si="452"/>
        <v>700</v>
      </c>
      <c r="J604" s="180">
        <f t="shared" si="452"/>
        <v>18</v>
      </c>
      <c r="L604" s="185">
        <f t="shared" si="453"/>
        <v>45</v>
      </c>
      <c r="M604" s="173">
        <f t="shared" si="453"/>
        <v>139.5</v>
      </c>
      <c r="N604" s="173">
        <f t="shared" si="453"/>
        <v>631</v>
      </c>
      <c r="O604" s="180">
        <f t="shared" si="453"/>
        <v>18</v>
      </c>
      <c r="Q604" s="185">
        <f t="shared" si="454"/>
        <v>45</v>
      </c>
      <c r="R604" s="173">
        <f t="shared" si="454"/>
        <v>139.5</v>
      </c>
      <c r="S604" s="173">
        <f t="shared" si="454"/>
        <v>574</v>
      </c>
      <c r="T604" s="180">
        <f t="shared" si="454"/>
        <v>18</v>
      </c>
      <c r="V604" s="185">
        <f t="shared" si="455"/>
        <v>45</v>
      </c>
      <c r="W604" s="173">
        <f t="shared" si="455"/>
        <v>139.5</v>
      </c>
      <c r="X604" s="173">
        <f t="shared" si="455"/>
        <v>460</v>
      </c>
      <c r="Y604" s="180">
        <f t="shared" si="455"/>
        <v>18</v>
      </c>
      <c r="AA604" s="185">
        <f t="shared" si="456"/>
        <v>45</v>
      </c>
      <c r="AB604" s="173">
        <f t="shared" si="456"/>
        <v>139.5</v>
      </c>
      <c r="AC604" s="173">
        <f t="shared" si="456"/>
        <v>412</v>
      </c>
      <c r="AD604" s="180">
        <f t="shared" si="456"/>
        <v>18</v>
      </c>
      <c r="AF604" s="185">
        <f t="shared" si="457"/>
        <v>45</v>
      </c>
      <c r="AG604" s="173">
        <f t="shared" si="457"/>
        <v>139.5</v>
      </c>
      <c r="AH604" s="173">
        <f t="shared" si="457"/>
        <v>292</v>
      </c>
      <c r="AI604" s="180">
        <f t="shared" si="457"/>
        <v>18</v>
      </c>
      <c r="AK604" s="185">
        <f t="shared" si="458"/>
        <v>45</v>
      </c>
      <c r="AL604" s="173">
        <f t="shared" si="458"/>
        <v>139.5</v>
      </c>
      <c r="AM604" s="173">
        <f t="shared" si="458"/>
        <v>176</v>
      </c>
      <c r="AN604" s="180">
        <f t="shared" si="458"/>
        <v>18</v>
      </c>
      <c r="AP604" s="185">
        <f t="shared" si="459"/>
        <v>45</v>
      </c>
      <c r="AQ604" s="173">
        <f t="shared" si="459"/>
        <v>139.5</v>
      </c>
      <c r="AR604" s="173">
        <f t="shared" si="459"/>
        <v>724</v>
      </c>
      <c r="AS604" s="180">
        <f t="shared" si="459"/>
        <v>18</v>
      </c>
      <c r="AT604" s="288"/>
      <c r="AU604" s="185">
        <f t="shared" si="460"/>
        <v>45</v>
      </c>
      <c r="AV604" s="173">
        <f t="shared" si="460"/>
        <v>89.2</v>
      </c>
      <c r="AW604" s="173">
        <f t="shared" si="460"/>
        <v>412</v>
      </c>
      <c r="AX604" s="180">
        <f t="shared" si="460"/>
        <v>17.5</v>
      </c>
      <c r="AZ604" s="185">
        <f t="shared" si="461"/>
        <v>45</v>
      </c>
      <c r="BA604" s="173">
        <f t="shared" si="461"/>
        <v>89.2</v>
      </c>
      <c r="BB604" s="173">
        <f t="shared" si="461"/>
        <v>292</v>
      </c>
      <c r="BC604" s="180">
        <f t="shared" si="461"/>
        <v>17.5</v>
      </c>
      <c r="BE604" s="185">
        <f t="shared" si="462"/>
        <v>45</v>
      </c>
      <c r="BF604" s="173">
        <f t="shared" si="462"/>
        <v>89.2</v>
      </c>
      <c r="BG604" s="173">
        <f t="shared" si="462"/>
        <v>172</v>
      </c>
      <c r="BH604" s="180">
        <f t="shared" si="462"/>
        <v>17.5</v>
      </c>
      <c r="BI604" s="288"/>
      <c r="BJ604" s="185">
        <f t="shared" si="463"/>
        <v>45</v>
      </c>
      <c r="BK604" s="173">
        <f t="shared" si="463"/>
        <v>50.25</v>
      </c>
      <c r="BL604" s="173">
        <f t="shared" si="463"/>
        <v>432</v>
      </c>
      <c r="BM604" s="180">
        <f t="shared" si="463"/>
        <v>17.5</v>
      </c>
      <c r="BO604" s="185">
        <f t="shared" si="464"/>
        <v>45</v>
      </c>
      <c r="BP604" s="173">
        <f t="shared" si="464"/>
        <v>50.25</v>
      </c>
      <c r="BQ604" s="173">
        <f t="shared" si="464"/>
        <v>312</v>
      </c>
      <c r="BR604" s="180">
        <f t="shared" si="464"/>
        <v>17.5</v>
      </c>
      <c r="BT604" s="185">
        <f t="shared" si="465"/>
        <v>45</v>
      </c>
      <c r="BU604" s="173">
        <f t="shared" si="465"/>
        <v>50.25</v>
      </c>
      <c r="BV604" s="173">
        <f t="shared" si="465"/>
        <v>192</v>
      </c>
      <c r="BW604" s="180">
        <f t="shared" si="465"/>
        <v>17.5</v>
      </c>
      <c r="BX604" s="288"/>
      <c r="CM604" s="96"/>
    </row>
    <row r="605" spans="1:91">
      <c r="A605" s="47" t="str">
        <f t="shared" si="451"/>
        <v/>
      </c>
      <c r="B605" s="185">
        <f t="shared" si="451"/>
        <v>45</v>
      </c>
      <c r="C605" s="173">
        <f t="shared" si="451"/>
        <v>139.5</v>
      </c>
      <c r="D605" s="173">
        <f t="shared" si="451"/>
        <v>883</v>
      </c>
      <c r="E605" s="180">
        <f t="shared" si="451"/>
        <v>18</v>
      </c>
      <c r="G605" s="185">
        <f t="shared" si="452"/>
        <v>45</v>
      </c>
      <c r="H605" s="173">
        <f t="shared" si="452"/>
        <v>139.5</v>
      </c>
      <c r="I605" s="173">
        <f t="shared" si="452"/>
        <v>643</v>
      </c>
      <c r="J605" s="180">
        <f t="shared" si="452"/>
        <v>18</v>
      </c>
      <c r="L605" s="185">
        <f t="shared" si="453"/>
        <v>45</v>
      </c>
      <c r="M605" s="173">
        <f t="shared" si="453"/>
        <v>139.5</v>
      </c>
      <c r="N605" s="173">
        <f t="shared" si="453"/>
        <v>574</v>
      </c>
      <c r="O605" s="180">
        <f t="shared" si="453"/>
        <v>18</v>
      </c>
      <c r="Q605" s="185">
        <f t="shared" si="454"/>
        <v>45</v>
      </c>
      <c r="R605" s="173">
        <f t="shared" si="454"/>
        <v>139.5</v>
      </c>
      <c r="S605" s="173">
        <f t="shared" si="454"/>
        <v>517</v>
      </c>
      <c r="T605" s="180">
        <f t="shared" si="454"/>
        <v>18</v>
      </c>
      <c r="V605" s="185">
        <f t="shared" si="455"/>
        <v>45</v>
      </c>
      <c r="W605" s="173">
        <f t="shared" si="455"/>
        <v>139.5</v>
      </c>
      <c r="X605" s="173">
        <f t="shared" si="455"/>
        <v>403</v>
      </c>
      <c r="Y605" s="180">
        <f t="shared" si="455"/>
        <v>18</v>
      </c>
      <c r="AA605" s="185">
        <f t="shared" si="456"/>
        <v>45</v>
      </c>
      <c r="AB605" s="173">
        <f t="shared" si="456"/>
        <v>139.5</v>
      </c>
      <c r="AC605" s="173">
        <f t="shared" si="456"/>
        <v>354</v>
      </c>
      <c r="AD605" s="180">
        <f t="shared" si="456"/>
        <v>18</v>
      </c>
      <c r="AF605" s="185">
        <f t="shared" si="457"/>
        <v>45</v>
      </c>
      <c r="AG605" s="173">
        <f t="shared" si="457"/>
        <v>139.5</v>
      </c>
      <c r="AH605" s="173">
        <f t="shared" si="457"/>
        <v>234</v>
      </c>
      <c r="AI605" s="180">
        <f t="shared" si="457"/>
        <v>18</v>
      </c>
      <c r="AK605" s="185">
        <f t="shared" si="458"/>
        <v>45</v>
      </c>
      <c r="AL605" s="173">
        <f t="shared" si="458"/>
        <v>139.5</v>
      </c>
      <c r="AM605" s="173">
        <f t="shared" si="458"/>
        <v>118</v>
      </c>
      <c r="AN605" s="180">
        <f t="shared" si="458"/>
        <v>18</v>
      </c>
      <c r="AP605" s="185">
        <f t="shared" si="459"/>
        <v>45</v>
      </c>
      <c r="AQ605" s="173">
        <f t="shared" si="459"/>
        <v>139.5</v>
      </c>
      <c r="AR605" s="173">
        <f t="shared" si="459"/>
        <v>667</v>
      </c>
      <c r="AS605" s="180">
        <f t="shared" si="459"/>
        <v>18</v>
      </c>
      <c r="AT605" s="288"/>
      <c r="AU605" s="185">
        <f t="shared" si="460"/>
        <v>45</v>
      </c>
      <c r="AV605" s="173">
        <f t="shared" si="460"/>
        <v>89.2</v>
      </c>
      <c r="AW605" s="173">
        <f t="shared" si="460"/>
        <v>354</v>
      </c>
      <c r="AX605" s="180">
        <f t="shared" si="460"/>
        <v>17.5</v>
      </c>
      <c r="AZ605" s="185">
        <f t="shared" si="461"/>
        <v>45</v>
      </c>
      <c r="BA605" s="173">
        <f t="shared" si="461"/>
        <v>89.2</v>
      </c>
      <c r="BB605" s="173">
        <f t="shared" si="461"/>
        <v>234</v>
      </c>
      <c r="BC605" s="180">
        <f t="shared" si="461"/>
        <v>17.5</v>
      </c>
      <c r="BE605" s="185">
        <f t="shared" si="462"/>
        <v>45</v>
      </c>
      <c r="BF605" s="173">
        <f t="shared" si="462"/>
        <v>89.2</v>
      </c>
      <c r="BG605" s="173">
        <f t="shared" si="462"/>
        <v>114</v>
      </c>
      <c r="BH605" s="180">
        <f t="shared" si="462"/>
        <v>17.5</v>
      </c>
      <c r="BI605" s="288"/>
      <c r="BJ605" s="185">
        <f t="shared" si="463"/>
        <v>45</v>
      </c>
      <c r="BK605" s="173">
        <f t="shared" si="463"/>
        <v>50.25</v>
      </c>
      <c r="BL605" s="173">
        <f t="shared" si="463"/>
        <v>374</v>
      </c>
      <c r="BM605" s="180">
        <f t="shared" si="463"/>
        <v>17.5</v>
      </c>
      <c r="BO605" s="185">
        <f t="shared" si="464"/>
        <v>45</v>
      </c>
      <c r="BP605" s="173">
        <f t="shared" si="464"/>
        <v>50.25</v>
      </c>
      <c r="BQ605" s="173">
        <f t="shared" si="464"/>
        <v>254</v>
      </c>
      <c r="BR605" s="180">
        <f t="shared" si="464"/>
        <v>17.5</v>
      </c>
      <c r="BT605" s="185">
        <f t="shared" si="465"/>
        <v>45</v>
      </c>
      <c r="BU605" s="173">
        <f t="shared" si="465"/>
        <v>50.25</v>
      </c>
      <c r="BV605" s="173">
        <f t="shared" si="465"/>
        <v>134</v>
      </c>
      <c r="BW605" s="180">
        <f t="shared" si="465"/>
        <v>17.5</v>
      </c>
      <c r="BX605" s="288"/>
      <c r="CM605" s="96"/>
    </row>
    <row r="606" spans="1:91">
      <c r="A606" s="47" t="str">
        <f t="shared" si="451"/>
        <v/>
      </c>
      <c r="B606" s="185">
        <f t="shared" si="451"/>
        <v>45</v>
      </c>
      <c r="C606" s="173">
        <f t="shared" si="451"/>
        <v>139.5</v>
      </c>
      <c r="D606" s="173">
        <f t="shared" si="451"/>
        <v>826</v>
      </c>
      <c r="E606" s="180">
        <f t="shared" si="451"/>
        <v>18</v>
      </c>
      <c r="G606" s="185">
        <f t="shared" si="452"/>
        <v>45</v>
      </c>
      <c r="H606" s="173">
        <f t="shared" si="452"/>
        <v>139.5</v>
      </c>
      <c r="I606" s="173">
        <f t="shared" si="452"/>
        <v>586</v>
      </c>
      <c r="J606" s="180">
        <f t="shared" si="452"/>
        <v>18</v>
      </c>
      <c r="L606" s="185">
        <f t="shared" si="453"/>
        <v>45</v>
      </c>
      <c r="M606" s="173">
        <f t="shared" si="453"/>
        <v>139.5</v>
      </c>
      <c r="N606" s="173">
        <f t="shared" si="453"/>
        <v>517</v>
      </c>
      <c r="O606" s="180">
        <f t="shared" si="453"/>
        <v>18</v>
      </c>
      <c r="Q606" s="185">
        <f t="shared" si="454"/>
        <v>45</v>
      </c>
      <c r="R606" s="173">
        <f t="shared" si="454"/>
        <v>139.5</v>
      </c>
      <c r="S606" s="173">
        <f t="shared" si="454"/>
        <v>460</v>
      </c>
      <c r="T606" s="180">
        <f t="shared" si="454"/>
        <v>18</v>
      </c>
      <c r="V606" s="185">
        <f t="shared" si="455"/>
        <v>45</v>
      </c>
      <c r="W606" s="173">
        <f t="shared" si="455"/>
        <v>139.5</v>
      </c>
      <c r="X606" s="173">
        <f t="shared" si="455"/>
        <v>346</v>
      </c>
      <c r="Y606" s="180">
        <f t="shared" si="455"/>
        <v>18</v>
      </c>
      <c r="AA606" s="185">
        <f t="shared" si="456"/>
        <v>45</v>
      </c>
      <c r="AB606" s="173">
        <f t="shared" si="456"/>
        <v>139.5</v>
      </c>
      <c r="AC606" s="173">
        <f t="shared" si="456"/>
        <v>296</v>
      </c>
      <c r="AD606" s="180">
        <f t="shared" si="456"/>
        <v>18</v>
      </c>
      <c r="AF606" s="185">
        <f t="shared" si="457"/>
        <v>45</v>
      </c>
      <c r="AG606" s="173">
        <f t="shared" si="457"/>
        <v>139.5</v>
      </c>
      <c r="AH606" s="173">
        <f t="shared" si="457"/>
        <v>176</v>
      </c>
      <c r="AI606" s="180">
        <f t="shared" si="457"/>
        <v>18</v>
      </c>
      <c r="AK606" s="185">
        <f t="shared" si="458"/>
        <v>45</v>
      </c>
      <c r="AL606" s="173">
        <f t="shared" si="458"/>
        <v>139.5</v>
      </c>
      <c r="AM606" s="173">
        <f t="shared" si="458"/>
        <v>60</v>
      </c>
      <c r="AN606" s="180">
        <f t="shared" si="458"/>
        <v>18</v>
      </c>
      <c r="AP606" s="185">
        <f t="shared" si="459"/>
        <v>45</v>
      </c>
      <c r="AQ606" s="173">
        <f t="shared" si="459"/>
        <v>139.5</v>
      </c>
      <c r="AR606" s="173">
        <f t="shared" si="459"/>
        <v>610</v>
      </c>
      <c r="AS606" s="180">
        <f t="shared" si="459"/>
        <v>18</v>
      </c>
      <c r="AT606" s="288"/>
      <c r="AU606" s="185">
        <f t="shared" si="460"/>
        <v>45</v>
      </c>
      <c r="AV606" s="173">
        <f t="shared" si="460"/>
        <v>89.2</v>
      </c>
      <c r="AW606" s="173">
        <f t="shared" si="460"/>
        <v>296</v>
      </c>
      <c r="AX606" s="180">
        <f t="shared" si="460"/>
        <v>17.5</v>
      </c>
      <c r="AZ606" s="185">
        <f t="shared" si="461"/>
        <v>45</v>
      </c>
      <c r="BA606" s="173">
        <f t="shared" si="461"/>
        <v>89.2</v>
      </c>
      <c r="BB606" s="173">
        <f t="shared" si="461"/>
        <v>176</v>
      </c>
      <c r="BC606" s="180">
        <f t="shared" si="461"/>
        <v>17.5</v>
      </c>
      <c r="BE606" s="185">
        <f t="shared" si="462"/>
        <v>45</v>
      </c>
      <c r="BF606" s="173">
        <f t="shared" si="462"/>
        <v>89.2</v>
      </c>
      <c r="BG606" s="173">
        <f t="shared" si="462"/>
        <v>56</v>
      </c>
      <c r="BH606" s="180">
        <f t="shared" si="462"/>
        <v>17.5</v>
      </c>
      <c r="BI606" s="288"/>
      <c r="BJ606" s="185">
        <f t="shared" si="463"/>
        <v>45</v>
      </c>
      <c r="BK606" s="173">
        <f t="shared" si="463"/>
        <v>50.25</v>
      </c>
      <c r="BL606" s="173">
        <f t="shared" si="463"/>
        <v>316</v>
      </c>
      <c r="BM606" s="180">
        <f t="shared" si="463"/>
        <v>17.5</v>
      </c>
      <c r="BO606" s="185">
        <f t="shared" si="464"/>
        <v>45</v>
      </c>
      <c r="BP606" s="173">
        <f t="shared" si="464"/>
        <v>50.25</v>
      </c>
      <c r="BQ606" s="173">
        <f t="shared" si="464"/>
        <v>196</v>
      </c>
      <c r="BR606" s="180">
        <f t="shared" si="464"/>
        <v>17.5</v>
      </c>
      <c r="BT606" s="185">
        <f t="shared" si="465"/>
        <v>45</v>
      </c>
      <c r="BU606" s="173">
        <f t="shared" si="465"/>
        <v>50.25</v>
      </c>
      <c r="BV606" s="173">
        <f t="shared" si="465"/>
        <v>76</v>
      </c>
      <c r="BW606" s="180">
        <f t="shared" si="465"/>
        <v>17.5</v>
      </c>
      <c r="BX606" s="288"/>
      <c r="CM606" s="96"/>
    </row>
    <row r="607" spans="1:91">
      <c r="A607" s="47" t="str">
        <f t="shared" si="451"/>
        <v/>
      </c>
      <c r="B607" s="185">
        <f t="shared" si="451"/>
        <v>45</v>
      </c>
      <c r="C607" s="173">
        <f t="shared" si="451"/>
        <v>139.5</v>
      </c>
      <c r="D607" s="173">
        <f t="shared" si="451"/>
        <v>769</v>
      </c>
      <c r="E607" s="180">
        <f t="shared" si="451"/>
        <v>18</v>
      </c>
      <c r="G607" s="185">
        <f t="shared" si="452"/>
        <v>45</v>
      </c>
      <c r="H607" s="173">
        <f t="shared" si="452"/>
        <v>139.5</v>
      </c>
      <c r="I607" s="173">
        <f t="shared" si="452"/>
        <v>529</v>
      </c>
      <c r="J607" s="180">
        <f t="shared" si="452"/>
        <v>18</v>
      </c>
      <c r="L607" s="185">
        <f t="shared" si="453"/>
        <v>45</v>
      </c>
      <c r="M607" s="173">
        <f t="shared" si="453"/>
        <v>139.5</v>
      </c>
      <c r="N607" s="173">
        <f t="shared" si="453"/>
        <v>460</v>
      </c>
      <c r="O607" s="180">
        <f t="shared" si="453"/>
        <v>18</v>
      </c>
      <c r="Q607" s="185">
        <f t="shared" si="454"/>
        <v>45</v>
      </c>
      <c r="R607" s="173">
        <f t="shared" si="454"/>
        <v>139.5</v>
      </c>
      <c r="S607" s="173">
        <f t="shared" si="454"/>
        <v>403</v>
      </c>
      <c r="T607" s="180">
        <f t="shared" si="454"/>
        <v>18</v>
      </c>
      <c r="V607" s="185">
        <f t="shared" si="455"/>
        <v>45</v>
      </c>
      <c r="W607" s="173">
        <f t="shared" si="455"/>
        <v>139.5</v>
      </c>
      <c r="X607" s="173">
        <f t="shared" si="455"/>
        <v>289</v>
      </c>
      <c r="Y607" s="180">
        <f t="shared" si="455"/>
        <v>18</v>
      </c>
      <c r="AA607" s="185">
        <f t="shared" si="456"/>
        <v>45</v>
      </c>
      <c r="AB607" s="173">
        <f t="shared" si="456"/>
        <v>139.5</v>
      </c>
      <c r="AC607" s="173">
        <f t="shared" si="456"/>
        <v>238</v>
      </c>
      <c r="AD607" s="180">
        <f t="shared" si="456"/>
        <v>18</v>
      </c>
      <c r="AF607" s="185">
        <f t="shared" si="457"/>
        <v>45</v>
      </c>
      <c r="AG607" s="173">
        <f t="shared" si="457"/>
        <v>139.5</v>
      </c>
      <c r="AH607" s="173">
        <f t="shared" si="457"/>
        <v>118</v>
      </c>
      <c r="AI607" s="180">
        <f t="shared" si="457"/>
        <v>18</v>
      </c>
      <c r="AK607" s="185">
        <f t="shared" si="458"/>
        <v>45</v>
      </c>
      <c r="AL607" s="173">
        <f t="shared" si="458"/>
        <v>96.5</v>
      </c>
      <c r="AM607" s="173">
        <f t="shared" si="458"/>
        <v>200</v>
      </c>
      <c r="AN607" s="180">
        <f t="shared" si="458"/>
        <v>18</v>
      </c>
      <c r="AP607" s="185">
        <f t="shared" si="459"/>
        <v>45</v>
      </c>
      <c r="AQ607" s="173">
        <f t="shared" si="459"/>
        <v>139.5</v>
      </c>
      <c r="AR607" s="173">
        <f t="shared" si="459"/>
        <v>553</v>
      </c>
      <c r="AS607" s="180">
        <f t="shared" si="459"/>
        <v>18</v>
      </c>
      <c r="AT607" s="288"/>
      <c r="AU607" s="185">
        <f t="shared" si="460"/>
        <v>45</v>
      </c>
      <c r="AV607" s="173">
        <f t="shared" si="460"/>
        <v>89.2</v>
      </c>
      <c r="AW607" s="173">
        <f t="shared" si="460"/>
        <v>238</v>
      </c>
      <c r="AX607" s="180">
        <f t="shared" si="460"/>
        <v>17.5</v>
      </c>
      <c r="AZ607" s="185">
        <f t="shared" si="461"/>
        <v>45</v>
      </c>
      <c r="BA607" s="173">
        <f t="shared" si="461"/>
        <v>89.2</v>
      </c>
      <c r="BB607" s="173">
        <f t="shared" si="461"/>
        <v>118</v>
      </c>
      <c r="BC607" s="180">
        <f t="shared" si="461"/>
        <v>17.5</v>
      </c>
      <c r="BE607" s="185">
        <f t="shared" si="462"/>
        <v>45</v>
      </c>
      <c r="BF607" s="173">
        <f t="shared" si="462"/>
        <v>50</v>
      </c>
      <c r="BG607" s="173">
        <f t="shared" si="462"/>
        <v>200</v>
      </c>
      <c r="BH607" s="180">
        <f t="shared" si="462"/>
        <v>17.5</v>
      </c>
      <c r="BI607" s="288"/>
      <c r="BJ607" s="185">
        <f t="shared" si="463"/>
        <v>45</v>
      </c>
      <c r="BK607" s="173">
        <f t="shared" si="463"/>
        <v>50.25</v>
      </c>
      <c r="BL607" s="173">
        <f t="shared" si="463"/>
        <v>258</v>
      </c>
      <c r="BM607" s="180">
        <f t="shared" si="463"/>
        <v>17.5</v>
      </c>
      <c r="BO607" s="185">
        <f t="shared" si="464"/>
        <v>45</v>
      </c>
      <c r="BP607" s="173">
        <f t="shared" si="464"/>
        <v>50.25</v>
      </c>
      <c r="BQ607" s="173">
        <f t="shared" si="464"/>
        <v>138</v>
      </c>
      <c r="BR607" s="180">
        <f t="shared" si="464"/>
        <v>17.5</v>
      </c>
      <c r="BT607" s="185">
        <f t="shared" si="465"/>
        <v>45</v>
      </c>
      <c r="BU607" s="173">
        <f t="shared" si="465"/>
        <v>9.75</v>
      </c>
      <c r="BV607" s="173">
        <f t="shared" si="465"/>
        <v>230</v>
      </c>
      <c r="BW607" s="180">
        <f t="shared" si="465"/>
        <v>17.5</v>
      </c>
      <c r="BX607" s="288"/>
      <c r="CM607" s="96"/>
    </row>
    <row r="608" spans="1:91">
      <c r="A608" s="47" t="str">
        <f t="shared" si="451"/>
        <v/>
      </c>
      <c r="B608" s="185">
        <f t="shared" si="451"/>
        <v>45</v>
      </c>
      <c r="C608" s="173">
        <f t="shared" si="451"/>
        <v>139.5</v>
      </c>
      <c r="D608" s="173">
        <f t="shared" si="451"/>
        <v>712</v>
      </c>
      <c r="E608" s="180">
        <f t="shared" si="451"/>
        <v>18</v>
      </c>
      <c r="G608" s="185">
        <f t="shared" si="452"/>
        <v>45</v>
      </c>
      <c r="H608" s="173">
        <f t="shared" si="452"/>
        <v>139.5</v>
      </c>
      <c r="I608" s="173">
        <f t="shared" si="452"/>
        <v>472</v>
      </c>
      <c r="J608" s="180">
        <f t="shared" si="452"/>
        <v>18</v>
      </c>
      <c r="L608" s="185">
        <f t="shared" si="453"/>
        <v>45</v>
      </c>
      <c r="M608" s="173">
        <f t="shared" si="453"/>
        <v>139.5</v>
      </c>
      <c r="N608" s="173">
        <f t="shared" si="453"/>
        <v>403</v>
      </c>
      <c r="O608" s="180">
        <f t="shared" si="453"/>
        <v>18</v>
      </c>
      <c r="Q608" s="185">
        <f t="shared" si="454"/>
        <v>45</v>
      </c>
      <c r="R608" s="173">
        <f t="shared" si="454"/>
        <v>139.5</v>
      </c>
      <c r="S608" s="173">
        <f t="shared" si="454"/>
        <v>346</v>
      </c>
      <c r="T608" s="180">
        <f t="shared" si="454"/>
        <v>18</v>
      </c>
      <c r="V608" s="185">
        <f t="shared" si="455"/>
        <v>45</v>
      </c>
      <c r="W608" s="173">
        <f t="shared" si="455"/>
        <v>139.5</v>
      </c>
      <c r="X608" s="173">
        <f t="shared" si="455"/>
        <v>232</v>
      </c>
      <c r="Y608" s="180">
        <f t="shared" si="455"/>
        <v>18</v>
      </c>
      <c r="AA608" s="185">
        <f t="shared" si="456"/>
        <v>45</v>
      </c>
      <c r="AB608" s="173">
        <f t="shared" si="456"/>
        <v>139.5</v>
      </c>
      <c r="AC608" s="173">
        <f t="shared" si="456"/>
        <v>180</v>
      </c>
      <c r="AD608" s="180">
        <f t="shared" si="456"/>
        <v>18</v>
      </c>
      <c r="AF608" s="185">
        <f t="shared" si="457"/>
        <v>45</v>
      </c>
      <c r="AG608" s="173">
        <f t="shared" si="457"/>
        <v>139.5</v>
      </c>
      <c r="AH608" s="173">
        <f t="shared" si="457"/>
        <v>60</v>
      </c>
      <c r="AI608" s="180">
        <f t="shared" si="457"/>
        <v>18</v>
      </c>
      <c r="AK608" s="185">
        <f t="shared" si="458"/>
        <v>45</v>
      </c>
      <c r="AL608" s="173">
        <f t="shared" si="458"/>
        <v>96.5</v>
      </c>
      <c r="AM608" s="173">
        <f t="shared" si="458"/>
        <v>142</v>
      </c>
      <c r="AN608" s="180">
        <f t="shared" si="458"/>
        <v>18</v>
      </c>
      <c r="AP608" s="185">
        <f t="shared" si="459"/>
        <v>45</v>
      </c>
      <c r="AQ608" s="173">
        <f t="shared" si="459"/>
        <v>139.5</v>
      </c>
      <c r="AR608" s="173">
        <f t="shared" si="459"/>
        <v>496</v>
      </c>
      <c r="AS608" s="180">
        <f t="shared" si="459"/>
        <v>18</v>
      </c>
      <c r="AT608" s="288"/>
      <c r="AU608" s="185">
        <f t="shared" si="460"/>
        <v>45</v>
      </c>
      <c r="AV608" s="173">
        <f t="shared" si="460"/>
        <v>89.2</v>
      </c>
      <c r="AW608" s="173">
        <f t="shared" si="460"/>
        <v>180</v>
      </c>
      <c r="AX608" s="180">
        <f t="shared" si="460"/>
        <v>17.5</v>
      </c>
      <c r="AZ608" s="185">
        <f t="shared" si="461"/>
        <v>45</v>
      </c>
      <c r="BA608" s="173">
        <f t="shared" si="461"/>
        <v>89.2</v>
      </c>
      <c r="BB608" s="173">
        <f t="shared" si="461"/>
        <v>60</v>
      </c>
      <c r="BC608" s="180">
        <f t="shared" si="461"/>
        <v>17.5</v>
      </c>
      <c r="BE608" s="185">
        <f t="shared" si="462"/>
        <v>45</v>
      </c>
      <c r="BF608" s="173">
        <f t="shared" si="462"/>
        <v>50</v>
      </c>
      <c r="BG608" s="173">
        <f t="shared" si="462"/>
        <v>142</v>
      </c>
      <c r="BH608" s="180">
        <f t="shared" si="462"/>
        <v>17.5</v>
      </c>
      <c r="BI608" s="288"/>
      <c r="BJ608" s="185">
        <f t="shared" si="463"/>
        <v>45</v>
      </c>
      <c r="BK608" s="173">
        <f t="shared" si="463"/>
        <v>50.25</v>
      </c>
      <c r="BL608" s="173">
        <f t="shared" si="463"/>
        <v>200</v>
      </c>
      <c r="BM608" s="180">
        <f t="shared" si="463"/>
        <v>17.5</v>
      </c>
      <c r="BO608" s="185">
        <f t="shared" si="464"/>
        <v>45</v>
      </c>
      <c r="BP608" s="173">
        <f t="shared" si="464"/>
        <v>50.25</v>
      </c>
      <c r="BQ608" s="173">
        <f t="shared" si="464"/>
        <v>80</v>
      </c>
      <c r="BR608" s="180">
        <f t="shared" si="464"/>
        <v>17.5</v>
      </c>
      <c r="BT608" s="185">
        <f t="shared" si="465"/>
        <v>45</v>
      </c>
      <c r="BU608" s="173">
        <f t="shared" si="465"/>
        <v>9.75</v>
      </c>
      <c r="BV608" s="173">
        <f t="shared" si="465"/>
        <v>172</v>
      </c>
      <c r="BW608" s="180">
        <f t="shared" si="465"/>
        <v>17.5</v>
      </c>
      <c r="BX608" s="288"/>
      <c r="CM608" s="96"/>
    </row>
    <row r="609" spans="1:91">
      <c r="A609" s="47" t="str">
        <f t="shared" ref="A609:E624" si="466">IF(A147="","",A147)</f>
        <v/>
      </c>
      <c r="B609" s="185">
        <f t="shared" si="466"/>
        <v>45</v>
      </c>
      <c r="C609" s="173">
        <f t="shared" si="466"/>
        <v>139.5</v>
      </c>
      <c r="D609" s="173">
        <f t="shared" si="466"/>
        <v>655</v>
      </c>
      <c r="E609" s="180">
        <f t="shared" si="466"/>
        <v>18</v>
      </c>
      <c r="G609" s="185">
        <f t="shared" ref="G609:J624" si="467">IF(G147="","",G147)</f>
        <v>45</v>
      </c>
      <c r="H609" s="173">
        <f t="shared" si="467"/>
        <v>139.5</v>
      </c>
      <c r="I609" s="173">
        <f t="shared" si="467"/>
        <v>415</v>
      </c>
      <c r="J609" s="180">
        <f t="shared" si="467"/>
        <v>18</v>
      </c>
      <c r="L609" s="185">
        <f t="shared" ref="L609:O624" si="468">IF(L147="","",L147)</f>
        <v>45</v>
      </c>
      <c r="M609" s="173">
        <f t="shared" si="468"/>
        <v>139.5</v>
      </c>
      <c r="N609" s="173">
        <f t="shared" si="468"/>
        <v>346</v>
      </c>
      <c r="O609" s="180">
        <f t="shared" si="468"/>
        <v>18</v>
      </c>
      <c r="Q609" s="185">
        <f t="shared" ref="Q609:T624" si="469">IF(Q147="","",Q147)</f>
        <v>45</v>
      </c>
      <c r="R609" s="173">
        <f t="shared" si="469"/>
        <v>139.5</v>
      </c>
      <c r="S609" s="173">
        <f t="shared" si="469"/>
        <v>289</v>
      </c>
      <c r="T609" s="180">
        <f t="shared" si="469"/>
        <v>18</v>
      </c>
      <c r="V609" s="185">
        <f t="shared" ref="V609:Y624" si="470">IF(V147="","",V147)</f>
        <v>45</v>
      </c>
      <c r="W609" s="173">
        <f t="shared" si="470"/>
        <v>139.5</v>
      </c>
      <c r="X609" s="173">
        <f t="shared" si="470"/>
        <v>175</v>
      </c>
      <c r="Y609" s="180">
        <f t="shared" si="470"/>
        <v>18</v>
      </c>
      <c r="AA609" s="185">
        <f t="shared" ref="AA609:AD624" si="471">IF(AA147="","",AA147)</f>
        <v>45</v>
      </c>
      <c r="AB609" s="173">
        <f t="shared" si="471"/>
        <v>139.5</v>
      </c>
      <c r="AC609" s="173">
        <f t="shared" si="471"/>
        <v>122</v>
      </c>
      <c r="AD609" s="180">
        <f t="shared" si="471"/>
        <v>18</v>
      </c>
      <c r="AF609" s="185">
        <f t="shared" ref="AF609:AI624" si="472">IF(AF147="","",AF147)</f>
        <v>45</v>
      </c>
      <c r="AG609" s="173">
        <f t="shared" si="472"/>
        <v>96.5</v>
      </c>
      <c r="AH609" s="173">
        <f t="shared" si="472"/>
        <v>320</v>
      </c>
      <c r="AI609" s="180">
        <f t="shared" si="472"/>
        <v>18</v>
      </c>
      <c r="AK609" s="185">
        <f t="shared" ref="AK609:AN624" si="473">IF(AK147="","",AK147)</f>
        <v>45</v>
      </c>
      <c r="AL609" s="173">
        <f t="shared" si="473"/>
        <v>96.5</v>
      </c>
      <c r="AM609" s="173">
        <f t="shared" si="473"/>
        <v>84</v>
      </c>
      <c r="AN609" s="180">
        <f t="shared" si="473"/>
        <v>18</v>
      </c>
      <c r="AP609" s="185">
        <f t="shared" ref="AP609:AS624" si="474">IF(AP147="","",AP147)</f>
        <v>45</v>
      </c>
      <c r="AQ609" s="173">
        <f t="shared" si="474"/>
        <v>139.5</v>
      </c>
      <c r="AR609" s="173">
        <f t="shared" si="474"/>
        <v>439</v>
      </c>
      <c r="AS609" s="180">
        <f t="shared" si="474"/>
        <v>18</v>
      </c>
      <c r="AT609" s="288"/>
      <c r="AU609" s="185">
        <f t="shared" ref="AU609:AX624" si="475">IF(AU147="","",AU147)</f>
        <v>45</v>
      </c>
      <c r="AV609" s="173">
        <f t="shared" si="475"/>
        <v>89.2</v>
      </c>
      <c r="AW609" s="173">
        <f t="shared" si="475"/>
        <v>122</v>
      </c>
      <c r="AX609" s="180">
        <f t="shared" si="475"/>
        <v>17.5</v>
      </c>
      <c r="AZ609" s="185">
        <f t="shared" ref="AZ609:BC624" si="476">IF(AZ147="","",AZ147)</f>
        <v>45</v>
      </c>
      <c r="BA609" s="173">
        <f t="shared" si="476"/>
        <v>50</v>
      </c>
      <c r="BB609" s="173">
        <f t="shared" si="476"/>
        <v>320</v>
      </c>
      <c r="BC609" s="180">
        <f t="shared" si="476"/>
        <v>17.5</v>
      </c>
      <c r="BE609" s="185">
        <f t="shared" ref="BE609:BH624" si="477">IF(BE147="","",BE147)</f>
        <v>45</v>
      </c>
      <c r="BF609" s="173">
        <f t="shared" si="477"/>
        <v>50</v>
      </c>
      <c r="BG609" s="173">
        <f t="shared" si="477"/>
        <v>84</v>
      </c>
      <c r="BH609" s="180">
        <f t="shared" si="477"/>
        <v>17.5</v>
      </c>
      <c r="BI609" s="288"/>
      <c r="BJ609" s="185">
        <f t="shared" ref="BJ609:BM624" si="478">IF(BJ147="","",BJ147)</f>
        <v>45</v>
      </c>
      <c r="BK609" s="173">
        <f t="shared" si="478"/>
        <v>50.25</v>
      </c>
      <c r="BL609" s="173">
        <f t="shared" si="478"/>
        <v>142</v>
      </c>
      <c r="BM609" s="180">
        <f t="shared" si="478"/>
        <v>17.5</v>
      </c>
      <c r="BO609" s="185">
        <f t="shared" ref="BO609:BR624" si="479">IF(BO147="","",BO147)</f>
        <v>45</v>
      </c>
      <c r="BP609" s="173">
        <f t="shared" si="479"/>
        <v>9.75</v>
      </c>
      <c r="BQ609" s="173">
        <f t="shared" si="479"/>
        <v>350</v>
      </c>
      <c r="BR609" s="180">
        <f t="shared" si="479"/>
        <v>17.5</v>
      </c>
      <c r="BT609" s="185">
        <f t="shared" ref="BT609:BW624" si="480">IF(BT147="","",BT147)</f>
        <v>45</v>
      </c>
      <c r="BU609" s="173">
        <f t="shared" si="480"/>
        <v>9.75</v>
      </c>
      <c r="BV609" s="173">
        <f t="shared" si="480"/>
        <v>114</v>
      </c>
      <c r="BW609" s="180">
        <f t="shared" si="480"/>
        <v>17.5</v>
      </c>
      <c r="BX609" s="288"/>
      <c r="CM609" s="96"/>
    </row>
    <row r="610" spans="1:91">
      <c r="A610" s="47" t="str">
        <f t="shared" si="466"/>
        <v/>
      </c>
      <c r="B610" s="185">
        <f t="shared" si="466"/>
        <v>45</v>
      </c>
      <c r="C610" s="173">
        <f t="shared" si="466"/>
        <v>139.5</v>
      </c>
      <c r="D610" s="173">
        <f t="shared" si="466"/>
        <v>598</v>
      </c>
      <c r="E610" s="180">
        <f t="shared" si="466"/>
        <v>18</v>
      </c>
      <c r="G610" s="185">
        <f t="shared" si="467"/>
        <v>45</v>
      </c>
      <c r="H610" s="173">
        <f t="shared" si="467"/>
        <v>139.5</v>
      </c>
      <c r="I610" s="173">
        <f t="shared" si="467"/>
        <v>358</v>
      </c>
      <c r="J610" s="180">
        <f t="shared" si="467"/>
        <v>18</v>
      </c>
      <c r="L610" s="185">
        <f t="shared" si="468"/>
        <v>45</v>
      </c>
      <c r="M610" s="173">
        <f t="shared" si="468"/>
        <v>139.5</v>
      </c>
      <c r="N610" s="173">
        <f t="shared" si="468"/>
        <v>289</v>
      </c>
      <c r="O610" s="180">
        <f t="shared" si="468"/>
        <v>18</v>
      </c>
      <c r="Q610" s="185">
        <f t="shared" si="469"/>
        <v>45</v>
      </c>
      <c r="R610" s="173">
        <f t="shared" si="469"/>
        <v>139.5</v>
      </c>
      <c r="S610" s="173">
        <f t="shared" si="469"/>
        <v>232</v>
      </c>
      <c r="T610" s="180">
        <f t="shared" si="469"/>
        <v>18</v>
      </c>
      <c r="V610" s="185">
        <f t="shared" si="470"/>
        <v>45</v>
      </c>
      <c r="W610" s="173">
        <f t="shared" si="470"/>
        <v>139.5</v>
      </c>
      <c r="X610" s="173">
        <f t="shared" si="470"/>
        <v>118</v>
      </c>
      <c r="Y610" s="180">
        <f t="shared" si="470"/>
        <v>18</v>
      </c>
      <c r="AA610" s="185">
        <f t="shared" si="471"/>
        <v>45</v>
      </c>
      <c r="AB610" s="173">
        <f t="shared" si="471"/>
        <v>139.5</v>
      </c>
      <c r="AC610" s="173">
        <f t="shared" si="471"/>
        <v>64</v>
      </c>
      <c r="AD610" s="180">
        <f t="shared" si="471"/>
        <v>18</v>
      </c>
      <c r="AF610" s="185">
        <f t="shared" si="472"/>
        <v>45</v>
      </c>
      <c r="AG610" s="173">
        <f t="shared" si="472"/>
        <v>96.5</v>
      </c>
      <c r="AH610" s="173">
        <f t="shared" si="472"/>
        <v>262</v>
      </c>
      <c r="AI610" s="180">
        <f t="shared" si="472"/>
        <v>18</v>
      </c>
      <c r="AK610" s="185">
        <f t="shared" si="473"/>
        <v>45</v>
      </c>
      <c r="AL610" s="173">
        <f t="shared" si="473"/>
        <v>53.5</v>
      </c>
      <c r="AM610" s="173">
        <f t="shared" si="473"/>
        <v>200</v>
      </c>
      <c r="AN610" s="180">
        <f t="shared" si="473"/>
        <v>18</v>
      </c>
      <c r="AP610" s="185">
        <f t="shared" si="474"/>
        <v>45</v>
      </c>
      <c r="AQ610" s="173">
        <f t="shared" si="474"/>
        <v>139.5</v>
      </c>
      <c r="AR610" s="173">
        <f t="shared" si="474"/>
        <v>382</v>
      </c>
      <c r="AS610" s="180">
        <f t="shared" si="474"/>
        <v>18</v>
      </c>
      <c r="AT610" s="288"/>
      <c r="AU610" s="185">
        <f t="shared" si="475"/>
        <v>45</v>
      </c>
      <c r="AV610" s="173">
        <f t="shared" si="475"/>
        <v>89.2</v>
      </c>
      <c r="AW610" s="173">
        <f t="shared" si="475"/>
        <v>64</v>
      </c>
      <c r="AX610" s="180">
        <f t="shared" si="475"/>
        <v>17.5</v>
      </c>
      <c r="AZ610" s="185">
        <f t="shared" si="476"/>
        <v>45</v>
      </c>
      <c r="BA610" s="173">
        <f t="shared" si="476"/>
        <v>50</v>
      </c>
      <c r="BB610" s="173">
        <f t="shared" si="476"/>
        <v>262</v>
      </c>
      <c r="BC610" s="180">
        <f t="shared" si="476"/>
        <v>17.5</v>
      </c>
      <c r="BE610" s="185">
        <f t="shared" si="477"/>
        <v>45</v>
      </c>
      <c r="BF610" s="173">
        <f t="shared" si="477"/>
        <v>10.799999999999997</v>
      </c>
      <c r="BG610" s="173">
        <f t="shared" si="477"/>
        <v>172</v>
      </c>
      <c r="BH610" s="180">
        <f t="shared" si="477"/>
        <v>17.5</v>
      </c>
      <c r="BI610" s="288"/>
      <c r="BJ610" s="185">
        <f t="shared" si="478"/>
        <v>45</v>
      </c>
      <c r="BK610" s="173">
        <f t="shared" si="478"/>
        <v>50.25</v>
      </c>
      <c r="BL610" s="173">
        <f t="shared" si="478"/>
        <v>84</v>
      </c>
      <c r="BM610" s="180">
        <f t="shared" si="478"/>
        <v>17.5</v>
      </c>
      <c r="BO610" s="185">
        <f t="shared" si="479"/>
        <v>45</v>
      </c>
      <c r="BP610" s="173">
        <f t="shared" si="479"/>
        <v>9.75</v>
      </c>
      <c r="BQ610" s="173">
        <f t="shared" si="479"/>
        <v>292</v>
      </c>
      <c r="BR610" s="180">
        <f t="shared" si="479"/>
        <v>17.5</v>
      </c>
      <c r="BT610" s="185">
        <f t="shared" si="480"/>
        <v>45</v>
      </c>
      <c r="BU610" s="173">
        <f t="shared" si="480"/>
        <v>9.75</v>
      </c>
      <c r="BV610" s="173">
        <f t="shared" si="480"/>
        <v>56</v>
      </c>
      <c r="BW610" s="180">
        <f t="shared" si="480"/>
        <v>17.5</v>
      </c>
      <c r="BX610" s="288"/>
      <c r="CM610" s="96"/>
    </row>
    <row r="611" spans="1:91">
      <c r="A611" s="47" t="str">
        <f t="shared" si="466"/>
        <v/>
      </c>
      <c r="B611" s="185">
        <f t="shared" si="466"/>
        <v>45</v>
      </c>
      <c r="C611" s="173">
        <f t="shared" si="466"/>
        <v>139.5</v>
      </c>
      <c r="D611" s="173">
        <f t="shared" si="466"/>
        <v>541</v>
      </c>
      <c r="E611" s="180">
        <f t="shared" si="466"/>
        <v>18</v>
      </c>
      <c r="G611" s="185">
        <f t="shared" si="467"/>
        <v>45</v>
      </c>
      <c r="H611" s="173">
        <f t="shared" si="467"/>
        <v>139.5</v>
      </c>
      <c r="I611" s="173">
        <f t="shared" si="467"/>
        <v>301</v>
      </c>
      <c r="J611" s="180">
        <f t="shared" si="467"/>
        <v>18</v>
      </c>
      <c r="L611" s="185">
        <f t="shared" si="468"/>
        <v>45</v>
      </c>
      <c r="M611" s="173">
        <f t="shared" si="468"/>
        <v>139.5</v>
      </c>
      <c r="N611" s="173">
        <f t="shared" si="468"/>
        <v>232</v>
      </c>
      <c r="O611" s="180">
        <f t="shared" si="468"/>
        <v>18</v>
      </c>
      <c r="Q611" s="185">
        <f t="shared" si="469"/>
        <v>45</v>
      </c>
      <c r="R611" s="173">
        <f t="shared" si="469"/>
        <v>139.5</v>
      </c>
      <c r="S611" s="173">
        <f t="shared" si="469"/>
        <v>175</v>
      </c>
      <c r="T611" s="180">
        <f t="shared" si="469"/>
        <v>18</v>
      </c>
      <c r="V611" s="185">
        <f t="shared" si="470"/>
        <v>45</v>
      </c>
      <c r="W611" s="173">
        <f t="shared" si="470"/>
        <v>139.5</v>
      </c>
      <c r="X611" s="173">
        <f t="shared" si="470"/>
        <v>61</v>
      </c>
      <c r="Y611" s="180">
        <f t="shared" si="470"/>
        <v>18</v>
      </c>
      <c r="AA611" s="185">
        <f t="shared" si="471"/>
        <v>45</v>
      </c>
      <c r="AB611" s="173">
        <f t="shared" si="471"/>
        <v>96.5</v>
      </c>
      <c r="AC611" s="173">
        <f t="shared" si="471"/>
        <v>440</v>
      </c>
      <c r="AD611" s="180">
        <f t="shared" si="471"/>
        <v>18</v>
      </c>
      <c r="AF611" s="185">
        <f t="shared" si="472"/>
        <v>45</v>
      </c>
      <c r="AG611" s="173">
        <f t="shared" si="472"/>
        <v>96.5</v>
      </c>
      <c r="AH611" s="173">
        <f t="shared" si="472"/>
        <v>204</v>
      </c>
      <c r="AI611" s="180">
        <f t="shared" si="472"/>
        <v>18</v>
      </c>
      <c r="AK611" s="185">
        <f t="shared" si="473"/>
        <v>45</v>
      </c>
      <c r="AL611" s="173">
        <f t="shared" si="473"/>
        <v>53.5</v>
      </c>
      <c r="AM611" s="173">
        <f t="shared" si="473"/>
        <v>142</v>
      </c>
      <c r="AN611" s="180">
        <f t="shared" si="473"/>
        <v>18</v>
      </c>
      <c r="AP611" s="185">
        <f t="shared" si="474"/>
        <v>45</v>
      </c>
      <c r="AQ611" s="173">
        <f t="shared" si="474"/>
        <v>139.5</v>
      </c>
      <c r="AR611" s="173">
        <f t="shared" si="474"/>
        <v>325</v>
      </c>
      <c r="AS611" s="180">
        <f t="shared" si="474"/>
        <v>18</v>
      </c>
      <c r="AT611" s="288"/>
      <c r="AU611" s="185">
        <f t="shared" si="475"/>
        <v>45</v>
      </c>
      <c r="AV611" s="173">
        <f t="shared" si="475"/>
        <v>50</v>
      </c>
      <c r="AW611" s="173">
        <f t="shared" si="475"/>
        <v>440</v>
      </c>
      <c r="AX611" s="180">
        <f t="shared" si="475"/>
        <v>17.5</v>
      </c>
      <c r="AZ611" s="185">
        <f t="shared" si="476"/>
        <v>45</v>
      </c>
      <c r="BA611" s="173">
        <f t="shared" si="476"/>
        <v>50</v>
      </c>
      <c r="BB611" s="173">
        <f t="shared" si="476"/>
        <v>204</v>
      </c>
      <c r="BC611" s="180">
        <f t="shared" si="476"/>
        <v>17.5</v>
      </c>
      <c r="BE611" s="185">
        <f t="shared" si="477"/>
        <v>45</v>
      </c>
      <c r="BF611" s="173">
        <f t="shared" si="477"/>
        <v>10.799999999999997</v>
      </c>
      <c r="BG611" s="173">
        <f t="shared" si="477"/>
        <v>114</v>
      </c>
      <c r="BH611" s="180">
        <f t="shared" si="477"/>
        <v>17.5</v>
      </c>
      <c r="BI611" s="288"/>
      <c r="BJ611" s="185">
        <f t="shared" si="478"/>
        <v>45</v>
      </c>
      <c r="BK611" s="173">
        <f t="shared" si="478"/>
        <v>9.75</v>
      </c>
      <c r="BL611" s="173">
        <f t="shared" si="478"/>
        <v>470</v>
      </c>
      <c r="BM611" s="180">
        <f t="shared" si="478"/>
        <v>17.5</v>
      </c>
      <c r="BO611" s="185">
        <f t="shared" si="479"/>
        <v>45</v>
      </c>
      <c r="BP611" s="173">
        <f t="shared" si="479"/>
        <v>9.75</v>
      </c>
      <c r="BQ611" s="173">
        <f t="shared" si="479"/>
        <v>234</v>
      </c>
      <c r="BR611" s="180">
        <f t="shared" si="479"/>
        <v>17.5</v>
      </c>
      <c r="BT611" s="185" t="str">
        <f t="shared" si="480"/>
        <v/>
      </c>
      <c r="BU611" s="173" t="str">
        <f t="shared" si="480"/>
        <v/>
      </c>
      <c r="BV611" s="173" t="str">
        <f t="shared" si="480"/>
        <v/>
      </c>
      <c r="BW611" s="180" t="str">
        <f t="shared" si="480"/>
        <v/>
      </c>
      <c r="BX611" s="288"/>
      <c r="CM611" s="96"/>
    </row>
    <row r="612" spans="1:91">
      <c r="A612" s="47" t="str">
        <f t="shared" si="466"/>
        <v/>
      </c>
      <c r="B612" s="185">
        <f t="shared" si="466"/>
        <v>45</v>
      </c>
      <c r="C612" s="173">
        <f t="shared" si="466"/>
        <v>139.5</v>
      </c>
      <c r="D612" s="173">
        <f t="shared" si="466"/>
        <v>484</v>
      </c>
      <c r="E612" s="180">
        <f t="shared" si="466"/>
        <v>18</v>
      </c>
      <c r="G612" s="185">
        <f t="shared" si="467"/>
        <v>45</v>
      </c>
      <c r="H612" s="173">
        <f t="shared" si="467"/>
        <v>139.5</v>
      </c>
      <c r="I612" s="173">
        <f t="shared" si="467"/>
        <v>244</v>
      </c>
      <c r="J612" s="180">
        <f t="shared" si="467"/>
        <v>18</v>
      </c>
      <c r="L612" s="185">
        <f t="shared" si="468"/>
        <v>45</v>
      </c>
      <c r="M612" s="173">
        <f t="shared" si="468"/>
        <v>139.5</v>
      </c>
      <c r="N612" s="173">
        <f t="shared" si="468"/>
        <v>175</v>
      </c>
      <c r="O612" s="180">
        <f t="shared" si="468"/>
        <v>18</v>
      </c>
      <c r="Q612" s="185">
        <f t="shared" si="469"/>
        <v>45</v>
      </c>
      <c r="R612" s="173">
        <f t="shared" si="469"/>
        <v>139.5</v>
      </c>
      <c r="S612" s="173">
        <f t="shared" si="469"/>
        <v>118</v>
      </c>
      <c r="T612" s="180">
        <f t="shared" si="469"/>
        <v>18</v>
      </c>
      <c r="V612" s="185">
        <f t="shared" si="470"/>
        <v>45</v>
      </c>
      <c r="W612" s="173">
        <f t="shared" si="470"/>
        <v>96.5</v>
      </c>
      <c r="X612" s="173">
        <f t="shared" si="470"/>
        <v>488.5</v>
      </c>
      <c r="Y612" s="180">
        <f t="shared" si="470"/>
        <v>18</v>
      </c>
      <c r="AA612" s="185">
        <f t="shared" si="471"/>
        <v>45</v>
      </c>
      <c r="AB612" s="173">
        <f t="shared" si="471"/>
        <v>96.5</v>
      </c>
      <c r="AC612" s="173">
        <f t="shared" si="471"/>
        <v>382</v>
      </c>
      <c r="AD612" s="180">
        <f t="shared" si="471"/>
        <v>18</v>
      </c>
      <c r="AF612" s="185">
        <f t="shared" si="472"/>
        <v>45</v>
      </c>
      <c r="AG612" s="173">
        <f t="shared" si="472"/>
        <v>96.5</v>
      </c>
      <c r="AH612" s="173">
        <f t="shared" si="472"/>
        <v>146</v>
      </c>
      <c r="AI612" s="180">
        <f t="shared" si="472"/>
        <v>18</v>
      </c>
      <c r="AK612" s="185">
        <f t="shared" si="473"/>
        <v>45</v>
      </c>
      <c r="AL612" s="173">
        <f t="shared" si="473"/>
        <v>53.5</v>
      </c>
      <c r="AM612" s="173">
        <f t="shared" si="473"/>
        <v>84</v>
      </c>
      <c r="AN612" s="180">
        <f t="shared" si="473"/>
        <v>18</v>
      </c>
      <c r="AP612" s="185">
        <f t="shared" si="474"/>
        <v>45</v>
      </c>
      <c r="AQ612" s="173">
        <f t="shared" si="474"/>
        <v>139.5</v>
      </c>
      <c r="AR612" s="173">
        <f t="shared" si="474"/>
        <v>268</v>
      </c>
      <c r="AS612" s="180">
        <f t="shared" si="474"/>
        <v>18</v>
      </c>
      <c r="AT612" s="288"/>
      <c r="AU612" s="185">
        <f t="shared" si="475"/>
        <v>45</v>
      </c>
      <c r="AV612" s="173">
        <f t="shared" si="475"/>
        <v>50</v>
      </c>
      <c r="AW612" s="173">
        <f t="shared" si="475"/>
        <v>382</v>
      </c>
      <c r="AX612" s="180">
        <f t="shared" si="475"/>
        <v>17.5</v>
      </c>
      <c r="AZ612" s="185">
        <f t="shared" si="476"/>
        <v>45</v>
      </c>
      <c r="BA612" s="173">
        <f t="shared" si="476"/>
        <v>50</v>
      </c>
      <c r="BB612" s="173">
        <f t="shared" si="476"/>
        <v>146</v>
      </c>
      <c r="BC612" s="180">
        <f t="shared" si="476"/>
        <v>17.5</v>
      </c>
      <c r="BE612" s="185">
        <f t="shared" si="477"/>
        <v>45</v>
      </c>
      <c r="BF612" s="173">
        <f t="shared" si="477"/>
        <v>10.799999999999997</v>
      </c>
      <c r="BG612" s="173">
        <f t="shared" si="477"/>
        <v>56</v>
      </c>
      <c r="BH612" s="180">
        <f t="shared" si="477"/>
        <v>17.5</v>
      </c>
      <c r="BI612" s="288"/>
      <c r="BJ612" s="185">
        <f t="shared" si="478"/>
        <v>45</v>
      </c>
      <c r="BK612" s="173">
        <f t="shared" si="478"/>
        <v>9.75</v>
      </c>
      <c r="BL612" s="173">
        <f t="shared" si="478"/>
        <v>412</v>
      </c>
      <c r="BM612" s="180">
        <f t="shared" si="478"/>
        <v>17.5</v>
      </c>
      <c r="BO612" s="185">
        <f t="shared" si="479"/>
        <v>45</v>
      </c>
      <c r="BP612" s="173">
        <f t="shared" si="479"/>
        <v>9.75</v>
      </c>
      <c r="BQ612" s="173">
        <f t="shared" si="479"/>
        <v>176</v>
      </c>
      <c r="BR612" s="180">
        <f t="shared" si="479"/>
        <v>17.5</v>
      </c>
      <c r="BT612" s="185" t="str">
        <f t="shared" si="480"/>
        <v/>
      </c>
      <c r="BU612" s="173" t="str">
        <f t="shared" si="480"/>
        <v/>
      </c>
      <c r="BV612" s="173" t="str">
        <f t="shared" si="480"/>
        <v/>
      </c>
      <c r="BW612" s="180" t="str">
        <f t="shared" si="480"/>
        <v/>
      </c>
      <c r="BX612" s="288"/>
      <c r="CM612" s="96"/>
    </row>
    <row r="613" spans="1:91">
      <c r="A613" s="47" t="str">
        <f t="shared" si="466"/>
        <v/>
      </c>
      <c r="B613" s="185">
        <f t="shared" si="466"/>
        <v>45</v>
      </c>
      <c r="C613" s="173">
        <f t="shared" si="466"/>
        <v>139.5</v>
      </c>
      <c r="D613" s="173">
        <f t="shared" si="466"/>
        <v>427</v>
      </c>
      <c r="E613" s="180">
        <f t="shared" si="466"/>
        <v>18</v>
      </c>
      <c r="G613" s="185">
        <f t="shared" si="467"/>
        <v>45</v>
      </c>
      <c r="H613" s="173">
        <f t="shared" si="467"/>
        <v>139.5</v>
      </c>
      <c r="I613" s="173">
        <f t="shared" si="467"/>
        <v>187</v>
      </c>
      <c r="J613" s="180">
        <f t="shared" si="467"/>
        <v>18</v>
      </c>
      <c r="L613" s="185">
        <f t="shared" si="468"/>
        <v>45</v>
      </c>
      <c r="M613" s="173">
        <f t="shared" si="468"/>
        <v>139.5</v>
      </c>
      <c r="N613" s="173">
        <f t="shared" si="468"/>
        <v>118</v>
      </c>
      <c r="O613" s="180">
        <f t="shared" si="468"/>
        <v>18</v>
      </c>
      <c r="Q613" s="185">
        <f t="shared" si="469"/>
        <v>45</v>
      </c>
      <c r="R613" s="173">
        <f t="shared" si="469"/>
        <v>139.5</v>
      </c>
      <c r="S613" s="173">
        <f t="shared" si="469"/>
        <v>61</v>
      </c>
      <c r="T613" s="180">
        <f t="shared" si="469"/>
        <v>18</v>
      </c>
      <c r="V613" s="185">
        <f t="shared" si="470"/>
        <v>45</v>
      </c>
      <c r="W613" s="173">
        <f t="shared" si="470"/>
        <v>96.5</v>
      </c>
      <c r="X613" s="173">
        <f t="shared" si="470"/>
        <v>431.5</v>
      </c>
      <c r="Y613" s="180">
        <f t="shared" si="470"/>
        <v>18</v>
      </c>
      <c r="AA613" s="185">
        <f t="shared" si="471"/>
        <v>45</v>
      </c>
      <c r="AB613" s="173">
        <f t="shared" si="471"/>
        <v>96.5</v>
      </c>
      <c r="AC613" s="173">
        <f t="shared" si="471"/>
        <v>324</v>
      </c>
      <c r="AD613" s="180">
        <f t="shared" si="471"/>
        <v>18</v>
      </c>
      <c r="AF613" s="185">
        <f t="shared" si="472"/>
        <v>45</v>
      </c>
      <c r="AG613" s="173">
        <f t="shared" si="472"/>
        <v>96.5</v>
      </c>
      <c r="AH613" s="173">
        <f t="shared" si="472"/>
        <v>88</v>
      </c>
      <c r="AI613" s="180">
        <f t="shared" si="472"/>
        <v>18</v>
      </c>
      <c r="AK613" s="185">
        <f t="shared" si="473"/>
        <v>45</v>
      </c>
      <c r="AL613" s="173">
        <f t="shared" si="473"/>
        <v>10.5</v>
      </c>
      <c r="AM613" s="173">
        <f t="shared" si="473"/>
        <v>176</v>
      </c>
      <c r="AN613" s="180">
        <f t="shared" si="473"/>
        <v>18</v>
      </c>
      <c r="AP613" s="185">
        <f t="shared" si="474"/>
        <v>45</v>
      </c>
      <c r="AQ613" s="173">
        <f t="shared" si="474"/>
        <v>139.5</v>
      </c>
      <c r="AR613" s="173">
        <f t="shared" si="474"/>
        <v>211</v>
      </c>
      <c r="AS613" s="180">
        <f t="shared" si="474"/>
        <v>18</v>
      </c>
      <c r="AT613" s="288"/>
      <c r="AU613" s="185">
        <f t="shared" si="475"/>
        <v>45</v>
      </c>
      <c r="AV613" s="173">
        <f t="shared" si="475"/>
        <v>50</v>
      </c>
      <c r="AW613" s="173">
        <f t="shared" si="475"/>
        <v>324</v>
      </c>
      <c r="AX613" s="180">
        <f t="shared" si="475"/>
        <v>17.5</v>
      </c>
      <c r="AZ613" s="185">
        <f t="shared" si="476"/>
        <v>45</v>
      </c>
      <c r="BA613" s="173">
        <f t="shared" si="476"/>
        <v>50</v>
      </c>
      <c r="BB613" s="173">
        <f t="shared" si="476"/>
        <v>88</v>
      </c>
      <c r="BC613" s="180">
        <f t="shared" si="476"/>
        <v>17.5</v>
      </c>
      <c r="BE613" s="185" t="str">
        <f t="shared" si="477"/>
        <v/>
      </c>
      <c r="BF613" s="173" t="str">
        <f t="shared" si="477"/>
        <v/>
      </c>
      <c r="BG613" s="173" t="str">
        <f t="shared" si="477"/>
        <v/>
      </c>
      <c r="BH613" s="180" t="str">
        <f t="shared" si="477"/>
        <v/>
      </c>
      <c r="BI613" s="288"/>
      <c r="BJ613" s="185">
        <f t="shared" si="478"/>
        <v>45</v>
      </c>
      <c r="BK613" s="173">
        <f t="shared" si="478"/>
        <v>9.75</v>
      </c>
      <c r="BL613" s="173">
        <f t="shared" si="478"/>
        <v>354</v>
      </c>
      <c r="BM613" s="180">
        <f t="shared" si="478"/>
        <v>17.5</v>
      </c>
      <c r="BO613" s="185">
        <f t="shared" si="479"/>
        <v>45</v>
      </c>
      <c r="BP613" s="173">
        <f t="shared" si="479"/>
        <v>9.75</v>
      </c>
      <c r="BQ613" s="173">
        <f t="shared" si="479"/>
        <v>118</v>
      </c>
      <c r="BR613" s="180">
        <f t="shared" si="479"/>
        <v>17.5</v>
      </c>
      <c r="BT613" s="185" t="str">
        <f t="shared" si="480"/>
        <v/>
      </c>
      <c r="BU613" s="173" t="str">
        <f t="shared" si="480"/>
        <v/>
      </c>
      <c r="BV613" s="173" t="str">
        <f t="shared" si="480"/>
        <v/>
      </c>
      <c r="BW613" s="180" t="str">
        <f t="shared" si="480"/>
        <v/>
      </c>
      <c r="BX613" s="288"/>
      <c r="CM613" s="96"/>
    </row>
    <row r="614" spans="1:91">
      <c r="A614" s="47" t="str">
        <f t="shared" si="466"/>
        <v/>
      </c>
      <c r="B614" s="185">
        <f t="shared" si="466"/>
        <v>45</v>
      </c>
      <c r="C614" s="173">
        <f t="shared" si="466"/>
        <v>139.5</v>
      </c>
      <c r="D614" s="173">
        <f t="shared" si="466"/>
        <v>370</v>
      </c>
      <c r="E614" s="180">
        <f t="shared" si="466"/>
        <v>18</v>
      </c>
      <c r="G614" s="185">
        <f t="shared" si="467"/>
        <v>45</v>
      </c>
      <c r="H614" s="173">
        <f t="shared" si="467"/>
        <v>139.5</v>
      </c>
      <c r="I614" s="173">
        <f t="shared" si="467"/>
        <v>130</v>
      </c>
      <c r="J614" s="180">
        <f t="shared" si="467"/>
        <v>18</v>
      </c>
      <c r="L614" s="185">
        <f t="shared" si="468"/>
        <v>45</v>
      </c>
      <c r="M614" s="173">
        <f t="shared" si="468"/>
        <v>139.5</v>
      </c>
      <c r="N614" s="173">
        <f t="shared" si="468"/>
        <v>61</v>
      </c>
      <c r="O614" s="180">
        <f t="shared" si="468"/>
        <v>18</v>
      </c>
      <c r="Q614" s="185">
        <f t="shared" si="469"/>
        <v>45</v>
      </c>
      <c r="R614" s="173">
        <f t="shared" si="469"/>
        <v>96.5</v>
      </c>
      <c r="S614" s="173">
        <f t="shared" si="469"/>
        <v>603</v>
      </c>
      <c r="T614" s="180">
        <f t="shared" si="469"/>
        <v>18</v>
      </c>
      <c r="V614" s="185">
        <f t="shared" si="470"/>
        <v>45</v>
      </c>
      <c r="W614" s="173">
        <f t="shared" si="470"/>
        <v>96.5</v>
      </c>
      <c r="X614" s="173">
        <f t="shared" si="470"/>
        <v>374.5</v>
      </c>
      <c r="Y614" s="180">
        <f t="shared" si="470"/>
        <v>18</v>
      </c>
      <c r="AA614" s="185">
        <f t="shared" si="471"/>
        <v>45</v>
      </c>
      <c r="AB614" s="173">
        <f t="shared" si="471"/>
        <v>96.5</v>
      </c>
      <c r="AC614" s="173">
        <f t="shared" si="471"/>
        <v>266</v>
      </c>
      <c r="AD614" s="180">
        <f t="shared" si="471"/>
        <v>18</v>
      </c>
      <c r="AF614" s="185">
        <f t="shared" si="472"/>
        <v>45</v>
      </c>
      <c r="AG614" s="173">
        <f t="shared" si="472"/>
        <v>53.5</v>
      </c>
      <c r="AH614" s="173">
        <f t="shared" si="472"/>
        <v>320</v>
      </c>
      <c r="AI614" s="180">
        <f t="shared" si="472"/>
        <v>18</v>
      </c>
      <c r="AK614" s="185">
        <f t="shared" si="473"/>
        <v>45</v>
      </c>
      <c r="AL614" s="173">
        <f t="shared" si="473"/>
        <v>10.5</v>
      </c>
      <c r="AM614" s="173">
        <f t="shared" si="473"/>
        <v>118</v>
      </c>
      <c r="AN614" s="180">
        <f t="shared" si="473"/>
        <v>18</v>
      </c>
      <c r="AP614" s="185">
        <f t="shared" si="474"/>
        <v>45</v>
      </c>
      <c r="AQ614" s="173">
        <f t="shared" si="474"/>
        <v>96.5</v>
      </c>
      <c r="AR614" s="173">
        <f t="shared" si="474"/>
        <v>753</v>
      </c>
      <c r="AS614" s="180">
        <f t="shared" si="474"/>
        <v>18</v>
      </c>
      <c r="AT614" s="288"/>
      <c r="AU614" s="185">
        <f t="shared" si="475"/>
        <v>45</v>
      </c>
      <c r="AV614" s="173">
        <f t="shared" si="475"/>
        <v>50</v>
      </c>
      <c r="AW614" s="173">
        <f t="shared" si="475"/>
        <v>266</v>
      </c>
      <c r="AX614" s="180">
        <f t="shared" si="475"/>
        <v>17.5</v>
      </c>
      <c r="AZ614" s="185">
        <f t="shared" si="476"/>
        <v>45</v>
      </c>
      <c r="BA614" s="173">
        <f t="shared" si="476"/>
        <v>10.799999999999997</v>
      </c>
      <c r="BB614" s="173">
        <f t="shared" si="476"/>
        <v>292</v>
      </c>
      <c r="BC614" s="180">
        <f t="shared" si="476"/>
        <v>17.5</v>
      </c>
      <c r="BE614" s="185" t="str">
        <f t="shared" si="477"/>
        <v/>
      </c>
      <c r="BF614" s="173" t="str">
        <f t="shared" si="477"/>
        <v/>
      </c>
      <c r="BG614" s="173" t="str">
        <f t="shared" si="477"/>
        <v/>
      </c>
      <c r="BH614" s="180" t="str">
        <f t="shared" si="477"/>
        <v/>
      </c>
      <c r="BI614" s="288"/>
      <c r="BJ614" s="185">
        <f t="shared" si="478"/>
        <v>45</v>
      </c>
      <c r="BK614" s="173">
        <f t="shared" si="478"/>
        <v>9.75</v>
      </c>
      <c r="BL614" s="173">
        <f t="shared" si="478"/>
        <v>296</v>
      </c>
      <c r="BM614" s="180">
        <f t="shared" si="478"/>
        <v>17.5</v>
      </c>
      <c r="BO614" s="185">
        <f t="shared" si="479"/>
        <v>45</v>
      </c>
      <c r="BP614" s="173">
        <f t="shared" si="479"/>
        <v>9.75</v>
      </c>
      <c r="BQ614" s="173">
        <f t="shared" si="479"/>
        <v>60</v>
      </c>
      <c r="BR614" s="180">
        <f t="shared" si="479"/>
        <v>17.5</v>
      </c>
      <c r="BT614" s="185" t="str">
        <f t="shared" si="480"/>
        <v/>
      </c>
      <c r="BU614" s="173" t="str">
        <f t="shared" si="480"/>
        <v/>
      </c>
      <c r="BV614" s="173" t="str">
        <f t="shared" si="480"/>
        <v/>
      </c>
      <c r="BW614" s="180" t="str">
        <f t="shared" si="480"/>
        <v/>
      </c>
      <c r="BX614" s="288"/>
      <c r="CM614" s="96"/>
    </row>
    <row r="615" spans="1:91">
      <c r="A615" s="47" t="str">
        <f t="shared" si="466"/>
        <v/>
      </c>
      <c r="B615" s="185">
        <f t="shared" si="466"/>
        <v>45</v>
      </c>
      <c r="C615" s="173">
        <f t="shared" si="466"/>
        <v>139.5</v>
      </c>
      <c r="D615" s="173">
        <f t="shared" si="466"/>
        <v>313</v>
      </c>
      <c r="E615" s="180">
        <f t="shared" si="466"/>
        <v>18</v>
      </c>
      <c r="G615" s="185">
        <f t="shared" si="467"/>
        <v>45</v>
      </c>
      <c r="H615" s="173">
        <f t="shared" si="467"/>
        <v>139.5</v>
      </c>
      <c r="I615" s="173">
        <f t="shared" si="467"/>
        <v>73</v>
      </c>
      <c r="J615" s="180">
        <f t="shared" si="467"/>
        <v>18</v>
      </c>
      <c r="L615" s="185">
        <f t="shared" si="468"/>
        <v>45</v>
      </c>
      <c r="M615" s="173">
        <f t="shared" si="468"/>
        <v>96.5</v>
      </c>
      <c r="N615" s="173">
        <f t="shared" si="468"/>
        <v>660</v>
      </c>
      <c r="O615" s="180">
        <f t="shared" si="468"/>
        <v>18</v>
      </c>
      <c r="Q615" s="185">
        <f t="shared" si="469"/>
        <v>45</v>
      </c>
      <c r="R615" s="173">
        <f t="shared" si="469"/>
        <v>96.5</v>
      </c>
      <c r="S615" s="173">
        <f t="shared" si="469"/>
        <v>546</v>
      </c>
      <c r="T615" s="180">
        <f t="shared" si="469"/>
        <v>18</v>
      </c>
      <c r="V615" s="185">
        <f t="shared" si="470"/>
        <v>45</v>
      </c>
      <c r="W615" s="173">
        <f t="shared" si="470"/>
        <v>96.5</v>
      </c>
      <c r="X615" s="173">
        <f t="shared" si="470"/>
        <v>317.5</v>
      </c>
      <c r="Y615" s="180">
        <f t="shared" si="470"/>
        <v>18</v>
      </c>
      <c r="AA615" s="185">
        <f t="shared" si="471"/>
        <v>45</v>
      </c>
      <c r="AB615" s="173">
        <f t="shared" si="471"/>
        <v>96.5</v>
      </c>
      <c r="AC615" s="173">
        <f t="shared" si="471"/>
        <v>208</v>
      </c>
      <c r="AD615" s="180">
        <f t="shared" si="471"/>
        <v>18</v>
      </c>
      <c r="AF615" s="185">
        <f t="shared" si="472"/>
        <v>45</v>
      </c>
      <c r="AG615" s="173">
        <f t="shared" si="472"/>
        <v>53.5</v>
      </c>
      <c r="AH615" s="173">
        <f t="shared" si="472"/>
        <v>262</v>
      </c>
      <c r="AI615" s="180">
        <f t="shared" si="472"/>
        <v>18</v>
      </c>
      <c r="AK615" s="185">
        <f t="shared" si="473"/>
        <v>45</v>
      </c>
      <c r="AL615" s="173">
        <f t="shared" si="473"/>
        <v>10.5</v>
      </c>
      <c r="AM615" s="173">
        <f t="shared" si="473"/>
        <v>60</v>
      </c>
      <c r="AN615" s="180">
        <f t="shared" si="473"/>
        <v>18</v>
      </c>
      <c r="AP615" s="185">
        <f t="shared" si="474"/>
        <v>45</v>
      </c>
      <c r="AQ615" s="173">
        <f t="shared" si="474"/>
        <v>96.5</v>
      </c>
      <c r="AR615" s="173">
        <f t="shared" si="474"/>
        <v>696</v>
      </c>
      <c r="AS615" s="180">
        <f t="shared" si="474"/>
        <v>18</v>
      </c>
      <c r="AT615" s="288"/>
      <c r="AU615" s="185">
        <f t="shared" si="475"/>
        <v>45</v>
      </c>
      <c r="AV615" s="173">
        <f t="shared" si="475"/>
        <v>50</v>
      </c>
      <c r="AW615" s="173">
        <f t="shared" si="475"/>
        <v>208</v>
      </c>
      <c r="AX615" s="180">
        <f t="shared" si="475"/>
        <v>17.5</v>
      </c>
      <c r="AZ615" s="185">
        <f t="shared" si="476"/>
        <v>45</v>
      </c>
      <c r="BA615" s="173">
        <f t="shared" si="476"/>
        <v>10.799999999999997</v>
      </c>
      <c r="BB615" s="173">
        <f t="shared" si="476"/>
        <v>234</v>
      </c>
      <c r="BC615" s="180">
        <f t="shared" si="476"/>
        <v>17.5</v>
      </c>
      <c r="BE615" s="185" t="str">
        <f t="shared" si="477"/>
        <v/>
      </c>
      <c r="BF615" s="173" t="str">
        <f t="shared" si="477"/>
        <v/>
      </c>
      <c r="BG615" s="173" t="str">
        <f t="shared" si="477"/>
        <v/>
      </c>
      <c r="BH615" s="180" t="str">
        <f t="shared" si="477"/>
        <v/>
      </c>
      <c r="BI615" s="288"/>
      <c r="BJ615" s="185">
        <f t="shared" si="478"/>
        <v>45</v>
      </c>
      <c r="BK615" s="173">
        <f t="shared" si="478"/>
        <v>9.75</v>
      </c>
      <c r="BL615" s="173">
        <f t="shared" si="478"/>
        <v>238</v>
      </c>
      <c r="BM615" s="180">
        <f t="shared" si="478"/>
        <v>17.5</v>
      </c>
      <c r="BO615" s="185" t="str">
        <f t="shared" si="479"/>
        <v/>
      </c>
      <c r="BP615" s="173" t="str">
        <f t="shared" si="479"/>
        <v/>
      </c>
      <c r="BQ615" s="173" t="str">
        <f t="shared" si="479"/>
        <v/>
      </c>
      <c r="BR615" s="180" t="str">
        <f t="shared" si="479"/>
        <v/>
      </c>
      <c r="BT615" s="185" t="str">
        <f t="shared" si="480"/>
        <v/>
      </c>
      <c r="BU615" s="173" t="str">
        <f t="shared" si="480"/>
        <v/>
      </c>
      <c r="BV615" s="173" t="str">
        <f t="shared" si="480"/>
        <v/>
      </c>
      <c r="BW615" s="180" t="str">
        <f t="shared" si="480"/>
        <v/>
      </c>
      <c r="BX615" s="288"/>
      <c r="CM615" s="96"/>
    </row>
    <row r="616" spans="1:91">
      <c r="A616" s="47" t="str">
        <f t="shared" si="466"/>
        <v/>
      </c>
      <c r="B616" s="185">
        <f t="shared" si="466"/>
        <v>45</v>
      </c>
      <c r="C616" s="173">
        <f t="shared" si="466"/>
        <v>96.5</v>
      </c>
      <c r="D616" s="173">
        <f t="shared" si="466"/>
        <v>969</v>
      </c>
      <c r="E616" s="180">
        <f t="shared" si="466"/>
        <v>18</v>
      </c>
      <c r="G616" s="185">
        <f t="shared" si="467"/>
        <v>45</v>
      </c>
      <c r="H616" s="173">
        <f t="shared" si="467"/>
        <v>96.5</v>
      </c>
      <c r="I616" s="173">
        <f t="shared" si="467"/>
        <v>729</v>
      </c>
      <c r="J616" s="180">
        <f t="shared" si="467"/>
        <v>18</v>
      </c>
      <c r="L616" s="185">
        <f t="shared" si="468"/>
        <v>45</v>
      </c>
      <c r="M616" s="173">
        <f t="shared" si="468"/>
        <v>96.5</v>
      </c>
      <c r="N616" s="173">
        <f t="shared" si="468"/>
        <v>603</v>
      </c>
      <c r="O616" s="180">
        <f t="shared" si="468"/>
        <v>18</v>
      </c>
      <c r="Q616" s="185">
        <f t="shared" si="469"/>
        <v>45</v>
      </c>
      <c r="R616" s="173">
        <f t="shared" si="469"/>
        <v>96.5</v>
      </c>
      <c r="S616" s="173">
        <f t="shared" si="469"/>
        <v>489</v>
      </c>
      <c r="T616" s="180">
        <f t="shared" si="469"/>
        <v>18</v>
      </c>
      <c r="V616" s="185">
        <f t="shared" si="470"/>
        <v>45</v>
      </c>
      <c r="W616" s="173">
        <f t="shared" si="470"/>
        <v>96.5</v>
      </c>
      <c r="X616" s="173">
        <f t="shared" si="470"/>
        <v>260.5</v>
      </c>
      <c r="Y616" s="180">
        <f t="shared" si="470"/>
        <v>18</v>
      </c>
      <c r="AA616" s="185">
        <f t="shared" si="471"/>
        <v>45</v>
      </c>
      <c r="AB616" s="173">
        <f t="shared" si="471"/>
        <v>96.5</v>
      </c>
      <c r="AC616" s="173">
        <f t="shared" si="471"/>
        <v>150</v>
      </c>
      <c r="AD616" s="180">
        <f t="shared" si="471"/>
        <v>18</v>
      </c>
      <c r="AF616" s="185">
        <f t="shared" si="472"/>
        <v>45</v>
      </c>
      <c r="AG616" s="173">
        <f t="shared" si="472"/>
        <v>53.5</v>
      </c>
      <c r="AH616" s="173">
        <f t="shared" si="472"/>
        <v>204</v>
      </c>
      <c r="AI616" s="180">
        <f t="shared" si="472"/>
        <v>18</v>
      </c>
      <c r="AK616" s="185" t="str">
        <f t="shared" si="473"/>
        <v/>
      </c>
      <c r="AL616" s="173" t="str">
        <f t="shared" si="473"/>
        <v/>
      </c>
      <c r="AM616" s="173" t="str">
        <f t="shared" si="473"/>
        <v/>
      </c>
      <c r="AN616" s="180" t="str">
        <f t="shared" si="473"/>
        <v/>
      </c>
      <c r="AP616" s="185">
        <f t="shared" si="474"/>
        <v>45</v>
      </c>
      <c r="AQ616" s="173">
        <f t="shared" si="474"/>
        <v>96.5</v>
      </c>
      <c r="AR616" s="173">
        <f t="shared" si="474"/>
        <v>639</v>
      </c>
      <c r="AS616" s="180">
        <f t="shared" si="474"/>
        <v>18</v>
      </c>
      <c r="AT616" s="288"/>
      <c r="AU616" s="185">
        <f t="shared" si="475"/>
        <v>45</v>
      </c>
      <c r="AV616" s="173">
        <f t="shared" si="475"/>
        <v>50</v>
      </c>
      <c r="AW616" s="173">
        <f t="shared" si="475"/>
        <v>150</v>
      </c>
      <c r="AX616" s="180">
        <f t="shared" si="475"/>
        <v>17.5</v>
      </c>
      <c r="AZ616" s="185">
        <f t="shared" si="476"/>
        <v>45</v>
      </c>
      <c r="BA616" s="173">
        <f t="shared" si="476"/>
        <v>10.799999999999997</v>
      </c>
      <c r="BB616" s="173">
        <f t="shared" si="476"/>
        <v>176</v>
      </c>
      <c r="BC616" s="180">
        <f t="shared" si="476"/>
        <v>17.5</v>
      </c>
      <c r="BE616" s="185" t="str">
        <f t="shared" si="477"/>
        <v/>
      </c>
      <c r="BF616" s="173" t="str">
        <f t="shared" si="477"/>
        <v/>
      </c>
      <c r="BG616" s="173" t="str">
        <f t="shared" si="477"/>
        <v/>
      </c>
      <c r="BH616" s="180" t="str">
        <f t="shared" si="477"/>
        <v/>
      </c>
      <c r="BI616" s="288"/>
      <c r="BJ616" s="185">
        <f t="shared" si="478"/>
        <v>45</v>
      </c>
      <c r="BK616" s="173">
        <f t="shared" si="478"/>
        <v>9.75</v>
      </c>
      <c r="BL616" s="173">
        <f t="shared" si="478"/>
        <v>180</v>
      </c>
      <c r="BM616" s="180">
        <f t="shared" si="478"/>
        <v>17.5</v>
      </c>
      <c r="BO616" s="185" t="str">
        <f t="shared" si="479"/>
        <v/>
      </c>
      <c r="BP616" s="173" t="str">
        <f t="shared" si="479"/>
        <v/>
      </c>
      <c r="BQ616" s="173" t="str">
        <f t="shared" si="479"/>
        <v/>
      </c>
      <c r="BR616" s="180" t="str">
        <f t="shared" si="479"/>
        <v/>
      </c>
      <c r="BT616" s="185" t="str">
        <f t="shared" si="480"/>
        <v/>
      </c>
      <c r="BU616" s="173" t="str">
        <f t="shared" si="480"/>
        <v/>
      </c>
      <c r="BV616" s="173" t="str">
        <f t="shared" si="480"/>
        <v/>
      </c>
      <c r="BW616" s="180" t="str">
        <f t="shared" si="480"/>
        <v/>
      </c>
      <c r="BX616" s="288"/>
      <c r="CM616" s="96"/>
    </row>
    <row r="617" spans="1:91">
      <c r="A617" s="47" t="str">
        <f t="shared" si="466"/>
        <v/>
      </c>
      <c r="B617" s="185">
        <f t="shared" si="466"/>
        <v>45</v>
      </c>
      <c r="C617" s="173">
        <f t="shared" si="466"/>
        <v>96.5</v>
      </c>
      <c r="D617" s="173">
        <f t="shared" si="466"/>
        <v>912</v>
      </c>
      <c r="E617" s="180">
        <f t="shared" si="466"/>
        <v>18</v>
      </c>
      <c r="G617" s="185">
        <f t="shared" si="467"/>
        <v>45</v>
      </c>
      <c r="H617" s="173">
        <f t="shared" si="467"/>
        <v>96.5</v>
      </c>
      <c r="I617" s="173">
        <f t="shared" si="467"/>
        <v>672</v>
      </c>
      <c r="J617" s="180">
        <f t="shared" si="467"/>
        <v>18</v>
      </c>
      <c r="L617" s="185">
        <f t="shared" si="468"/>
        <v>45</v>
      </c>
      <c r="M617" s="173">
        <f t="shared" si="468"/>
        <v>96.5</v>
      </c>
      <c r="N617" s="173">
        <f t="shared" si="468"/>
        <v>546</v>
      </c>
      <c r="O617" s="180">
        <f t="shared" si="468"/>
        <v>18</v>
      </c>
      <c r="Q617" s="185">
        <f t="shared" si="469"/>
        <v>45</v>
      </c>
      <c r="R617" s="173">
        <f t="shared" si="469"/>
        <v>96.5</v>
      </c>
      <c r="S617" s="173">
        <f t="shared" si="469"/>
        <v>432</v>
      </c>
      <c r="T617" s="180">
        <f t="shared" si="469"/>
        <v>18</v>
      </c>
      <c r="V617" s="185">
        <f t="shared" si="470"/>
        <v>45</v>
      </c>
      <c r="W617" s="173">
        <f t="shared" si="470"/>
        <v>96.5</v>
      </c>
      <c r="X617" s="173">
        <f t="shared" si="470"/>
        <v>203.5</v>
      </c>
      <c r="Y617" s="180">
        <f t="shared" si="470"/>
        <v>18</v>
      </c>
      <c r="AA617" s="185">
        <f t="shared" si="471"/>
        <v>45</v>
      </c>
      <c r="AB617" s="173">
        <f t="shared" si="471"/>
        <v>96.5</v>
      </c>
      <c r="AC617" s="173">
        <f t="shared" si="471"/>
        <v>92</v>
      </c>
      <c r="AD617" s="180">
        <f t="shared" si="471"/>
        <v>18</v>
      </c>
      <c r="AF617" s="185">
        <f t="shared" si="472"/>
        <v>45</v>
      </c>
      <c r="AG617" s="173">
        <f t="shared" si="472"/>
        <v>53.5</v>
      </c>
      <c r="AH617" s="173">
        <f t="shared" si="472"/>
        <v>146</v>
      </c>
      <c r="AI617" s="180">
        <f t="shared" si="472"/>
        <v>18</v>
      </c>
      <c r="AK617" s="185" t="str">
        <f t="shared" si="473"/>
        <v/>
      </c>
      <c r="AL617" s="173" t="str">
        <f t="shared" si="473"/>
        <v/>
      </c>
      <c r="AM617" s="173" t="str">
        <f t="shared" si="473"/>
        <v/>
      </c>
      <c r="AN617" s="180" t="str">
        <f t="shared" si="473"/>
        <v/>
      </c>
      <c r="AP617" s="185">
        <f t="shared" si="474"/>
        <v>45</v>
      </c>
      <c r="AQ617" s="173">
        <f t="shared" si="474"/>
        <v>96.5</v>
      </c>
      <c r="AR617" s="173">
        <f t="shared" si="474"/>
        <v>582</v>
      </c>
      <c r="AS617" s="180">
        <f t="shared" si="474"/>
        <v>18</v>
      </c>
      <c r="AT617" s="288"/>
      <c r="AU617" s="185">
        <f t="shared" si="475"/>
        <v>45</v>
      </c>
      <c r="AV617" s="173">
        <f t="shared" si="475"/>
        <v>50</v>
      </c>
      <c r="AW617" s="173">
        <f t="shared" si="475"/>
        <v>92</v>
      </c>
      <c r="AX617" s="180">
        <f t="shared" si="475"/>
        <v>17.5</v>
      </c>
      <c r="AZ617" s="185">
        <f t="shared" si="476"/>
        <v>45</v>
      </c>
      <c r="BA617" s="173">
        <f t="shared" si="476"/>
        <v>10.799999999999997</v>
      </c>
      <c r="BB617" s="173">
        <f t="shared" si="476"/>
        <v>118</v>
      </c>
      <c r="BC617" s="180">
        <f t="shared" si="476"/>
        <v>17.5</v>
      </c>
      <c r="BE617" s="185" t="str">
        <f t="shared" si="477"/>
        <v/>
      </c>
      <c r="BF617" s="173" t="str">
        <f t="shared" si="477"/>
        <v/>
      </c>
      <c r="BG617" s="173" t="str">
        <f t="shared" si="477"/>
        <v/>
      </c>
      <c r="BH617" s="180" t="str">
        <f t="shared" si="477"/>
        <v/>
      </c>
      <c r="BI617" s="288"/>
      <c r="BJ617" s="185">
        <f t="shared" si="478"/>
        <v>45</v>
      </c>
      <c r="BK617" s="173">
        <f t="shared" si="478"/>
        <v>9.75</v>
      </c>
      <c r="BL617" s="173">
        <f t="shared" si="478"/>
        <v>122</v>
      </c>
      <c r="BM617" s="180">
        <f t="shared" si="478"/>
        <v>17.5</v>
      </c>
      <c r="BO617" s="185" t="str">
        <f t="shared" si="479"/>
        <v/>
      </c>
      <c r="BP617" s="173" t="str">
        <f t="shared" si="479"/>
        <v/>
      </c>
      <c r="BQ617" s="173" t="str">
        <f t="shared" si="479"/>
        <v/>
      </c>
      <c r="BR617" s="180" t="str">
        <f t="shared" si="479"/>
        <v/>
      </c>
      <c r="BT617" s="185" t="str">
        <f t="shared" si="480"/>
        <v/>
      </c>
      <c r="BU617" s="173" t="str">
        <f t="shared" si="480"/>
        <v/>
      </c>
      <c r="BV617" s="173" t="str">
        <f t="shared" si="480"/>
        <v/>
      </c>
      <c r="BW617" s="180" t="str">
        <f t="shared" si="480"/>
        <v/>
      </c>
      <c r="BX617" s="288"/>
      <c r="CM617" s="96"/>
    </row>
    <row r="618" spans="1:91">
      <c r="A618" s="47" t="str">
        <f t="shared" si="466"/>
        <v/>
      </c>
      <c r="B618" s="185">
        <f t="shared" si="466"/>
        <v>45</v>
      </c>
      <c r="C618" s="173">
        <f t="shared" si="466"/>
        <v>96.5</v>
      </c>
      <c r="D618" s="173">
        <f t="shared" si="466"/>
        <v>855</v>
      </c>
      <c r="E618" s="180">
        <f t="shared" si="466"/>
        <v>18</v>
      </c>
      <c r="G618" s="185">
        <f t="shared" si="467"/>
        <v>45</v>
      </c>
      <c r="H618" s="173">
        <f t="shared" si="467"/>
        <v>96.5</v>
      </c>
      <c r="I618" s="173">
        <f t="shared" si="467"/>
        <v>615</v>
      </c>
      <c r="J618" s="180">
        <f t="shared" si="467"/>
        <v>18</v>
      </c>
      <c r="L618" s="185">
        <f t="shared" si="468"/>
        <v>45</v>
      </c>
      <c r="M618" s="173">
        <f t="shared" si="468"/>
        <v>96.5</v>
      </c>
      <c r="N618" s="173">
        <f t="shared" si="468"/>
        <v>489</v>
      </c>
      <c r="O618" s="180">
        <f t="shared" si="468"/>
        <v>18</v>
      </c>
      <c r="Q618" s="185">
        <f t="shared" si="469"/>
        <v>45</v>
      </c>
      <c r="R618" s="173">
        <f t="shared" si="469"/>
        <v>96.5</v>
      </c>
      <c r="S618" s="173">
        <f t="shared" si="469"/>
        <v>375</v>
      </c>
      <c r="T618" s="180">
        <f t="shared" si="469"/>
        <v>18</v>
      </c>
      <c r="V618" s="185">
        <f t="shared" si="470"/>
        <v>45</v>
      </c>
      <c r="W618" s="173">
        <f t="shared" si="470"/>
        <v>96.5</v>
      </c>
      <c r="X618" s="173">
        <f t="shared" si="470"/>
        <v>146.5</v>
      </c>
      <c r="Y618" s="180">
        <f t="shared" si="470"/>
        <v>18</v>
      </c>
      <c r="AA618" s="185">
        <f t="shared" si="471"/>
        <v>45</v>
      </c>
      <c r="AB618" s="173">
        <f t="shared" si="471"/>
        <v>53.5</v>
      </c>
      <c r="AC618" s="173">
        <f t="shared" si="471"/>
        <v>440</v>
      </c>
      <c r="AD618" s="180">
        <f t="shared" si="471"/>
        <v>18</v>
      </c>
      <c r="AF618" s="185">
        <f t="shared" si="472"/>
        <v>45</v>
      </c>
      <c r="AG618" s="173">
        <f t="shared" si="472"/>
        <v>53.5</v>
      </c>
      <c r="AH618" s="173">
        <f t="shared" si="472"/>
        <v>88</v>
      </c>
      <c r="AI618" s="180">
        <f t="shared" si="472"/>
        <v>18</v>
      </c>
      <c r="AK618" s="185" t="str">
        <f t="shared" si="473"/>
        <v/>
      </c>
      <c r="AL618" s="173" t="str">
        <f t="shared" si="473"/>
        <v/>
      </c>
      <c r="AM618" s="173" t="str">
        <f t="shared" si="473"/>
        <v/>
      </c>
      <c r="AN618" s="180" t="str">
        <f t="shared" si="473"/>
        <v/>
      </c>
      <c r="AP618" s="185">
        <f t="shared" si="474"/>
        <v>45</v>
      </c>
      <c r="AQ618" s="173">
        <f t="shared" si="474"/>
        <v>96.5</v>
      </c>
      <c r="AR618" s="173">
        <f t="shared" si="474"/>
        <v>525</v>
      </c>
      <c r="AS618" s="180">
        <f t="shared" si="474"/>
        <v>18</v>
      </c>
      <c r="AT618" s="288"/>
      <c r="AU618" s="185">
        <f t="shared" si="475"/>
        <v>45</v>
      </c>
      <c r="AV618" s="173">
        <f t="shared" si="475"/>
        <v>10.799999999999997</v>
      </c>
      <c r="AW618" s="173">
        <f t="shared" si="475"/>
        <v>412</v>
      </c>
      <c r="AX618" s="180">
        <f t="shared" si="475"/>
        <v>17.5</v>
      </c>
      <c r="AZ618" s="185">
        <f t="shared" si="476"/>
        <v>45</v>
      </c>
      <c r="BA618" s="173">
        <f t="shared" si="476"/>
        <v>10.799999999999997</v>
      </c>
      <c r="BB618" s="173">
        <f t="shared" si="476"/>
        <v>60</v>
      </c>
      <c r="BC618" s="180">
        <f t="shared" si="476"/>
        <v>17.5</v>
      </c>
      <c r="BE618" s="185" t="str">
        <f t="shared" si="477"/>
        <v/>
      </c>
      <c r="BF618" s="173" t="str">
        <f t="shared" si="477"/>
        <v/>
      </c>
      <c r="BG618" s="173" t="str">
        <f t="shared" si="477"/>
        <v/>
      </c>
      <c r="BH618" s="180" t="str">
        <f t="shared" si="477"/>
        <v/>
      </c>
      <c r="BI618" s="288"/>
      <c r="BJ618" s="185">
        <f t="shared" si="478"/>
        <v>45</v>
      </c>
      <c r="BK618" s="173">
        <f t="shared" si="478"/>
        <v>9.75</v>
      </c>
      <c r="BL618" s="173">
        <f t="shared" si="478"/>
        <v>64</v>
      </c>
      <c r="BM618" s="180">
        <f t="shared" si="478"/>
        <v>17.5</v>
      </c>
      <c r="BO618" s="185" t="str">
        <f t="shared" si="479"/>
        <v/>
      </c>
      <c r="BP618" s="173" t="str">
        <f t="shared" si="479"/>
        <v/>
      </c>
      <c r="BQ618" s="173" t="str">
        <f t="shared" si="479"/>
        <v/>
      </c>
      <c r="BR618" s="180" t="str">
        <f t="shared" si="479"/>
        <v/>
      </c>
      <c r="BT618" s="185" t="str">
        <f t="shared" si="480"/>
        <v/>
      </c>
      <c r="BU618" s="173" t="str">
        <f t="shared" si="480"/>
        <v/>
      </c>
      <c r="BV618" s="173" t="str">
        <f t="shared" si="480"/>
        <v/>
      </c>
      <c r="BW618" s="180" t="str">
        <f t="shared" si="480"/>
        <v/>
      </c>
      <c r="BX618" s="288"/>
      <c r="CM618" s="96"/>
    </row>
    <row r="619" spans="1:91">
      <c r="A619" s="47" t="str">
        <f t="shared" si="466"/>
        <v/>
      </c>
      <c r="B619" s="185">
        <f t="shared" si="466"/>
        <v>45</v>
      </c>
      <c r="C619" s="173">
        <f t="shared" si="466"/>
        <v>96.5</v>
      </c>
      <c r="D619" s="173">
        <f t="shared" si="466"/>
        <v>798</v>
      </c>
      <c r="E619" s="180">
        <f t="shared" si="466"/>
        <v>18</v>
      </c>
      <c r="G619" s="185">
        <f t="shared" si="467"/>
        <v>45</v>
      </c>
      <c r="H619" s="173">
        <f t="shared" si="467"/>
        <v>96.5</v>
      </c>
      <c r="I619" s="173">
        <f t="shared" si="467"/>
        <v>558</v>
      </c>
      <c r="J619" s="180">
        <f t="shared" si="467"/>
        <v>18</v>
      </c>
      <c r="L619" s="185">
        <f t="shared" si="468"/>
        <v>45</v>
      </c>
      <c r="M619" s="173">
        <f t="shared" si="468"/>
        <v>96.5</v>
      </c>
      <c r="N619" s="173">
        <f t="shared" si="468"/>
        <v>432</v>
      </c>
      <c r="O619" s="180">
        <f t="shared" si="468"/>
        <v>18</v>
      </c>
      <c r="Q619" s="185">
        <f t="shared" si="469"/>
        <v>45</v>
      </c>
      <c r="R619" s="173">
        <f t="shared" si="469"/>
        <v>96.5</v>
      </c>
      <c r="S619" s="173">
        <f t="shared" si="469"/>
        <v>318</v>
      </c>
      <c r="T619" s="180">
        <f t="shared" si="469"/>
        <v>18</v>
      </c>
      <c r="V619" s="185">
        <f t="shared" si="470"/>
        <v>45</v>
      </c>
      <c r="W619" s="173">
        <f t="shared" si="470"/>
        <v>96.5</v>
      </c>
      <c r="X619" s="173">
        <f t="shared" si="470"/>
        <v>89.5</v>
      </c>
      <c r="Y619" s="180">
        <f t="shared" si="470"/>
        <v>18</v>
      </c>
      <c r="AA619" s="185">
        <f t="shared" si="471"/>
        <v>45</v>
      </c>
      <c r="AB619" s="173">
        <f t="shared" si="471"/>
        <v>53.5</v>
      </c>
      <c r="AC619" s="173">
        <f t="shared" si="471"/>
        <v>382</v>
      </c>
      <c r="AD619" s="180">
        <f t="shared" si="471"/>
        <v>18</v>
      </c>
      <c r="AF619" s="185">
        <f t="shared" si="472"/>
        <v>45</v>
      </c>
      <c r="AG619" s="173">
        <f t="shared" si="472"/>
        <v>10.5</v>
      </c>
      <c r="AH619" s="173">
        <f t="shared" si="472"/>
        <v>292</v>
      </c>
      <c r="AI619" s="180">
        <f t="shared" si="472"/>
        <v>18</v>
      </c>
      <c r="AK619" s="185" t="str">
        <f t="shared" si="473"/>
        <v/>
      </c>
      <c r="AL619" s="173" t="str">
        <f t="shared" si="473"/>
        <v/>
      </c>
      <c r="AM619" s="173" t="str">
        <f t="shared" si="473"/>
        <v/>
      </c>
      <c r="AN619" s="180" t="str">
        <f t="shared" si="473"/>
        <v/>
      </c>
      <c r="AP619" s="185">
        <f t="shared" si="474"/>
        <v>45</v>
      </c>
      <c r="AQ619" s="173">
        <f t="shared" si="474"/>
        <v>96.5</v>
      </c>
      <c r="AR619" s="173">
        <f t="shared" si="474"/>
        <v>468</v>
      </c>
      <c r="AS619" s="180">
        <f t="shared" si="474"/>
        <v>18</v>
      </c>
      <c r="AT619" s="288"/>
      <c r="AU619" s="185">
        <f t="shared" si="475"/>
        <v>45</v>
      </c>
      <c r="AV619" s="173">
        <f t="shared" si="475"/>
        <v>10.799999999999997</v>
      </c>
      <c r="AW619" s="173">
        <f t="shared" si="475"/>
        <v>354</v>
      </c>
      <c r="AX619" s="180">
        <f t="shared" si="475"/>
        <v>17.5</v>
      </c>
      <c r="AZ619" s="185" t="str">
        <f t="shared" si="476"/>
        <v/>
      </c>
      <c r="BA619" s="173" t="str">
        <f t="shared" si="476"/>
        <v/>
      </c>
      <c r="BB619" s="173" t="str">
        <f t="shared" si="476"/>
        <v/>
      </c>
      <c r="BC619" s="180" t="str">
        <f t="shared" si="476"/>
        <v/>
      </c>
      <c r="BE619" s="185" t="str">
        <f t="shared" si="477"/>
        <v/>
      </c>
      <c r="BF619" s="173" t="str">
        <f t="shared" si="477"/>
        <v/>
      </c>
      <c r="BG619" s="173" t="str">
        <f t="shared" si="477"/>
        <v/>
      </c>
      <c r="BH619" s="180" t="str">
        <f t="shared" si="477"/>
        <v/>
      </c>
      <c r="BI619" s="288"/>
      <c r="BJ619" s="185" t="str">
        <f t="shared" si="478"/>
        <v/>
      </c>
      <c r="BK619" s="173" t="str">
        <f t="shared" si="478"/>
        <v/>
      </c>
      <c r="BL619" s="173" t="str">
        <f t="shared" si="478"/>
        <v/>
      </c>
      <c r="BM619" s="180" t="str">
        <f t="shared" si="478"/>
        <v/>
      </c>
      <c r="BO619" s="185" t="str">
        <f t="shared" si="479"/>
        <v/>
      </c>
      <c r="BP619" s="173" t="str">
        <f t="shared" si="479"/>
        <v/>
      </c>
      <c r="BQ619" s="173" t="str">
        <f t="shared" si="479"/>
        <v/>
      </c>
      <c r="BR619" s="180" t="str">
        <f t="shared" si="479"/>
        <v/>
      </c>
      <c r="BT619" s="185" t="str">
        <f t="shared" si="480"/>
        <v/>
      </c>
      <c r="BU619" s="173" t="str">
        <f t="shared" si="480"/>
        <v/>
      </c>
      <c r="BV619" s="173" t="str">
        <f t="shared" si="480"/>
        <v/>
      </c>
      <c r="BW619" s="180" t="str">
        <f t="shared" si="480"/>
        <v/>
      </c>
      <c r="BX619" s="288"/>
      <c r="CM619" s="96"/>
    </row>
    <row r="620" spans="1:91">
      <c r="A620" s="47" t="str">
        <f t="shared" si="466"/>
        <v/>
      </c>
      <c r="B620" s="185">
        <f t="shared" si="466"/>
        <v>45</v>
      </c>
      <c r="C620" s="173">
        <f t="shared" si="466"/>
        <v>96.5</v>
      </c>
      <c r="D620" s="173">
        <f t="shared" si="466"/>
        <v>741</v>
      </c>
      <c r="E620" s="180">
        <f t="shared" si="466"/>
        <v>18</v>
      </c>
      <c r="G620" s="185">
        <f t="shared" si="467"/>
        <v>45</v>
      </c>
      <c r="H620" s="173">
        <f t="shared" si="467"/>
        <v>96.5</v>
      </c>
      <c r="I620" s="173">
        <f t="shared" si="467"/>
        <v>501</v>
      </c>
      <c r="J620" s="180">
        <f t="shared" si="467"/>
        <v>18</v>
      </c>
      <c r="L620" s="185">
        <f t="shared" si="468"/>
        <v>45</v>
      </c>
      <c r="M620" s="173">
        <f t="shared" si="468"/>
        <v>96.5</v>
      </c>
      <c r="N620" s="173">
        <f t="shared" si="468"/>
        <v>375</v>
      </c>
      <c r="O620" s="180">
        <f t="shared" si="468"/>
        <v>18</v>
      </c>
      <c r="Q620" s="185">
        <f t="shared" si="469"/>
        <v>45</v>
      </c>
      <c r="R620" s="173">
        <f t="shared" si="469"/>
        <v>96.5</v>
      </c>
      <c r="S620" s="173">
        <f t="shared" si="469"/>
        <v>261</v>
      </c>
      <c r="T620" s="180">
        <f t="shared" si="469"/>
        <v>18</v>
      </c>
      <c r="V620" s="185">
        <f t="shared" si="470"/>
        <v>45</v>
      </c>
      <c r="W620" s="173">
        <f t="shared" si="470"/>
        <v>53.5</v>
      </c>
      <c r="X620" s="173">
        <f t="shared" si="470"/>
        <v>488.5</v>
      </c>
      <c r="Y620" s="180">
        <f t="shared" si="470"/>
        <v>18</v>
      </c>
      <c r="AA620" s="185">
        <f t="shared" si="471"/>
        <v>45</v>
      </c>
      <c r="AB620" s="173">
        <f t="shared" si="471"/>
        <v>53.5</v>
      </c>
      <c r="AC620" s="173">
        <f t="shared" si="471"/>
        <v>324</v>
      </c>
      <c r="AD620" s="180">
        <f t="shared" si="471"/>
        <v>18</v>
      </c>
      <c r="AF620" s="185">
        <f t="shared" si="472"/>
        <v>45</v>
      </c>
      <c r="AG620" s="173">
        <f t="shared" si="472"/>
        <v>10.5</v>
      </c>
      <c r="AH620" s="173">
        <f t="shared" si="472"/>
        <v>234</v>
      </c>
      <c r="AI620" s="180">
        <f t="shared" si="472"/>
        <v>18</v>
      </c>
      <c r="AK620" s="185" t="str">
        <f t="shared" si="473"/>
        <v/>
      </c>
      <c r="AL620" s="173" t="str">
        <f t="shared" si="473"/>
        <v/>
      </c>
      <c r="AM620" s="173" t="str">
        <f t="shared" si="473"/>
        <v/>
      </c>
      <c r="AN620" s="180" t="str">
        <f t="shared" si="473"/>
        <v/>
      </c>
      <c r="AP620" s="185">
        <f t="shared" si="474"/>
        <v>45</v>
      </c>
      <c r="AQ620" s="173">
        <f t="shared" si="474"/>
        <v>96.5</v>
      </c>
      <c r="AR620" s="173">
        <f t="shared" si="474"/>
        <v>411</v>
      </c>
      <c r="AS620" s="180">
        <f t="shared" si="474"/>
        <v>18</v>
      </c>
      <c r="AT620" s="288"/>
      <c r="AU620" s="185">
        <f t="shared" si="475"/>
        <v>45</v>
      </c>
      <c r="AV620" s="173">
        <f t="shared" si="475"/>
        <v>10.799999999999997</v>
      </c>
      <c r="AW620" s="173">
        <f t="shared" si="475"/>
        <v>296</v>
      </c>
      <c r="AX620" s="180">
        <f t="shared" si="475"/>
        <v>17.5</v>
      </c>
      <c r="AZ620" s="185" t="str">
        <f t="shared" si="476"/>
        <v/>
      </c>
      <c r="BA620" s="173" t="str">
        <f t="shared" si="476"/>
        <v/>
      </c>
      <c r="BB620" s="173" t="str">
        <f t="shared" si="476"/>
        <v/>
      </c>
      <c r="BC620" s="180" t="str">
        <f t="shared" si="476"/>
        <v/>
      </c>
      <c r="BE620" s="185" t="str">
        <f t="shared" si="477"/>
        <v/>
      </c>
      <c r="BF620" s="173" t="str">
        <f t="shared" si="477"/>
        <v/>
      </c>
      <c r="BG620" s="173" t="str">
        <f t="shared" si="477"/>
        <v/>
      </c>
      <c r="BH620" s="180" t="str">
        <f t="shared" si="477"/>
        <v/>
      </c>
      <c r="BI620" s="288"/>
      <c r="BJ620" s="185" t="str">
        <f t="shared" si="478"/>
        <v/>
      </c>
      <c r="BK620" s="173" t="str">
        <f t="shared" si="478"/>
        <v/>
      </c>
      <c r="BL620" s="173" t="str">
        <f t="shared" si="478"/>
        <v/>
      </c>
      <c r="BM620" s="180" t="str">
        <f t="shared" si="478"/>
        <v/>
      </c>
      <c r="BO620" s="185" t="str">
        <f t="shared" si="479"/>
        <v/>
      </c>
      <c r="BP620" s="173" t="str">
        <f t="shared" si="479"/>
        <v/>
      </c>
      <c r="BQ620" s="173" t="str">
        <f t="shared" si="479"/>
        <v/>
      </c>
      <c r="BR620" s="180" t="str">
        <f t="shared" si="479"/>
        <v/>
      </c>
      <c r="BT620" s="185" t="str">
        <f t="shared" si="480"/>
        <v/>
      </c>
      <c r="BU620" s="173" t="str">
        <f t="shared" si="480"/>
        <v/>
      </c>
      <c r="BV620" s="173" t="str">
        <f t="shared" si="480"/>
        <v/>
      </c>
      <c r="BW620" s="180" t="str">
        <f t="shared" si="480"/>
        <v/>
      </c>
      <c r="BX620" s="288"/>
      <c r="CM620" s="96"/>
    </row>
    <row r="621" spans="1:91">
      <c r="A621" s="47" t="str">
        <f t="shared" si="466"/>
        <v/>
      </c>
      <c r="B621" s="185">
        <f t="shared" si="466"/>
        <v>45</v>
      </c>
      <c r="C621" s="173">
        <f t="shared" si="466"/>
        <v>96.5</v>
      </c>
      <c r="D621" s="173">
        <f t="shared" si="466"/>
        <v>684</v>
      </c>
      <c r="E621" s="180">
        <f t="shared" si="466"/>
        <v>18</v>
      </c>
      <c r="G621" s="185">
        <f t="shared" si="467"/>
        <v>45</v>
      </c>
      <c r="H621" s="173">
        <f t="shared" si="467"/>
        <v>96.5</v>
      </c>
      <c r="I621" s="173">
        <f t="shared" si="467"/>
        <v>444</v>
      </c>
      <c r="J621" s="180">
        <f t="shared" si="467"/>
        <v>18</v>
      </c>
      <c r="L621" s="185">
        <f t="shared" si="468"/>
        <v>45</v>
      </c>
      <c r="M621" s="173">
        <f t="shared" si="468"/>
        <v>96.5</v>
      </c>
      <c r="N621" s="173">
        <f t="shared" si="468"/>
        <v>318</v>
      </c>
      <c r="O621" s="180">
        <f t="shared" si="468"/>
        <v>18</v>
      </c>
      <c r="Q621" s="185">
        <f t="shared" si="469"/>
        <v>45</v>
      </c>
      <c r="R621" s="173">
        <f t="shared" si="469"/>
        <v>96.5</v>
      </c>
      <c r="S621" s="173">
        <f t="shared" si="469"/>
        <v>204</v>
      </c>
      <c r="T621" s="180">
        <f t="shared" si="469"/>
        <v>18</v>
      </c>
      <c r="V621" s="185">
        <f t="shared" si="470"/>
        <v>45</v>
      </c>
      <c r="W621" s="173">
        <f t="shared" si="470"/>
        <v>53.5</v>
      </c>
      <c r="X621" s="173">
        <f t="shared" si="470"/>
        <v>431.5</v>
      </c>
      <c r="Y621" s="180">
        <f t="shared" si="470"/>
        <v>18</v>
      </c>
      <c r="AA621" s="185">
        <f t="shared" si="471"/>
        <v>45</v>
      </c>
      <c r="AB621" s="173">
        <f t="shared" si="471"/>
        <v>53.5</v>
      </c>
      <c r="AC621" s="173">
        <f t="shared" si="471"/>
        <v>266</v>
      </c>
      <c r="AD621" s="180">
        <f t="shared" si="471"/>
        <v>18</v>
      </c>
      <c r="AF621" s="185">
        <f t="shared" si="472"/>
        <v>45</v>
      </c>
      <c r="AG621" s="173">
        <f t="shared" si="472"/>
        <v>10.5</v>
      </c>
      <c r="AH621" s="173">
        <f t="shared" si="472"/>
        <v>176</v>
      </c>
      <c r="AI621" s="180">
        <f t="shared" si="472"/>
        <v>18</v>
      </c>
      <c r="AK621" s="185" t="str">
        <f t="shared" si="473"/>
        <v/>
      </c>
      <c r="AL621" s="173" t="str">
        <f t="shared" si="473"/>
        <v/>
      </c>
      <c r="AM621" s="173" t="str">
        <f t="shared" si="473"/>
        <v/>
      </c>
      <c r="AN621" s="180" t="str">
        <f t="shared" si="473"/>
        <v/>
      </c>
      <c r="AP621" s="185">
        <f t="shared" si="474"/>
        <v>45</v>
      </c>
      <c r="AQ621" s="173">
        <f t="shared" si="474"/>
        <v>96.5</v>
      </c>
      <c r="AR621" s="173">
        <f t="shared" si="474"/>
        <v>354</v>
      </c>
      <c r="AS621" s="180">
        <f t="shared" si="474"/>
        <v>18</v>
      </c>
      <c r="AT621" s="288"/>
      <c r="AU621" s="185">
        <f t="shared" si="475"/>
        <v>45</v>
      </c>
      <c r="AV621" s="173">
        <f t="shared" si="475"/>
        <v>10.799999999999997</v>
      </c>
      <c r="AW621" s="173">
        <f t="shared" si="475"/>
        <v>238</v>
      </c>
      <c r="AX621" s="180">
        <f t="shared" si="475"/>
        <v>17.5</v>
      </c>
      <c r="AZ621" s="185" t="str">
        <f t="shared" si="476"/>
        <v/>
      </c>
      <c r="BA621" s="173" t="str">
        <f t="shared" si="476"/>
        <v/>
      </c>
      <c r="BB621" s="173" t="str">
        <f t="shared" si="476"/>
        <v/>
      </c>
      <c r="BC621" s="180" t="str">
        <f t="shared" si="476"/>
        <v/>
      </c>
      <c r="BE621" s="185" t="str">
        <f t="shared" si="477"/>
        <v/>
      </c>
      <c r="BF621" s="173" t="str">
        <f t="shared" si="477"/>
        <v/>
      </c>
      <c r="BG621" s="173" t="str">
        <f t="shared" si="477"/>
        <v/>
      </c>
      <c r="BH621" s="180" t="str">
        <f t="shared" si="477"/>
        <v/>
      </c>
      <c r="BI621" s="288"/>
      <c r="BJ621" s="185" t="str">
        <f t="shared" si="478"/>
        <v/>
      </c>
      <c r="BK621" s="173" t="str">
        <f t="shared" si="478"/>
        <v/>
      </c>
      <c r="BL621" s="173" t="str">
        <f t="shared" si="478"/>
        <v/>
      </c>
      <c r="BM621" s="180" t="str">
        <f t="shared" si="478"/>
        <v/>
      </c>
      <c r="BO621" s="185" t="str">
        <f t="shared" si="479"/>
        <v/>
      </c>
      <c r="BP621" s="173" t="str">
        <f t="shared" si="479"/>
        <v/>
      </c>
      <c r="BQ621" s="173" t="str">
        <f t="shared" si="479"/>
        <v/>
      </c>
      <c r="BR621" s="180" t="str">
        <f t="shared" si="479"/>
        <v/>
      </c>
      <c r="BT621" s="185" t="str">
        <f t="shared" si="480"/>
        <v/>
      </c>
      <c r="BU621" s="173" t="str">
        <f t="shared" si="480"/>
        <v/>
      </c>
      <c r="BV621" s="173" t="str">
        <f t="shared" si="480"/>
        <v/>
      </c>
      <c r="BW621" s="180" t="str">
        <f t="shared" si="480"/>
        <v/>
      </c>
      <c r="BX621" s="288"/>
      <c r="CM621" s="96"/>
    </row>
    <row r="622" spans="1:91">
      <c r="A622" s="47" t="str">
        <f t="shared" si="466"/>
        <v/>
      </c>
      <c r="B622" s="185">
        <f t="shared" si="466"/>
        <v>45</v>
      </c>
      <c r="C622" s="173">
        <f t="shared" si="466"/>
        <v>96.5</v>
      </c>
      <c r="D622" s="173">
        <f t="shared" si="466"/>
        <v>627</v>
      </c>
      <c r="E622" s="180">
        <f t="shared" si="466"/>
        <v>18</v>
      </c>
      <c r="G622" s="185">
        <f t="shared" si="467"/>
        <v>45</v>
      </c>
      <c r="H622" s="173">
        <f t="shared" si="467"/>
        <v>96.5</v>
      </c>
      <c r="I622" s="173">
        <f t="shared" si="467"/>
        <v>387</v>
      </c>
      <c r="J622" s="180">
        <f t="shared" si="467"/>
        <v>18</v>
      </c>
      <c r="L622" s="185">
        <f t="shared" si="468"/>
        <v>45</v>
      </c>
      <c r="M622" s="173">
        <f t="shared" si="468"/>
        <v>96.5</v>
      </c>
      <c r="N622" s="173">
        <f t="shared" si="468"/>
        <v>261</v>
      </c>
      <c r="O622" s="180">
        <f t="shared" si="468"/>
        <v>18</v>
      </c>
      <c r="Q622" s="185">
        <f t="shared" si="469"/>
        <v>45</v>
      </c>
      <c r="R622" s="173">
        <f t="shared" si="469"/>
        <v>96.5</v>
      </c>
      <c r="S622" s="173">
        <f t="shared" si="469"/>
        <v>147</v>
      </c>
      <c r="T622" s="180">
        <f t="shared" si="469"/>
        <v>18</v>
      </c>
      <c r="V622" s="185">
        <f t="shared" si="470"/>
        <v>45</v>
      </c>
      <c r="W622" s="173">
        <f t="shared" si="470"/>
        <v>53.5</v>
      </c>
      <c r="X622" s="173">
        <f t="shared" si="470"/>
        <v>374.5</v>
      </c>
      <c r="Y622" s="180">
        <f t="shared" si="470"/>
        <v>18</v>
      </c>
      <c r="AA622" s="185">
        <f t="shared" si="471"/>
        <v>45</v>
      </c>
      <c r="AB622" s="173">
        <f t="shared" si="471"/>
        <v>53.5</v>
      </c>
      <c r="AC622" s="173">
        <f t="shared" si="471"/>
        <v>208</v>
      </c>
      <c r="AD622" s="180">
        <f t="shared" si="471"/>
        <v>18</v>
      </c>
      <c r="AF622" s="185">
        <f t="shared" si="472"/>
        <v>45</v>
      </c>
      <c r="AG622" s="173">
        <f t="shared" si="472"/>
        <v>10.5</v>
      </c>
      <c r="AH622" s="173">
        <f t="shared" si="472"/>
        <v>118</v>
      </c>
      <c r="AI622" s="180">
        <f t="shared" si="472"/>
        <v>18</v>
      </c>
      <c r="AK622" s="185" t="str">
        <f t="shared" si="473"/>
        <v/>
      </c>
      <c r="AL622" s="173" t="str">
        <f t="shared" si="473"/>
        <v/>
      </c>
      <c r="AM622" s="173" t="str">
        <f t="shared" si="473"/>
        <v/>
      </c>
      <c r="AN622" s="180" t="str">
        <f t="shared" si="473"/>
        <v/>
      </c>
      <c r="AP622" s="185">
        <f t="shared" si="474"/>
        <v>45</v>
      </c>
      <c r="AQ622" s="173">
        <f t="shared" si="474"/>
        <v>96.5</v>
      </c>
      <c r="AR622" s="173">
        <f t="shared" si="474"/>
        <v>297</v>
      </c>
      <c r="AS622" s="180">
        <f t="shared" si="474"/>
        <v>18</v>
      </c>
      <c r="AT622" s="288"/>
      <c r="AU622" s="185">
        <f t="shared" si="475"/>
        <v>45</v>
      </c>
      <c r="AV622" s="173">
        <f t="shared" si="475"/>
        <v>10.799999999999997</v>
      </c>
      <c r="AW622" s="173">
        <f t="shared" si="475"/>
        <v>180</v>
      </c>
      <c r="AX622" s="180">
        <f t="shared" si="475"/>
        <v>17.5</v>
      </c>
      <c r="AZ622" s="185" t="str">
        <f t="shared" si="476"/>
        <v/>
      </c>
      <c r="BA622" s="173" t="str">
        <f t="shared" si="476"/>
        <v/>
      </c>
      <c r="BB622" s="173" t="str">
        <f t="shared" si="476"/>
        <v/>
      </c>
      <c r="BC622" s="180" t="str">
        <f t="shared" si="476"/>
        <v/>
      </c>
      <c r="BE622" s="185" t="str">
        <f t="shared" si="477"/>
        <v/>
      </c>
      <c r="BF622" s="173" t="str">
        <f t="shared" si="477"/>
        <v/>
      </c>
      <c r="BG622" s="173" t="str">
        <f t="shared" si="477"/>
        <v/>
      </c>
      <c r="BH622" s="180" t="str">
        <f t="shared" si="477"/>
        <v/>
      </c>
      <c r="BI622" s="288"/>
      <c r="BJ622" s="185" t="str">
        <f t="shared" si="478"/>
        <v/>
      </c>
      <c r="BK622" s="173" t="str">
        <f t="shared" si="478"/>
        <v/>
      </c>
      <c r="BL622" s="173" t="str">
        <f t="shared" si="478"/>
        <v/>
      </c>
      <c r="BM622" s="180" t="str">
        <f t="shared" si="478"/>
        <v/>
      </c>
      <c r="BO622" s="185" t="str">
        <f t="shared" si="479"/>
        <v/>
      </c>
      <c r="BP622" s="173" t="str">
        <f t="shared" si="479"/>
        <v/>
      </c>
      <c r="BQ622" s="173" t="str">
        <f t="shared" si="479"/>
        <v/>
      </c>
      <c r="BR622" s="180" t="str">
        <f t="shared" si="479"/>
        <v/>
      </c>
      <c r="BT622" s="185" t="str">
        <f t="shared" si="480"/>
        <v/>
      </c>
      <c r="BU622" s="173" t="str">
        <f t="shared" si="480"/>
        <v/>
      </c>
      <c r="BV622" s="173" t="str">
        <f t="shared" si="480"/>
        <v/>
      </c>
      <c r="BW622" s="180" t="str">
        <f t="shared" si="480"/>
        <v/>
      </c>
      <c r="BX622" s="288"/>
      <c r="CM622" s="96"/>
    </row>
    <row r="623" spans="1:91">
      <c r="A623" s="47" t="str">
        <f t="shared" si="466"/>
        <v/>
      </c>
      <c r="B623" s="185">
        <f t="shared" si="466"/>
        <v>45</v>
      </c>
      <c r="C623" s="173">
        <f t="shared" si="466"/>
        <v>96.5</v>
      </c>
      <c r="D623" s="173">
        <f t="shared" si="466"/>
        <v>570</v>
      </c>
      <c r="E623" s="180">
        <f t="shared" si="466"/>
        <v>18</v>
      </c>
      <c r="G623" s="185">
        <f t="shared" si="467"/>
        <v>45</v>
      </c>
      <c r="H623" s="173">
        <f t="shared" si="467"/>
        <v>96.5</v>
      </c>
      <c r="I623" s="173">
        <f t="shared" si="467"/>
        <v>330</v>
      </c>
      <c r="J623" s="180">
        <f t="shared" si="467"/>
        <v>18</v>
      </c>
      <c r="L623" s="185">
        <f t="shared" si="468"/>
        <v>45</v>
      </c>
      <c r="M623" s="173">
        <f t="shared" si="468"/>
        <v>96.5</v>
      </c>
      <c r="N623" s="173">
        <f t="shared" si="468"/>
        <v>204</v>
      </c>
      <c r="O623" s="180">
        <f t="shared" si="468"/>
        <v>18</v>
      </c>
      <c r="Q623" s="185">
        <f t="shared" si="469"/>
        <v>45</v>
      </c>
      <c r="R623" s="173">
        <f t="shared" si="469"/>
        <v>96.5</v>
      </c>
      <c r="S623" s="173">
        <f t="shared" si="469"/>
        <v>90</v>
      </c>
      <c r="T623" s="180">
        <f t="shared" si="469"/>
        <v>18</v>
      </c>
      <c r="V623" s="185">
        <f t="shared" si="470"/>
        <v>45</v>
      </c>
      <c r="W623" s="173">
        <f t="shared" si="470"/>
        <v>53.5</v>
      </c>
      <c r="X623" s="173">
        <f t="shared" si="470"/>
        <v>317.5</v>
      </c>
      <c r="Y623" s="180">
        <f t="shared" si="470"/>
        <v>18</v>
      </c>
      <c r="AA623" s="185">
        <f t="shared" si="471"/>
        <v>45</v>
      </c>
      <c r="AB623" s="173">
        <f t="shared" si="471"/>
        <v>53.5</v>
      </c>
      <c r="AC623" s="173">
        <f t="shared" si="471"/>
        <v>150</v>
      </c>
      <c r="AD623" s="180">
        <f t="shared" si="471"/>
        <v>18</v>
      </c>
      <c r="AF623" s="185">
        <f t="shared" si="472"/>
        <v>45</v>
      </c>
      <c r="AG623" s="173">
        <f t="shared" si="472"/>
        <v>10.5</v>
      </c>
      <c r="AH623" s="173">
        <f t="shared" si="472"/>
        <v>60</v>
      </c>
      <c r="AI623" s="180">
        <f t="shared" si="472"/>
        <v>18</v>
      </c>
      <c r="AK623" s="185" t="str">
        <f t="shared" si="473"/>
        <v/>
      </c>
      <c r="AL623" s="173" t="str">
        <f t="shared" si="473"/>
        <v/>
      </c>
      <c r="AM623" s="173" t="str">
        <f t="shared" si="473"/>
        <v/>
      </c>
      <c r="AN623" s="180" t="str">
        <f t="shared" si="473"/>
        <v/>
      </c>
      <c r="AP623" s="185">
        <f t="shared" si="474"/>
        <v>45</v>
      </c>
      <c r="AQ623" s="173">
        <f t="shared" si="474"/>
        <v>96.5</v>
      </c>
      <c r="AR623" s="173">
        <f t="shared" si="474"/>
        <v>240</v>
      </c>
      <c r="AS623" s="180">
        <f t="shared" si="474"/>
        <v>18</v>
      </c>
      <c r="AT623" s="288"/>
      <c r="AU623" s="185">
        <f t="shared" si="475"/>
        <v>45</v>
      </c>
      <c r="AV623" s="173">
        <f t="shared" si="475"/>
        <v>10.799999999999997</v>
      </c>
      <c r="AW623" s="173">
        <f t="shared" si="475"/>
        <v>122</v>
      </c>
      <c r="AX623" s="180">
        <f t="shared" si="475"/>
        <v>17.5</v>
      </c>
      <c r="AZ623" s="185" t="str">
        <f t="shared" si="476"/>
        <v/>
      </c>
      <c r="BA623" s="173" t="str">
        <f t="shared" si="476"/>
        <v/>
      </c>
      <c r="BB623" s="173" t="str">
        <f t="shared" si="476"/>
        <v/>
      </c>
      <c r="BC623" s="180" t="str">
        <f t="shared" si="476"/>
        <v/>
      </c>
      <c r="BE623" s="185" t="str">
        <f t="shared" si="477"/>
        <v/>
      </c>
      <c r="BF623" s="173" t="str">
        <f t="shared" si="477"/>
        <v/>
      </c>
      <c r="BG623" s="173" t="str">
        <f t="shared" si="477"/>
        <v/>
      </c>
      <c r="BH623" s="180" t="str">
        <f t="shared" si="477"/>
        <v/>
      </c>
      <c r="BI623" s="288"/>
      <c r="BJ623" s="185" t="str">
        <f t="shared" si="478"/>
        <v/>
      </c>
      <c r="BK623" s="173" t="str">
        <f t="shared" si="478"/>
        <v/>
      </c>
      <c r="BL623" s="173" t="str">
        <f t="shared" si="478"/>
        <v/>
      </c>
      <c r="BM623" s="180" t="str">
        <f t="shared" si="478"/>
        <v/>
      </c>
      <c r="BO623" s="185" t="str">
        <f t="shared" si="479"/>
        <v/>
      </c>
      <c r="BP623" s="173" t="str">
        <f t="shared" si="479"/>
        <v/>
      </c>
      <c r="BQ623" s="173" t="str">
        <f t="shared" si="479"/>
        <v/>
      </c>
      <c r="BR623" s="180" t="str">
        <f t="shared" si="479"/>
        <v/>
      </c>
      <c r="BT623" s="185" t="str">
        <f t="shared" si="480"/>
        <v/>
      </c>
      <c r="BU623" s="173" t="str">
        <f t="shared" si="480"/>
        <v/>
      </c>
      <c r="BV623" s="173" t="str">
        <f t="shared" si="480"/>
        <v/>
      </c>
      <c r="BW623" s="180" t="str">
        <f t="shared" si="480"/>
        <v/>
      </c>
      <c r="BX623" s="288"/>
      <c r="CM623" s="96"/>
    </row>
    <row r="624" spans="1:91">
      <c r="A624" s="47" t="str">
        <f t="shared" si="466"/>
        <v/>
      </c>
      <c r="B624" s="185">
        <f t="shared" si="466"/>
        <v>45</v>
      </c>
      <c r="C624" s="173">
        <f t="shared" si="466"/>
        <v>96.5</v>
      </c>
      <c r="D624" s="173">
        <f t="shared" si="466"/>
        <v>513</v>
      </c>
      <c r="E624" s="180">
        <f t="shared" si="466"/>
        <v>18</v>
      </c>
      <c r="G624" s="185">
        <f t="shared" si="467"/>
        <v>45</v>
      </c>
      <c r="H624" s="173">
        <f t="shared" si="467"/>
        <v>96.5</v>
      </c>
      <c r="I624" s="173">
        <f t="shared" si="467"/>
        <v>273</v>
      </c>
      <c r="J624" s="180">
        <f t="shared" si="467"/>
        <v>18</v>
      </c>
      <c r="L624" s="185">
        <f t="shared" si="468"/>
        <v>45</v>
      </c>
      <c r="M624" s="173">
        <f t="shared" si="468"/>
        <v>96.5</v>
      </c>
      <c r="N624" s="173">
        <f t="shared" si="468"/>
        <v>147</v>
      </c>
      <c r="O624" s="180">
        <f t="shared" si="468"/>
        <v>18</v>
      </c>
      <c r="Q624" s="185">
        <f t="shared" si="469"/>
        <v>45</v>
      </c>
      <c r="R624" s="173">
        <f t="shared" si="469"/>
        <v>53.5</v>
      </c>
      <c r="S624" s="173">
        <f t="shared" si="469"/>
        <v>603</v>
      </c>
      <c r="T624" s="180">
        <f t="shared" si="469"/>
        <v>18</v>
      </c>
      <c r="V624" s="185">
        <f t="shared" si="470"/>
        <v>45</v>
      </c>
      <c r="W624" s="173">
        <f t="shared" si="470"/>
        <v>53.5</v>
      </c>
      <c r="X624" s="173">
        <f t="shared" si="470"/>
        <v>260.5</v>
      </c>
      <c r="Y624" s="180">
        <f t="shared" si="470"/>
        <v>18</v>
      </c>
      <c r="AA624" s="185">
        <f t="shared" si="471"/>
        <v>45</v>
      </c>
      <c r="AB624" s="173">
        <f t="shared" si="471"/>
        <v>53.5</v>
      </c>
      <c r="AC624" s="173">
        <f t="shared" si="471"/>
        <v>92</v>
      </c>
      <c r="AD624" s="180">
        <f t="shared" si="471"/>
        <v>18</v>
      </c>
      <c r="AF624" s="185" t="str">
        <f t="shared" si="472"/>
        <v/>
      </c>
      <c r="AG624" s="173" t="str">
        <f t="shared" si="472"/>
        <v/>
      </c>
      <c r="AH624" s="173" t="str">
        <f t="shared" si="472"/>
        <v/>
      </c>
      <c r="AI624" s="180" t="str">
        <f t="shared" si="472"/>
        <v/>
      </c>
      <c r="AK624" s="185" t="str">
        <f t="shared" si="473"/>
        <v/>
      </c>
      <c r="AL624" s="173" t="str">
        <f t="shared" si="473"/>
        <v/>
      </c>
      <c r="AM624" s="173" t="str">
        <f t="shared" si="473"/>
        <v/>
      </c>
      <c r="AN624" s="180" t="str">
        <f t="shared" si="473"/>
        <v/>
      </c>
      <c r="AP624" s="185">
        <f t="shared" si="474"/>
        <v>45</v>
      </c>
      <c r="AQ624" s="173">
        <f t="shared" si="474"/>
        <v>53.5</v>
      </c>
      <c r="AR624" s="173">
        <f t="shared" si="474"/>
        <v>753</v>
      </c>
      <c r="AS624" s="180">
        <f t="shared" si="474"/>
        <v>18</v>
      </c>
      <c r="AT624" s="288"/>
      <c r="AU624" s="185">
        <f t="shared" si="475"/>
        <v>45</v>
      </c>
      <c r="AV624" s="173">
        <f t="shared" si="475"/>
        <v>10.799999999999997</v>
      </c>
      <c r="AW624" s="173">
        <f t="shared" si="475"/>
        <v>64</v>
      </c>
      <c r="AX624" s="180">
        <f t="shared" si="475"/>
        <v>17.5</v>
      </c>
      <c r="AZ624" s="185" t="str">
        <f t="shared" si="476"/>
        <v/>
      </c>
      <c r="BA624" s="173" t="str">
        <f t="shared" si="476"/>
        <v/>
      </c>
      <c r="BB624" s="173" t="str">
        <f t="shared" si="476"/>
        <v/>
      </c>
      <c r="BC624" s="180" t="str">
        <f t="shared" si="476"/>
        <v/>
      </c>
      <c r="BE624" s="185" t="str">
        <f t="shared" si="477"/>
        <v/>
      </c>
      <c r="BF624" s="173" t="str">
        <f t="shared" si="477"/>
        <v/>
      </c>
      <c r="BG624" s="173" t="str">
        <f t="shared" si="477"/>
        <v/>
      </c>
      <c r="BH624" s="180" t="str">
        <f t="shared" si="477"/>
        <v/>
      </c>
      <c r="BI624" s="288"/>
      <c r="BJ624" s="185" t="str">
        <f t="shared" si="478"/>
        <v/>
      </c>
      <c r="BK624" s="173" t="str">
        <f t="shared" si="478"/>
        <v/>
      </c>
      <c r="BL624" s="173" t="str">
        <f t="shared" si="478"/>
        <v/>
      </c>
      <c r="BM624" s="180" t="str">
        <f t="shared" si="478"/>
        <v/>
      </c>
      <c r="BO624" s="185" t="str">
        <f t="shared" si="479"/>
        <v/>
      </c>
      <c r="BP624" s="173" t="str">
        <f t="shared" si="479"/>
        <v/>
      </c>
      <c r="BQ624" s="173" t="str">
        <f t="shared" si="479"/>
        <v/>
      </c>
      <c r="BR624" s="180" t="str">
        <f t="shared" si="479"/>
        <v/>
      </c>
      <c r="BT624" s="185" t="str">
        <f t="shared" si="480"/>
        <v/>
      </c>
      <c r="BU624" s="173" t="str">
        <f t="shared" si="480"/>
        <v/>
      </c>
      <c r="BV624" s="173" t="str">
        <f t="shared" si="480"/>
        <v/>
      </c>
      <c r="BW624" s="180" t="str">
        <f t="shared" si="480"/>
        <v/>
      </c>
      <c r="BX624" s="288"/>
      <c r="CM624" s="96"/>
    </row>
    <row r="625" spans="1:91">
      <c r="A625" s="47" t="str">
        <f t="shared" ref="A625:E640" si="481">IF(A163="","",A163)</f>
        <v/>
      </c>
      <c r="B625" s="185">
        <f t="shared" si="481"/>
        <v>45</v>
      </c>
      <c r="C625" s="173">
        <f t="shared" si="481"/>
        <v>96.5</v>
      </c>
      <c r="D625" s="173">
        <f t="shared" si="481"/>
        <v>456</v>
      </c>
      <c r="E625" s="180">
        <f t="shared" si="481"/>
        <v>18</v>
      </c>
      <c r="G625" s="185">
        <f t="shared" ref="G625:J640" si="482">IF(G163="","",G163)</f>
        <v>45</v>
      </c>
      <c r="H625" s="173">
        <f t="shared" si="482"/>
        <v>96.5</v>
      </c>
      <c r="I625" s="173">
        <f t="shared" si="482"/>
        <v>216</v>
      </c>
      <c r="J625" s="180">
        <f t="shared" si="482"/>
        <v>18</v>
      </c>
      <c r="L625" s="185">
        <f t="shared" ref="L625:O640" si="483">IF(L163="","",L163)</f>
        <v>45</v>
      </c>
      <c r="M625" s="173">
        <f t="shared" si="483"/>
        <v>96.5</v>
      </c>
      <c r="N625" s="173">
        <f t="shared" si="483"/>
        <v>90</v>
      </c>
      <c r="O625" s="180">
        <f t="shared" si="483"/>
        <v>18</v>
      </c>
      <c r="Q625" s="185">
        <f t="shared" ref="Q625:T640" si="484">IF(Q163="","",Q163)</f>
        <v>45</v>
      </c>
      <c r="R625" s="173">
        <f t="shared" si="484"/>
        <v>53.5</v>
      </c>
      <c r="S625" s="173">
        <f t="shared" si="484"/>
        <v>546</v>
      </c>
      <c r="T625" s="180">
        <f t="shared" si="484"/>
        <v>18</v>
      </c>
      <c r="V625" s="185">
        <f t="shared" ref="V625:Y640" si="485">IF(V163="","",V163)</f>
        <v>45</v>
      </c>
      <c r="W625" s="173">
        <f t="shared" si="485"/>
        <v>53.5</v>
      </c>
      <c r="X625" s="173">
        <f t="shared" si="485"/>
        <v>203.5</v>
      </c>
      <c r="Y625" s="180">
        <f t="shared" si="485"/>
        <v>18</v>
      </c>
      <c r="AA625" s="185">
        <f t="shared" ref="AA625:AD640" si="486">IF(AA163="","",AA163)</f>
        <v>45</v>
      </c>
      <c r="AB625" s="173">
        <f t="shared" si="486"/>
        <v>10.5</v>
      </c>
      <c r="AC625" s="173">
        <f t="shared" si="486"/>
        <v>412</v>
      </c>
      <c r="AD625" s="180">
        <f t="shared" si="486"/>
        <v>18</v>
      </c>
      <c r="AF625" s="185" t="str">
        <f t="shared" ref="AF625:AI640" si="487">IF(AF163="","",AF163)</f>
        <v/>
      </c>
      <c r="AG625" s="173" t="str">
        <f t="shared" si="487"/>
        <v/>
      </c>
      <c r="AH625" s="173" t="str">
        <f t="shared" si="487"/>
        <v/>
      </c>
      <c r="AI625" s="180" t="str">
        <f t="shared" si="487"/>
        <v/>
      </c>
      <c r="AK625" s="185" t="str">
        <f t="shared" ref="AK625:AN640" si="488">IF(AK163="","",AK163)</f>
        <v/>
      </c>
      <c r="AL625" s="173" t="str">
        <f t="shared" si="488"/>
        <v/>
      </c>
      <c r="AM625" s="173" t="str">
        <f t="shared" si="488"/>
        <v/>
      </c>
      <c r="AN625" s="180" t="str">
        <f t="shared" si="488"/>
        <v/>
      </c>
      <c r="AP625" s="185">
        <f t="shared" ref="AP625:AS640" si="489">IF(AP163="","",AP163)</f>
        <v>45</v>
      </c>
      <c r="AQ625" s="173">
        <f t="shared" si="489"/>
        <v>53.5</v>
      </c>
      <c r="AR625" s="173">
        <f t="shared" si="489"/>
        <v>696</v>
      </c>
      <c r="AS625" s="180">
        <f t="shared" si="489"/>
        <v>18</v>
      </c>
      <c r="AT625" s="288"/>
      <c r="AU625" s="185" t="str">
        <f t="shared" ref="AU625:AX640" si="490">IF(AU163="","",AU163)</f>
        <v/>
      </c>
      <c r="AV625" s="173" t="str">
        <f t="shared" si="490"/>
        <v/>
      </c>
      <c r="AW625" s="173" t="str">
        <f t="shared" si="490"/>
        <v/>
      </c>
      <c r="AX625" s="180" t="str">
        <f t="shared" si="490"/>
        <v/>
      </c>
      <c r="AZ625" s="185" t="str">
        <f t="shared" ref="AZ625:BC640" si="491">IF(AZ163="","",AZ163)</f>
        <v/>
      </c>
      <c r="BA625" s="173" t="str">
        <f t="shared" si="491"/>
        <v/>
      </c>
      <c r="BB625" s="173" t="str">
        <f t="shared" si="491"/>
        <v/>
      </c>
      <c r="BC625" s="180" t="str">
        <f t="shared" si="491"/>
        <v/>
      </c>
      <c r="BE625" s="185" t="str">
        <f t="shared" ref="BE625:BH640" si="492">IF(BE163="","",BE163)</f>
        <v/>
      </c>
      <c r="BF625" s="173" t="str">
        <f t="shared" si="492"/>
        <v/>
      </c>
      <c r="BG625" s="173" t="str">
        <f t="shared" si="492"/>
        <v/>
      </c>
      <c r="BH625" s="180" t="str">
        <f t="shared" si="492"/>
        <v/>
      </c>
      <c r="BI625" s="288"/>
      <c r="BJ625" s="185" t="str">
        <f t="shared" ref="BJ625:BM640" si="493">IF(BJ163="","",BJ163)</f>
        <v/>
      </c>
      <c r="BK625" s="173" t="str">
        <f t="shared" si="493"/>
        <v/>
      </c>
      <c r="BL625" s="173" t="str">
        <f t="shared" si="493"/>
        <v/>
      </c>
      <c r="BM625" s="180" t="str">
        <f t="shared" si="493"/>
        <v/>
      </c>
      <c r="BO625" s="185" t="str">
        <f t="shared" ref="BO625:BR640" si="494">IF(BO163="","",BO163)</f>
        <v/>
      </c>
      <c r="BP625" s="173" t="str">
        <f t="shared" si="494"/>
        <v/>
      </c>
      <c r="BQ625" s="173" t="str">
        <f t="shared" si="494"/>
        <v/>
      </c>
      <c r="BR625" s="180" t="str">
        <f t="shared" si="494"/>
        <v/>
      </c>
      <c r="BT625" s="185" t="str">
        <f t="shared" ref="BT625:BW640" si="495">IF(BT163="","",BT163)</f>
        <v/>
      </c>
      <c r="BU625" s="173" t="str">
        <f t="shared" si="495"/>
        <v/>
      </c>
      <c r="BV625" s="173" t="str">
        <f t="shared" si="495"/>
        <v/>
      </c>
      <c r="BW625" s="180" t="str">
        <f t="shared" si="495"/>
        <v/>
      </c>
      <c r="BX625" s="288"/>
      <c r="CM625" s="96"/>
    </row>
    <row r="626" spans="1:91">
      <c r="A626" s="47" t="str">
        <f t="shared" si="481"/>
        <v/>
      </c>
      <c r="B626" s="185">
        <f t="shared" si="481"/>
        <v>45</v>
      </c>
      <c r="C626" s="173">
        <f t="shared" si="481"/>
        <v>96.5</v>
      </c>
      <c r="D626" s="173">
        <f t="shared" si="481"/>
        <v>399</v>
      </c>
      <c r="E626" s="180">
        <f t="shared" si="481"/>
        <v>18</v>
      </c>
      <c r="G626" s="185">
        <f t="shared" si="482"/>
        <v>45</v>
      </c>
      <c r="H626" s="173">
        <f t="shared" si="482"/>
        <v>96.5</v>
      </c>
      <c r="I626" s="173">
        <f t="shared" si="482"/>
        <v>159</v>
      </c>
      <c r="J626" s="180">
        <f t="shared" si="482"/>
        <v>18</v>
      </c>
      <c r="L626" s="185">
        <f t="shared" si="483"/>
        <v>45</v>
      </c>
      <c r="M626" s="173">
        <f t="shared" si="483"/>
        <v>53.5</v>
      </c>
      <c r="N626" s="173">
        <f t="shared" si="483"/>
        <v>660</v>
      </c>
      <c r="O626" s="180">
        <f t="shared" si="483"/>
        <v>18</v>
      </c>
      <c r="Q626" s="185">
        <f t="shared" si="484"/>
        <v>45</v>
      </c>
      <c r="R626" s="173">
        <f t="shared" si="484"/>
        <v>53.5</v>
      </c>
      <c r="S626" s="173">
        <f t="shared" si="484"/>
        <v>489</v>
      </c>
      <c r="T626" s="180">
        <f t="shared" si="484"/>
        <v>18</v>
      </c>
      <c r="V626" s="185">
        <f t="shared" si="485"/>
        <v>45</v>
      </c>
      <c r="W626" s="173">
        <f t="shared" si="485"/>
        <v>53.5</v>
      </c>
      <c r="X626" s="173">
        <f t="shared" si="485"/>
        <v>146.5</v>
      </c>
      <c r="Y626" s="180">
        <f t="shared" si="485"/>
        <v>18</v>
      </c>
      <c r="AA626" s="185">
        <f t="shared" si="486"/>
        <v>45</v>
      </c>
      <c r="AB626" s="173">
        <f t="shared" si="486"/>
        <v>10.5</v>
      </c>
      <c r="AC626" s="173">
        <f t="shared" si="486"/>
        <v>354</v>
      </c>
      <c r="AD626" s="180">
        <f t="shared" si="486"/>
        <v>18</v>
      </c>
      <c r="AF626" s="185" t="str">
        <f t="shared" si="487"/>
        <v/>
      </c>
      <c r="AG626" s="173" t="str">
        <f t="shared" si="487"/>
        <v/>
      </c>
      <c r="AH626" s="173" t="str">
        <f t="shared" si="487"/>
        <v/>
      </c>
      <c r="AI626" s="180" t="str">
        <f t="shared" si="487"/>
        <v/>
      </c>
      <c r="AK626" s="185" t="str">
        <f t="shared" si="488"/>
        <v/>
      </c>
      <c r="AL626" s="173" t="str">
        <f t="shared" si="488"/>
        <v/>
      </c>
      <c r="AM626" s="173" t="str">
        <f t="shared" si="488"/>
        <v/>
      </c>
      <c r="AN626" s="180" t="str">
        <f t="shared" si="488"/>
        <v/>
      </c>
      <c r="AP626" s="185">
        <f t="shared" si="489"/>
        <v>45</v>
      </c>
      <c r="AQ626" s="173">
        <f t="shared" si="489"/>
        <v>53.5</v>
      </c>
      <c r="AR626" s="173">
        <f t="shared" si="489"/>
        <v>639</v>
      </c>
      <c r="AS626" s="180">
        <f t="shared" si="489"/>
        <v>18</v>
      </c>
      <c r="AT626" s="288"/>
      <c r="AU626" s="185" t="str">
        <f t="shared" si="490"/>
        <v/>
      </c>
      <c r="AV626" s="173" t="str">
        <f t="shared" si="490"/>
        <v/>
      </c>
      <c r="AW626" s="173" t="str">
        <f t="shared" si="490"/>
        <v/>
      </c>
      <c r="AX626" s="180" t="str">
        <f t="shared" si="490"/>
        <v/>
      </c>
      <c r="AZ626" s="185" t="str">
        <f t="shared" si="491"/>
        <v/>
      </c>
      <c r="BA626" s="173" t="str">
        <f t="shared" si="491"/>
        <v/>
      </c>
      <c r="BB626" s="173" t="str">
        <f t="shared" si="491"/>
        <v/>
      </c>
      <c r="BC626" s="180" t="str">
        <f t="shared" si="491"/>
        <v/>
      </c>
      <c r="BE626" s="185" t="str">
        <f t="shared" si="492"/>
        <v/>
      </c>
      <c r="BF626" s="173" t="str">
        <f t="shared" si="492"/>
        <v/>
      </c>
      <c r="BG626" s="173" t="str">
        <f t="shared" si="492"/>
        <v/>
      </c>
      <c r="BH626" s="180" t="str">
        <f t="shared" si="492"/>
        <v/>
      </c>
      <c r="BI626" s="288"/>
      <c r="BJ626" s="185" t="str">
        <f t="shared" si="493"/>
        <v/>
      </c>
      <c r="BK626" s="173" t="str">
        <f t="shared" si="493"/>
        <v/>
      </c>
      <c r="BL626" s="173" t="str">
        <f t="shared" si="493"/>
        <v/>
      </c>
      <c r="BM626" s="180" t="str">
        <f t="shared" si="493"/>
        <v/>
      </c>
      <c r="BO626" s="185" t="str">
        <f t="shared" si="494"/>
        <v/>
      </c>
      <c r="BP626" s="173" t="str">
        <f t="shared" si="494"/>
        <v/>
      </c>
      <c r="BQ626" s="173" t="str">
        <f t="shared" si="494"/>
        <v/>
      </c>
      <c r="BR626" s="180" t="str">
        <f t="shared" si="494"/>
        <v/>
      </c>
      <c r="BT626" s="185" t="str">
        <f t="shared" si="495"/>
        <v/>
      </c>
      <c r="BU626" s="173" t="str">
        <f t="shared" si="495"/>
        <v/>
      </c>
      <c r="BV626" s="173" t="str">
        <f t="shared" si="495"/>
        <v/>
      </c>
      <c r="BW626" s="180" t="str">
        <f t="shared" si="495"/>
        <v/>
      </c>
      <c r="BX626" s="288"/>
      <c r="CM626" s="96"/>
    </row>
    <row r="627" spans="1:91">
      <c r="A627" s="47" t="str">
        <f t="shared" si="481"/>
        <v/>
      </c>
      <c r="B627" s="185">
        <f t="shared" si="481"/>
        <v>45</v>
      </c>
      <c r="C627" s="173">
        <f t="shared" si="481"/>
        <v>96.5</v>
      </c>
      <c r="D627" s="173">
        <f t="shared" si="481"/>
        <v>342</v>
      </c>
      <c r="E627" s="180">
        <f t="shared" si="481"/>
        <v>18</v>
      </c>
      <c r="G627" s="185">
        <f t="shared" si="482"/>
        <v>45</v>
      </c>
      <c r="H627" s="173">
        <f t="shared" si="482"/>
        <v>96.5</v>
      </c>
      <c r="I627" s="173">
        <f t="shared" si="482"/>
        <v>102</v>
      </c>
      <c r="J627" s="180">
        <f t="shared" si="482"/>
        <v>18</v>
      </c>
      <c r="L627" s="185">
        <f t="shared" si="483"/>
        <v>45</v>
      </c>
      <c r="M627" s="173">
        <f t="shared" si="483"/>
        <v>53.5</v>
      </c>
      <c r="N627" s="173">
        <f t="shared" si="483"/>
        <v>603</v>
      </c>
      <c r="O627" s="180">
        <f t="shared" si="483"/>
        <v>18</v>
      </c>
      <c r="Q627" s="185">
        <f t="shared" si="484"/>
        <v>45</v>
      </c>
      <c r="R627" s="173">
        <f t="shared" si="484"/>
        <v>53.5</v>
      </c>
      <c r="S627" s="173">
        <f t="shared" si="484"/>
        <v>432</v>
      </c>
      <c r="T627" s="180">
        <f t="shared" si="484"/>
        <v>18</v>
      </c>
      <c r="V627" s="185">
        <f t="shared" si="485"/>
        <v>45</v>
      </c>
      <c r="W627" s="173">
        <f t="shared" si="485"/>
        <v>53.5</v>
      </c>
      <c r="X627" s="173">
        <f t="shared" si="485"/>
        <v>89.5</v>
      </c>
      <c r="Y627" s="180">
        <f t="shared" si="485"/>
        <v>18</v>
      </c>
      <c r="AA627" s="185">
        <f t="shared" si="486"/>
        <v>45</v>
      </c>
      <c r="AB627" s="173">
        <f t="shared" si="486"/>
        <v>10.5</v>
      </c>
      <c r="AC627" s="173">
        <f t="shared" si="486"/>
        <v>296</v>
      </c>
      <c r="AD627" s="180">
        <f t="shared" si="486"/>
        <v>18</v>
      </c>
      <c r="AF627" s="185" t="str">
        <f t="shared" si="487"/>
        <v/>
      </c>
      <c r="AG627" s="173" t="str">
        <f t="shared" si="487"/>
        <v/>
      </c>
      <c r="AH627" s="173" t="str">
        <f t="shared" si="487"/>
        <v/>
      </c>
      <c r="AI627" s="180" t="str">
        <f t="shared" si="487"/>
        <v/>
      </c>
      <c r="AK627" s="185" t="str">
        <f t="shared" si="488"/>
        <v/>
      </c>
      <c r="AL627" s="173" t="str">
        <f t="shared" si="488"/>
        <v/>
      </c>
      <c r="AM627" s="173" t="str">
        <f t="shared" si="488"/>
        <v/>
      </c>
      <c r="AN627" s="180" t="str">
        <f t="shared" si="488"/>
        <v/>
      </c>
      <c r="AP627" s="185">
        <f t="shared" si="489"/>
        <v>45</v>
      </c>
      <c r="AQ627" s="173">
        <f t="shared" si="489"/>
        <v>53.5</v>
      </c>
      <c r="AR627" s="173">
        <f t="shared" si="489"/>
        <v>582</v>
      </c>
      <c r="AS627" s="180">
        <f t="shared" si="489"/>
        <v>18</v>
      </c>
      <c r="AT627" s="288"/>
      <c r="AU627" s="185" t="str">
        <f t="shared" si="490"/>
        <v/>
      </c>
      <c r="AV627" s="173" t="str">
        <f t="shared" si="490"/>
        <v/>
      </c>
      <c r="AW627" s="173" t="str">
        <f t="shared" si="490"/>
        <v/>
      </c>
      <c r="AX627" s="180" t="str">
        <f t="shared" si="490"/>
        <v/>
      </c>
      <c r="AZ627" s="185" t="str">
        <f t="shared" si="491"/>
        <v/>
      </c>
      <c r="BA627" s="173" t="str">
        <f t="shared" si="491"/>
        <v/>
      </c>
      <c r="BB627" s="173" t="str">
        <f t="shared" si="491"/>
        <v/>
      </c>
      <c r="BC627" s="180" t="str">
        <f t="shared" si="491"/>
        <v/>
      </c>
      <c r="BE627" s="185" t="str">
        <f t="shared" si="492"/>
        <v/>
      </c>
      <c r="BF627" s="173" t="str">
        <f t="shared" si="492"/>
        <v/>
      </c>
      <c r="BG627" s="173" t="str">
        <f t="shared" si="492"/>
        <v/>
      </c>
      <c r="BH627" s="180" t="str">
        <f t="shared" si="492"/>
        <v/>
      </c>
      <c r="BI627" s="288"/>
      <c r="BJ627" s="185" t="str">
        <f t="shared" si="493"/>
        <v/>
      </c>
      <c r="BK627" s="173" t="str">
        <f t="shared" si="493"/>
        <v/>
      </c>
      <c r="BL627" s="173" t="str">
        <f t="shared" si="493"/>
        <v/>
      </c>
      <c r="BM627" s="180" t="str">
        <f t="shared" si="493"/>
        <v/>
      </c>
      <c r="BO627" s="185" t="str">
        <f t="shared" si="494"/>
        <v/>
      </c>
      <c r="BP627" s="173" t="str">
        <f t="shared" si="494"/>
        <v/>
      </c>
      <c r="BQ627" s="173" t="str">
        <f t="shared" si="494"/>
        <v/>
      </c>
      <c r="BR627" s="180" t="str">
        <f t="shared" si="494"/>
        <v/>
      </c>
      <c r="BT627" s="185" t="str">
        <f t="shared" si="495"/>
        <v/>
      </c>
      <c r="BU627" s="173" t="str">
        <f t="shared" si="495"/>
        <v/>
      </c>
      <c r="BV627" s="173" t="str">
        <f t="shared" si="495"/>
        <v/>
      </c>
      <c r="BW627" s="180" t="str">
        <f t="shared" si="495"/>
        <v/>
      </c>
      <c r="BX627" s="288"/>
      <c r="CM627" s="96"/>
    </row>
    <row r="628" spans="1:91">
      <c r="A628" s="47" t="str">
        <f t="shared" si="481"/>
        <v/>
      </c>
      <c r="B628" s="185">
        <f t="shared" si="481"/>
        <v>45</v>
      </c>
      <c r="C628" s="173">
        <f t="shared" si="481"/>
        <v>53.5</v>
      </c>
      <c r="D628" s="173">
        <f t="shared" si="481"/>
        <v>969</v>
      </c>
      <c r="E628" s="180">
        <f t="shared" si="481"/>
        <v>18</v>
      </c>
      <c r="G628" s="185">
        <f t="shared" si="482"/>
        <v>45</v>
      </c>
      <c r="H628" s="173">
        <f t="shared" si="482"/>
        <v>53.5</v>
      </c>
      <c r="I628" s="173">
        <f t="shared" si="482"/>
        <v>729</v>
      </c>
      <c r="J628" s="180">
        <f t="shared" si="482"/>
        <v>18</v>
      </c>
      <c r="L628" s="185">
        <f t="shared" si="483"/>
        <v>45</v>
      </c>
      <c r="M628" s="173">
        <f t="shared" si="483"/>
        <v>53.5</v>
      </c>
      <c r="N628" s="173">
        <f t="shared" si="483"/>
        <v>546</v>
      </c>
      <c r="O628" s="180">
        <f t="shared" si="483"/>
        <v>18</v>
      </c>
      <c r="Q628" s="185">
        <f t="shared" si="484"/>
        <v>45</v>
      </c>
      <c r="R628" s="173">
        <f t="shared" si="484"/>
        <v>53.5</v>
      </c>
      <c r="S628" s="173">
        <f t="shared" si="484"/>
        <v>375</v>
      </c>
      <c r="T628" s="180">
        <f t="shared" si="484"/>
        <v>18</v>
      </c>
      <c r="V628" s="185">
        <f t="shared" si="485"/>
        <v>45</v>
      </c>
      <c r="W628" s="173">
        <f t="shared" si="485"/>
        <v>10.5</v>
      </c>
      <c r="X628" s="173">
        <f t="shared" si="485"/>
        <v>460</v>
      </c>
      <c r="Y628" s="180">
        <f t="shared" si="485"/>
        <v>18</v>
      </c>
      <c r="AA628" s="185">
        <f t="shared" si="486"/>
        <v>45</v>
      </c>
      <c r="AB628" s="173">
        <f t="shared" si="486"/>
        <v>10.5</v>
      </c>
      <c r="AC628" s="173">
        <f t="shared" si="486"/>
        <v>238</v>
      </c>
      <c r="AD628" s="180">
        <f t="shared" si="486"/>
        <v>18</v>
      </c>
      <c r="AF628" s="185" t="str">
        <f t="shared" si="487"/>
        <v/>
      </c>
      <c r="AG628" s="173" t="str">
        <f t="shared" si="487"/>
        <v/>
      </c>
      <c r="AH628" s="173" t="str">
        <f t="shared" si="487"/>
        <v/>
      </c>
      <c r="AI628" s="180" t="str">
        <f t="shared" si="487"/>
        <v/>
      </c>
      <c r="AK628" s="185" t="str">
        <f t="shared" si="488"/>
        <v/>
      </c>
      <c r="AL628" s="173" t="str">
        <f t="shared" si="488"/>
        <v/>
      </c>
      <c r="AM628" s="173" t="str">
        <f t="shared" si="488"/>
        <v/>
      </c>
      <c r="AN628" s="180" t="str">
        <f t="shared" si="488"/>
        <v/>
      </c>
      <c r="AP628" s="185">
        <f t="shared" si="489"/>
        <v>45</v>
      </c>
      <c r="AQ628" s="173">
        <f t="shared" si="489"/>
        <v>53.5</v>
      </c>
      <c r="AR628" s="173">
        <f t="shared" si="489"/>
        <v>525</v>
      </c>
      <c r="AS628" s="180">
        <f t="shared" si="489"/>
        <v>18</v>
      </c>
      <c r="AT628" s="288"/>
      <c r="AU628" s="185" t="str">
        <f t="shared" si="490"/>
        <v/>
      </c>
      <c r="AV628" s="173" t="str">
        <f t="shared" si="490"/>
        <v/>
      </c>
      <c r="AW628" s="173" t="str">
        <f t="shared" si="490"/>
        <v/>
      </c>
      <c r="AX628" s="180" t="str">
        <f t="shared" si="490"/>
        <v/>
      </c>
      <c r="AZ628" s="185" t="str">
        <f t="shared" si="491"/>
        <v/>
      </c>
      <c r="BA628" s="173" t="str">
        <f t="shared" si="491"/>
        <v/>
      </c>
      <c r="BB628" s="173" t="str">
        <f t="shared" si="491"/>
        <v/>
      </c>
      <c r="BC628" s="180" t="str">
        <f t="shared" si="491"/>
        <v/>
      </c>
      <c r="BE628" s="185" t="str">
        <f t="shared" si="492"/>
        <v/>
      </c>
      <c r="BF628" s="173" t="str">
        <f t="shared" si="492"/>
        <v/>
      </c>
      <c r="BG628" s="173" t="str">
        <f t="shared" si="492"/>
        <v/>
      </c>
      <c r="BH628" s="180" t="str">
        <f t="shared" si="492"/>
        <v/>
      </c>
      <c r="BI628" s="288"/>
      <c r="BJ628" s="185" t="str">
        <f t="shared" si="493"/>
        <v/>
      </c>
      <c r="BK628" s="173" t="str">
        <f t="shared" si="493"/>
        <v/>
      </c>
      <c r="BL628" s="173" t="str">
        <f t="shared" si="493"/>
        <v/>
      </c>
      <c r="BM628" s="180" t="str">
        <f t="shared" si="493"/>
        <v/>
      </c>
      <c r="BO628" s="185" t="str">
        <f t="shared" si="494"/>
        <v/>
      </c>
      <c r="BP628" s="173" t="str">
        <f t="shared" si="494"/>
        <v/>
      </c>
      <c r="BQ628" s="173" t="str">
        <f t="shared" si="494"/>
        <v/>
      </c>
      <c r="BR628" s="180" t="str">
        <f t="shared" si="494"/>
        <v/>
      </c>
      <c r="BT628" s="185" t="str">
        <f t="shared" si="495"/>
        <v/>
      </c>
      <c r="BU628" s="173" t="str">
        <f t="shared" si="495"/>
        <v/>
      </c>
      <c r="BV628" s="173" t="str">
        <f t="shared" si="495"/>
        <v/>
      </c>
      <c r="BW628" s="180" t="str">
        <f t="shared" si="495"/>
        <v/>
      </c>
      <c r="BX628" s="288"/>
      <c r="CM628" s="96"/>
    </row>
    <row r="629" spans="1:91">
      <c r="A629" s="47" t="str">
        <f t="shared" si="481"/>
        <v/>
      </c>
      <c r="B629" s="185">
        <f t="shared" si="481"/>
        <v>45</v>
      </c>
      <c r="C629" s="173">
        <f t="shared" si="481"/>
        <v>53.5</v>
      </c>
      <c r="D629" s="173">
        <f t="shared" si="481"/>
        <v>912</v>
      </c>
      <c r="E629" s="180">
        <f t="shared" si="481"/>
        <v>18</v>
      </c>
      <c r="G629" s="185">
        <f t="shared" si="482"/>
        <v>45</v>
      </c>
      <c r="H629" s="173">
        <f t="shared" si="482"/>
        <v>53.5</v>
      </c>
      <c r="I629" s="173">
        <f t="shared" si="482"/>
        <v>672</v>
      </c>
      <c r="J629" s="180">
        <f t="shared" si="482"/>
        <v>18</v>
      </c>
      <c r="L629" s="185">
        <f t="shared" si="483"/>
        <v>45</v>
      </c>
      <c r="M629" s="173">
        <f t="shared" si="483"/>
        <v>53.5</v>
      </c>
      <c r="N629" s="173">
        <f t="shared" si="483"/>
        <v>489</v>
      </c>
      <c r="O629" s="180">
        <f t="shared" si="483"/>
        <v>18</v>
      </c>
      <c r="Q629" s="185">
        <f t="shared" si="484"/>
        <v>45</v>
      </c>
      <c r="R629" s="173">
        <f t="shared" si="484"/>
        <v>53.5</v>
      </c>
      <c r="S629" s="173">
        <f t="shared" si="484"/>
        <v>318</v>
      </c>
      <c r="T629" s="180">
        <f t="shared" si="484"/>
        <v>18</v>
      </c>
      <c r="V629" s="185">
        <f t="shared" si="485"/>
        <v>45</v>
      </c>
      <c r="W629" s="173">
        <f t="shared" si="485"/>
        <v>10.5</v>
      </c>
      <c r="X629" s="173">
        <f t="shared" si="485"/>
        <v>403</v>
      </c>
      <c r="Y629" s="180">
        <f t="shared" si="485"/>
        <v>18</v>
      </c>
      <c r="AA629" s="185">
        <f t="shared" si="486"/>
        <v>45</v>
      </c>
      <c r="AB629" s="173">
        <f t="shared" si="486"/>
        <v>10.5</v>
      </c>
      <c r="AC629" s="173">
        <f t="shared" si="486"/>
        <v>180</v>
      </c>
      <c r="AD629" s="180">
        <f t="shared" si="486"/>
        <v>18</v>
      </c>
      <c r="AF629" s="185" t="str">
        <f t="shared" si="487"/>
        <v/>
      </c>
      <c r="AG629" s="173" t="str">
        <f t="shared" si="487"/>
        <v/>
      </c>
      <c r="AH629" s="173" t="str">
        <f t="shared" si="487"/>
        <v/>
      </c>
      <c r="AI629" s="180" t="str">
        <f t="shared" si="487"/>
        <v/>
      </c>
      <c r="AK629" s="185" t="str">
        <f t="shared" si="488"/>
        <v/>
      </c>
      <c r="AL629" s="173" t="str">
        <f t="shared" si="488"/>
        <v/>
      </c>
      <c r="AM629" s="173" t="str">
        <f t="shared" si="488"/>
        <v/>
      </c>
      <c r="AN629" s="180" t="str">
        <f t="shared" si="488"/>
        <v/>
      </c>
      <c r="AP629" s="185">
        <f t="shared" si="489"/>
        <v>45</v>
      </c>
      <c r="AQ629" s="173">
        <f t="shared" si="489"/>
        <v>53.5</v>
      </c>
      <c r="AR629" s="173">
        <f t="shared" si="489"/>
        <v>468</v>
      </c>
      <c r="AS629" s="180">
        <f t="shared" si="489"/>
        <v>18</v>
      </c>
      <c r="AT629" s="288"/>
      <c r="AU629" s="185" t="str">
        <f t="shared" si="490"/>
        <v/>
      </c>
      <c r="AV629" s="173" t="str">
        <f t="shared" si="490"/>
        <v/>
      </c>
      <c r="AW629" s="173" t="str">
        <f t="shared" si="490"/>
        <v/>
      </c>
      <c r="AX629" s="180" t="str">
        <f t="shared" si="490"/>
        <v/>
      </c>
      <c r="AZ629" s="185" t="str">
        <f t="shared" si="491"/>
        <v/>
      </c>
      <c r="BA629" s="173" t="str">
        <f t="shared" si="491"/>
        <v/>
      </c>
      <c r="BB629" s="173" t="str">
        <f t="shared" si="491"/>
        <v/>
      </c>
      <c r="BC629" s="180" t="str">
        <f t="shared" si="491"/>
        <v/>
      </c>
      <c r="BE629" s="185" t="str">
        <f t="shared" si="492"/>
        <v/>
      </c>
      <c r="BF629" s="173" t="str">
        <f t="shared" si="492"/>
        <v/>
      </c>
      <c r="BG629" s="173" t="str">
        <f t="shared" si="492"/>
        <v/>
      </c>
      <c r="BH629" s="180" t="str">
        <f t="shared" si="492"/>
        <v/>
      </c>
      <c r="BI629" s="288"/>
      <c r="BJ629" s="185" t="str">
        <f t="shared" si="493"/>
        <v/>
      </c>
      <c r="BK629" s="173" t="str">
        <f t="shared" si="493"/>
        <v/>
      </c>
      <c r="BL629" s="173" t="str">
        <f t="shared" si="493"/>
        <v/>
      </c>
      <c r="BM629" s="180" t="str">
        <f t="shared" si="493"/>
        <v/>
      </c>
      <c r="BO629" s="185" t="str">
        <f t="shared" si="494"/>
        <v/>
      </c>
      <c r="BP629" s="173" t="str">
        <f t="shared" si="494"/>
        <v/>
      </c>
      <c r="BQ629" s="173" t="str">
        <f t="shared" si="494"/>
        <v/>
      </c>
      <c r="BR629" s="180" t="str">
        <f t="shared" si="494"/>
        <v/>
      </c>
      <c r="BT629" s="185" t="str">
        <f t="shared" si="495"/>
        <v/>
      </c>
      <c r="BU629" s="173" t="str">
        <f t="shared" si="495"/>
        <v/>
      </c>
      <c r="BV629" s="173" t="str">
        <f t="shared" si="495"/>
        <v/>
      </c>
      <c r="BW629" s="180" t="str">
        <f t="shared" si="495"/>
        <v/>
      </c>
      <c r="BX629" s="288"/>
      <c r="CM629" s="96"/>
    </row>
    <row r="630" spans="1:91">
      <c r="A630" s="47" t="str">
        <f t="shared" si="481"/>
        <v/>
      </c>
      <c r="B630" s="185">
        <f t="shared" si="481"/>
        <v>45</v>
      </c>
      <c r="C630" s="173">
        <f t="shared" si="481"/>
        <v>53.5</v>
      </c>
      <c r="D630" s="173">
        <f t="shared" si="481"/>
        <v>855</v>
      </c>
      <c r="E630" s="180">
        <f t="shared" si="481"/>
        <v>18</v>
      </c>
      <c r="G630" s="185">
        <f t="shared" si="482"/>
        <v>45</v>
      </c>
      <c r="H630" s="173">
        <f t="shared" si="482"/>
        <v>53.5</v>
      </c>
      <c r="I630" s="173">
        <f t="shared" si="482"/>
        <v>615</v>
      </c>
      <c r="J630" s="180">
        <f t="shared" si="482"/>
        <v>18</v>
      </c>
      <c r="L630" s="185">
        <f t="shared" si="483"/>
        <v>45</v>
      </c>
      <c r="M630" s="173">
        <f t="shared" si="483"/>
        <v>53.5</v>
      </c>
      <c r="N630" s="173">
        <f t="shared" si="483"/>
        <v>432</v>
      </c>
      <c r="O630" s="180">
        <f t="shared" si="483"/>
        <v>18</v>
      </c>
      <c r="Q630" s="185">
        <f t="shared" si="484"/>
        <v>45</v>
      </c>
      <c r="R630" s="173">
        <f t="shared" si="484"/>
        <v>53.5</v>
      </c>
      <c r="S630" s="173">
        <f t="shared" si="484"/>
        <v>261</v>
      </c>
      <c r="T630" s="180">
        <f t="shared" si="484"/>
        <v>18</v>
      </c>
      <c r="V630" s="185">
        <f t="shared" si="485"/>
        <v>45</v>
      </c>
      <c r="W630" s="173">
        <f t="shared" si="485"/>
        <v>10.5</v>
      </c>
      <c r="X630" s="173">
        <f t="shared" si="485"/>
        <v>346</v>
      </c>
      <c r="Y630" s="180">
        <f t="shared" si="485"/>
        <v>18</v>
      </c>
      <c r="AA630" s="185">
        <f t="shared" si="486"/>
        <v>45</v>
      </c>
      <c r="AB630" s="173">
        <f t="shared" si="486"/>
        <v>10.5</v>
      </c>
      <c r="AC630" s="173">
        <f t="shared" si="486"/>
        <v>122</v>
      </c>
      <c r="AD630" s="180">
        <f t="shared" si="486"/>
        <v>18</v>
      </c>
      <c r="AF630" s="185" t="str">
        <f t="shared" si="487"/>
        <v/>
      </c>
      <c r="AG630" s="173" t="str">
        <f t="shared" si="487"/>
        <v/>
      </c>
      <c r="AH630" s="173" t="str">
        <f t="shared" si="487"/>
        <v/>
      </c>
      <c r="AI630" s="180" t="str">
        <f t="shared" si="487"/>
        <v/>
      </c>
      <c r="AK630" s="185" t="str">
        <f t="shared" si="488"/>
        <v/>
      </c>
      <c r="AL630" s="173" t="str">
        <f t="shared" si="488"/>
        <v/>
      </c>
      <c r="AM630" s="173" t="str">
        <f t="shared" si="488"/>
        <v/>
      </c>
      <c r="AN630" s="180" t="str">
        <f t="shared" si="488"/>
        <v/>
      </c>
      <c r="AP630" s="185">
        <f t="shared" si="489"/>
        <v>45</v>
      </c>
      <c r="AQ630" s="173">
        <f t="shared" si="489"/>
        <v>53.5</v>
      </c>
      <c r="AR630" s="173">
        <f t="shared" si="489"/>
        <v>411</v>
      </c>
      <c r="AS630" s="180">
        <f t="shared" si="489"/>
        <v>18</v>
      </c>
      <c r="AT630" s="288"/>
      <c r="AU630" s="185" t="str">
        <f t="shared" si="490"/>
        <v/>
      </c>
      <c r="AV630" s="173" t="str">
        <f t="shared" si="490"/>
        <v/>
      </c>
      <c r="AW630" s="173" t="str">
        <f t="shared" si="490"/>
        <v/>
      </c>
      <c r="AX630" s="180" t="str">
        <f t="shared" si="490"/>
        <v/>
      </c>
      <c r="AZ630" s="185" t="str">
        <f t="shared" si="491"/>
        <v/>
      </c>
      <c r="BA630" s="173" t="str">
        <f t="shared" si="491"/>
        <v/>
      </c>
      <c r="BB630" s="173" t="str">
        <f t="shared" si="491"/>
        <v/>
      </c>
      <c r="BC630" s="180" t="str">
        <f t="shared" si="491"/>
        <v/>
      </c>
      <c r="BE630" s="185" t="str">
        <f t="shared" si="492"/>
        <v/>
      </c>
      <c r="BF630" s="173" t="str">
        <f t="shared" si="492"/>
        <v/>
      </c>
      <c r="BG630" s="173" t="str">
        <f t="shared" si="492"/>
        <v/>
      </c>
      <c r="BH630" s="180" t="str">
        <f t="shared" si="492"/>
        <v/>
      </c>
      <c r="BI630" s="288"/>
      <c r="BJ630" s="185" t="str">
        <f t="shared" si="493"/>
        <v/>
      </c>
      <c r="BK630" s="173" t="str">
        <f t="shared" si="493"/>
        <v/>
      </c>
      <c r="BL630" s="173" t="str">
        <f t="shared" si="493"/>
        <v/>
      </c>
      <c r="BM630" s="180" t="str">
        <f t="shared" si="493"/>
        <v/>
      </c>
      <c r="BO630" s="185" t="str">
        <f t="shared" si="494"/>
        <v/>
      </c>
      <c r="BP630" s="173" t="str">
        <f t="shared" si="494"/>
        <v/>
      </c>
      <c r="BQ630" s="173" t="str">
        <f t="shared" si="494"/>
        <v/>
      </c>
      <c r="BR630" s="180" t="str">
        <f t="shared" si="494"/>
        <v/>
      </c>
      <c r="BT630" s="185" t="str">
        <f t="shared" si="495"/>
        <v/>
      </c>
      <c r="BU630" s="173" t="str">
        <f t="shared" si="495"/>
        <v/>
      </c>
      <c r="BV630" s="173" t="str">
        <f t="shared" si="495"/>
        <v/>
      </c>
      <c r="BW630" s="180" t="str">
        <f t="shared" si="495"/>
        <v/>
      </c>
      <c r="BX630" s="288"/>
      <c r="CM630" s="96"/>
    </row>
    <row r="631" spans="1:91">
      <c r="A631" s="47" t="str">
        <f t="shared" si="481"/>
        <v/>
      </c>
      <c r="B631" s="185">
        <f t="shared" si="481"/>
        <v>45</v>
      </c>
      <c r="C631" s="173">
        <f t="shared" si="481"/>
        <v>53.5</v>
      </c>
      <c r="D631" s="173">
        <f t="shared" si="481"/>
        <v>798</v>
      </c>
      <c r="E631" s="180">
        <f t="shared" si="481"/>
        <v>18</v>
      </c>
      <c r="G631" s="185">
        <f t="shared" si="482"/>
        <v>45</v>
      </c>
      <c r="H631" s="173">
        <f t="shared" si="482"/>
        <v>53.5</v>
      </c>
      <c r="I631" s="173">
        <f t="shared" si="482"/>
        <v>558</v>
      </c>
      <c r="J631" s="180">
        <f t="shared" si="482"/>
        <v>18</v>
      </c>
      <c r="L631" s="185">
        <f t="shared" si="483"/>
        <v>45</v>
      </c>
      <c r="M631" s="173">
        <f t="shared" si="483"/>
        <v>53.5</v>
      </c>
      <c r="N631" s="173">
        <f t="shared" si="483"/>
        <v>375</v>
      </c>
      <c r="O631" s="180">
        <f t="shared" si="483"/>
        <v>18</v>
      </c>
      <c r="Q631" s="185">
        <f t="shared" si="484"/>
        <v>45</v>
      </c>
      <c r="R631" s="173">
        <f t="shared" si="484"/>
        <v>53.5</v>
      </c>
      <c r="S631" s="173">
        <f t="shared" si="484"/>
        <v>204</v>
      </c>
      <c r="T631" s="180">
        <f t="shared" si="484"/>
        <v>18</v>
      </c>
      <c r="V631" s="185">
        <f t="shared" si="485"/>
        <v>45</v>
      </c>
      <c r="W631" s="173">
        <f t="shared" si="485"/>
        <v>10.5</v>
      </c>
      <c r="X631" s="173">
        <f t="shared" si="485"/>
        <v>289</v>
      </c>
      <c r="Y631" s="180">
        <f t="shared" si="485"/>
        <v>18</v>
      </c>
      <c r="AA631" s="185">
        <f t="shared" si="486"/>
        <v>45</v>
      </c>
      <c r="AB631" s="173">
        <f t="shared" si="486"/>
        <v>10.5</v>
      </c>
      <c r="AC631" s="173">
        <f t="shared" si="486"/>
        <v>64</v>
      </c>
      <c r="AD631" s="180">
        <f t="shared" si="486"/>
        <v>18</v>
      </c>
      <c r="AF631" s="185" t="str">
        <f t="shared" si="487"/>
        <v/>
      </c>
      <c r="AG631" s="173" t="str">
        <f t="shared" si="487"/>
        <v/>
      </c>
      <c r="AH631" s="173" t="str">
        <f t="shared" si="487"/>
        <v/>
      </c>
      <c r="AI631" s="180" t="str">
        <f t="shared" si="487"/>
        <v/>
      </c>
      <c r="AK631" s="185" t="str">
        <f t="shared" si="488"/>
        <v/>
      </c>
      <c r="AL631" s="173" t="str">
        <f t="shared" si="488"/>
        <v/>
      </c>
      <c r="AM631" s="173" t="str">
        <f t="shared" si="488"/>
        <v/>
      </c>
      <c r="AN631" s="180" t="str">
        <f t="shared" si="488"/>
        <v/>
      </c>
      <c r="AP631" s="185">
        <f t="shared" si="489"/>
        <v>45</v>
      </c>
      <c r="AQ631" s="173">
        <f t="shared" si="489"/>
        <v>53.5</v>
      </c>
      <c r="AR631" s="173">
        <f t="shared" si="489"/>
        <v>354</v>
      </c>
      <c r="AS631" s="180">
        <f t="shared" si="489"/>
        <v>18</v>
      </c>
      <c r="AT631" s="288"/>
      <c r="AU631" s="185" t="str">
        <f t="shared" si="490"/>
        <v/>
      </c>
      <c r="AV631" s="173" t="str">
        <f t="shared" si="490"/>
        <v/>
      </c>
      <c r="AW631" s="173" t="str">
        <f t="shared" si="490"/>
        <v/>
      </c>
      <c r="AX631" s="180" t="str">
        <f t="shared" si="490"/>
        <v/>
      </c>
      <c r="AZ631" s="185" t="str">
        <f t="shared" si="491"/>
        <v/>
      </c>
      <c r="BA631" s="173" t="str">
        <f t="shared" si="491"/>
        <v/>
      </c>
      <c r="BB631" s="173" t="str">
        <f t="shared" si="491"/>
        <v/>
      </c>
      <c r="BC631" s="180" t="str">
        <f t="shared" si="491"/>
        <v/>
      </c>
      <c r="BE631" s="185" t="str">
        <f t="shared" si="492"/>
        <v/>
      </c>
      <c r="BF631" s="173" t="str">
        <f t="shared" si="492"/>
        <v/>
      </c>
      <c r="BG631" s="173" t="str">
        <f t="shared" si="492"/>
        <v/>
      </c>
      <c r="BH631" s="180" t="str">
        <f t="shared" si="492"/>
        <v/>
      </c>
      <c r="BI631" s="288"/>
      <c r="BJ631" s="185" t="str">
        <f t="shared" si="493"/>
        <v/>
      </c>
      <c r="BK631" s="173" t="str">
        <f t="shared" si="493"/>
        <v/>
      </c>
      <c r="BL631" s="173" t="str">
        <f t="shared" si="493"/>
        <v/>
      </c>
      <c r="BM631" s="180" t="str">
        <f t="shared" si="493"/>
        <v/>
      </c>
      <c r="BO631" s="185" t="str">
        <f t="shared" si="494"/>
        <v/>
      </c>
      <c r="BP631" s="173" t="str">
        <f t="shared" si="494"/>
        <v/>
      </c>
      <c r="BQ631" s="173" t="str">
        <f t="shared" si="494"/>
        <v/>
      </c>
      <c r="BR631" s="180" t="str">
        <f t="shared" si="494"/>
        <v/>
      </c>
      <c r="BT631" s="185" t="str">
        <f t="shared" si="495"/>
        <v/>
      </c>
      <c r="BU631" s="173" t="str">
        <f t="shared" si="495"/>
        <v/>
      </c>
      <c r="BV631" s="173" t="str">
        <f t="shared" si="495"/>
        <v/>
      </c>
      <c r="BW631" s="180" t="str">
        <f t="shared" si="495"/>
        <v/>
      </c>
      <c r="BX631" s="288"/>
      <c r="CM631" s="96"/>
    </row>
    <row r="632" spans="1:91">
      <c r="A632" s="47" t="str">
        <f t="shared" si="481"/>
        <v/>
      </c>
      <c r="B632" s="185">
        <f t="shared" si="481"/>
        <v>45</v>
      </c>
      <c r="C632" s="173">
        <f t="shared" si="481"/>
        <v>53.5</v>
      </c>
      <c r="D632" s="173">
        <f t="shared" si="481"/>
        <v>741</v>
      </c>
      <c r="E632" s="180">
        <f t="shared" si="481"/>
        <v>18</v>
      </c>
      <c r="G632" s="185">
        <f t="shared" si="482"/>
        <v>45</v>
      </c>
      <c r="H632" s="173">
        <f t="shared" si="482"/>
        <v>53.5</v>
      </c>
      <c r="I632" s="173">
        <f t="shared" si="482"/>
        <v>501</v>
      </c>
      <c r="J632" s="180">
        <f t="shared" si="482"/>
        <v>18</v>
      </c>
      <c r="L632" s="185">
        <f t="shared" si="483"/>
        <v>45</v>
      </c>
      <c r="M632" s="173">
        <f t="shared" si="483"/>
        <v>53.5</v>
      </c>
      <c r="N632" s="173">
        <f t="shared" si="483"/>
        <v>318</v>
      </c>
      <c r="O632" s="180">
        <f t="shared" si="483"/>
        <v>18</v>
      </c>
      <c r="Q632" s="185">
        <f t="shared" si="484"/>
        <v>45</v>
      </c>
      <c r="R632" s="173">
        <f t="shared" si="484"/>
        <v>53.5</v>
      </c>
      <c r="S632" s="173">
        <f t="shared" si="484"/>
        <v>147</v>
      </c>
      <c r="T632" s="180">
        <f t="shared" si="484"/>
        <v>18</v>
      </c>
      <c r="V632" s="185">
        <f t="shared" si="485"/>
        <v>45</v>
      </c>
      <c r="W632" s="173">
        <f t="shared" si="485"/>
        <v>10.5</v>
      </c>
      <c r="X632" s="173">
        <f t="shared" si="485"/>
        <v>232</v>
      </c>
      <c r="Y632" s="180">
        <f t="shared" si="485"/>
        <v>18</v>
      </c>
      <c r="AA632" s="185" t="str">
        <f t="shared" si="486"/>
        <v/>
      </c>
      <c r="AB632" s="173" t="str">
        <f t="shared" si="486"/>
        <v/>
      </c>
      <c r="AC632" s="173" t="str">
        <f t="shared" si="486"/>
        <v/>
      </c>
      <c r="AD632" s="180" t="str">
        <f t="shared" si="486"/>
        <v/>
      </c>
      <c r="AF632" s="185" t="str">
        <f t="shared" si="487"/>
        <v/>
      </c>
      <c r="AG632" s="173" t="str">
        <f t="shared" si="487"/>
        <v/>
      </c>
      <c r="AH632" s="173" t="str">
        <f t="shared" si="487"/>
        <v/>
      </c>
      <c r="AI632" s="180" t="str">
        <f t="shared" si="487"/>
        <v/>
      </c>
      <c r="AK632" s="185" t="str">
        <f t="shared" si="488"/>
        <v/>
      </c>
      <c r="AL632" s="173" t="str">
        <f t="shared" si="488"/>
        <v/>
      </c>
      <c r="AM632" s="173" t="str">
        <f t="shared" si="488"/>
        <v/>
      </c>
      <c r="AN632" s="180" t="str">
        <f t="shared" si="488"/>
        <v/>
      </c>
      <c r="AP632" s="185">
        <f t="shared" si="489"/>
        <v>45</v>
      </c>
      <c r="AQ632" s="173">
        <f t="shared" si="489"/>
        <v>53.5</v>
      </c>
      <c r="AR632" s="173">
        <f t="shared" si="489"/>
        <v>297</v>
      </c>
      <c r="AS632" s="180">
        <f t="shared" si="489"/>
        <v>18</v>
      </c>
      <c r="AT632" s="288"/>
      <c r="AU632" s="185" t="str">
        <f t="shared" si="490"/>
        <v/>
      </c>
      <c r="AV632" s="173" t="str">
        <f t="shared" si="490"/>
        <v/>
      </c>
      <c r="AW632" s="173" t="str">
        <f t="shared" si="490"/>
        <v/>
      </c>
      <c r="AX632" s="180" t="str">
        <f t="shared" si="490"/>
        <v/>
      </c>
      <c r="AZ632" s="185" t="str">
        <f t="shared" si="491"/>
        <v/>
      </c>
      <c r="BA632" s="173" t="str">
        <f t="shared" si="491"/>
        <v/>
      </c>
      <c r="BB632" s="173" t="str">
        <f t="shared" si="491"/>
        <v/>
      </c>
      <c r="BC632" s="180" t="str">
        <f t="shared" si="491"/>
        <v/>
      </c>
      <c r="BE632" s="185" t="str">
        <f t="shared" si="492"/>
        <v/>
      </c>
      <c r="BF632" s="173" t="str">
        <f t="shared" si="492"/>
        <v/>
      </c>
      <c r="BG632" s="173" t="str">
        <f t="shared" si="492"/>
        <v/>
      </c>
      <c r="BH632" s="180" t="str">
        <f t="shared" si="492"/>
        <v/>
      </c>
      <c r="BI632" s="288"/>
      <c r="BJ632" s="185" t="str">
        <f t="shared" si="493"/>
        <v/>
      </c>
      <c r="BK632" s="173" t="str">
        <f t="shared" si="493"/>
        <v/>
      </c>
      <c r="BL632" s="173" t="str">
        <f t="shared" si="493"/>
        <v/>
      </c>
      <c r="BM632" s="180" t="str">
        <f t="shared" si="493"/>
        <v/>
      </c>
      <c r="BO632" s="185" t="str">
        <f t="shared" si="494"/>
        <v/>
      </c>
      <c r="BP632" s="173" t="str">
        <f t="shared" si="494"/>
        <v/>
      </c>
      <c r="BQ632" s="173" t="str">
        <f t="shared" si="494"/>
        <v/>
      </c>
      <c r="BR632" s="180" t="str">
        <f t="shared" si="494"/>
        <v/>
      </c>
      <c r="BT632" s="185" t="str">
        <f t="shared" si="495"/>
        <v/>
      </c>
      <c r="BU632" s="173" t="str">
        <f t="shared" si="495"/>
        <v/>
      </c>
      <c r="BV632" s="173" t="str">
        <f t="shared" si="495"/>
        <v/>
      </c>
      <c r="BW632" s="180" t="str">
        <f t="shared" si="495"/>
        <v/>
      </c>
      <c r="BX632" s="288"/>
      <c r="CM632" s="96"/>
    </row>
    <row r="633" spans="1:91">
      <c r="A633" s="47" t="str">
        <f t="shared" si="481"/>
        <v/>
      </c>
      <c r="B633" s="185">
        <f t="shared" si="481"/>
        <v>45</v>
      </c>
      <c r="C633" s="173">
        <f t="shared" si="481"/>
        <v>53.5</v>
      </c>
      <c r="D633" s="173">
        <f t="shared" si="481"/>
        <v>684</v>
      </c>
      <c r="E633" s="180">
        <f t="shared" si="481"/>
        <v>18</v>
      </c>
      <c r="G633" s="185">
        <f t="shared" si="482"/>
        <v>45</v>
      </c>
      <c r="H633" s="173">
        <f t="shared" si="482"/>
        <v>53.5</v>
      </c>
      <c r="I633" s="173">
        <f t="shared" si="482"/>
        <v>444</v>
      </c>
      <c r="J633" s="180">
        <f t="shared" si="482"/>
        <v>18</v>
      </c>
      <c r="L633" s="185">
        <f t="shared" si="483"/>
        <v>45</v>
      </c>
      <c r="M633" s="173">
        <f t="shared" si="483"/>
        <v>53.5</v>
      </c>
      <c r="N633" s="173">
        <f t="shared" si="483"/>
        <v>261</v>
      </c>
      <c r="O633" s="180">
        <f t="shared" si="483"/>
        <v>18</v>
      </c>
      <c r="Q633" s="185">
        <f t="shared" si="484"/>
        <v>45</v>
      </c>
      <c r="R633" s="173">
        <f t="shared" si="484"/>
        <v>53.5</v>
      </c>
      <c r="S633" s="173">
        <f t="shared" si="484"/>
        <v>90</v>
      </c>
      <c r="T633" s="180">
        <f t="shared" si="484"/>
        <v>18</v>
      </c>
      <c r="V633" s="185">
        <f t="shared" si="485"/>
        <v>45</v>
      </c>
      <c r="W633" s="173">
        <f t="shared" si="485"/>
        <v>10.5</v>
      </c>
      <c r="X633" s="173">
        <f t="shared" si="485"/>
        <v>175</v>
      </c>
      <c r="Y633" s="180">
        <f t="shared" si="485"/>
        <v>18</v>
      </c>
      <c r="AA633" s="185" t="str">
        <f t="shared" si="486"/>
        <v/>
      </c>
      <c r="AB633" s="173" t="str">
        <f t="shared" si="486"/>
        <v/>
      </c>
      <c r="AC633" s="173" t="str">
        <f t="shared" si="486"/>
        <v/>
      </c>
      <c r="AD633" s="180" t="str">
        <f t="shared" si="486"/>
        <v/>
      </c>
      <c r="AF633" s="185" t="str">
        <f t="shared" si="487"/>
        <v/>
      </c>
      <c r="AG633" s="173" t="str">
        <f t="shared" si="487"/>
        <v/>
      </c>
      <c r="AH633" s="173" t="str">
        <f t="shared" si="487"/>
        <v/>
      </c>
      <c r="AI633" s="180" t="str">
        <f t="shared" si="487"/>
        <v/>
      </c>
      <c r="AK633" s="185" t="str">
        <f t="shared" si="488"/>
        <v/>
      </c>
      <c r="AL633" s="173" t="str">
        <f t="shared" si="488"/>
        <v/>
      </c>
      <c r="AM633" s="173" t="str">
        <f t="shared" si="488"/>
        <v/>
      </c>
      <c r="AN633" s="180" t="str">
        <f t="shared" si="488"/>
        <v/>
      </c>
      <c r="AP633" s="185">
        <f t="shared" si="489"/>
        <v>45</v>
      </c>
      <c r="AQ633" s="173">
        <f t="shared" si="489"/>
        <v>53.5</v>
      </c>
      <c r="AR633" s="173">
        <f t="shared" si="489"/>
        <v>240</v>
      </c>
      <c r="AS633" s="180">
        <f t="shared" si="489"/>
        <v>18</v>
      </c>
      <c r="AT633" s="288"/>
      <c r="AU633" s="185" t="str">
        <f t="shared" si="490"/>
        <v/>
      </c>
      <c r="AV633" s="173" t="str">
        <f t="shared" si="490"/>
        <v/>
      </c>
      <c r="AW633" s="173" t="str">
        <f t="shared" si="490"/>
        <v/>
      </c>
      <c r="AX633" s="180" t="str">
        <f t="shared" si="490"/>
        <v/>
      </c>
      <c r="AZ633" s="185" t="str">
        <f t="shared" si="491"/>
        <v/>
      </c>
      <c r="BA633" s="173" t="str">
        <f t="shared" si="491"/>
        <v/>
      </c>
      <c r="BB633" s="173" t="str">
        <f t="shared" si="491"/>
        <v/>
      </c>
      <c r="BC633" s="180" t="str">
        <f t="shared" si="491"/>
        <v/>
      </c>
      <c r="BE633" s="185" t="str">
        <f t="shared" si="492"/>
        <v/>
      </c>
      <c r="BF633" s="173" t="str">
        <f t="shared" si="492"/>
        <v/>
      </c>
      <c r="BG633" s="173" t="str">
        <f t="shared" si="492"/>
        <v/>
      </c>
      <c r="BH633" s="180" t="str">
        <f t="shared" si="492"/>
        <v/>
      </c>
      <c r="BI633" s="288"/>
      <c r="BJ633" s="185" t="str">
        <f t="shared" si="493"/>
        <v/>
      </c>
      <c r="BK633" s="173" t="str">
        <f t="shared" si="493"/>
        <v/>
      </c>
      <c r="BL633" s="173" t="str">
        <f t="shared" si="493"/>
        <v/>
      </c>
      <c r="BM633" s="180" t="str">
        <f t="shared" si="493"/>
        <v/>
      </c>
      <c r="BO633" s="185" t="str">
        <f t="shared" si="494"/>
        <v/>
      </c>
      <c r="BP633" s="173" t="str">
        <f t="shared" si="494"/>
        <v/>
      </c>
      <c r="BQ633" s="173" t="str">
        <f t="shared" si="494"/>
        <v/>
      </c>
      <c r="BR633" s="180" t="str">
        <f t="shared" si="494"/>
        <v/>
      </c>
      <c r="BT633" s="185" t="str">
        <f t="shared" si="495"/>
        <v/>
      </c>
      <c r="BU633" s="173" t="str">
        <f t="shared" si="495"/>
        <v/>
      </c>
      <c r="BV633" s="173" t="str">
        <f t="shared" si="495"/>
        <v/>
      </c>
      <c r="BW633" s="180" t="str">
        <f t="shared" si="495"/>
        <v/>
      </c>
      <c r="BX633" s="288"/>
      <c r="CM633" s="96"/>
    </row>
    <row r="634" spans="1:91">
      <c r="A634" s="47" t="str">
        <f t="shared" si="481"/>
        <v/>
      </c>
      <c r="B634" s="185">
        <f t="shared" si="481"/>
        <v>45</v>
      </c>
      <c r="C634" s="173">
        <f t="shared" si="481"/>
        <v>53.5</v>
      </c>
      <c r="D634" s="173">
        <f t="shared" si="481"/>
        <v>627</v>
      </c>
      <c r="E634" s="180">
        <f t="shared" si="481"/>
        <v>18</v>
      </c>
      <c r="G634" s="185">
        <f t="shared" si="482"/>
        <v>45</v>
      </c>
      <c r="H634" s="173">
        <f t="shared" si="482"/>
        <v>53.5</v>
      </c>
      <c r="I634" s="173">
        <f t="shared" si="482"/>
        <v>387</v>
      </c>
      <c r="J634" s="180">
        <f t="shared" si="482"/>
        <v>18</v>
      </c>
      <c r="L634" s="185">
        <f t="shared" si="483"/>
        <v>45</v>
      </c>
      <c r="M634" s="173">
        <f t="shared" si="483"/>
        <v>53.5</v>
      </c>
      <c r="N634" s="173">
        <f t="shared" si="483"/>
        <v>204</v>
      </c>
      <c r="O634" s="180">
        <f t="shared" si="483"/>
        <v>18</v>
      </c>
      <c r="Q634" s="185">
        <f t="shared" si="484"/>
        <v>45</v>
      </c>
      <c r="R634" s="173">
        <f t="shared" si="484"/>
        <v>10.5</v>
      </c>
      <c r="S634" s="173">
        <f t="shared" si="484"/>
        <v>574</v>
      </c>
      <c r="T634" s="180">
        <f t="shared" si="484"/>
        <v>18</v>
      </c>
      <c r="V634" s="185">
        <f t="shared" si="485"/>
        <v>45</v>
      </c>
      <c r="W634" s="173">
        <f t="shared" si="485"/>
        <v>10.5</v>
      </c>
      <c r="X634" s="173">
        <f t="shared" si="485"/>
        <v>118</v>
      </c>
      <c r="Y634" s="180">
        <f t="shared" si="485"/>
        <v>18</v>
      </c>
      <c r="AA634" s="185" t="str">
        <f t="shared" si="486"/>
        <v/>
      </c>
      <c r="AB634" s="173" t="str">
        <f t="shared" si="486"/>
        <v/>
      </c>
      <c r="AC634" s="173" t="str">
        <f t="shared" si="486"/>
        <v/>
      </c>
      <c r="AD634" s="180" t="str">
        <f t="shared" si="486"/>
        <v/>
      </c>
      <c r="AF634" s="185" t="str">
        <f t="shared" si="487"/>
        <v/>
      </c>
      <c r="AG634" s="173" t="str">
        <f t="shared" si="487"/>
        <v/>
      </c>
      <c r="AH634" s="173" t="str">
        <f t="shared" si="487"/>
        <v/>
      </c>
      <c r="AI634" s="180" t="str">
        <f t="shared" si="487"/>
        <v/>
      </c>
      <c r="AK634" s="185" t="str">
        <f t="shared" si="488"/>
        <v/>
      </c>
      <c r="AL634" s="173" t="str">
        <f t="shared" si="488"/>
        <v/>
      </c>
      <c r="AM634" s="173" t="str">
        <f t="shared" si="488"/>
        <v/>
      </c>
      <c r="AN634" s="180" t="str">
        <f t="shared" si="488"/>
        <v/>
      </c>
      <c r="AP634" s="185">
        <f t="shared" si="489"/>
        <v>45</v>
      </c>
      <c r="AQ634" s="173">
        <f t="shared" si="489"/>
        <v>10.5</v>
      </c>
      <c r="AR634" s="173">
        <f t="shared" si="489"/>
        <v>724</v>
      </c>
      <c r="AS634" s="180">
        <f t="shared" si="489"/>
        <v>18</v>
      </c>
      <c r="AT634" s="288"/>
      <c r="AU634" s="185" t="str">
        <f t="shared" si="490"/>
        <v/>
      </c>
      <c r="AV634" s="173" t="str">
        <f t="shared" si="490"/>
        <v/>
      </c>
      <c r="AW634" s="173" t="str">
        <f t="shared" si="490"/>
        <v/>
      </c>
      <c r="AX634" s="180" t="str">
        <f t="shared" si="490"/>
        <v/>
      </c>
      <c r="AZ634" s="185" t="str">
        <f t="shared" si="491"/>
        <v/>
      </c>
      <c r="BA634" s="173" t="str">
        <f t="shared" si="491"/>
        <v/>
      </c>
      <c r="BB634" s="173" t="str">
        <f t="shared" si="491"/>
        <v/>
      </c>
      <c r="BC634" s="180" t="str">
        <f t="shared" si="491"/>
        <v/>
      </c>
      <c r="BE634" s="185" t="str">
        <f t="shared" si="492"/>
        <v/>
      </c>
      <c r="BF634" s="173" t="str">
        <f t="shared" si="492"/>
        <v/>
      </c>
      <c r="BG634" s="173" t="str">
        <f t="shared" si="492"/>
        <v/>
      </c>
      <c r="BH634" s="180" t="str">
        <f t="shared" si="492"/>
        <v/>
      </c>
      <c r="BI634" s="288"/>
      <c r="BJ634" s="185" t="str">
        <f t="shared" si="493"/>
        <v/>
      </c>
      <c r="BK634" s="173" t="str">
        <f t="shared" si="493"/>
        <v/>
      </c>
      <c r="BL634" s="173" t="str">
        <f t="shared" si="493"/>
        <v/>
      </c>
      <c r="BM634" s="180" t="str">
        <f t="shared" si="493"/>
        <v/>
      </c>
      <c r="BO634" s="185" t="str">
        <f t="shared" si="494"/>
        <v/>
      </c>
      <c r="BP634" s="173" t="str">
        <f t="shared" si="494"/>
        <v/>
      </c>
      <c r="BQ634" s="173" t="str">
        <f t="shared" si="494"/>
        <v/>
      </c>
      <c r="BR634" s="180" t="str">
        <f t="shared" si="494"/>
        <v/>
      </c>
      <c r="BT634" s="185" t="str">
        <f t="shared" si="495"/>
        <v/>
      </c>
      <c r="BU634" s="173" t="str">
        <f t="shared" si="495"/>
        <v/>
      </c>
      <c r="BV634" s="173" t="str">
        <f t="shared" si="495"/>
        <v/>
      </c>
      <c r="BW634" s="180" t="str">
        <f t="shared" si="495"/>
        <v/>
      </c>
      <c r="BX634" s="288"/>
      <c r="CM634" s="96"/>
    </row>
    <row r="635" spans="1:91">
      <c r="A635" s="47" t="str">
        <f t="shared" si="481"/>
        <v/>
      </c>
      <c r="B635" s="185">
        <f t="shared" si="481"/>
        <v>45</v>
      </c>
      <c r="C635" s="173">
        <f t="shared" si="481"/>
        <v>53.5</v>
      </c>
      <c r="D635" s="173">
        <f t="shared" si="481"/>
        <v>570</v>
      </c>
      <c r="E635" s="180">
        <f t="shared" si="481"/>
        <v>18</v>
      </c>
      <c r="G635" s="185">
        <f t="shared" si="482"/>
        <v>45</v>
      </c>
      <c r="H635" s="173">
        <f t="shared" si="482"/>
        <v>53.5</v>
      </c>
      <c r="I635" s="173">
        <f t="shared" si="482"/>
        <v>330</v>
      </c>
      <c r="J635" s="180">
        <f t="shared" si="482"/>
        <v>18</v>
      </c>
      <c r="L635" s="185">
        <f t="shared" si="483"/>
        <v>45</v>
      </c>
      <c r="M635" s="173">
        <f t="shared" si="483"/>
        <v>53.5</v>
      </c>
      <c r="N635" s="173">
        <f t="shared" si="483"/>
        <v>147</v>
      </c>
      <c r="O635" s="180">
        <f t="shared" si="483"/>
        <v>18</v>
      </c>
      <c r="Q635" s="185">
        <f t="shared" si="484"/>
        <v>45</v>
      </c>
      <c r="R635" s="173">
        <f t="shared" si="484"/>
        <v>10.5</v>
      </c>
      <c r="S635" s="173">
        <f t="shared" si="484"/>
        <v>517</v>
      </c>
      <c r="T635" s="180">
        <f t="shared" si="484"/>
        <v>18</v>
      </c>
      <c r="V635" s="185">
        <f t="shared" si="485"/>
        <v>45</v>
      </c>
      <c r="W635" s="173">
        <f t="shared" si="485"/>
        <v>10.5</v>
      </c>
      <c r="X635" s="173">
        <f t="shared" si="485"/>
        <v>61</v>
      </c>
      <c r="Y635" s="180">
        <f t="shared" si="485"/>
        <v>18</v>
      </c>
      <c r="AA635" s="185" t="str">
        <f t="shared" si="486"/>
        <v/>
      </c>
      <c r="AB635" s="173" t="str">
        <f t="shared" si="486"/>
        <v/>
      </c>
      <c r="AC635" s="173" t="str">
        <f t="shared" si="486"/>
        <v/>
      </c>
      <c r="AD635" s="180" t="str">
        <f t="shared" si="486"/>
        <v/>
      </c>
      <c r="AF635" s="185" t="str">
        <f t="shared" si="487"/>
        <v/>
      </c>
      <c r="AG635" s="173" t="str">
        <f t="shared" si="487"/>
        <v/>
      </c>
      <c r="AH635" s="173" t="str">
        <f t="shared" si="487"/>
        <v/>
      </c>
      <c r="AI635" s="180" t="str">
        <f t="shared" si="487"/>
        <v/>
      </c>
      <c r="AK635" s="185" t="str">
        <f t="shared" si="488"/>
        <v/>
      </c>
      <c r="AL635" s="173" t="str">
        <f t="shared" si="488"/>
        <v/>
      </c>
      <c r="AM635" s="173" t="str">
        <f t="shared" si="488"/>
        <v/>
      </c>
      <c r="AN635" s="180" t="str">
        <f t="shared" si="488"/>
        <v/>
      </c>
      <c r="AP635" s="185">
        <f t="shared" si="489"/>
        <v>45</v>
      </c>
      <c r="AQ635" s="173">
        <f t="shared" si="489"/>
        <v>10.5</v>
      </c>
      <c r="AR635" s="173">
        <f t="shared" si="489"/>
        <v>667</v>
      </c>
      <c r="AS635" s="180">
        <f t="shared" si="489"/>
        <v>18</v>
      </c>
      <c r="AT635" s="288"/>
      <c r="AU635" s="185" t="str">
        <f t="shared" si="490"/>
        <v/>
      </c>
      <c r="AV635" s="173" t="str">
        <f t="shared" si="490"/>
        <v/>
      </c>
      <c r="AW635" s="173" t="str">
        <f t="shared" si="490"/>
        <v/>
      </c>
      <c r="AX635" s="180" t="str">
        <f t="shared" si="490"/>
        <v/>
      </c>
      <c r="AZ635" s="185" t="str">
        <f t="shared" si="491"/>
        <v/>
      </c>
      <c r="BA635" s="173" t="str">
        <f t="shared" si="491"/>
        <v/>
      </c>
      <c r="BB635" s="173" t="str">
        <f t="shared" si="491"/>
        <v/>
      </c>
      <c r="BC635" s="180" t="str">
        <f t="shared" si="491"/>
        <v/>
      </c>
      <c r="BE635" s="185" t="str">
        <f t="shared" si="492"/>
        <v/>
      </c>
      <c r="BF635" s="173" t="str">
        <f t="shared" si="492"/>
        <v/>
      </c>
      <c r="BG635" s="173" t="str">
        <f t="shared" si="492"/>
        <v/>
      </c>
      <c r="BH635" s="180" t="str">
        <f t="shared" si="492"/>
        <v/>
      </c>
      <c r="BI635" s="288"/>
      <c r="BJ635" s="185" t="str">
        <f t="shared" si="493"/>
        <v/>
      </c>
      <c r="BK635" s="173" t="str">
        <f t="shared" si="493"/>
        <v/>
      </c>
      <c r="BL635" s="173" t="str">
        <f t="shared" si="493"/>
        <v/>
      </c>
      <c r="BM635" s="180" t="str">
        <f t="shared" si="493"/>
        <v/>
      </c>
      <c r="BO635" s="185" t="str">
        <f t="shared" si="494"/>
        <v/>
      </c>
      <c r="BP635" s="173" t="str">
        <f t="shared" si="494"/>
        <v/>
      </c>
      <c r="BQ635" s="173" t="str">
        <f t="shared" si="494"/>
        <v/>
      </c>
      <c r="BR635" s="180" t="str">
        <f t="shared" si="494"/>
        <v/>
      </c>
      <c r="BT635" s="185" t="str">
        <f t="shared" si="495"/>
        <v/>
      </c>
      <c r="BU635" s="173" t="str">
        <f t="shared" si="495"/>
        <v/>
      </c>
      <c r="BV635" s="173" t="str">
        <f t="shared" si="495"/>
        <v/>
      </c>
      <c r="BW635" s="180" t="str">
        <f t="shared" si="495"/>
        <v/>
      </c>
      <c r="BX635" s="288"/>
      <c r="CM635" s="96"/>
    </row>
    <row r="636" spans="1:91">
      <c r="A636" s="47" t="str">
        <f t="shared" si="481"/>
        <v/>
      </c>
      <c r="B636" s="185">
        <f t="shared" si="481"/>
        <v>45</v>
      </c>
      <c r="C636" s="173">
        <f t="shared" si="481"/>
        <v>53.5</v>
      </c>
      <c r="D636" s="173">
        <f t="shared" si="481"/>
        <v>513</v>
      </c>
      <c r="E636" s="180">
        <f t="shared" si="481"/>
        <v>18</v>
      </c>
      <c r="G636" s="185">
        <f t="shared" si="482"/>
        <v>45</v>
      </c>
      <c r="H636" s="173">
        <f t="shared" si="482"/>
        <v>53.5</v>
      </c>
      <c r="I636" s="173">
        <f t="shared" si="482"/>
        <v>273</v>
      </c>
      <c r="J636" s="180">
        <f t="shared" si="482"/>
        <v>18</v>
      </c>
      <c r="L636" s="185">
        <f t="shared" si="483"/>
        <v>45</v>
      </c>
      <c r="M636" s="173">
        <f t="shared" si="483"/>
        <v>53.5</v>
      </c>
      <c r="N636" s="173">
        <f t="shared" si="483"/>
        <v>90</v>
      </c>
      <c r="O636" s="180">
        <f t="shared" si="483"/>
        <v>18</v>
      </c>
      <c r="Q636" s="185">
        <f t="shared" si="484"/>
        <v>45</v>
      </c>
      <c r="R636" s="173">
        <f t="shared" si="484"/>
        <v>10.5</v>
      </c>
      <c r="S636" s="173">
        <f t="shared" si="484"/>
        <v>460</v>
      </c>
      <c r="T636" s="180">
        <f t="shared" si="484"/>
        <v>18</v>
      </c>
      <c r="V636" s="185" t="str">
        <f t="shared" si="485"/>
        <v/>
      </c>
      <c r="W636" s="173" t="str">
        <f t="shared" si="485"/>
        <v/>
      </c>
      <c r="X636" s="173" t="str">
        <f t="shared" si="485"/>
        <v/>
      </c>
      <c r="Y636" s="180" t="str">
        <f t="shared" si="485"/>
        <v/>
      </c>
      <c r="AA636" s="185" t="str">
        <f t="shared" si="486"/>
        <v/>
      </c>
      <c r="AB636" s="173" t="str">
        <f t="shared" si="486"/>
        <v/>
      </c>
      <c r="AC636" s="173" t="str">
        <f t="shared" si="486"/>
        <v/>
      </c>
      <c r="AD636" s="180" t="str">
        <f t="shared" si="486"/>
        <v/>
      </c>
      <c r="AF636" s="185" t="str">
        <f t="shared" si="487"/>
        <v/>
      </c>
      <c r="AG636" s="173" t="str">
        <f t="shared" si="487"/>
        <v/>
      </c>
      <c r="AH636" s="173" t="str">
        <f t="shared" si="487"/>
        <v/>
      </c>
      <c r="AI636" s="180" t="str">
        <f t="shared" si="487"/>
        <v/>
      </c>
      <c r="AK636" s="185" t="str">
        <f t="shared" si="488"/>
        <v/>
      </c>
      <c r="AL636" s="173" t="str">
        <f t="shared" si="488"/>
        <v/>
      </c>
      <c r="AM636" s="173" t="str">
        <f t="shared" si="488"/>
        <v/>
      </c>
      <c r="AN636" s="180" t="str">
        <f t="shared" si="488"/>
        <v/>
      </c>
      <c r="AP636" s="185">
        <f t="shared" si="489"/>
        <v>45</v>
      </c>
      <c r="AQ636" s="173">
        <f t="shared" si="489"/>
        <v>10.5</v>
      </c>
      <c r="AR636" s="173">
        <f t="shared" si="489"/>
        <v>610</v>
      </c>
      <c r="AS636" s="180">
        <f t="shared" si="489"/>
        <v>18</v>
      </c>
      <c r="AT636" s="288"/>
      <c r="AU636" s="185" t="str">
        <f t="shared" si="490"/>
        <v/>
      </c>
      <c r="AV636" s="173" t="str">
        <f t="shared" si="490"/>
        <v/>
      </c>
      <c r="AW636" s="173" t="str">
        <f t="shared" si="490"/>
        <v/>
      </c>
      <c r="AX636" s="180" t="str">
        <f t="shared" si="490"/>
        <v/>
      </c>
      <c r="AZ636" s="185" t="str">
        <f t="shared" si="491"/>
        <v/>
      </c>
      <c r="BA636" s="173" t="str">
        <f t="shared" si="491"/>
        <v/>
      </c>
      <c r="BB636" s="173" t="str">
        <f t="shared" si="491"/>
        <v/>
      </c>
      <c r="BC636" s="180" t="str">
        <f t="shared" si="491"/>
        <v/>
      </c>
      <c r="BE636" s="185" t="str">
        <f t="shared" si="492"/>
        <v/>
      </c>
      <c r="BF636" s="173" t="str">
        <f t="shared" si="492"/>
        <v/>
      </c>
      <c r="BG636" s="173" t="str">
        <f t="shared" si="492"/>
        <v/>
      </c>
      <c r="BH636" s="180" t="str">
        <f t="shared" si="492"/>
        <v/>
      </c>
      <c r="BI636" s="288"/>
      <c r="BJ636" s="185" t="str">
        <f t="shared" si="493"/>
        <v/>
      </c>
      <c r="BK636" s="173" t="str">
        <f t="shared" si="493"/>
        <v/>
      </c>
      <c r="BL636" s="173" t="str">
        <f t="shared" si="493"/>
        <v/>
      </c>
      <c r="BM636" s="180" t="str">
        <f t="shared" si="493"/>
        <v/>
      </c>
      <c r="BO636" s="185" t="str">
        <f t="shared" si="494"/>
        <v/>
      </c>
      <c r="BP636" s="173" t="str">
        <f t="shared" si="494"/>
        <v/>
      </c>
      <c r="BQ636" s="173" t="str">
        <f t="shared" si="494"/>
        <v/>
      </c>
      <c r="BR636" s="180" t="str">
        <f t="shared" si="494"/>
        <v/>
      </c>
      <c r="BT636" s="185" t="str">
        <f t="shared" si="495"/>
        <v/>
      </c>
      <c r="BU636" s="173" t="str">
        <f t="shared" si="495"/>
        <v/>
      </c>
      <c r="BV636" s="173" t="str">
        <f t="shared" si="495"/>
        <v/>
      </c>
      <c r="BW636" s="180" t="str">
        <f t="shared" si="495"/>
        <v/>
      </c>
      <c r="BX636" s="288"/>
      <c r="CM636" s="96"/>
    </row>
    <row r="637" spans="1:91">
      <c r="A637" s="47" t="str">
        <f t="shared" si="481"/>
        <v/>
      </c>
      <c r="B637" s="185">
        <f t="shared" si="481"/>
        <v>45</v>
      </c>
      <c r="C637" s="173">
        <f t="shared" si="481"/>
        <v>53.5</v>
      </c>
      <c r="D637" s="173">
        <f t="shared" si="481"/>
        <v>456</v>
      </c>
      <c r="E637" s="180">
        <f t="shared" si="481"/>
        <v>18</v>
      </c>
      <c r="G637" s="185">
        <f t="shared" si="482"/>
        <v>45</v>
      </c>
      <c r="H637" s="173">
        <f t="shared" si="482"/>
        <v>53.5</v>
      </c>
      <c r="I637" s="173">
        <f t="shared" si="482"/>
        <v>216</v>
      </c>
      <c r="J637" s="180">
        <f t="shared" si="482"/>
        <v>18</v>
      </c>
      <c r="L637" s="185">
        <f t="shared" si="483"/>
        <v>45</v>
      </c>
      <c r="M637" s="173">
        <f t="shared" si="483"/>
        <v>10.5</v>
      </c>
      <c r="N637" s="173">
        <f t="shared" si="483"/>
        <v>631</v>
      </c>
      <c r="O637" s="180">
        <f t="shared" si="483"/>
        <v>18</v>
      </c>
      <c r="Q637" s="185">
        <f t="shared" si="484"/>
        <v>45</v>
      </c>
      <c r="R637" s="173">
        <f t="shared" si="484"/>
        <v>10.5</v>
      </c>
      <c r="S637" s="173">
        <f t="shared" si="484"/>
        <v>403</v>
      </c>
      <c r="T637" s="180">
        <f t="shared" si="484"/>
        <v>18</v>
      </c>
      <c r="V637" s="185" t="str">
        <f t="shared" si="485"/>
        <v/>
      </c>
      <c r="W637" s="173" t="str">
        <f t="shared" si="485"/>
        <v/>
      </c>
      <c r="X637" s="173" t="str">
        <f t="shared" si="485"/>
        <v/>
      </c>
      <c r="Y637" s="180" t="str">
        <f t="shared" si="485"/>
        <v/>
      </c>
      <c r="AA637" s="185" t="str">
        <f t="shared" si="486"/>
        <v/>
      </c>
      <c r="AB637" s="173" t="str">
        <f t="shared" si="486"/>
        <v/>
      </c>
      <c r="AC637" s="173" t="str">
        <f t="shared" si="486"/>
        <v/>
      </c>
      <c r="AD637" s="180" t="str">
        <f t="shared" si="486"/>
        <v/>
      </c>
      <c r="AF637" s="185" t="str">
        <f t="shared" si="487"/>
        <v/>
      </c>
      <c r="AG637" s="173" t="str">
        <f t="shared" si="487"/>
        <v/>
      </c>
      <c r="AH637" s="173" t="str">
        <f t="shared" si="487"/>
        <v/>
      </c>
      <c r="AI637" s="180" t="str">
        <f t="shared" si="487"/>
        <v/>
      </c>
      <c r="AK637" s="185" t="str">
        <f t="shared" si="488"/>
        <v/>
      </c>
      <c r="AL637" s="173" t="str">
        <f t="shared" si="488"/>
        <v/>
      </c>
      <c r="AM637" s="173" t="str">
        <f t="shared" si="488"/>
        <v/>
      </c>
      <c r="AN637" s="180" t="str">
        <f t="shared" si="488"/>
        <v/>
      </c>
      <c r="AP637" s="185">
        <f t="shared" si="489"/>
        <v>45</v>
      </c>
      <c r="AQ637" s="173">
        <f t="shared" si="489"/>
        <v>10.5</v>
      </c>
      <c r="AR637" s="173">
        <f t="shared" si="489"/>
        <v>553</v>
      </c>
      <c r="AS637" s="180">
        <f t="shared" si="489"/>
        <v>18</v>
      </c>
      <c r="AT637" s="288"/>
      <c r="AU637" s="185" t="str">
        <f t="shared" si="490"/>
        <v/>
      </c>
      <c r="AV637" s="173" t="str">
        <f t="shared" si="490"/>
        <v/>
      </c>
      <c r="AW637" s="173" t="str">
        <f t="shared" si="490"/>
        <v/>
      </c>
      <c r="AX637" s="180" t="str">
        <f t="shared" si="490"/>
        <v/>
      </c>
      <c r="AZ637" s="185" t="str">
        <f t="shared" si="491"/>
        <v/>
      </c>
      <c r="BA637" s="173" t="str">
        <f t="shared" si="491"/>
        <v/>
      </c>
      <c r="BB637" s="173" t="str">
        <f t="shared" si="491"/>
        <v/>
      </c>
      <c r="BC637" s="180" t="str">
        <f t="shared" si="491"/>
        <v/>
      </c>
      <c r="BE637" s="185" t="str">
        <f t="shared" si="492"/>
        <v/>
      </c>
      <c r="BF637" s="173" t="str">
        <f t="shared" si="492"/>
        <v/>
      </c>
      <c r="BG637" s="173" t="str">
        <f t="shared" si="492"/>
        <v/>
      </c>
      <c r="BH637" s="180" t="str">
        <f t="shared" si="492"/>
        <v/>
      </c>
      <c r="BI637" s="288"/>
      <c r="BJ637" s="185" t="str">
        <f t="shared" si="493"/>
        <v/>
      </c>
      <c r="BK637" s="173" t="str">
        <f t="shared" si="493"/>
        <v/>
      </c>
      <c r="BL637" s="173" t="str">
        <f t="shared" si="493"/>
        <v/>
      </c>
      <c r="BM637" s="180" t="str">
        <f t="shared" si="493"/>
        <v/>
      </c>
      <c r="BO637" s="185" t="str">
        <f t="shared" si="494"/>
        <v/>
      </c>
      <c r="BP637" s="173" t="str">
        <f t="shared" si="494"/>
        <v/>
      </c>
      <c r="BQ637" s="173" t="str">
        <f t="shared" si="494"/>
        <v/>
      </c>
      <c r="BR637" s="180" t="str">
        <f t="shared" si="494"/>
        <v/>
      </c>
      <c r="BT637" s="185" t="str">
        <f t="shared" si="495"/>
        <v/>
      </c>
      <c r="BU637" s="173" t="str">
        <f t="shared" si="495"/>
        <v/>
      </c>
      <c r="BV637" s="173" t="str">
        <f t="shared" si="495"/>
        <v/>
      </c>
      <c r="BW637" s="180" t="str">
        <f t="shared" si="495"/>
        <v/>
      </c>
      <c r="BX637" s="288"/>
      <c r="CM637" s="96"/>
    </row>
    <row r="638" spans="1:91">
      <c r="A638" s="47" t="str">
        <f t="shared" si="481"/>
        <v/>
      </c>
      <c r="B638" s="185">
        <f t="shared" si="481"/>
        <v>45</v>
      </c>
      <c r="C638" s="173">
        <f t="shared" si="481"/>
        <v>53.5</v>
      </c>
      <c r="D638" s="173">
        <f t="shared" si="481"/>
        <v>399</v>
      </c>
      <c r="E638" s="180">
        <f t="shared" si="481"/>
        <v>18</v>
      </c>
      <c r="G638" s="185">
        <f t="shared" si="482"/>
        <v>45</v>
      </c>
      <c r="H638" s="173">
        <f t="shared" si="482"/>
        <v>53.5</v>
      </c>
      <c r="I638" s="173">
        <f t="shared" si="482"/>
        <v>159</v>
      </c>
      <c r="J638" s="180">
        <f t="shared" si="482"/>
        <v>18</v>
      </c>
      <c r="L638" s="185">
        <f t="shared" si="483"/>
        <v>45</v>
      </c>
      <c r="M638" s="173">
        <f t="shared" si="483"/>
        <v>10.5</v>
      </c>
      <c r="N638" s="173">
        <f t="shared" si="483"/>
        <v>574</v>
      </c>
      <c r="O638" s="180">
        <f t="shared" si="483"/>
        <v>18</v>
      </c>
      <c r="Q638" s="185">
        <f t="shared" si="484"/>
        <v>45</v>
      </c>
      <c r="R638" s="173">
        <f t="shared" si="484"/>
        <v>10.5</v>
      </c>
      <c r="S638" s="173">
        <f t="shared" si="484"/>
        <v>346</v>
      </c>
      <c r="T638" s="180">
        <f t="shared" si="484"/>
        <v>18</v>
      </c>
      <c r="V638" s="185" t="str">
        <f t="shared" si="485"/>
        <v/>
      </c>
      <c r="W638" s="173" t="str">
        <f t="shared" si="485"/>
        <v/>
      </c>
      <c r="X638" s="173" t="str">
        <f t="shared" si="485"/>
        <v/>
      </c>
      <c r="Y638" s="180" t="str">
        <f t="shared" si="485"/>
        <v/>
      </c>
      <c r="AA638" s="185" t="str">
        <f t="shared" si="486"/>
        <v/>
      </c>
      <c r="AB638" s="173" t="str">
        <f t="shared" si="486"/>
        <v/>
      </c>
      <c r="AC638" s="173" t="str">
        <f t="shared" si="486"/>
        <v/>
      </c>
      <c r="AD638" s="180" t="str">
        <f t="shared" si="486"/>
        <v/>
      </c>
      <c r="AF638" s="185" t="str">
        <f t="shared" si="487"/>
        <v/>
      </c>
      <c r="AG638" s="173" t="str">
        <f t="shared" si="487"/>
        <v/>
      </c>
      <c r="AH638" s="173" t="str">
        <f t="shared" si="487"/>
        <v/>
      </c>
      <c r="AI638" s="180" t="str">
        <f t="shared" si="487"/>
        <v/>
      </c>
      <c r="AK638" s="185" t="str">
        <f t="shared" si="488"/>
        <v/>
      </c>
      <c r="AL638" s="173" t="str">
        <f t="shared" si="488"/>
        <v/>
      </c>
      <c r="AM638" s="173" t="str">
        <f t="shared" si="488"/>
        <v/>
      </c>
      <c r="AN638" s="180" t="str">
        <f t="shared" si="488"/>
        <v/>
      </c>
      <c r="AP638" s="185">
        <f t="shared" si="489"/>
        <v>45</v>
      </c>
      <c r="AQ638" s="173">
        <f t="shared" si="489"/>
        <v>10.5</v>
      </c>
      <c r="AR638" s="173">
        <f t="shared" si="489"/>
        <v>496</v>
      </c>
      <c r="AS638" s="180">
        <f t="shared" si="489"/>
        <v>18</v>
      </c>
      <c r="AT638" s="288"/>
      <c r="AU638" s="185" t="str">
        <f t="shared" si="490"/>
        <v/>
      </c>
      <c r="AV638" s="173" t="str">
        <f t="shared" si="490"/>
        <v/>
      </c>
      <c r="AW638" s="173" t="str">
        <f t="shared" si="490"/>
        <v/>
      </c>
      <c r="AX638" s="180" t="str">
        <f t="shared" si="490"/>
        <v/>
      </c>
      <c r="AZ638" s="185" t="str">
        <f t="shared" si="491"/>
        <v/>
      </c>
      <c r="BA638" s="173" t="str">
        <f t="shared" si="491"/>
        <v/>
      </c>
      <c r="BB638" s="173" t="str">
        <f t="shared" si="491"/>
        <v/>
      </c>
      <c r="BC638" s="180" t="str">
        <f t="shared" si="491"/>
        <v/>
      </c>
      <c r="BE638" s="185" t="str">
        <f t="shared" si="492"/>
        <v/>
      </c>
      <c r="BF638" s="173" t="str">
        <f t="shared" si="492"/>
        <v/>
      </c>
      <c r="BG638" s="173" t="str">
        <f t="shared" si="492"/>
        <v/>
      </c>
      <c r="BH638" s="180" t="str">
        <f t="shared" si="492"/>
        <v/>
      </c>
      <c r="BI638" s="288"/>
      <c r="BJ638" s="185" t="str">
        <f t="shared" si="493"/>
        <v/>
      </c>
      <c r="BK638" s="173" t="str">
        <f t="shared" si="493"/>
        <v/>
      </c>
      <c r="BL638" s="173" t="str">
        <f t="shared" si="493"/>
        <v/>
      </c>
      <c r="BM638" s="180" t="str">
        <f t="shared" si="493"/>
        <v/>
      </c>
      <c r="BO638" s="185" t="str">
        <f t="shared" si="494"/>
        <v/>
      </c>
      <c r="BP638" s="173" t="str">
        <f t="shared" si="494"/>
        <v/>
      </c>
      <c r="BQ638" s="173" t="str">
        <f t="shared" si="494"/>
        <v/>
      </c>
      <c r="BR638" s="180" t="str">
        <f t="shared" si="494"/>
        <v/>
      </c>
      <c r="BT638" s="185" t="str">
        <f t="shared" si="495"/>
        <v/>
      </c>
      <c r="BU638" s="173" t="str">
        <f t="shared" si="495"/>
        <v/>
      </c>
      <c r="BV638" s="173" t="str">
        <f t="shared" si="495"/>
        <v/>
      </c>
      <c r="BW638" s="180" t="str">
        <f t="shared" si="495"/>
        <v/>
      </c>
      <c r="BX638" s="288"/>
      <c r="CM638" s="96"/>
    </row>
    <row r="639" spans="1:91">
      <c r="A639" s="47" t="str">
        <f t="shared" si="481"/>
        <v/>
      </c>
      <c r="B639" s="185">
        <f t="shared" si="481"/>
        <v>45</v>
      </c>
      <c r="C639" s="173">
        <f t="shared" si="481"/>
        <v>53.5</v>
      </c>
      <c r="D639" s="173">
        <f t="shared" si="481"/>
        <v>342</v>
      </c>
      <c r="E639" s="180">
        <f t="shared" si="481"/>
        <v>18</v>
      </c>
      <c r="G639" s="185">
        <f t="shared" si="482"/>
        <v>45</v>
      </c>
      <c r="H639" s="173">
        <f t="shared" si="482"/>
        <v>53.5</v>
      </c>
      <c r="I639" s="173">
        <f t="shared" si="482"/>
        <v>102</v>
      </c>
      <c r="J639" s="180">
        <f t="shared" si="482"/>
        <v>18</v>
      </c>
      <c r="L639" s="185">
        <f t="shared" si="483"/>
        <v>45</v>
      </c>
      <c r="M639" s="173">
        <f t="shared" si="483"/>
        <v>10.5</v>
      </c>
      <c r="N639" s="173">
        <f t="shared" si="483"/>
        <v>517</v>
      </c>
      <c r="O639" s="180">
        <f t="shared" si="483"/>
        <v>18</v>
      </c>
      <c r="Q639" s="185">
        <f t="shared" si="484"/>
        <v>45</v>
      </c>
      <c r="R639" s="173">
        <f t="shared" si="484"/>
        <v>10.5</v>
      </c>
      <c r="S639" s="173">
        <f t="shared" si="484"/>
        <v>289</v>
      </c>
      <c r="T639" s="180">
        <f t="shared" si="484"/>
        <v>18</v>
      </c>
      <c r="V639" s="185" t="str">
        <f t="shared" si="485"/>
        <v/>
      </c>
      <c r="W639" s="173" t="str">
        <f t="shared" si="485"/>
        <v/>
      </c>
      <c r="X639" s="173" t="str">
        <f t="shared" si="485"/>
        <v/>
      </c>
      <c r="Y639" s="180" t="str">
        <f t="shared" si="485"/>
        <v/>
      </c>
      <c r="AA639" s="185" t="str">
        <f t="shared" si="486"/>
        <v/>
      </c>
      <c r="AB639" s="173" t="str">
        <f t="shared" si="486"/>
        <v/>
      </c>
      <c r="AC639" s="173" t="str">
        <f t="shared" si="486"/>
        <v/>
      </c>
      <c r="AD639" s="180" t="str">
        <f t="shared" si="486"/>
        <v/>
      </c>
      <c r="AF639" s="185" t="str">
        <f t="shared" si="487"/>
        <v/>
      </c>
      <c r="AG639" s="173" t="str">
        <f t="shared" si="487"/>
        <v/>
      </c>
      <c r="AH639" s="173" t="str">
        <f t="shared" si="487"/>
        <v/>
      </c>
      <c r="AI639" s="180" t="str">
        <f t="shared" si="487"/>
        <v/>
      </c>
      <c r="AK639" s="185" t="str">
        <f t="shared" si="488"/>
        <v/>
      </c>
      <c r="AL639" s="173" t="str">
        <f t="shared" si="488"/>
        <v/>
      </c>
      <c r="AM639" s="173" t="str">
        <f t="shared" si="488"/>
        <v/>
      </c>
      <c r="AN639" s="180" t="str">
        <f t="shared" si="488"/>
        <v/>
      </c>
      <c r="AP639" s="185">
        <f t="shared" si="489"/>
        <v>45</v>
      </c>
      <c r="AQ639" s="173">
        <f t="shared" si="489"/>
        <v>10.5</v>
      </c>
      <c r="AR639" s="173">
        <f t="shared" si="489"/>
        <v>439</v>
      </c>
      <c r="AS639" s="180">
        <f t="shared" si="489"/>
        <v>18</v>
      </c>
      <c r="AT639" s="288"/>
      <c r="AU639" s="185" t="str">
        <f t="shared" si="490"/>
        <v/>
      </c>
      <c r="AV639" s="173" t="str">
        <f t="shared" si="490"/>
        <v/>
      </c>
      <c r="AW639" s="173" t="str">
        <f t="shared" si="490"/>
        <v/>
      </c>
      <c r="AX639" s="180" t="str">
        <f t="shared" si="490"/>
        <v/>
      </c>
      <c r="AZ639" s="185" t="str">
        <f t="shared" si="491"/>
        <v/>
      </c>
      <c r="BA639" s="173" t="str">
        <f t="shared" si="491"/>
        <v/>
      </c>
      <c r="BB639" s="173" t="str">
        <f t="shared" si="491"/>
        <v/>
      </c>
      <c r="BC639" s="180" t="str">
        <f t="shared" si="491"/>
        <v/>
      </c>
      <c r="BE639" s="185" t="str">
        <f t="shared" si="492"/>
        <v/>
      </c>
      <c r="BF639" s="173" t="str">
        <f t="shared" si="492"/>
        <v/>
      </c>
      <c r="BG639" s="173" t="str">
        <f t="shared" si="492"/>
        <v/>
      </c>
      <c r="BH639" s="180" t="str">
        <f t="shared" si="492"/>
        <v/>
      </c>
      <c r="BI639" s="288"/>
      <c r="BJ639" s="185" t="str">
        <f t="shared" si="493"/>
        <v/>
      </c>
      <c r="BK639" s="173" t="str">
        <f t="shared" si="493"/>
        <v/>
      </c>
      <c r="BL639" s="173" t="str">
        <f t="shared" si="493"/>
        <v/>
      </c>
      <c r="BM639" s="180" t="str">
        <f t="shared" si="493"/>
        <v/>
      </c>
      <c r="BO639" s="185" t="str">
        <f t="shared" si="494"/>
        <v/>
      </c>
      <c r="BP639" s="173" t="str">
        <f t="shared" si="494"/>
        <v/>
      </c>
      <c r="BQ639" s="173" t="str">
        <f t="shared" si="494"/>
        <v/>
      </c>
      <c r="BR639" s="180" t="str">
        <f t="shared" si="494"/>
        <v/>
      </c>
      <c r="BT639" s="185" t="str">
        <f t="shared" si="495"/>
        <v/>
      </c>
      <c r="BU639" s="173" t="str">
        <f t="shared" si="495"/>
        <v/>
      </c>
      <c r="BV639" s="173" t="str">
        <f t="shared" si="495"/>
        <v/>
      </c>
      <c r="BW639" s="180" t="str">
        <f t="shared" si="495"/>
        <v/>
      </c>
      <c r="BX639" s="288"/>
      <c r="CM639" s="96"/>
    </row>
    <row r="640" spans="1:91">
      <c r="A640" s="47" t="str">
        <f t="shared" si="481"/>
        <v/>
      </c>
      <c r="B640" s="185">
        <f t="shared" si="481"/>
        <v>45</v>
      </c>
      <c r="C640" s="173">
        <f t="shared" si="481"/>
        <v>10.5</v>
      </c>
      <c r="D640" s="173">
        <f t="shared" si="481"/>
        <v>940</v>
      </c>
      <c r="E640" s="180">
        <f t="shared" si="481"/>
        <v>18</v>
      </c>
      <c r="G640" s="185">
        <f t="shared" si="482"/>
        <v>45</v>
      </c>
      <c r="H640" s="173">
        <f t="shared" si="482"/>
        <v>10.5</v>
      </c>
      <c r="I640" s="173">
        <f t="shared" si="482"/>
        <v>700</v>
      </c>
      <c r="J640" s="180">
        <f t="shared" si="482"/>
        <v>18</v>
      </c>
      <c r="L640" s="185">
        <f t="shared" si="483"/>
        <v>45</v>
      </c>
      <c r="M640" s="173">
        <f t="shared" si="483"/>
        <v>10.5</v>
      </c>
      <c r="N640" s="173">
        <f t="shared" si="483"/>
        <v>460</v>
      </c>
      <c r="O640" s="180">
        <f t="shared" si="483"/>
        <v>18</v>
      </c>
      <c r="Q640" s="185">
        <f t="shared" si="484"/>
        <v>45</v>
      </c>
      <c r="R640" s="173">
        <f t="shared" si="484"/>
        <v>10.5</v>
      </c>
      <c r="S640" s="173">
        <f t="shared" si="484"/>
        <v>232</v>
      </c>
      <c r="T640" s="180">
        <f t="shared" si="484"/>
        <v>18</v>
      </c>
      <c r="V640" s="185" t="str">
        <f t="shared" si="485"/>
        <v/>
      </c>
      <c r="W640" s="173" t="str">
        <f t="shared" si="485"/>
        <v/>
      </c>
      <c r="X640" s="173" t="str">
        <f t="shared" si="485"/>
        <v/>
      </c>
      <c r="Y640" s="180" t="str">
        <f t="shared" si="485"/>
        <v/>
      </c>
      <c r="AA640" s="185" t="str">
        <f t="shared" si="486"/>
        <v/>
      </c>
      <c r="AB640" s="173" t="str">
        <f t="shared" si="486"/>
        <v/>
      </c>
      <c r="AC640" s="173" t="str">
        <f t="shared" si="486"/>
        <v/>
      </c>
      <c r="AD640" s="180" t="str">
        <f t="shared" si="486"/>
        <v/>
      </c>
      <c r="AF640" s="185" t="str">
        <f t="shared" si="487"/>
        <v/>
      </c>
      <c r="AG640" s="173" t="str">
        <f t="shared" si="487"/>
        <v/>
      </c>
      <c r="AH640" s="173" t="str">
        <f t="shared" si="487"/>
        <v/>
      </c>
      <c r="AI640" s="180" t="str">
        <f t="shared" si="487"/>
        <v/>
      </c>
      <c r="AK640" s="185" t="str">
        <f t="shared" si="488"/>
        <v/>
      </c>
      <c r="AL640" s="173" t="str">
        <f t="shared" si="488"/>
        <v/>
      </c>
      <c r="AM640" s="173" t="str">
        <f t="shared" si="488"/>
        <v/>
      </c>
      <c r="AN640" s="180" t="str">
        <f t="shared" si="488"/>
        <v/>
      </c>
      <c r="AP640" s="185">
        <f t="shared" si="489"/>
        <v>45</v>
      </c>
      <c r="AQ640" s="173">
        <f t="shared" si="489"/>
        <v>10.5</v>
      </c>
      <c r="AR640" s="173">
        <f t="shared" si="489"/>
        <v>382</v>
      </c>
      <c r="AS640" s="180">
        <f t="shared" si="489"/>
        <v>18</v>
      </c>
      <c r="AT640" s="288"/>
      <c r="AU640" s="185" t="str">
        <f t="shared" si="490"/>
        <v/>
      </c>
      <c r="AV640" s="173" t="str">
        <f t="shared" si="490"/>
        <v/>
      </c>
      <c r="AW640" s="173" t="str">
        <f t="shared" si="490"/>
        <v/>
      </c>
      <c r="AX640" s="180" t="str">
        <f t="shared" si="490"/>
        <v/>
      </c>
      <c r="AZ640" s="185" t="str">
        <f t="shared" si="491"/>
        <v/>
      </c>
      <c r="BA640" s="173" t="str">
        <f t="shared" si="491"/>
        <v/>
      </c>
      <c r="BB640" s="173" t="str">
        <f t="shared" si="491"/>
        <v/>
      </c>
      <c r="BC640" s="180" t="str">
        <f t="shared" si="491"/>
        <v/>
      </c>
      <c r="BE640" s="185" t="str">
        <f t="shared" si="492"/>
        <v/>
      </c>
      <c r="BF640" s="173" t="str">
        <f t="shared" si="492"/>
        <v/>
      </c>
      <c r="BG640" s="173" t="str">
        <f t="shared" si="492"/>
        <v/>
      </c>
      <c r="BH640" s="180" t="str">
        <f t="shared" si="492"/>
        <v/>
      </c>
      <c r="BI640" s="288"/>
      <c r="BJ640" s="185" t="str">
        <f t="shared" si="493"/>
        <v/>
      </c>
      <c r="BK640" s="173" t="str">
        <f t="shared" si="493"/>
        <v/>
      </c>
      <c r="BL640" s="173" t="str">
        <f t="shared" si="493"/>
        <v/>
      </c>
      <c r="BM640" s="180" t="str">
        <f t="shared" si="493"/>
        <v/>
      </c>
      <c r="BO640" s="185" t="str">
        <f t="shared" si="494"/>
        <v/>
      </c>
      <c r="BP640" s="173" t="str">
        <f t="shared" si="494"/>
        <v/>
      </c>
      <c r="BQ640" s="173" t="str">
        <f t="shared" si="494"/>
        <v/>
      </c>
      <c r="BR640" s="180" t="str">
        <f t="shared" si="494"/>
        <v/>
      </c>
      <c r="BT640" s="185" t="str">
        <f t="shared" si="495"/>
        <v/>
      </c>
      <c r="BU640" s="173" t="str">
        <f t="shared" si="495"/>
        <v/>
      </c>
      <c r="BV640" s="173" t="str">
        <f t="shared" si="495"/>
        <v/>
      </c>
      <c r="BW640" s="180" t="str">
        <f t="shared" si="495"/>
        <v/>
      </c>
      <c r="BX640" s="288"/>
      <c r="CM640" s="96"/>
    </row>
    <row r="641" spans="1:91">
      <c r="A641" s="47" t="str">
        <f t="shared" ref="A641:E656" si="496">IF(A179="","",A179)</f>
        <v/>
      </c>
      <c r="B641" s="185">
        <f t="shared" si="496"/>
        <v>45</v>
      </c>
      <c r="C641" s="173">
        <f t="shared" si="496"/>
        <v>10.5</v>
      </c>
      <c r="D641" s="173">
        <f t="shared" si="496"/>
        <v>883</v>
      </c>
      <c r="E641" s="180">
        <f t="shared" si="496"/>
        <v>18</v>
      </c>
      <c r="G641" s="185">
        <f t="shared" ref="G641:J656" si="497">IF(G179="","",G179)</f>
        <v>45</v>
      </c>
      <c r="H641" s="173">
        <f t="shared" si="497"/>
        <v>10.5</v>
      </c>
      <c r="I641" s="173">
        <f t="shared" si="497"/>
        <v>643</v>
      </c>
      <c r="J641" s="180">
        <f t="shared" si="497"/>
        <v>18</v>
      </c>
      <c r="L641" s="185">
        <f t="shared" ref="L641:O656" si="498">IF(L179="","",L179)</f>
        <v>45</v>
      </c>
      <c r="M641" s="173">
        <f t="shared" si="498"/>
        <v>10.5</v>
      </c>
      <c r="N641" s="173">
        <f t="shared" si="498"/>
        <v>403</v>
      </c>
      <c r="O641" s="180">
        <f t="shared" si="498"/>
        <v>18</v>
      </c>
      <c r="Q641" s="185">
        <f t="shared" ref="Q641:T656" si="499">IF(Q179="","",Q179)</f>
        <v>45</v>
      </c>
      <c r="R641" s="173">
        <f t="shared" si="499"/>
        <v>10.5</v>
      </c>
      <c r="S641" s="173">
        <f t="shared" si="499"/>
        <v>175</v>
      </c>
      <c r="T641" s="180">
        <f t="shared" si="499"/>
        <v>18</v>
      </c>
      <c r="V641" s="185" t="str">
        <f t="shared" ref="V641:Y656" si="500">IF(V179="","",V179)</f>
        <v/>
      </c>
      <c r="W641" s="173" t="str">
        <f t="shared" si="500"/>
        <v/>
      </c>
      <c r="X641" s="173" t="str">
        <f t="shared" si="500"/>
        <v/>
      </c>
      <c r="Y641" s="180" t="str">
        <f t="shared" si="500"/>
        <v/>
      </c>
      <c r="AA641" s="185" t="str">
        <f t="shared" ref="AA641:AD656" si="501">IF(AA179="","",AA179)</f>
        <v/>
      </c>
      <c r="AB641" s="173" t="str">
        <f t="shared" si="501"/>
        <v/>
      </c>
      <c r="AC641" s="173" t="str">
        <f t="shared" si="501"/>
        <v/>
      </c>
      <c r="AD641" s="180" t="str">
        <f t="shared" si="501"/>
        <v/>
      </c>
      <c r="AF641" s="185" t="str">
        <f t="shared" ref="AF641:AI656" si="502">IF(AF179="","",AF179)</f>
        <v/>
      </c>
      <c r="AG641" s="173" t="str">
        <f t="shared" si="502"/>
        <v/>
      </c>
      <c r="AH641" s="173" t="str">
        <f t="shared" si="502"/>
        <v/>
      </c>
      <c r="AI641" s="180" t="str">
        <f t="shared" si="502"/>
        <v/>
      </c>
      <c r="AK641" s="185" t="str">
        <f t="shared" ref="AK641:AN656" si="503">IF(AK179="","",AK179)</f>
        <v/>
      </c>
      <c r="AL641" s="173" t="str">
        <f t="shared" si="503"/>
        <v/>
      </c>
      <c r="AM641" s="173" t="str">
        <f t="shared" si="503"/>
        <v/>
      </c>
      <c r="AN641" s="180" t="str">
        <f t="shared" si="503"/>
        <v/>
      </c>
      <c r="AP641" s="185">
        <f t="shared" ref="AP641:AS654" si="504">IF(AP179="","",AP179)</f>
        <v>45</v>
      </c>
      <c r="AQ641" s="173">
        <f t="shared" si="504"/>
        <v>10.5</v>
      </c>
      <c r="AR641" s="173">
        <f t="shared" si="504"/>
        <v>325</v>
      </c>
      <c r="AS641" s="180">
        <f t="shared" si="504"/>
        <v>18</v>
      </c>
      <c r="AT641" s="288"/>
      <c r="AU641" s="185" t="str">
        <f t="shared" ref="AU641:AX656" si="505">IF(AU179="","",AU179)</f>
        <v/>
      </c>
      <c r="AV641" s="173" t="str">
        <f t="shared" si="505"/>
        <v/>
      </c>
      <c r="AW641" s="173" t="str">
        <f t="shared" si="505"/>
        <v/>
      </c>
      <c r="AX641" s="180" t="str">
        <f t="shared" si="505"/>
        <v/>
      </c>
      <c r="AZ641" s="185" t="str">
        <f t="shared" ref="AZ641:BC656" si="506">IF(AZ179="","",AZ179)</f>
        <v/>
      </c>
      <c r="BA641" s="173" t="str">
        <f t="shared" si="506"/>
        <v/>
      </c>
      <c r="BB641" s="173" t="str">
        <f t="shared" si="506"/>
        <v/>
      </c>
      <c r="BC641" s="180" t="str">
        <f t="shared" si="506"/>
        <v/>
      </c>
      <c r="BE641" s="185" t="str">
        <f t="shared" ref="BE641:BH656" si="507">IF(BE179="","",BE179)</f>
        <v/>
      </c>
      <c r="BF641" s="173" t="str">
        <f t="shared" si="507"/>
        <v/>
      </c>
      <c r="BG641" s="173" t="str">
        <f t="shared" si="507"/>
        <v/>
      </c>
      <c r="BH641" s="180" t="str">
        <f t="shared" si="507"/>
        <v/>
      </c>
      <c r="BI641" s="288"/>
      <c r="BJ641" s="185" t="str">
        <f t="shared" ref="BJ641:BM656" si="508">IF(BJ179="","",BJ179)</f>
        <v/>
      </c>
      <c r="BK641" s="173" t="str">
        <f t="shared" si="508"/>
        <v/>
      </c>
      <c r="BL641" s="173" t="str">
        <f t="shared" si="508"/>
        <v/>
      </c>
      <c r="BM641" s="180" t="str">
        <f t="shared" si="508"/>
        <v/>
      </c>
      <c r="BO641" s="185" t="str">
        <f t="shared" ref="BO641:BR656" si="509">IF(BO179="","",BO179)</f>
        <v/>
      </c>
      <c r="BP641" s="173" t="str">
        <f t="shared" si="509"/>
        <v/>
      </c>
      <c r="BQ641" s="173" t="str">
        <f t="shared" si="509"/>
        <v/>
      </c>
      <c r="BR641" s="180" t="str">
        <f t="shared" si="509"/>
        <v/>
      </c>
      <c r="BT641" s="185" t="str">
        <f t="shared" ref="BT641:BW656" si="510">IF(BT179="","",BT179)</f>
        <v/>
      </c>
      <c r="BU641" s="173" t="str">
        <f t="shared" si="510"/>
        <v/>
      </c>
      <c r="BV641" s="173" t="str">
        <f t="shared" si="510"/>
        <v/>
      </c>
      <c r="BW641" s="180" t="str">
        <f t="shared" si="510"/>
        <v/>
      </c>
      <c r="BX641" s="288"/>
      <c r="CM641" s="96"/>
    </row>
    <row r="642" spans="1:91">
      <c r="A642" s="47" t="str">
        <f t="shared" si="496"/>
        <v/>
      </c>
      <c r="B642" s="185">
        <f t="shared" si="496"/>
        <v>45</v>
      </c>
      <c r="C642" s="173">
        <f t="shared" si="496"/>
        <v>10.5</v>
      </c>
      <c r="D642" s="173">
        <f t="shared" si="496"/>
        <v>826</v>
      </c>
      <c r="E642" s="180">
        <f t="shared" si="496"/>
        <v>18</v>
      </c>
      <c r="G642" s="185">
        <f t="shared" si="497"/>
        <v>45</v>
      </c>
      <c r="H642" s="173">
        <f t="shared" si="497"/>
        <v>10.5</v>
      </c>
      <c r="I642" s="173">
        <f t="shared" si="497"/>
        <v>586</v>
      </c>
      <c r="J642" s="180">
        <f t="shared" si="497"/>
        <v>18</v>
      </c>
      <c r="L642" s="185">
        <f t="shared" si="498"/>
        <v>45</v>
      </c>
      <c r="M642" s="173">
        <f t="shared" si="498"/>
        <v>10.5</v>
      </c>
      <c r="N642" s="173">
        <f t="shared" si="498"/>
        <v>346</v>
      </c>
      <c r="O642" s="180">
        <f t="shared" si="498"/>
        <v>18</v>
      </c>
      <c r="Q642" s="185">
        <f t="shared" si="499"/>
        <v>45</v>
      </c>
      <c r="R642" s="173">
        <f t="shared" si="499"/>
        <v>10.5</v>
      </c>
      <c r="S642" s="173">
        <f t="shared" si="499"/>
        <v>118</v>
      </c>
      <c r="T642" s="180">
        <f t="shared" si="499"/>
        <v>18</v>
      </c>
      <c r="V642" s="185" t="str">
        <f t="shared" si="500"/>
        <v/>
      </c>
      <c r="W642" s="173" t="str">
        <f t="shared" si="500"/>
        <v/>
      </c>
      <c r="X642" s="173" t="str">
        <f t="shared" si="500"/>
        <v/>
      </c>
      <c r="Y642" s="180" t="str">
        <f t="shared" si="500"/>
        <v/>
      </c>
      <c r="AA642" s="185" t="str">
        <f t="shared" si="501"/>
        <v/>
      </c>
      <c r="AB642" s="173" t="str">
        <f t="shared" si="501"/>
        <v/>
      </c>
      <c r="AC642" s="173" t="str">
        <f t="shared" si="501"/>
        <v/>
      </c>
      <c r="AD642" s="180" t="str">
        <f t="shared" si="501"/>
        <v/>
      </c>
      <c r="AF642" s="185" t="str">
        <f t="shared" si="502"/>
        <v/>
      </c>
      <c r="AG642" s="173" t="str">
        <f t="shared" si="502"/>
        <v/>
      </c>
      <c r="AH642" s="173" t="str">
        <f t="shared" si="502"/>
        <v/>
      </c>
      <c r="AI642" s="180" t="str">
        <f t="shared" si="502"/>
        <v/>
      </c>
      <c r="AK642" s="185" t="str">
        <f t="shared" si="503"/>
        <v/>
      </c>
      <c r="AL642" s="173" t="str">
        <f t="shared" si="503"/>
        <v/>
      </c>
      <c r="AM642" s="173" t="str">
        <f t="shared" si="503"/>
        <v/>
      </c>
      <c r="AN642" s="180" t="str">
        <f t="shared" si="503"/>
        <v/>
      </c>
      <c r="AP642" s="185">
        <f t="shared" si="504"/>
        <v>45</v>
      </c>
      <c r="AQ642" s="173">
        <f t="shared" si="504"/>
        <v>10.5</v>
      </c>
      <c r="AR642" s="173">
        <f t="shared" si="504"/>
        <v>268</v>
      </c>
      <c r="AS642" s="180">
        <f t="shared" si="504"/>
        <v>18</v>
      </c>
      <c r="AT642" s="288"/>
      <c r="AU642" s="185" t="str">
        <f t="shared" si="505"/>
        <v/>
      </c>
      <c r="AV642" s="173" t="str">
        <f t="shared" si="505"/>
        <v/>
      </c>
      <c r="AW642" s="173" t="str">
        <f t="shared" si="505"/>
        <v/>
      </c>
      <c r="AX642" s="180" t="str">
        <f t="shared" si="505"/>
        <v/>
      </c>
      <c r="AZ642" s="185" t="str">
        <f t="shared" si="506"/>
        <v/>
      </c>
      <c r="BA642" s="173" t="str">
        <f t="shared" si="506"/>
        <v/>
      </c>
      <c r="BB642" s="173" t="str">
        <f t="shared" si="506"/>
        <v/>
      </c>
      <c r="BC642" s="180" t="str">
        <f t="shared" si="506"/>
        <v/>
      </c>
      <c r="BE642" s="185" t="str">
        <f t="shared" si="507"/>
        <v/>
      </c>
      <c r="BF642" s="173" t="str">
        <f t="shared" si="507"/>
        <v/>
      </c>
      <c r="BG642" s="173" t="str">
        <f t="shared" si="507"/>
        <v/>
      </c>
      <c r="BH642" s="180" t="str">
        <f t="shared" si="507"/>
        <v/>
      </c>
      <c r="BI642" s="288"/>
      <c r="BJ642" s="185" t="str">
        <f t="shared" si="508"/>
        <v/>
      </c>
      <c r="BK642" s="173" t="str">
        <f t="shared" si="508"/>
        <v/>
      </c>
      <c r="BL642" s="173" t="str">
        <f t="shared" si="508"/>
        <v/>
      </c>
      <c r="BM642" s="180" t="str">
        <f t="shared" si="508"/>
        <v/>
      </c>
      <c r="BO642" s="185" t="str">
        <f t="shared" si="509"/>
        <v/>
      </c>
      <c r="BP642" s="173" t="str">
        <f t="shared" si="509"/>
        <v/>
      </c>
      <c r="BQ642" s="173" t="str">
        <f t="shared" si="509"/>
        <v/>
      </c>
      <c r="BR642" s="180" t="str">
        <f t="shared" si="509"/>
        <v/>
      </c>
      <c r="BT642" s="185" t="str">
        <f t="shared" si="510"/>
        <v/>
      </c>
      <c r="BU642" s="173" t="str">
        <f t="shared" si="510"/>
        <v/>
      </c>
      <c r="BV642" s="173" t="str">
        <f t="shared" si="510"/>
        <v/>
      </c>
      <c r="BW642" s="180" t="str">
        <f t="shared" si="510"/>
        <v/>
      </c>
      <c r="BX642" s="288"/>
      <c r="CM642" s="96"/>
    </row>
    <row r="643" spans="1:91">
      <c r="A643" s="47" t="str">
        <f t="shared" si="496"/>
        <v/>
      </c>
      <c r="B643" s="185">
        <f t="shared" si="496"/>
        <v>45</v>
      </c>
      <c r="C643" s="173">
        <f t="shared" si="496"/>
        <v>10.5</v>
      </c>
      <c r="D643" s="173">
        <f t="shared" si="496"/>
        <v>769</v>
      </c>
      <c r="E643" s="180">
        <f t="shared" si="496"/>
        <v>18</v>
      </c>
      <c r="G643" s="185">
        <f t="shared" si="497"/>
        <v>45</v>
      </c>
      <c r="H643" s="173">
        <f t="shared" si="497"/>
        <v>10.5</v>
      </c>
      <c r="I643" s="173">
        <f t="shared" si="497"/>
        <v>529</v>
      </c>
      <c r="J643" s="180">
        <f t="shared" si="497"/>
        <v>18</v>
      </c>
      <c r="L643" s="185">
        <f t="shared" si="498"/>
        <v>45</v>
      </c>
      <c r="M643" s="173">
        <f t="shared" si="498"/>
        <v>10.5</v>
      </c>
      <c r="N643" s="173">
        <f t="shared" si="498"/>
        <v>289</v>
      </c>
      <c r="O643" s="180">
        <f t="shared" si="498"/>
        <v>18</v>
      </c>
      <c r="Q643" s="185">
        <f t="shared" si="499"/>
        <v>45</v>
      </c>
      <c r="R643" s="173">
        <f t="shared" si="499"/>
        <v>10.5</v>
      </c>
      <c r="S643" s="173">
        <f t="shared" si="499"/>
        <v>61</v>
      </c>
      <c r="T643" s="180">
        <f t="shared" si="499"/>
        <v>18</v>
      </c>
      <c r="V643" s="185" t="str">
        <f t="shared" si="500"/>
        <v/>
      </c>
      <c r="W643" s="173" t="str">
        <f t="shared" si="500"/>
        <v/>
      </c>
      <c r="X643" s="173" t="str">
        <f t="shared" si="500"/>
        <v/>
      </c>
      <c r="Y643" s="180" t="str">
        <f t="shared" si="500"/>
        <v/>
      </c>
      <c r="AA643" s="185" t="str">
        <f t="shared" si="501"/>
        <v/>
      </c>
      <c r="AB643" s="173" t="str">
        <f t="shared" si="501"/>
        <v/>
      </c>
      <c r="AC643" s="173" t="str">
        <f t="shared" si="501"/>
        <v/>
      </c>
      <c r="AD643" s="180" t="str">
        <f t="shared" si="501"/>
        <v/>
      </c>
      <c r="AF643" s="185" t="str">
        <f t="shared" si="502"/>
        <v/>
      </c>
      <c r="AG643" s="173" t="str">
        <f t="shared" si="502"/>
        <v/>
      </c>
      <c r="AH643" s="173" t="str">
        <f t="shared" si="502"/>
        <v/>
      </c>
      <c r="AI643" s="180" t="str">
        <f t="shared" si="502"/>
        <v/>
      </c>
      <c r="AK643" s="185" t="str">
        <f t="shared" si="503"/>
        <v/>
      </c>
      <c r="AL643" s="173" t="str">
        <f t="shared" si="503"/>
        <v/>
      </c>
      <c r="AM643" s="173" t="str">
        <f t="shared" si="503"/>
        <v/>
      </c>
      <c r="AN643" s="180" t="str">
        <f t="shared" si="503"/>
        <v/>
      </c>
      <c r="AP643" s="185">
        <f t="shared" si="504"/>
        <v>45</v>
      </c>
      <c r="AQ643" s="173">
        <f t="shared" si="504"/>
        <v>10.5</v>
      </c>
      <c r="AR643" s="173">
        <f t="shared" si="504"/>
        <v>211</v>
      </c>
      <c r="AS643" s="180">
        <f t="shared" si="504"/>
        <v>18</v>
      </c>
      <c r="AT643" s="288"/>
      <c r="AU643" s="185" t="str">
        <f t="shared" si="505"/>
        <v/>
      </c>
      <c r="AV643" s="173" t="str">
        <f t="shared" si="505"/>
        <v/>
      </c>
      <c r="AW643" s="173" t="str">
        <f t="shared" si="505"/>
        <v/>
      </c>
      <c r="AX643" s="180" t="str">
        <f t="shared" si="505"/>
        <v/>
      </c>
      <c r="AZ643" s="185" t="str">
        <f t="shared" si="506"/>
        <v/>
      </c>
      <c r="BA643" s="173" t="str">
        <f t="shared" si="506"/>
        <v/>
      </c>
      <c r="BB643" s="173" t="str">
        <f t="shared" si="506"/>
        <v/>
      </c>
      <c r="BC643" s="180" t="str">
        <f t="shared" si="506"/>
        <v/>
      </c>
      <c r="BE643" s="185" t="str">
        <f t="shared" si="507"/>
        <v/>
      </c>
      <c r="BF643" s="173" t="str">
        <f t="shared" si="507"/>
        <v/>
      </c>
      <c r="BG643" s="173" t="str">
        <f t="shared" si="507"/>
        <v/>
      </c>
      <c r="BH643" s="180" t="str">
        <f t="shared" si="507"/>
        <v/>
      </c>
      <c r="BI643" s="288"/>
      <c r="BJ643" s="185" t="str">
        <f t="shared" si="508"/>
        <v/>
      </c>
      <c r="BK643" s="173" t="str">
        <f t="shared" si="508"/>
        <v/>
      </c>
      <c r="BL643" s="173" t="str">
        <f t="shared" si="508"/>
        <v/>
      </c>
      <c r="BM643" s="180" t="str">
        <f t="shared" si="508"/>
        <v/>
      </c>
      <c r="BO643" s="185" t="str">
        <f t="shared" si="509"/>
        <v/>
      </c>
      <c r="BP643" s="173" t="str">
        <f t="shared" si="509"/>
        <v/>
      </c>
      <c r="BQ643" s="173" t="str">
        <f t="shared" si="509"/>
        <v/>
      </c>
      <c r="BR643" s="180" t="str">
        <f t="shared" si="509"/>
        <v/>
      </c>
      <c r="BT643" s="185" t="str">
        <f t="shared" si="510"/>
        <v/>
      </c>
      <c r="BU643" s="173" t="str">
        <f t="shared" si="510"/>
        <v/>
      </c>
      <c r="BV643" s="173" t="str">
        <f t="shared" si="510"/>
        <v/>
      </c>
      <c r="BW643" s="180" t="str">
        <f t="shared" si="510"/>
        <v/>
      </c>
      <c r="BX643" s="288"/>
      <c r="CM643" s="96"/>
    </row>
    <row r="644" spans="1:91">
      <c r="A644" s="47" t="str">
        <f t="shared" si="496"/>
        <v/>
      </c>
      <c r="B644" s="185">
        <f t="shared" si="496"/>
        <v>45</v>
      </c>
      <c r="C644" s="173">
        <f t="shared" si="496"/>
        <v>10.5</v>
      </c>
      <c r="D644" s="173">
        <f t="shared" si="496"/>
        <v>712</v>
      </c>
      <c r="E644" s="180">
        <f t="shared" si="496"/>
        <v>18</v>
      </c>
      <c r="G644" s="185">
        <f t="shared" si="497"/>
        <v>45</v>
      </c>
      <c r="H644" s="173">
        <f t="shared" si="497"/>
        <v>10.5</v>
      </c>
      <c r="I644" s="173">
        <f t="shared" si="497"/>
        <v>472</v>
      </c>
      <c r="J644" s="180">
        <f t="shared" si="497"/>
        <v>18</v>
      </c>
      <c r="L644" s="185">
        <f t="shared" si="498"/>
        <v>45</v>
      </c>
      <c r="M644" s="173">
        <f t="shared" si="498"/>
        <v>10.5</v>
      </c>
      <c r="N644" s="173">
        <f t="shared" si="498"/>
        <v>232</v>
      </c>
      <c r="O644" s="180">
        <f t="shared" si="498"/>
        <v>18</v>
      </c>
      <c r="Q644" s="185" t="str">
        <f t="shared" si="499"/>
        <v/>
      </c>
      <c r="R644" s="173" t="str">
        <f t="shared" si="499"/>
        <v/>
      </c>
      <c r="S644" s="173" t="str">
        <f t="shared" si="499"/>
        <v/>
      </c>
      <c r="T644" s="180" t="str">
        <f t="shared" si="499"/>
        <v/>
      </c>
      <c r="V644" s="185" t="str">
        <f t="shared" si="500"/>
        <v/>
      </c>
      <c r="W644" s="173" t="str">
        <f t="shared" si="500"/>
        <v/>
      </c>
      <c r="X644" s="173" t="str">
        <f t="shared" si="500"/>
        <v/>
      </c>
      <c r="Y644" s="180" t="str">
        <f t="shared" si="500"/>
        <v/>
      </c>
      <c r="AA644" s="185" t="str">
        <f t="shared" si="501"/>
        <v/>
      </c>
      <c r="AB644" s="173" t="str">
        <f t="shared" si="501"/>
        <v/>
      </c>
      <c r="AC644" s="173" t="str">
        <f t="shared" si="501"/>
        <v/>
      </c>
      <c r="AD644" s="180" t="str">
        <f t="shared" si="501"/>
        <v/>
      </c>
      <c r="AF644" s="185" t="str">
        <f t="shared" si="502"/>
        <v/>
      </c>
      <c r="AG644" s="173" t="str">
        <f t="shared" si="502"/>
        <v/>
      </c>
      <c r="AH644" s="173" t="str">
        <f t="shared" si="502"/>
        <v/>
      </c>
      <c r="AI644" s="180" t="str">
        <f t="shared" si="502"/>
        <v/>
      </c>
      <c r="AK644" s="185" t="str">
        <f t="shared" si="503"/>
        <v/>
      </c>
      <c r="AL644" s="173" t="str">
        <f t="shared" si="503"/>
        <v/>
      </c>
      <c r="AM644" s="173" t="str">
        <f t="shared" si="503"/>
        <v/>
      </c>
      <c r="AN644" s="180" t="str">
        <f t="shared" si="503"/>
        <v/>
      </c>
      <c r="AP644" s="189">
        <f t="shared" si="504"/>
        <v>45</v>
      </c>
      <c r="AQ644" s="190">
        <f t="shared" si="504"/>
        <v>140</v>
      </c>
      <c r="AR644" s="190">
        <f t="shared" si="504"/>
        <v>980</v>
      </c>
      <c r="AS644" s="191">
        <f t="shared" si="504"/>
        <v>18</v>
      </c>
      <c r="AT644" s="288"/>
      <c r="AU644" s="185" t="str">
        <f t="shared" si="505"/>
        <v/>
      </c>
      <c r="AV644" s="173" t="str">
        <f t="shared" si="505"/>
        <v/>
      </c>
      <c r="AW644" s="173" t="str">
        <f t="shared" si="505"/>
        <v/>
      </c>
      <c r="AX644" s="180" t="str">
        <f t="shared" si="505"/>
        <v/>
      </c>
      <c r="AZ644" s="185" t="str">
        <f t="shared" si="506"/>
        <v/>
      </c>
      <c r="BA644" s="173" t="str">
        <f t="shared" si="506"/>
        <v/>
      </c>
      <c r="BB644" s="173" t="str">
        <f t="shared" si="506"/>
        <v/>
      </c>
      <c r="BC644" s="180" t="str">
        <f t="shared" si="506"/>
        <v/>
      </c>
      <c r="BE644" s="185" t="str">
        <f t="shared" si="507"/>
        <v/>
      </c>
      <c r="BF644" s="173" t="str">
        <f t="shared" si="507"/>
        <v/>
      </c>
      <c r="BG644" s="173" t="str">
        <f t="shared" si="507"/>
        <v/>
      </c>
      <c r="BH644" s="180" t="str">
        <f t="shared" si="507"/>
        <v/>
      </c>
      <c r="BI644" s="288"/>
      <c r="BJ644" s="185" t="str">
        <f t="shared" si="508"/>
        <v/>
      </c>
      <c r="BK644" s="173" t="str">
        <f t="shared" si="508"/>
        <v/>
      </c>
      <c r="BL644" s="173" t="str">
        <f t="shared" si="508"/>
        <v/>
      </c>
      <c r="BM644" s="180" t="str">
        <f t="shared" si="508"/>
        <v/>
      </c>
      <c r="BO644" s="185" t="str">
        <f t="shared" si="509"/>
        <v/>
      </c>
      <c r="BP644" s="173" t="str">
        <f t="shared" si="509"/>
        <v/>
      </c>
      <c r="BQ644" s="173" t="str">
        <f t="shared" si="509"/>
        <v/>
      </c>
      <c r="BR644" s="180" t="str">
        <f t="shared" si="509"/>
        <v/>
      </c>
      <c r="BT644" s="185" t="str">
        <f t="shared" si="510"/>
        <v/>
      </c>
      <c r="BU644" s="173" t="str">
        <f t="shared" si="510"/>
        <v/>
      </c>
      <c r="BV644" s="173" t="str">
        <f t="shared" si="510"/>
        <v/>
      </c>
      <c r="BW644" s="180" t="str">
        <f t="shared" si="510"/>
        <v/>
      </c>
      <c r="BX644" s="288"/>
      <c r="CM644" s="96"/>
    </row>
    <row r="645" spans="1:91">
      <c r="A645" s="47" t="str">
        <f t="shared" si="496"/>
        <v/>
      </c>
      <c r="B645" s="185">
        <f t="shared" si="496"/>
        <v>45</v>
      </c>
      <c r="C645" s="173">
        <f t="shared" si="496"/>
        <v>10.5</v>
      </c>
      <c r="D645" s="173">
        <f t="shared" si="496"/>
        <v>655</v>
      </c>
      <c r="E645" s="180">
        <f t="shared" si="496"/>
        <v>18</v>
      </c>
      <c r="G645" s="185">
        <f t="shared" si="497"/>
        <v>45</v>
      </c>
      <c r="H645" s="173">
        <f t="shared" si="497"/>
        <v>10.5</v>
      </c>
      <c r="I645" s="173">
        <f t="shared" si="497"/>
        <v>415</v>
      </c>
      <c r="J645" s="180">
        <f t="shared" si="497"/>
        <v>18</v>
      </c>
      <c r="L645" s="185">
        <f t="shared" si="498"/>
        <v>45</v>
      </c>
      <c r="M645" s="173">
        <f t="shared" si="498"/>
        <v>10.5</v>
      </c>
      <c r="N645" s="173">
        <f t="shared" si="498"/>
        <v>175</v>
      </c>
      <c r="O645" s="180">
        <f t="shared" si="498"/>
        <v>18</v>
      </c>
      <c r="Q645" s="185" t="str">
        <f t="shared" si="499"/>
        <v/>
      </c>
      <c r="R645" s="173" t="str">
        <f t="shared" si="499"/>
        <v/>
      </c>
      <c r="S645" s="173" t="str">
        <f t="shared" si="499"/>
        <v/>
      </c>
      <c r="T645" s="180" t="str">
        <f t="shared" si="499"/>
        <v/>
      </c>
      <c r="V645" s="185" t="str">
        <f t="shared" si="500"/>
        <v/>
      </c>
      <c r="W645" s="173" t="str">
        <f t="shared" si="500"/>
        <v/>
      </c>
      <c r="X645" s="173" t="str">
        <f t="shared" si="500"/>
        <v/>
      </c>
      <c r="Y645" s="180" t="str">
        <f t="shared" si="500"/>
        <v/>
      </c>
      <c r="AA645" s="185" t="str">
        <f t="shared" si="501"/>
        <v/>
      </c>
      <c r="AB645" s="173" t="str">
        <f t="shared" si="501"/>
        <v/>
      </c>
      <c r="AC645" s="173" t="str">
        <f t="shared" si="501"/>
        <v/>
      </c>
      <c r="AD645" s="180" t="str">
        <f t="shared" si="501"/>
        <v/>
      </c>
      <c r="AF645" s="185" t="str">
        <f t="shared" si="502"/>
        <v/>
      </c>
      <c r="AG645" s="173" t="str">
        <f t="shared" si="502"/>
        <v/>
      </c>
      <c r="AH645" s="173" t="str">
        <f t="shared" si="502"/>
        <v/>
      </c>
      <c r="AI645" s="180" t="str">
        <f t="shared" si="502"/>
        <v/>
      </c>
      <c r="AK645" s="185" t="str">
        <f t="shared" si="503"/>
        <v/>
      </c>
      <c r="AL645" s="173" t="str">
        <f t="shared" si="503"/>
        <v/>
      </c>
      <c r="AM645" s="173" t="str">
        <f t="shared" si="503"/>
        <v/>
      </c>
      <c r="AN645" s="180" t="str">
        <f t="shared" si="503"/>
        <v/>
      </c>
      <c r="AP645" s="192">
        <f t="shared" si="504"/>
        <v>45</v>
      </c>
      <c r="AQ645" s="193">
        <f t="shared" si="504"/>
        <v>140</v>
      </c>
      <c r="AR645" s="193">
        <f t="shared" si="504"/>
        <v>923</v>
      </c>
      <c r="AS645" s="194">
        <f t="shared" si="504"/>
        <v>18</v>
      </c>
      <c r="AT645" s="288"/>
      <c r="AU645" s="185" t="str">
        <f t="shared" si="505"/>
        <v/>
      </c>
      <c r="AV645" s="173" t="str">
        <f t="shared" si="505"/>
        <v/>
      </c>
      <c r="AW645" s="173" t="str">
        <f t="shared" si="505"/>
        <v/>
      </c>
      <c r="AX645" s="180" t="str">
        <f t="shared" si="505"/>
        <v/>
      </c>
      <c r="AZ645" s="185" t="str">
        <f t="shared" si="506"/>
        <v/>
      </c>
      <c r="BA645" s="173" t="str">
        <f t="shared" si="506"/>
        <v/>
      </c>
      <c r="BB645" s="173" t="str">
        <f t="shared" si="506"/>
        <v/>
      </c>
      <c r="BC645" s="180" t="str">
        <f t="shared" si="506"/>
        <v/>
      </c>
      <c r="BE645" s="185" t="str">
        <f t="shared" si="507"/>
        <v/>
      </c>
      <c r="BF645" s="173" t="str">
        <f t="shared" si="507"/>
        <v/>
      </c>
      <c r="BG645" s="173" t="str">
        <f t="shared" si="507"/>
        <v/>
      </c>
      <c r="BH645" s="180" t="str">
        <f t="shared" si="507"/>
        <v/>
      </c>
      <c r="BI645" s="288"/>
      <c r="BJ645" s="185" t="str">
        <f t="shared" si="508"/>
        <v/>
      </c>
      <c r="BK645" s="173" t="str">
        <f t="shared" si="508"/>
        <v/>
      </c>
      <c r="BL645" s="173" t="str">
        <f t="shared" si="508"/>
        <v/>
      </c>
      <c r="BM645" s="180" t="str">
        <f t="shared" si="508"/>
        <v/>
      </c>
      <c r="BO645" s="185" t="str">
        <f t="shared" si="509"/>
        <v/>
      </c>
      <c r="BP645" s="173" t="str">
        <f t="shared" si="509"/>
        <v/>
      </c>
      <c r="BQ645" s="173" t="str">
        <f t="shared" si="509"/>
        <v/>
      </c>
      <c r="BR645" s="180" t="str">
        <f t="shared" si="509"/>
        <v/>
      </c>
      <c r="BT645" s="185" t="str">
        <f t="shared" si="510"/>
        <v/>
      </c>
      <c r="BU645" s="173" t="str">
        <f t="shared" si="510"/>
        <v/>
      </c>
      <c r="BV645" s="173" t="str">
        <f t="shared" si="510"/>
        <v/>
      </c>
      <c r="BW645" s="180" t="str">
        <f t="shared" si="510"/>
        <v/>
      </c>
      <c r="BX645" s="288"/>
      <c r="CM645" s="96"/>
    </row>
    <row r="646" spans="1:91">
      <c r="A646" s="47" t="str">
        <f t="shared" si="496"/>
        <v/>
      </c>
      <c r="B646" s="185">
        <f t="shared" si="496"/>
        <v>45</v>
      </c>
      <c r="C646" s="173">
        <f t="shared" si="496"/>
        <v>10.5</v>
      </c>
      <c r="D646" s="173">
        <f t="shared" si="496"/>
        <v>598</v>
      </c>
      <c r="E646" s="180">
        <f t="shared" si="496"/>
        <v>18</v>
      </c>
      <c r="G646" s="185">
        <f t="shared" si="497"/>
        <v>45</v>
      </c>
      <c r="H646" s="173">
        <f t="shared" si="497"/>
        <v>10.5</v>
      </c>
      <c r="I646" s="173">
        <f t="shared" si="497"/>
        <v>358</v>
      </c>
      <c r="J646" s="180">
        <f t="shared" si="497"/>
        <v>18</v>
      </c>
      <c r="L646" s="185">
        <f t="shared" si="498"/>
        <v>45</v>
      </c>
      <c r="M646" s="173">
        <f t="shared" si="498"/>
        <v>10.5</v>
      </c>
      <c r="N646" s="173">
        <f t="shared" si="498"/>
        <v>118</v>
      </c>
      <c r="O646" s="180">
        <f t="shared" si="498"/>
        <v>18</v>
      </c>
      <c r="Q646" s="185" t="str">
        <f t="shared" si="499"/>
        <v/>
      </c>
      <c r="R646" s="173" t="str">
        <f t="shared" si="499"/>
        <v/>
      </c>
      <c r="S646" s="173" t="str">
        <f t="shared" si="499"/>
        <v/>
      </c>
      <c r="T646" s="180" t="str">
        <f t="shared" si="499"/>
        <v/>
      </c>
      <c r="V646" s="185" t="str">
        <f t="shared" si="500"/>
        <v/>
      </c>
      <c r="W646" s="173" t="str">
        <f t="shared" si="500"/>
        <v/>
      </c>
      <c r="X646" s="173" t="str">
        <f t="shared" si="500"/>
        <v/>
      </c>
      <c r="Y646" s="180" t="str">
        <f t="shared" si="500"/>
        <v/>
      </c>
      <c r="AA646" s="185" t="str">
        <f t="shared" si="501"/>
        <v/>
      </c>
      <c r="AB646" s="173" t="str">
        <f t="shared" si="501"/>
        <v/>
      </c>
      <c r="AC646" s="173" t="str">
        <f t="shared" si="501"/>
        <v/>
      </c>
      <c r="AD646" s="180" t="str">
        <f t="shared" si="501"/>
        <v/>
      </c>
      <c r="AF646" s="185" t="str">
        <f t="shared" si="502"/>
        <v/>
      </c>
      <c r="AG646" s="173" t="str">
        <f t="shared" si="502"/>
        <v/>
      </c>
      <c r="AH646" s="173" t="str">
        <f t="shared" si="502"/>
        <v/>
      </c>
      <c r="AI646" s="180" t="str">
        <f t="shared" si="502"/>
        <v/>
      </c>
      <c r="AK646" s="185" t="str">
        <f t="shared" si="503"/>
        <v/>
      </c>
      <c r="AL646" s="173" t="str">
        <f t="shared" si="503"/>
        <v/>
      </c>
      <c r="AM646" s="173" t="str">
        <f t="shared" si="503"/>
        <v/>
      </c>
      <c r="AN646" s="180" t="str">
        <f t="shared" si="503"/>
        <v/>
      </c>
      <c r="AP646" s="192">
        <f t="shared" si="504"/>
        <v>45</v>
      </c>
      <c r="AQ646" s="193">
        <f t="shared" si="504"/>
        <v>96</v>
      </c>
      <c r="AR646" s="193">
        <f t="shared" si="504"/>
        <v>980</v>
      </c>
      <c r="AS646" s="194">
        <f t="shared" si="504"/>
        <v>18</v>
      </c>
      <c r="AT646" s="288"/>
      <c r="AU646" s="185" t="str">
        <f t="shared" si="505"/>
        <v/>
      </c>
      <c r="AV646" s="173" t="str">
        <f t="shared" si="505"/>
        <v/>
      </c>
      <c r="AW646" s="173" t="str">
        <f t="shared" si="505"/>
        <v/>
      </c>
      <c r="AX646" s="180" t="str">
        <f t="shared" si="505"/>
        <v/>
      </c>
      <c r="AZ646" s="185" t="str">
        <f t="shared" si="506"/>
        <v/>
      </c>
      <c r="BA646" s="173" t="str">
        <f t="shared" si="506"/>
        <v/>
      </c>
      <c r="BB646" s="173" t="str">
        <f t="shared" si="506"/>
        <v/>
      </c>
      <c r="BC646" s="180" t="str">
        <f t="shared" si="506"/>
        <v/>
      </c>
      <c r="BE646" s="185" t="str">
        <f t="shared" si="507"/>
        <v/>
      </c>
      <c r="BF646" s="173" t="str">
        <f t="shared" si="507"/>
        <v/>
      </c>
      <c r="BG646" s="173" t="str">
        <f t="shared" si="507"/>
        <v/>
      </c>
      <c r="BH646" s="180" t="str">
        <f t="shared" si="507"/>
        <v/>
      </c>
      <c r="BI646" s="288"/>
      <c r="BJ646" s="185" t="str">
        <f t="shared" si="508"/>
        <v/>
      </c>
      <c r="BK646" s="173" t="str">
        <f t="shared" si="508"/>
        <v/>
      </c>
      <c r="BL646" s="173" t="str">
        <f t="shared" si="508"/>
        <v/>
      </c>
      <c r="BM646" s="180" t="str">
        <f t="shared" si="508"/>
        <v/>
      </c>
      <c r="BO646" s="185" t="str">
        <f t="shared" si="509"/>
        <v/>
      </c>
      <c r="BP646" s="173" t="str">
        <f t="shared" si="509"/>
        <v/>
      </c>
      <c r="BQ646" s="173" t="str">
        <f t="shared" si="509"/>
        <v/>
      </c>
      <c r="BR646" s="180" t="str">
        <f t="shared" si="509"/>
        <v/>
      </c>
      <c r="BT646" s="185" t="str">
        <f t="shared" si="510"/>
        <v/>
      </c>
      <c r="BU646" s="173" t="str">
        <f t="shared" si="510"/>
        <v/>
      </c>
      <c r="BV646" s="173" t="str">
        <f t="shared" si="510"/>
        <v/>
      </c>
      <c r="BW646" s="180" t="str">
        <f t="shared" si="510"/>
        <v/>
      </c>
      <c r="BX646" s="288"/>
      <c r="CM646" s="96"/>
    </row>
    <row r="647" spans="1:91">
      <c r="A647" s="47" t="str">
        <f t="shared" si="496"/>
        <v/>
      </c>
      <c r="B647" s="185">
        <f t="shared" si="496"/>
        <v>45</v>
      </c>
      <c r="C647" s="173">
        <f t="shared" si="496"/>
        <v>10.5</v>
      </c>
      <c r="D647" s="173">
        <f t="shared" si="496"/>
        <v>541</v>
      </c>
      <c r="E647" s="180">
        <f t="shared" si="496"/>
        <v>18</v>
      </c>
      <c r="G647" s="185">
        <f t="shared" si="497"/>
        <v>45</v>
      </c>
      <c r="H647" s="173">
        <f t="shared" si="497"/>
        <v>10.5</v>
      </c>
      <c r="I647" s="173">
        <f t="shared" si="497"/>
        <v>301</v>
      </c>
      <c r="J647" s="180">
        <f t="shared" si="497"/>
        <v>18</v>
      </c>
      <c r="L647" s="185">
        <f t="shared" si="498"/>
        <v>45</v>
      </c>
      <c r="M647" s="173">
        <f t="shared" si="498"/>
        <v>10.5</v>
      </c>
      <c r="N647" s="173">
        <f t="shared" si="498"/>
        <v>61</v>
      </c>
      <c r="O647" s="180">
        <f t="shared" si="498"/>
        <v>18</v>
      </c>
      <c r="Q647" s="185" t="str">
        <f t="shared" si="499"/>
        <v/>
      </c>
      <c r="R647" s="173" t="str">
        <f t="shared" si="499"/>
        <v/>
      </c>
      <c r="S647" s="173" t="str">
        <f t="shared" si="499"/>
        <v/>
      </c>
      <c r="T647" s="180" t="str">
        <f t="shared" si="499"/>
        <v/>
      </c>
      <c r="V647" s="185" t="str">
        <f t="shared" si="500"/>
        <v/>
      </c>
      <c r="W647" s="173" t="str">
        <f t="shared" si="500"/>
        <v/>
      </c>
      <c r="X647" s="173" t="str">
        <f t="shared" si="500"/>
        <v/>
      </c>
      <c r="Y647" s="180" t="str">
        <f t="shared" si="500"/>
        <v/>
      </c>
      <c r="AA647" s="185" t="str">
        <f t="shared" si="501"/>
        <v/>
      </c>
      <c r="AB647" s="173" t="str">
        <f t="shared" si="501"/>
        <v/>
      </c>
      <c r="AC647" s="173" t="str">
        <f t="shared" si="501"/>
        <v/>
      </c>
      <c r="AD647" s="180" t="str">
        <f t="shared" si="501"/>
        <v/>
      </c>
      <c r="AF647" s="185" t="str">
        <f t="shared" si="502"/>
        <v/>
      </c>
      <c r="AG647" s="173" t="str">
        <f t="shared" si="502"/>
        <v/>
      </c>
      <c r="AH647" s="173" t="str">
        <f t="shared" si="502"/>
        <v/>
      </c>
      <c r="AI647" s="180" t="str">
        <f t="shared" si="502"/>
        <v/>
      </c>
      <c r="AK647" s="185" t="str">
        <f t="shared" si="503"/>
        <v/>
      </c>
      <c r="AL647" s="173" t="str">
        <f t="shared" si="503"/>
        <v/>
      </c>
      <c r="AM647" s="173" t="str">
        <f t="shared" si="503"/>
        <v/>
      </c>
      <c r="AN647" s="180" t="str">
        <f t="shared" si="503"/>
        <v/>
      </c>
      <c r="AP647" s="192">
        <f t="shared" si="504"/>
        <v>45</v>
      </c>
      <c r="AQ647" s="193">
        <f t="shared" si="504"/>
        <v>96</v>
      </c>
      <c r="AR647" s="193">
        <f t="shared" si="504"/>
        <v>923</v>
      </c>
      <c r="AS647" s="194">
        <f t="shared" si="504"/>
        <v>18</v>
      </c>
      <c r="AT647" s="288"/>
      <c r="AU647" s="185" t="str">
        <f t="shared" si="505"/>
        <v/>
      </c>
      <c r="AV647" s="173" t="str">
        <f t="shared" si="505"/>
        <v/>
      </c>
      <c r="AW647" s="173" t="str">
        <f t="shared" si="505"/>
        <v/>
      </c>
      <c r="AX647" s="180" t="str">
        <f t="shared" si="505"/>
        <v/>
      </c>
      <c r="AZ647" s="185" t="str">
        <f t="shared" si="506"/>
        <v/>
      </c>
      <c r="BA647" s="173" t="str">
        <f t="shared" si="506"/>
        <v/>
      </c>
      <c r="BB647" s="173" t="str">
        <f t="shared" si="506"/>
        <v/>
      </c>
      <c r="BC647" s="180" t="str">
        <f t="shared" si="506"/>
        <v/>
      </c>
      <c r="BE647" s="185" t="str">
        <f t="shared" si="507"/>
        <v/>
      </c>
      <c r="BF647" s="173" t="str">
        <f t="shared" si="507"/>
        <v/>
      </c>
      <c r="BG647" s="173" t="str">
        <f t="shared" si="507"/>
        <v/>
      </c>
      <c r="BH647" s="180" t="str">
        <f t="shared" si="507"/>
        <v/>
      </c>
      <c r="BI647" s="288"/>
      <c r="BJ647" s="185" t="str">
        <f t="shared" si="508"/>
        <v/>
      </c>
      <c r="BK647" s="173" t="str">
        <f t="shared" si="508"/>
        <v/>
      </c>
      <c r="BL647" s="173" t="str">
        <f t="shared" si="508"/>
        <v/>
      </c>
      <c r="BM647" s="180" t="str">
        <f t="shared" si="508"/>
        <v/>
      </c>
      <c r="BO647" s="185" t="str">
        <f t="shared" si="509"/>
        <v/>
      </c>
      <c r="BP647" s="173" t="str">
        <f t="shared" si="509"/>
        <v/>
      </c>
      <c r="BQ647" s="173" t="str">
        <f t="shared" si="509"/>
        <v/>
      </c>
      <c r="BR647" s="180" t="str">
        <f t="shared" si="509"/>
        <v/>
      </c>
      <c r="BT647" s="185" t="str">
        <f t="shared" si="510"/>
        <v/>
      </c>
      <c r="BU647" s="173" t="str">
        <f t="shared" si="510"/>
        <v/>
      </c>
      <c r="BV647" s="173" t="str">
        <f t="shared" si="510"/>
        <v/>
      </c>
      <c r="BW647" s="180" t="str">
        <f t="shared" si="510"/>
        <v/>
      </c>
      <c r="BX647" s="288"/>
      <c r="CM647" s="96"/>
    </row>
    <row r="648" spans="1:91">
      <c r="A648" s="47" t="str">
        <f t="shared" si="496"/>
        <v/>
      </c>
      <c r="B648" s="185">
        <f t="shared" si="496"/>
        <v>45</v>
      </c>
      <c r="C648" s="173">
        <f t="shared" si="496"/>
        <v>10.5</v>
      </c>
      <c r="D648" s="173">
        <f t="shared" si="496"/>
        <v>484</v>
      </c>
      <c r="E648" s="180">
        <f t="shared" si="496"/>
        <v>18</v>
      </c>
      <c r="G648" s="185">
        <f t="shared" si="497"/>
        <v>45</v>
      </c>
      <c r="H648" s="173">
        <f t="shared" si="497"/>
        <v>10.5</v>
      </c>
      <c r="I648" s="173">
        <f t="shared" si="497"/>
        <v>244</v>
      </c>
      <c r="J648" s="180">
        <f t="shared" si="497"/>
        <v>18</v>
      </c>
      <c r="L648" s="185" t="str">
        <f t="shared" si="498"/>
        <v/>
      </c>
      <c r="M648" s="173" t="str">
        <f t="shared" si="498"/>
        <v/>
      </c>
      <c r="N648" s="173" t="str">
        <f t="shared" si="498"/>
        <v/>
      </c>
      <c r="O648" s="180" t="str">
        <f t="shared" si="498"/>
        <v/>
      </c>
      <c r="Q648" s="185" t="str">
        <f t="shared" si="499"/>
        <v/>
      </c>
      <c r="R648" s="173" t="str">
        <f t="shared" si="499"/>
        <v/>
      </c>
      <c r="S648" s="173" t="str">
        <f t="shared" si="499"/>
        <v/>
      </c>
      <c r="T648" s="180" t="str">
        <f t="shared" si="499"/>
        <v/>
      </c>
      <c r="V648" s="185" t="str">
        <f t="shared" si="500"/>
        <v/>
      </c>
      <c r="W648" s="173" t="str">
        <f t="shared" si="500"/>
        <v/>
      </c>
      <c r="X648" s="173" t="str">
        <f t="shared" si="500"/>
        <v/>
      </c>
      <c r="Y648" s="180" t="str">
        <f t="shared" si="500"/>
        <v/>
      </c>
      <c r="AA648" s="185" t="str">
        <f t="shared" si="501"/>
        <v/>
      </c>
      <c r="AB648" s="173" t="str">
        <f t="shared" si="501"/>
        <v/>
      </c>
      <c r="AC648" s="173" t="str">
        <f t="shared" si="501"/>
        <v/>
      </c>
      <c r="AD648" s="180" t="str">
        <f t="shared" si="501"/>
        <v/>
      </c>
      <c r="AF648" s="185" t="str">
        <f t="shared" si="502"/>
        <v/>
      </c>
      <c r="AG648" s="173" t="str">
        <f t="shared" si="502"/>
        <v/>
      </c>
      <c r="AH648" s="173" t="str">
        <f t="shared" si="502"/>
        <v/>
      </c>
      <c r="AI648" s="180" t="str">
        <f t="shared" si="502"/>
        <v/>
      </c>
      <c r="AK648" s="185" t="str">
        <f t="shared" si="503"/>
        <v/>
      </c>
      <c r="AL648" s="173" t="str">
        <f t="shared" si="503"/>
        <v/>
      </c>
      <c r="AM648" s="173" t="str">
        <f t="shared" si="503"/>
        <v/>
      </c>
      <c r="AN648" s="180" t="str">
        <f t="shared" si="503"/>
        <v/>
      </c>
      <c r="AP648" s="192">
        <f t="shared" si="504"/>
        <v>45</v>
      </c>
      <c r="AQ648" s="193">
        <f t="shared" si="504"/>
        <v>54</v>
      </c>
      <c r="AR648" s="193">
        <f t="shared" si="504"/>
        <v>980</v>
      </c>
      <c r="AS648" s="194">
        <f t="shared" si="504"/>
        <v>18</v>
      </c>
      <c r="AT648" s="288"/>
      <c r="AU648" s="185" t="str">
        <f t="shared" si="505"/>
        <v/>
      </c>
      <c r="AV648" s="173" t="str">
        <f t="shared" si="505"/>
        <v/>
      </c>
      <c r="AW648" s="173" t="str">
        <f t="shared" si="505"/>
        <v/>
      </c>
      <c r="AX648" s="180" t="str">
        <f t="shared" si="505"/>
        <v/>
      </c>
      <c r="AZ648" s="185" t="str">
        <f t="shared" si="506"/>
        <v/>
      </c>
      <c r="BA648" s="173" t="str">
        <f t="shared" si="506"/>
        <v/>
      </c>
      <c r="BB648" s="173" t="str">
        <f t="shared" si="506"/>
        <v/>
      </c>
      <c r="BC648" s="180" t="str">
        <f t="shared" si="506"/>
        <v/>
      </c>
      <c r="BE648" s="185" t="str">
        <f t="shared" si="507"/>
        <v/>
      </c>
      <c r="BF648" s="173" t="str">
        <f t="shared" si="507"/>
        <v/>
      </c>
      <c r="BG648" s="173" t="str">
        <f t="shared" si="507"/>
        <v/>
      </c>
      <c r="BH648" s="180" t="str">
        <f t="shared" si="507"/>
        <v/>
      </c>
      <c r="BI648" s="288"/>
      <c r="BJ648" s="185" t="str">
        <f t="shared" si="508"/>
        <v/>
      </c>
      <c r="BK648" s="173" t="str">
        <f t="shared" si="508"/>
        <v/>
      </c>
      <c r="BL648" s="173" t="str">
        <f t="shared" si="508"/>
        <v/>
      </c>
      <c r="BM648" s="180" t="str">
        <f t="shared" si="508"/>
        <v/>
      </c>
      <c r="BO648" s="185" t="str">
        <f t="shared" si="509"/>
        <v/>
      </c>
      <c r="BP648" s="173" t="str">
        <f t="shared" si="509"/>
        <v/>
      </c>
      <c r="BQ648" s="173" t="str">
        <f t="shared" si="509"/>
        <v/>
      </c>
      <c r="BR648" s="180" t="str">
        <f t="shared" si="509"/>
        <v/>
      </c>
      <c r="BT648" s="185" t="str">
        <f t="shared" si="510"/>
        <v/>
      </c>
      <c r="BU648" s="173" t="str">
        <f t="shared" si="510"/>
        <v/>
      </c>
      <c r="BV648" s="173" t="str">
        <f t="shared" si="510"/>
        <v/>
      </c>
      <c r="BW648" s="180" t="str">
        <f t="shared" si="510"/>
        <v/>
      </c>
      <c r="BX648" s="288"/>
      <c r="CM648" s="96"/>
    </row>
    <row r="649" spans="1:91">
      <c r="A649" s="47" t="str">
        <f t="shared" si="496"/>
        <v/>
      </c>
      <c r="B649" s="185">
        <f t="shared" si="496"/>
        <v>45</v>
      </c>
      <c r="C649" s="173">
        <f t="shared" si="496"/>
        <v>10.5</v>
      </c>
      <c r="D649" s="173">
        <f t="shared" si="496"/>
        <v>427</v>
      </c>
      <c r="E649" s="180">
        <f t="shared" si="496"/>
        <v>18</v>
      </c>
      <c r="G649" s="185">
        <f t="shared" si="497"/>
        <v>45</v>
      </c>
      <c r="H649" s="173">
        <f t="shared" si="497"/>
        <v>10.5</v>
      </c>
      <c r="I649" s="173">
        <f t="shared" si="497"/>
        <v>187</v>
      </c>
      <c r="J649" s="180">
        <f t="shared" si="497"/>
        <v>18</v>
      </c>
      <c r="L649" s="185" t="str">
        <f t="shared" si="498"/>
        <v/>
      </c>
      <c r="M649" s="173" t="str">
        <f t="shared" si="498"/>
        <v/>
      </c>
      <c r="N649" s="173" t="str">
        <f t="shared" si="498"/>
        <v/>
      </c>
      <c r="O649" s="180" t="str">
        <f t="shared" si="498"/>
        <v/>
      </c>
      <c r="Q649" s="185" t="str">
        <f t="shared" si="499"/>
        <v/>
      </c>
      <c r="R649" s="173" t="str">
        <f t="shared" si="499"/>
        <v/>
      </c>
      <c r="S649" s="173" t="str">
        <f t="shared" si="499"/>
        <v/>
      </c>
      <c r="T649" s="180" t="str">
        <f t="shared" si="499"/>
        <v/>
      </c>
      <c r="V649" s="185" t="str">
        <f t="shared" si="500"/>
        <v/>
      </c>
      <c r="W649" s="173" t="str">
        <f t="shared" si="500"/>
        <v/>
      </c>
      <c r="X649" s="173" t="str">
        <f t="shared" si="500"/>
        <v/>
      </c>
      <c r="Y649" s="180" t="str">
        <f t="shared" si="500"/>
        <v/>
      </c>
      <c r="AA649" s="185" t="str">
        <f t="shared" si="501"/>
        <v/>
      </c>
      <c r="AB649" s="173" t="str">
        <f t="shared" si="501"/>
        <v/>
      </c>
      <c r="AC649" s="173" t="str">
        <f t="shared" si="501"/>
        <v/>
      </c>
      <c r="AD649" s="180" t="str">
        <f t="shared" si="501"/>
        <v/>
      </c>
      <c r="AF649" s="185" t="str">
        <f t="shared" si="502"/>
        <v/>
      </c>
      <c r="AG649" s="173" t="str">
        <f t="shared" si="502"/>
        <v/>
      </c>
      <c r="AH649" s="173" t="str">
        <f t="shared" si="502"/>
        <v/>
      </c>
      <c r="AI649" s="180" t="str">
        <f t="shared" si="502"/>
        <v/>
      </c>
      <c r="AK649" s="185" t="str">
        <f t="shared" si="503"/>
        <v/>
      </c>
      <c r="AL649" s="173" t="str">
        <f t="shared" si="503"/>
        <v/>
      </c>
      <c r="AM649" s="173" t="str">
        <f t="shared" si="503"/>
        <v/>
      </c>
      <c r="AN649" s="180" t="str">
        <f t="shared" si="503"/>
        <v/>
      </c>
      <c r="AP649" s="192">
        <f t="shared" si="504"/>
        <v>45</v>
      </c>
      <c r="AQ649" s="193">
        <f t="shared" si="504"/>
        <v>54</v>
      </c>
      <c r="AR649" s="193">
        <f t="shared" si="504"/>
        <v>923</v>
      </c>
      <c r="AS649" s="194">
        <f t="shared" si="504"/>
        <v>18</v>
      </c>
      <c r="AT649" s="288"/>
      <c r="AU649" s="185" t="str">
        <f t="shared" si="505"/>
        <v/>
      </c>
      <c r="AV649" s="173" t="str">
        <f t="shared" si="505"/>
        <v/>
      </c>
      <c r="AW649" s="173" t="str">
        <f t="shared" si="505"/>
        <v/>
      </c>
      <c r="AX649" s="180" t="str">
        <f t="shared" si="505"/>
        <v/>
      </c>
      <c r="AZ649" s="185" t="str">
        <f t="shared" si="506"/>
        <v/>
      </c>
      <c r="BA649" s="173" t="str">
        <f t="shared" si="506"/>
        <v/>
      </c>
      <c r="BB649" s="173" t="str">
        <f t="shared" si="506"/>
        <v/>
      </c>
      <c r="BC649" s="180" t="str">
        <f t="shared" si="506"/>
        <v/>
      </c>
      <c r="BE649" s="185" t="str">
        <f t="shared" si="507"/>
        <v/>
      </c>
      <c r="BF649" s="173" t="str">
        <f t="shared" si="507"/>
        <v/>
      </c>
      <c r="BG649" s="173" t="str">
        <f t="shared" si="507"/>
        <v/>
      </c>
      <c r="BH649" s="180" t="str">
        <f t="shared" si="507"/>
        <v/>
      </c>
      <c r="BI649" s="288"/>
      <c r="BJ649" s="185" t="str">
        <f t="shared" si="508"/>
        <v/>
      </c>
      <c r="BK649" s="173" t="str">
        <f t="shared" si="508"/>
        <v/>
      </c>
      <c r="BL649" s="173" t="str">
        <f t="shared" si="508"/>
        <v/>
      </c>
      <c r="BM649" s="180" t="str">
        <f t="shared" si="508"/>
        <v/>
      </c>
      <c r="BO649" s="185" t="str">
        <f t="shared" si="509"/>
        <v/>
      </c>
      <c r="BP649" s="173" t="str">
        <f t="shared" si="509"/>
        <v/>
      </c>
      <c r="BQ649" s="173" t="str">
        <f t="shared" si="509"/>
        <v/>
      </c>
      <c r="BR649" s="180" t="str">
        <f t="shared" si="509"/>
        <v/>
      </c>
      <c r="BT649" s="185" t="str">
        <f t="shared" si="510"/>
        <v/>
      </c>
      <c r="BU649" s="173" t="str">
        <f t="shared" si="510"/>
        <v/>
      </c>
      <c r="BV649" s="173" t="str">
        <f t="shared" si="510"/>
        <v/>
      </c>
      <c r="BW649" s="180" t="str">
        <f t="shared" si="510"/>
        <v/>
      </c>
      <c r="BX649" s="288"/>
      <c r="CM649" s="96"/>
    </row>
    <row r="650" spans="1:91">
      <c r="A650" s="47" t="str">
        <f t="shared" si="496"/>
        <v/>
      </c>
      <c r="B650" s="185">
        <f t="shared" si="496"/>
        <v>45</v>
      </c>
      <c r="C650" s="173">
        <f t="shared" si="496"/>
        <v>10.5</v>
      </c>
      <c r="D650" s="173">
        <f t="shared" si="496"/>
        <v>370</v>
      </c>
      <c r="E650" s="180">
        <f t="shared" si="496"/>
        <v>18</v>
      </c>
      <c r="G650" s="185">
        <f t="shared" si="497"/>
        <v>45</v>
      </c>
      <c r="H650" s="173">
        <f t="shared" si="497"/>
        <v>10.5</v>
      </c>
      <c r="I650" s="173">
        <f t="shared" si="497"/>
        <v>130</v>
      </c>
      <c r="J650" s="180">
        <f t="shared" si="497"/>
        <v>18</v>
      </c>
      <c r="L650" s="185" t="str">
        <f t="shared" si="498"/>
        <v/>
      </c>
      <c r="M650" s="173" t="str">
        <f t="shared" si="498"/>
        <v/>
      </c>
      <c r="N650" s="173" t="str">
        <f t="shared" si="498"/>
        <v/>
      </c>
      <c r="O650" s="180" t="str">
        <f t="shared" si="498"/>
        <v/>
      </c>
      <c r="Q650" s="185" t="str">
        <f t="shared" si="499"/>
        <v/>
      </c>
      <c r="R650" s="173" t="str">
        <f t="shared" si="499"/>
        <v/>
      </c>
      <c r="S650" s="173" t="str">
        <f t="shared" si="499"/>
        <v/>
      </c>
      <c r="T650" s="180" t="str">
        <f t="shared" si="499"/>
        <v/>
      </c>
      <c r="V650" s="185" t="str">
        <f t="shared" si="500"/>
        <v/>
      </c>
      <c r="W650" s="173" t="str">
        <f t="shared" si="500"/>
        <v/>
      </c>
      <c r="X650" s="173" t="str">
        <f t="shared" si="500"/>
        <v/>
      </c>
      <c r="Y650" s="180" t="str">
        <f t="shared" si="500"/>
        <v/>
      </c>
      <c r="AA650" s="185" t="str">
        <f t="shared" si="501"/>
        <v/>
      </c>
      <c r="AB650" s="173" t="str">
        <f t="shared" si="501"/>
        <v/>
      </c>
      <c r="AC650" s="173" t="str">
        <f t="shared" si="501"/>
        <v/>
      </c>
      <c r="AD650" s="180" t="str">
        <f t="shared" si="501"/>
        <v/>
      </c>
      <c r="AF650" s="185" t="str">
        <f t="shared" si="502"/>
        <v/>
      </c>
      <c r="AG650" s="173" t="str">
        <f t="shared" si="502"/>
        <v/>
      </c>
      <c r="AH650" s="173" t="str">
        <f t="shared" si="502"/>
        <v/>
      </c>
      <c r="AI650" s="180" t="str">
        <f t="shared" si="502"/>
        <v/>
      </c>
      <c r="AK650" s="185" t="str">
        <f t="shared" si="503"/>
        <v/>
      </c>
      <c r="AL650" s="173" t="str">
        <f t="shared" si="503"/>
        <v/>
      </c>
      <c r="AM650" s="173" t="str">
        <f t="shared" si="503"/>
        <v/>
      </c>
      <c r="AN650" s="180" t="str">
        <f t="shared" si="503"/>
        <v/>
      </c>
      <c r="AP650" s="192">
        <f t="shared" si="504"/>
        <v>45</v>
      </c>
      <c r="AQ650" s="193">
        <f t="shared" si="504"/>
        <v>10</v>
      </c>
      <c r="AR650" s="193">
        <f t="shared" si="504"/>
        <v>980</v>
      </c>
      <c r="AS650" s="194">
        <f t="shared" si="504"/>
        <v>18</v>
      </c>
      <c r="AT650" s="288"/>
      <c r="AU650" s="185" t="str">
        <f t="shared" si="505"/>
        <v/>
      </c>
      <c r="AV650" s="173" t="str">
        <f t="shared" si="505"/>
        <v/>
      </c>
      <c r="AW650" s="173" t="str">
        <f t="shared" si="505"/>
        <v/>
      </c>
      <c r="AX650" s="180" t="str">
        <f t="shared" si="505"/>
        <v/>
      </c>
      <c r="AZ650" s="185" t="str">
        <f t="shared" si="506"/>
        <v/>
      </c>
      <c r="BA650" s="173" t="str">
        <f t="shared" si="506"/>
        <v/>
      </c>
      <c r="BB650" s="173" t="str">
        <f t="shared" si="506"/>
        <v/>
      </c>
      <c r="BC650" s="180" t="str">
        <f t="shared" si="506"/>
        <v/>
      </c>
      <c r="BE650" s="185" t="str">
        <f t="shared" si="507"/>
        <v/>
      </c>
      <c r="BF650" s="173" t="str">
        <f t="shared" si="507"/>
        <v/>
      </c>
      <c r="BG650" s="173" t="str">
        <f t="shared" si="507"/>
        <v/>
      </c>
      <c r="BH650" s="180" t="str">
        <f t="shared" si="507"/>
        <v/>
      </c>
      <c r="BI650" s="288"/>
      <c r="BJ650" s="185" t="str">
        <f t="shared" si="508"/>
        <v/>
      </c>
      <c r="BK650" s="173" t="str">
        <f t="shared" si="508"/>
        <v/>
      </c>
      <c r="BL650" s="173" t="str">
        <f t="shared" si="508"/>
        <v/>
      </c>
      <c r="BM650" s="180" t="str">
        <f t="shared" si="508"/>
        <v/>
      </c>
      <c r="BO650" s="185" t="str">
        <f t="shared" si="509"/>
        <v/>
      </c>
      <c r="BP650" s="173" t="str">
        <f t="shared" si="509"/>
        <v/>
      </c>
      <c r="BQ650" s="173" t="str">
        <f t="shared" si="509"/>
        <v/>
      </c>
      <c r="BR650" s="180" t="str">
        <f t="shared" si="509"/>
        <v/>
      </c>
      <c r="BT650" s="185" t="str">
        <f t="shared" si="510"/>
        <v/>
      </c>
      <c r="BU650" s="173" t="str">
        <f t="shared" si="510"/>
        <v/>
      </c>
      <c r="BV650" s="173" t="str">
        <f t="shared" si="510"/>
        <v/>
      </c>
      <c r="BW650" s="180" t="str">
        <f t="shared" si="510"/>
        <v/>
      </c>
      <c r="BX650" s="288"/>
      <c r="CM650" s="96"/>
    </row>
    <row r="651" spans="1:91">
      <c r="A651" s="47" t="str">
        <f t="shared" si="496"/>
        <v/>
      </c>
      <c r="B651" s="185">
        <f t="shared" si="496"/>
        <v>45</v>
      </c>
      <c r="C651" s="173">
        <f t="shared" si="496"/>
        <v>10.5</v>
      </c>
      <c r="D651" s="173">
        <f t="shared" si="496"/>
        <v>313</v>
      </c>
      <c r="E651" s="180">
        <f t="shared" si="496"/>
        <v>18</v>
      </c>
      <c r="G651" s="185">
        <f t="shared" si="497"/>
        <v>45</v>
      </c>
      <c r="H651" s="173">
        <f t="shared" si="497"/>
        <v>10.5</v>
      </c>
      <c r="I651" s="173">
        <f t="shared" si="497"/>
        <v>73</v>
      </c>
      <c r="J651" s="180">
        <f t="shared" si="497"/>
        <v>18</v>
      </c>
      <c r="L651" s="185" t="str">
        <f t="shared" si="498"/>
        <v/>
      </c>
      <c r="M651" s="173" t="str">
        <f t="shared" si="498"/>
        <v/>
      </c>
      <c r="N651" s="173" t="str">
        <f t="shared" si="498"/>
        <v/>
      </c>
      <c r="O651" s="180" t="str">
        <f t="shared" si="498"/>
        <v/>
      </c>
      <c r="Q651" s="185" t="str">
        <f t="shared" si="499"/>
        <v/>
      </c>
      <c r="R651" s="173" t="str">
        <f t="shared" si="499"/>
        <v/>
      </c>
      <c r="S651" s="173" t="str">
        <f t="shared" si="499"/>
        <v/>
      </c>
      <c r="T651" s="180" t="str">
        <f t="shared" si="499"/>
        <v/>
      </c>
      <c r="V651" s="185" t="str">
        <f t="shared" si="500"/>
        <v/>
      </c>
      <c r="W651" s="173" t="str">
        <f t="shared" si="500"/>
        <v/>
      </c>
      <c r="X651" s="173" t="str">
        <f t="shared" si="500"/>
        <v/>
      </c>
      <c r="Y651" s="180" t="str">
        <f t="shared" si="500"/>
        <v/>
      </c>
      <c r="AA651" s="185" t="str">
        <f t="shared" si="501"/>
        <v/>
      </c>
      <c r="AB651" s="173" t="str">
        <f t="shared" si="501"/>
        <v/>
      </c>
      <c r="AC651" s="173" t="str">
        <f t="shared" si="501"/>
        <v/>
      </c>
      <c r="AD651" s="180" t="str">
        <f t="shared" si="501"/>
        <v/>
      </c>
      <c r="AF651" s="185" t="str">
        <f t="shared" si="502"/>
        <v/>
      </c>
      <c r="AG651" s="173" t="str">
        <f t="shared" si="502"/>
        <v/>
      </c>
      <c r="AH651" s="173" t="str">
        <f t="shared" si="502"/>
        <v/>
      </c>
      <c r="AI651" s="180" t="str">
        <f t="shared" si="502"/>
        <v/>
      </c>
      <c r="AK651" s="185" t="str">
        <f t="shared" si="503"/>
        <v/>
      </c>
      <c r="AL651" s="173" t="str">
        <f t="shared" si="503"/>
        <v/>
      </c>
      <c r="AM651" s="173" t="str">
        <f t="shared" si="503"/>
        <v/>
      </c>
      <c r="AN651" s="180" t="str">
        <f t="shared" si="503"/>
        <v/>
      </c>
      <c r="AP651" s="195">
        <f t="shared" si="504"/>
        <v>45</v>
      </c>
      <c r="AQ651" s="196">
        <f t="shared" si="504"/>
        <v>10</v>
      </c>
      <c r="AR651" s="196">
        <f t="shared" si="504"/>
        <v>923</v>
      </c>
      <c r="AS651" s="197">
        <f t="shared" si="504"/>
        <v>18</v>
      </c>
      <c r="AT651" s="288"/>
      <c r="AU651" s="185" t="str">
        <f t="shared" si="505"/>
        <v/>
      </c>
      <c r="AV651" s="173" t="str">
        <f t="shared" si="505"/>
        <v/>
      </c>
      <c r="AW651" s="173" t="str">
        <f t="shared" si="505"/>
        <v/>
      </c>
      <c r="AX651" s="180" t="str">
        <f t="shared" si="505"/>
        <v/>
      </c>
      <c r="AZ651" s="185" t="str">
        <f t="shared" si="506"/>
        <v/>
      </c>
      <c r="BA651" s="173" t="str">
        <f t="shared" si="506"/>
        <v/>
      </c>
      <c r="BB651" s="173" t="str">
        <f t="shared" si="506"/>
        <v/>
      </c>
      <c r="BC651" s="180" t="str">
        <f t="shared" si="506"/>
        <v/>
      </c>
      <c r="BE651" s="185" t="str">
        <f t="shared" si="507"/>
        <v/>
      </c>
      <c r="BF651" s="173" t="str">
        <f t="shared" si="507"/>
        <v/>
      </c>
      <c r="BG651" s="173" t="str">
        <f t="shared" si="507"/>
        <v/>
      </c>
      <c r="BH651" s="180" t="str">
        <f t="shared" si="507"/>
        <v/>
      </c>
      <c r="BI651" s="288"/>
      <c r="BJ651" s="185" t="str">
        <f t="shared" si="508"/>
        <v/>
      </c>
      <c r="BK651" s="173" t="str">
        <f t="shared" si="508"/>
        <v/>
      </c>
      <c r="BL651" s="173" t="str">
        <f t="shared" si="508"/>
        <v/>
      </c>
      <c r="BM651" s="180" t="str">
        <f t="shared" si="508"/>
        <v/>
      </c>
      <c r="BO651" s="185" t="str">
        <f t="shared" si="509"/>
        <v/>
      </c>
      <c r="BP651" s="173" t="str">
        <f t="shared" si="509"/>
        <v/>
      </c>
      <c r="BQ651" s="173" t="str">
        <f t="shared" si="509"/>
        <v/>
      </c>
      <c r="BR651" s="180" t="str">
        <f t="shared" si="509"/>
        <v/>
      </c>
      <c r="BT651" s="185" t="str">
        <f t="shared" si="510"/>
        <v/>
      </c>
      <c r="BU651" s="173" t="str">
        <f t="shared" si="510"/>
        <v/>
      </c>
      <c r="BV651" s="173" t="str">
        <f t="shared" si="510"/>
        <v/>
      </c>
      <c r="BW651" s="180" t="str">
        <f t="shared" si="510"/>
        <v/>
      </c>
      <c r="BX651" s="288"/>
      <c r="CM651" s="96"/>
    </row>
    <row r="652" spans="1:91">
      <c r="A652" s="47" t="str">
        <f t="shared" si="496"/>
        <v/>
      </c>
      <c r="B652" s="185" t="str">
        <f t="shared" si="496"/>
        <v/>
      </c>
      <c r="C652" s="173" t="str">
        <f t="shared" si="496"/>
        <v/>
      </c>
      <c r="D652" s="173" t="str">
        <f t="shared" si="496"/>
        <v/>
      </c>
      <c r="E652" s="180" t="str">
        <f t="shared" si="496"/>
        <v/>
      </c>
      <c r="G652" s="185" t="str">
        <f t="shared" si="497"/>
        <v/>
      </c>
      <c r="H652" s="173" t="str">
        <f t="shared" si="497"/>
        <v/>
      </c>
      <c r="I652" s="173" t="str">
        <f t="shared" si="497"/>
        <v/>
      </c>
      <c r="J652" s="180" t="str">
        <f t="shared" si="497"/>
        <v/>
      </c>
      <c r="L652" s="185" t="str">
        <f t="shared" si="498"/>
        <v/>
      </c>
      <c r="M652" s="173" t="str">
        <f t="shared" si="498"/>
        <v/>
      </c>
      <c r="N652" s="173" t="str">
        <f t="shared" si="498"/>
        <v/>
      </c>
      <c r="O652" s="180" t="str">
        <f t="shared" si="498"/>
        <v/>
      </c>
      <c r="Q652" s="185" t="str">
        <f t="shared" si="499"/>
        <v/>
      </c>
      <c r="R652" s="173" t="str">
        <f t="shared" si="499"/>
        <v/>
      </c>
      <c r="S652" s="173" t="str">
        <f t="shared" si="499"/>
        <v/>
      </c>
      <c r="T652" s="180" t="str">
        <f t="shared" si="499"/>
        <v/>
      </c>
      <c r="V652" s="185" t="str">
        <f t="shared" si="500"/>
        <v/>
      </c>
      <c r="W652" s="173" t="str">
        <f t="shared" si="500"/>
        <v/>
      </c>
      <c r="X652" s="173" t="str">
        <f t="shared" si="500"/>
        <v/>
      </c>
      <c r="Y652" s="180" t="str">
        <f t="shared" si="500"/>
        <v/>
      </c>
      <c r="AA652" s="185" t="str">
        <f t="shared" si="501"/>
        <v/>
      </c>
      <c r="AB652" s="173" t="str">
        <f t="shared" si="501"/>
        <v/>
      </c>
      <c r="AC652" s="173" t="str">
        <f t="shared" si="501"/>
        <v/>
      </c>
      <c r="AD652" s="180" t="str">
        <f t="shared" si="501"/>
        <v/>
      </c>
      <c r="AF652" s="185" t="str">
        <f t="shared" si="502"/>
        <v/>
      </c>
      <c r="AG652" s="173" t="str">
        <f t="shared" si="502"/>
        <v/>
      </c>
      <c r="AH652" s="173" t="str">
        <f t="shared" si="502"/>
        <v/>
      </c>
      <c r="AI652" s="180" t="str">
        <f t="shared" si="502"/>
        <v/>
      </c>
      <c r="AK652" s="185" t="str">
        <f t="shared" si="503"/>
        <v/>
      </c>
      <c r="AL652" s="173" t="str">
        <f t="shared" si="503"/>
        <v/>
      </c>
      <c r="AM652" s="173" t="str">
        <f t="shared" si="503"/>
        <v/>
      </c>
      <c r="AN652" s="180" t="str">
        <f t="shared" si="503"/>
        <v/>
      </c>
      <c r="AP652" s="189">
        <f t="shared" si="504"/>
        <v>90</v>
      </c>
      <c r="AQ652" s="190">
        <f t="shared" si="504"/>
        <v>118</v>
      </c>
      <c r="AR652" s="190">
        <f t="shared" si="504"/>
        <v>900</v>
      </c>
      <c r="AS652" s="191">
        <f t="shared" si="504"/>
        <v>14</v>
      </c>
      <c r="AT652" s="288"/>
      <c r="AU652" s="185" t="str">
        <f t="shared" si="505"/>
        <v/>
      </c>
      <c r="AV652" s="173" t="str">
        <f t="shared" si="505"/>
        <v/>
      </c>
      <c r="AW652" s="173" t="str">
        <f t="shared" si="505"/>
        <v/>
      </c>
      <c r="AX652" s="180" t="str">
        <f t="shared" si="505"/>
        <v/>
      </c>
      <c r="AZ652" s="185" t="str">
        <f t="shared" si="506"/>
        <v/>
      </c>
      <c r="BA652" s="173" t="str">
        <f t="shared" si="506"/>
        <v/>
      </c>
      <c r="BB652" s="173" t="str">
        <f t="shared" si="506"/>
        <v/>
      </c>
      <c r="BC652" s="180" t="str">
        <f t="shared" si="506"/>
        <v/>
      </c>
      <c r="BE652" s="185" t="str">
        <f t="shared" si="507"/>
        <v/>
      </c>
      <c r="BF652" s="173" t="str">
        <f t="shared" si="507"/>
        <v/>
      </c>
      <c r="BG652" s="173" t="str">
        <f t="shared" si="507"/>
        <v/>
      </c>
      <c r="BH652" s="180" t="str">
        <f t="shared" si="507"/>
        <v/>
      </c>
      <c r="BI652" s="288"/>
      <c r="BJ652" s="185" t="str">
        <f t="shared" si="508"/>
        <v/>
      </c>
      <c r="BK652" s="173" t="str">
        <f t="shared" si="508"/>
        <v/>
      </c>
      <c r="BL652" s="173" t="str">
        <f t="shared" si="508"/>
        <v/>
      </c>
      <c r="BM652" s="180" t="str">
        <f t="shared" si="508"/>
        <v/>
      </c>
      <c r="BO652" s="185" t="str">
        <f t="shared" si="509"/>
        <v/>
      </c>
      <c r="BP652" s="173" t="str">
        <f t="shared" si="509"/>
        <v/>
      </c>
      <c r="BQ652" s="173" t="str">
        <f t="shared" si="509"/>
        <v/>
      </c>
      <c r="BR652" s="180" t="str">
        <f t="shared" si="509"/>
        <v/>
      </c>
      <c r="BT652" s="185" t="str">
        <f t="shared" si="510"/>
        <v/>
      </c>
      <c r="BU652" s="173" t="str">
        <f t="shared" si="510"/>
        <v/>
      </c>
      <c r="BV652" s="173" t="str">
        <f t="shared" si="510"/>
        <v/>
      </c>
      <c r="BW652" s="180" t="str">
        <f t="shared" si="510"/>
        <v/>
      </c>
      <c r="BX652" s="288"/>
      <c r="CM652" s="96"/>
    </row>
    <row r="653" spans="1:91">
      <c r="A653" s="47" t="str">
        <f t="shared" si="496"/>
        <v/>
      </c>
      <c r="B653" s="185" t="str">
        <f t="shared" si="496"/>
        <v/>
      </c>
      <c r="C653" s="173" t="str">
        <f t="shared" si="496"/>
        <v/>
      </c>
      <c r="D653" s="173" t="str">
        <f t="shared" si="496"/>
        <v/>
      </c>
      <c r="E653" s="180" t="str">
        <f t="shared" si="496"/>
        <v/>
      </c>
      <c r="G653" s="185" t="str">
        <f t="shared" si="497"/>
        <v/>
      </c>
      <c r="H653" s="173" t="str">
        <f t="shared" si="497"/>
        <v/>
      </c>
      <c r="I653" s="173" t="str">
        <f t="shared" si="497"/>
        <v/>
      </c>
      <c r="J653" s="180" t="str">
        <f t="shared" si="497"/>
        <v/>
      </c>
      <c r="L653" s="185" t="str">
        <f t="shared" si="498"/>
        <v/>
      </c>
      <c r="M653" s="173" t="str">
        <f t="shared" si="498"/>
        <v/>
      </c>
      <c r="N653" s="173" t="str">
        <f t="shared" si="498"/>
        <v/>
      </c>
      <c r="O653" s="180" t="str">
        <f t="shared" si="498"/>
        <v/>
      </c>
      <c r="Q653" s="185" t="str">
        <f t="shared" si="499"/>
        <v/>
      </c>
      <c r="R653" s="173" t="str">
        <f t="shared" si="499"/>
        <v/>
      </c>
      <c r="S653" s="173" t="str">
        <f t="shared" si="499"/>
        <v/>
      </c>
      <c r="T653" s="180" t="str">
        <f t="shared" si="499"/>
        <v/>
      </c>
      <c r="V653" s="185" t="str">
        <f t="shared" si="500"/>
        <v/>
      </c>
      <c r="W653" s="173" t="str">
        <f t="shared" si="500"/>
        <v/>
      </c>
      <c r="X653" s="173" t="str">
        <f t="shared" si="500"/>
        <v/>
      </c>
      <c r="Y653" s="180" t="str">
        <f t="shared" si="500"/>
        <v/>
      </c>
      <c r="AA653" s="185" t="str">
        <f t="shared" si="501"/>
        <v/>
      </c>
      <c r="AB653" s="173" t="str">
        <f t="shared" si="501"/>
        <v/>
      </c>
      <c r="AC653" s="173" t="str">
        <f t="shared" si="501"/>
        <v/>
      </c>
      <c r="AD653" s="180" t="str">
        <f t="shared" si="501"/>
        <v/>
      </c>
      <c r="AF653" s="185" t="str">
        <f t="shared" si="502"/>
        <v/>
      </c>
      <c r="AG653" s="173" t="str">
        <f t="shared" si="502"/>
        <v/>
      </c>
      <c r="AH653" s="173" t="str">
        <f t="shared" si="502"/>
        <v/>
      </c>
      <c r="AI653" s="180" t="str">
        <f t="shared" si="502"/>
        <v/>
      </c>
      <c r="AK653" s="185" t="str">
        <f t="shared" si="503"/>
        <v/>
      </c>
      <c r="AL653" s="173" t="str">
        <f t="shared" si="503"/>
        <v/>
      </c>
      <c r="AM653" s="173" t="str">
        <f t="shared" si="503"/>
        <v/>
      </c>
      <c r="AN653" s="180" t="str">
        <f t="shared" si="503"/>
        <v/>
      </c>
      <c r="AP653" s="192">
        <f t="shared" si="504"/>
        <v>90</v>
      </c>
      <c r="AQ653" s="193">
        <f t="shared" si="504"/>
        <v>75</v>
      </c>
      <c r="AR653" s="193">
        <f t="shared" si="504"/>
        <v>900</v>
      </c>
      <c r="AS653" s="194">
        <f t="shared" si="504"/>
        <v>14</v>
      </c>
      <c r="AT653" s="288"/>
      <c r="AU653" s="185" t="str">
        <f t="shared" si="505"/>
        <v/>
      </c>
      <c r="AV653" s="173" t="str">
        <f t="shared" si="505"/>
        <v/>
      </c>
      <c r="AW653" s="173" t="str">
        <f t="shared" si="505"/>
        <v/>
      </c>
      <c r="AX653" s="180" t="str">
        <f t="shared" si="505"/>
        <v/>
      </c>
      <c r="AZ653" s="185" t="str">
        <f t="shared" si="506"/>
        <v/>
      </c>
      <c r="BA653" s="173" t="str">
        <f t="shared" si="506"/>
        <v/>
      </c>
      <c r="BB653" s="173" t="str">
        <f t="shared" si="506"/>
        <v/>
      </c>
      <c r="BC653" s="180" t="str">
        <f t="shared" si="506"/>
        <v/>
      </c>
      <c r="BE653" s="185" t="str">
        <f t="shared" si="507"/>
        <v/>
      </c>
      <c r="BF653" s="173" t="str">
        <f t="shared" si="507"/>
        <v/>
      </c>
      <c r="BG653" s="173" t="str">
        <f t="shared" si="507"/>
        <v/>
      </c>
      <c r="BH653" s="180" t="str">
        <f t="shared" si="507"/>
        <v/>
      </c>
      <c r="BI653" s="288"/>
      <c r="BJ653" s="185" t="str">
        <f t="shared" si="508"/>
        <v/>
      </c>
      <c r="BK653" s="173" t="str">
        <f t="shared" si="508"/>
        <v/>
      </c>
      <c r="BL653" s="173" t="str">
        <f t="shared" si="508"/>
        <v/>
      </c>
      <c r="BM653" s="180" t="str">
        <f t="shared" si="508"/>
        <v/>
      </c>
      <c r="BO653" s="185" t="str">
        <f t="shared" si="509"/>
        <v/>
      </c>
      <c r="BP653" s="173" t="str">
        <f t="shared" si="509"/>
        <v/>
      </c>
      <c r="BQ653" s="173" t="str">
        <f t="shared" si="509"/>
        <v/>
      </c>
      <c r="BR653" s="180" t="str">
        <f t="shared" si="509"/>
        <v/>
      </c>
      <c r="BT653" s="185" t="str">
        <f t="shared" si="510"/>
        <v/>
      </c>
      <c r="BU653" s="173" t="str">
        <f t="shared" si="510"/>
        <v/>
      </c>
      <c r="BV653" s="173" t="str">
        <f t="shared" si="510"/>
        <v/>
      </c>
      <c r="BW653" s="180" t="str">
        <f t="shared" si="510"/>
        <v/>
      </c>
      <c r="BX653" s="288"/>
      <c r="CM653" s="96"/>
    </row>
    <row r="654" spans="1:91">
      <c r="A654" s="47" t="str">
        <f t="shared" si="496"/>
        <v/>
      </c>
      <c r="B654" s="185" t="str">
        <f t="shared" si="496"/>
        <v/>
      </c>
      <c r="C654" s="173" t="str">
        <f t="shared" si="496"/>
        <v/>
      </c>
      <c r="D654" s="173" t="str">
        <f t="shared" si="496"/>
        <v/>
      </c>
      <c r="E654" s="180" t="str">
        <f t="shared" si="496"/>
        <v/>
      </c>
      <c r="G654" s="185" t="str">
        <f t="shared" si="497"/>
        <v/>
      </c>
      <c r="H654" s="173" t="str">
        <f t="shared" si="497"/>
        <v/>
      </c>
      <c r="I654" s="173" t="str">
        <f t="shared" si="497"/>
        <v/>
      </c>
      <c r="J654" s="180" t="str">
        <f t="shared" si="497"/>
        <v/>
      </c>
      <c r="L654" s="185" t="str">
        <f t="shared" si="498"/>
        <v/>
      </c>
      <c r="M654" s="173" t="str">
        <f t="shared" si="498"/>
        <v/>
      </c>
      <c r="N654" s="173" t="str">
        <f t="shared" si="498"/>
        <v/>
      </c>
      <c r="O654" s="180" t="str">
        <f t="shared" si="498"/>
        <v/>
      </c>
      <c r="Q654" s="185" t="str">
        <f t="shared" si="499"/>
        <v/>
      </c>
      <c r="R654" s="173" t="str">
        <f t="shared" si="499"/>
        <v/>
      </c>
      <c r="S654" s="173" t="str">
        <f t="shared" si="499"/>
        <v/>
      </c>
      <c r="T654" s="180" t="str">
        <f t="shared" si="499"/>
        <v/>
      </c>
      <c r="V654" s="185" t="str">
        <f t="shared" si="500"/>
        <v/>
      </c>
      <c r="W654" s="173" t="str">
        <f t="shared" si="500"/>
        <v/>
      </c>
      <c r="X654" s="173" t="str">
        <f t="shared" si="500"/>
        <v/>
      </c>
      <c r="Y654" s="180" t="str">
        <f t="shared" si="500"/>
        <v/>
      </c>
      <c r="AA654" s="185" t="str">
        <f t="shared" si="501"/>
        <v/>
      </c>
      <c r="AB654" s="173" t="str">
        <f t="shared" si="501"/>
        <v/>
      </c>
      <c r="AC654" s="173" t="str">
        <f t="shared" si="501"/>
        <v/>
      </c>
      <c r="AD654" s="180" t="str">
        <f t="shared" si="501"/>
        <v/>
      </c>
      <c r="AF654" s="185" t="str">
        <f t="shared" si="502"/>
        <v/>
      </c>
      <c r="AG654" s="173" t="str">
        <f t="shared" si="502"/>
        <v/>
      </c>
      <c r="AH654" s="173" t="str">
        <f t="shared" si="502"/>
        <v/>
      </c>
      <c r="AI654" s="180" t="str">
        <f t="shared" si="502"/>
        <v/>
      </c>
      <c r="AK654" s="185" t="str">
        <f t="shared" si="503"/>
        <v/>
      </c>
      <c r="AL654" s="173" t="str">
        <f t="shared" si="503"/>
        <v/>
      </c>
      <c r="AM654" s="173" t="str">
        <f t="shared" si="503"/>
        <v/>
      </c>
      <c r="AN654" s="180" t="str">
        <f t="shared" si="503"/>
        <v/>
      </c>
      <c r="AP654" s="195">
        <f t="shared" si="504"/>
        <v>90</v>
      </c>
      <c r="AQ654" s="196">
        <f t="shared" si="504"/>
        <v>32</v>
      </c>
      <c r="AR654" s="196">
        <f t="shared" si="504"/>
        <v>900</v>
      </c>
      <c r="AS654" s="197">
        <f t="shared" si="504"/>
        <v>14</v>
      </c>
      <c r="AT654" s="288"/>
      <c r="AU654" s="185" t="str">
        <f t="shared" si="505"/>
        <v/>
      </c>
      <c r="AV654" s="173" t="str">
        <f t="shared" si="505"/>
        <v/>
      </c>
      <c r="AW654" s="173" t="str">
        <f t="shared" si="505"/>
        <v/>
      </c>
      <c r="AX654" s="180" t="str">
        <f t="shared" si="505"/>
        <v/>
      </c>
      <c r="AZ654" s="185" t="str">
        <f t="shared" si="506"/>
        <v/>
      </c>
      <c r="BA654" s="173" t="str">
        <f t="shared" si="506"/>
        <v/>
      </c>
      <c r="BB654" s="173" t="str">
        <f t="shared" si="506"/>
        <v/>
      </c>
      <c r="BC654" s="180" t="str">
        <f t="shared" si="506"/>
        <v/>
      </c>
      <c r="BE654" s="185" t="str">
        <f t="shared" si="507"/>
        <v/>
      </c>
      <c r="BF654" s="173" t="str">
        <f t="shared" si="507"/>
        <v/>
      </c>
      <c r="BG654" s="173" t="str">
        <f t="shared" si="507"/>
        <v/>
      </c>
      <c r="BH654" s="180" t="str">
        <f t="shared" si="507"/>
        <v/>
      </c>
      <c r="BI654" s="288"/>
      <c r="BJ654" s="185" t="str">
        <f t="shared" si="508"/>
        <v/>
      </c>
      <c r="BK654" s="173" t="str">
        <f t="shared" si="508"/>
        <v/>
      </c>
      <c r="BL654" s="173" t="str">
        <f t="shared" si="508"/>
        <v/>
      </c>
      <c r="BM654" s="180" t="str">
        <f t="shared" si="508"/>
        <v/>
      </c>
      <c r="BO654" s="185" t="str">
        <f t="shared" si="509"/>
        <v/>
      </c>
      <c r="BP654" s="173" t="str">
        <f t="shared" si="509"/>
        <v/>
      </c>
      <c r="BQ654" s="173" t="str">
        <f t="shared" si="509"/>
        <v/>
      </c>
      <c r="BR654" s="180" t="str">
        <f t="shared" si="509"/>
        <v/>
      </c>
      <c r="BT654" s="185" t="str">
        <f t="shared" si="510"/>
        <v/>
      </c>
      <c r="BU654" s="173" t="str">
        <f t="shared" si="510"/>
        <v/>
      </c>
      <c r="BV654" s="173" t="str">
        <f t="shared" si="510"/>
        <v/>
      </c>
      <c r="BW654" s="180" t="str">
        <f t="shared" si="510"/>
        <v/>
      </c>
      <c r="BX654" s="288"/>
      <c r="CM654" s="96"/>
    </row>
    <row r="655" spans="1:91">
      <c r="A655" s="47" t="str">
        <f t="shared" si="496"/>
        <v/>
      </c>
      <c r="B655" s="241" t="str">
        <f t="shared" si="496"/>
        <v/>
      </c>
      <c r="C655" s="242" t="str">
        <f t="shared" si="496"/>
        <v/>
      </c>
      <c r="D655" s="242" t="str">
        <f t="shared" si="496"/>
        <v/>
      </c>
      <c r="E655" s="243" t="str">
        <f t="shared" si="496"/>
        <v/>
      </c>
      <c r="G655" s="241" t="str">
        <f t="shared" si="497"/>
        <v/>
      </c>
      <c r="H655" s="242" t="str">
        <f t="shared" si="497"/>
        <v/>
      </c>
      <c r="I655" s="242" t="str">
        <f t="shared" si="497"/>
        <v/>
      </c>
      <c r="J655" s="243" t="str">
        <f t="shared" si="497"/>
        <v/>
      </c>
      <c r="L655" s="241" t="str">
        <f t="shared" si="498"/>
        <v/>
      </c>
      <c r="M655" s="242" t="str">
        <f t="shared" si="498"/>
        <v/>
      </c>
      <c r="N655" s="242" t="str">
        <f t="shared" si="498"/>
        <v/>
      </c>
      <c r="O655" s="243" t="str">
        <f t="shared" si="498"/>
        <v/>
      </c>
      <c r="Q655" s="241" t="str">
        <f t="shared" si="499"/>
        <v/>
      </c>
      <c r="R655" s="242" t="str">
        <f t="shared" si="499"/>
        <v/>
      </c>
      <c r="S655" s="242" t="str">
        <f t="shared" si="499"/>
        <v/>
      </c>
      <c r="T655" s="243" t="str">
        <f t="shared" si="499"/>
        <v/>
      </c>
      <c r="V655" s="241" t="str">
        <f t="shared" si="500"/>
        <v/>
      </c>
      <c r="W655" s="242" t="str">
        <f t="shared" si="500"/>
        <v/>
      </c>
      <c r="X655" s="242" t="str">
        <f t="shared" si="500"/>
        <v/>
      </c>
      <c r="Y655" s="243" t="str">
        <f t="shared" si="500"/>
        <v/>
      </c>
      <c r="AA655" s="241" t="str">
        <f t="shared" si="501"/>
        <v/>
      </c>
      <c r="AB655" s="242" t="str">
        <f t="shared" si="501"/>
        <v/>
      </c>
      <c r="AC655" s="242" t="str">
        <f t="shared" si="501"/>
        <v/>
      </c>
      <c r="AD655" s="243" t="str">
        <f t="shared" si="501"/>
        <v/>
      </c>
      <c r="AF655" s="241" t="str">
        <f t="shared" si="502"/>
        <v/>
      </c>
      <c r="AG655" s="242" t="str">
        <f t="shared" si="502"/>
        <v/>
      </c>
      <c r="AH655" s="242" t="str">
        <f t="shared" si="502"/>
        <v/>
      </c>
      <c r="AI655" s="243" t="str">
        <f t="shared" si="502"/>
        <v/>
      </c>
      <c r="AK655" s="241" t="str">
        <f t="shared" si="503"/>
        <v/>
      </c>
      <c r="AL655" s="242" t="str">
        <f t="shared" si="503"/>
        <v/>
      </c>
      <c r="AM655" s="242" t="str">
        <f t="shared" si="503"/>
        <v/>
      </c>
      <c r="AN655" s="243" t="str">
        <f t="shared" si="503"/>
        <v/>
      </c>
      <c r="AP655" s="185" t="str">
        <f>""</f>
        <v/>
      </c>
      <c r="AQ655" s="173" t="str">
        <f>""</f>
        <v/>
      </c>
      <c r="AR655" s="173" t="str">
        <f>""</f>
        <v/>
      </c>
      <c r="AS655" s="180" t="str">
        <f>""</f>
        <v/>
      </c>
      <c r="AT655" s="288"/>
      <c r="AU655" s="241" t="str">
        <f t="shared" si="505"/>
        <v/>
      </c>
      <c r="AV655" s="242" t="str">
        <f t="shared" si="505"/>
        <v/>
      </c>
      <c r="AW655" s="242" t="str">
        <f t="shared" si="505"/>
        <v/>
      </c>
      <c r="AX655" s="243" t="str">
        <f t="shared" si="505"/>
        <v/>
      </c>
      <c r="AZ655" s="241" t="str">
        <f t="shared" si="506"/>
        <v/>
      </c>
      <c r="BA655" s="242" t="str">
        <f t="shared" si="506"/>
        <v/>
      </c>
      <c r="BB655" s="242" t="str">
        <f t="shared" si="506"/>
        <v/>
      </c>
      <c r="BC655" s="243" t="str">
        <f t="shared" si="506"/>
        <v/>
      </c>
      <c r="BE655" s="241" t="str">
        <f t="shared" si="507"/>
        <v/>
      </c>
      <c r="BF655" s="242" t="str">
        <f t="shared" si="507"/>
        <v/>
      </c>
      <c r="BG655" s="242" t="str">
        <f t="shared" si="507"/>
        <v/>
      </c>
      <c r="BH655" s="243" t="str">
        <f t="shared" si="507"/>
        <v/>
      </c>
      <c r="BI655" s="288"/>
      <c r="BJ655" s="241" t="str">
        <f t="shared" si="508"/>
        <v/>
      </c>
      <c r="BK655" s="242" t="str">
        <f t="shared" si="508"/>
        <v/>
      </c>
      <c r="BL655" s="242" t="str">
        <f t="shared" si="508"/>
        <v/>
      </c>
      <c r="BM655" s="243" t="str">
        <f t="shared" si="508"/>
        <v/>
      </c>
      <c r="BO655" s="241" t="str">
        <f t="shared" si="509"/>
        <v/>
      </c>
      <c r="BP655" s="242" t="str">
        <f t="shared" si="509"/>
        <v/>
      </c>
      <c r="BQ655" s="242" t="str">
        <f t="shared" si="509"/>
        <v/>
      </c>
      <c r="BR655" s="243" t="str">
        <f t="shared" si="509"/>
        <v/>
      </c>
      <c r="BT655" s="241" t="str">
        <f t="shared" si="510"/>
        <v/>
      </c>
      <c r="BU655" s="242" t="str">
        <f t="shared" si="510"/>
        <v/>
      </c>
      <c r="BV655" s="242" t="str">
        <f t="shared" si="510"/>
        <v/>
      </c>
      <c r="BW655" s="243" t="str">
        <f t="shared" si="510"/>
        <v/>
      </c>
      <c r="BX655" s="288"/>
      <c r="CM655" s="96"/>
    </row>
    <row r="656" spans="1:91">
      <c r="A656" s="47" t="str">
        <f t="shared" si="496"/>
        <v/>
      </c>
      <c r="B656" s="244" t="str">
        <f t="shared" si="496"/>
        <v/>
      </c>
      <c r="C656" s="245" t="str">
        <f t="shared" si="496"/>
        <v/>
      </c>
      <c r="D656" s="245" t="str">
        <f t="shared" si="496"/>
        <v/>
      </c>
      <c r="E656" s="246" t="str">
        <f t="shared" si="496"/>
        <v/>
      </c>
      <c r="G656" s="244" t="str">
        <f t="shared" si="497"/>
        <v/>
      </c>
      <c r="H656" s="245" t="str">
        <f t="shared" si="497"/>
        <v/>
      </c>
      <c r="I656" s="245" t="str">
        <f t="shared" si="497"/>
        <v/>
      </c>
      <c r="J656" s="246" t="str">
        <f t="shared" si="497"/>
        <v/>
      </c>
      <c r="L656" s="244" t="str">
        <f t="shared" si="498"/>
        <v/>
      </c>
      <c r="M656" s="245" t="str">
        <f t="shared" si="498"/>
        <v/>
      </c>
      <c r="N656" s="245" t="str">
        <f t="shared" si="498"/>
        <v/>
      </c>
      <c r="O656" s="246" t="str">
        <f t="shared" si="498"/>
        <v/>
      </c>
      <c r="Q656" s="244" t="str">
        <f t="shared" si="499"/>
        <v/>
      </c>
      <c r="R656" s="245" t="str">
        <f t="shared" si="499"/>
        <v/>
      </c>
      <c r="S656" s="245" t="str">
        <f t="shared" si="499"/>
        <v/>
      </c>
      <c r="T656" s="246" t="str">
        <f t="shared" si="499"/>
        <v/>
      </c>
      <c r="V656" s="244" t="str">
        <f t="shared" si="500"/>
        <v/>
      </c>
      <c r="W656" s="245" t="str">
        <f t="shared" si="500"/>
        <v/>
      </c>
      <c r="X656" s="245" t="str">
        <f t="shared" si="500"/>
        <v/>
      </c>
      <c r="Y656" s="246" t="str">
        <f t="shared" si="500"/>
        <v/>
      </c>
      <c r="AA656" s="244" t="str">
        <f t="shared" si="501"/>
        <v/>
      </c>
      <c r="AB656" s="245" t="str">
        <f t="shared" si="501"/>
        <v/>
      </c>
      <c r="AC656" s="245" t="str">
        <f t="shared" si="501"/>
        <v/>
      </c>
      <c r="AD656" s="246" t="str">
        <f t="shared" si="501"/>
        <v/>
      </c>
      <c r="AF656" s="244" t="str">
        <f t="shared" si="502"/>
        <v/>
      </c>
      <c r="AG656" s="245" t="str">
        <f t="shared" si="502"/>
        <v/>
      </c>
      <c r="AH656" s="245" t="str">
        <f t="shared" si="502"/>
        <v/>
      </c>
      <c r="AI656" s="246" t="str">
        <f t="shared" si="502"/>
        <v/>
      </c>
      <c r="AK656" s="244" t="str">
        <f t="shared" si="503"/>
        <v/>
      </c>
      <c r="AL656" s="245" t="str">
        <f t="shared" si="503"/>
        <v/>
      </c>
      <c r="AM656" s="245" t="str">
        <f t="shared" si="503"/>
        <v/>
      </c>
      <c r="AN656" s="246" t="str">
        <f t="shared" si="503"/>
        <v/>
      </c>
      <c r="AP656" s="185" t="str">
        <f>""</f>
        <v/>
      </c>
      <c r="AQ656" s="173" t="str">
        <f>""</f>
        <v/>
      </c>
      <c r="AR656" s="173" t="str">
        <f>""</f>
        <v/>
      </c>
      <c r="AS656" s="180" t="str">
        <f>""</f>
        <v/>
      </c>
      <c r="AT656" s="288"/>
      <c r="AU656" s="244" t="str">
        <f t="shared" si="505"/>
        <v/>
      </c>
      <c r="AV656" s="245" t="str">
        <f t="shared" si="505"/>
        <v/>
      </c>
      <c r="AW656" s="245" t="str">
        <f t="shared" si="505"/>
        <v/>
      </c>
      <c r="AX656" s="246" t="str">
        <f t="shared" si="505"/>
        <v/>
      </c>
      <c r="AZ656" s="244" t="str">
        <f t="shared" si="506"/>
        <v/>
      </c>
      <c r="BA656" s="245" t="str">
        <f t="shared" si="506"/>
        <v/>
      </c>
      <c r="BB656" s="245" t="str">
        <f t="shared" si="506"/>
        <v/>
      </c>
      <c r="BC656" s="246" t="str">
        <f t="shared" si="506"/>
        <v/>
      </c>
      <c r="BE656" s="244" t="str">
        <f t="shared" si="507"/>
        <v/>
      </c>
      <c r="BF656" s="245" t="str">
        <f t="shared" si="507"/>
        <v/>
      </c>
      <c r="BG656" s="245" t="str">
        <f t="shared" si="507"/>
        <v/>
      </c>
      <c r="BH656" s="246" t="str">
        <f t="shared" si="507"/>
        <v/>
      </c>
      <c r="BI656" s="288"/>
      <c r="BJ656" s="244" t="str">
        <f t="shared" si="508"/>
        <v/>
      </c>
      <c r="BK656" s="245" t="str">
        <f t="shared" si="508"/>
        <v/>
      </c>
      <c r="BL656" s="245" t="str">
        <f t="shared" si="508"/>
        <v/>
      </c>
      <c r="BM656" s="246" t="str">
        <f t="shared" si="508"/>
        <v/>
      </c>
      <c r="BO656" s="244" t="str">
        <f t="shared" si="509"/>
        <v/>
      </c>
      <c r="BP656" s="245" t="str">
        <f t="shared" si="509"/>
        <v/>
      </c>
      <c r="BQ656" s="245" t="str">
        <f t="shared" si="509"/>
        <v/>
      </c>
      <c r="BR656" s="246" t="str">
        <f t="shared" si="509"/>
        <v/>
      </c>
      <c r="BT656" s="244" t="str">
        <f t="shared" si="510"/>
        <v/>
      </c>
      <c r="BU656" s="245" t="str">
        <f t="shared" si="510"/>
        <v/>
      </c>
      <c r="BV656" s="245" t="str">
        <f t="shared" si="510"/>
        <v/>
      </c>
      <c r="BW656" s="246" t="str">
        <f t="shared" si="510"/>
        <v/>
      </c>
      <c r="BX656" s="288"/>
      <c r="CM656" s="96"/>
    </row>
    <row r="657" spans="1:91">
      <c r="A657" s="47" t="str">
        <f t="shared" ref="A657:E662" si="511">IF(A195="","",A195)</f>
        <v/>
      </c>
      <c r="B657" s="244" t="str">
        <f t="shared" si="511"/>
        <v/>
      </c>
      <c r="C657" s="245" t="str">
        <f t="shared" si="511"/>
        <v/>
      </c>
      <c r="D657" s="245" t="str">
        <f t="shared" si="511"/>
        <v/>
      </c>
      <c r="E657" s="246" t="str">
        <f t="shared" si="511"/>
        <v/>
      </c>
      <c r="G657" s="244" t="str">
        <f t="shared" ref="G657:J662" si="512">IF(G195="","",G195)</f>
        <v/>
      </c>
      <c r="H657" s="245" t="str">
        <f t="shared" si="512"/>
        <v/>
      </c>
      <c r="I657" s="245" t="str">
        <f t="shared" si="512"/>
        <v/>
      </c>
      <c r="J657" s="246" t="str">
        <f t="shared" si="512"/>
        <v/>
      </c>
      <c r="L657" s="244" t="str">
        <f t="shared" ref="L657:O662" si="513">IF(L195="","",L195)</f>
        <v/>
      </c>
      <c r="M657" s="245" t="str">
        <f t="shared" si="513"/>
        <v/>
      </c>
      <c r="N657" s="245" t="str">
        <f t="shared" si="513"/>
        <v/>
      </c>
      <c r="O657" s="246" t="str">
        <f t="shared" si="513"/>
        <v/>
      </c>
      <c r="Q657" s="244" t="str">
        <f t="shared" ref="Q657:T662" si="514">IF(Q195="","",Q195)</f>
        <v/>
      </c>
      <c r="R657" s="245" t="str">
        <f t="shared" si="514"/>
        <v/>
      </c>
      <c r="S657" s="245" t="str">
        <f t="shared" si="514"/>
        <v/>
      </c>
      <c r="T657" s="246" t="str">
        <f t="shared" si="514"/>
        <v/>
      </c>
      <c r="V657" s="244" t="str">
        <f t="shared" ref="V657:Y662" si="515">IF(V195="","",V195)</f>
        <v/>
      </c>
      <c r="W657" s="245" t="str">
        <f t="shared" si="515"/>
        <v/>
      </c>
      <c r="X657" s="245" t="str">
        <f t="shared" si="515"/>
        <v/>
      </c>
      <c r="Y657" s="246" t="str">
        <f t="shared" si="515"/>
        <v/>
      </c>
      <c r="AA657" s="244" t="str">
        <f t="shared" ref="AA657:AD662" si="516">IF(AA195="","",AA195)</f>
        <v/>
      </c>
      <c r="AB657" s="245" t="str">
        <f t="shared" si="516"/>
        <v/>
      </c>
      <c r="AC657" s="245" t="str">
        <f t="shared" si="516"/>
        <v/>
      </c>
      <c r="AD657" s="246" t="str">
        <f t="shared" si="516"/>
        <v/>
      </c>
      <c r="AF657" s="244" t="str">
        <f t="shared" ref="AF657:AI662" si="517">IF(AF195="","",AF195)</f>
        <v/>
      </c>
      <c r="AG657" s="245" t="str">
        <f t="shared" si="517"/>
        <v/>
      </c>
      <c r="AH657" s="245" t="str">
        <f t="shared" si="517"/>
        <v/>
      </c>
      <c r="AI657" s="246" t="str">
        <f t="shared" si="517"/>
        <v/>
      </c>
      <c r="AK657" s="244" t="str">
        <f t="shared" ref="AK657:AN662" si="518">IF(AK195="","",AK195)</f>
        <v/>
      </c>
      <c r="AL657" s="245" t="str">
        <f t="shared" si="518"/>
        <v/>
      </c>
      <c r="AM657" s="245" t="str">
        <f t="shared" si="518"/>
        <v/>
      </c>
      <c r="AN657" s="246" t="str">
        <f t="shared" si="518"/>
        <v/>
      </c>
      <c r="AP657" s="185" t="str">
        <f>""</f>
        <v/>
      </c>
      <c r="AQ657" s="173" t="str">
        <f>""</f>
        <v/>
      </c>
      <c r="AR657" s="173" t="str">
        <f>""</f>
        <v/>
      </c>
      <c r="AS657" s="180" t="str">
        <f>""</f>
        <v/>
      </c>
      <c r="AT657" s="288"/>
      <c r="AU657" s="244" t="str">
        <f t="shared" ref="AU657:AX662" si="519">IF(AU195="","",AU195)</f>
        <v/>
      </c>
      <c r="AV657" s="245" t="str">
        <f t="shared" si="519"/>
        <v/>
      </c>
      <c r="AW657" s="245" t="str">
        <f t="shared" si="519"/>
        <v/>
      </c>
      <c r="AX657" s="246" t="str">
        <f t="shared" si="519"/>
        <v/>
      </c>
      <c r="AZ657" s="244" t="str">
        <f t="shared" ref="AZ657:BC662" si="520">IF(AZ195="","",AZ195)</f>
        <v/>
      </c>
      <c r="BA657" s="245" t="str">
        <f t="shared" si="520"/>
        <v/>
      </c>
      <c r="BB657" s="245" t="str">
        <f t="shared" si="520"/>
        <v/>
      </c>
      <c r="BC657" s="246" t="str">
        <f t="shared" si="520"/>
        <v/>
      </c>
      <c r="BE657" s="244" t="str">
        <f t="shared" ref="BE657:BH662" si="521">IF(BE195="","",BE195)</f>
        <v/>
      </c>
      <c r="BF657" s="245" t="str">
        <f t="shared" si="521"/>
        <v/>
      </c>
      <c r="BG657" s="245" t="str">
        <f t="shared" si="521"/>
        <v/>
      </c>
      <c r="BH657" s="246" t="str">
        <f t="shared" si="521"/>
        <v/>
      </c>
      <c r="BI657" s="288"/>
      <c r="BJ657" s="244" t="str">
        <f t="shared" ref="BJ657:BM662" si="522">IF(BJ195="","",BJ195)</f>
        <v/>
      </c>
      <c r="BK657" s="245" t="str">
        <f t="shared" si="522"/>
        <v/>
      </c>
      <c r="BL657" s="245" t="str">
        <f t="shared" si="522"/>
        <v/>
      </c>
      <c r="BM657" s="246" t="str">
        <f t="shared" si="522"/>
        <v/>
      </c>
      <c r="BO657" s="244" t="str">
        <f t="shared" ref="BO657:BR662" si="523">IF(BO195="","",BO195)</f>
        <v/>
      </c>
      <c r="BP657" s="245" t="str">
        <f t="shared" si="523"/>
        <v/>
      </c>
      <c r="BQ657" s="245" t="str">
        <f t="shared" si="523"/>
        <v/>
      </c>
      <c r="BR657" s="246" t="str">
        <f t="shared" si="523"/>
        <v/>
      </c>
      <c r="BT657" s="244" t="str">
        <f t="shared" ref="BT657:BW662" si="524">IF(BT195="","",BT195)</f>
        <v/>
      </c>
      <c r="BU657" s="245" t="str">
        <f t="shared" si="524"/>
        <v/>
      </c>
      <c r="BV657" s="245" t="str">
        <f t="shared" si="524"/>
        <v/>
      </c>
      <c r="BW657" s="246" t="str">
        <f t="shared" si="524"/>
        <v/>
      </c>
      <c r="BX657" s="288"/>
      <c r="CM657" s="96"/>
    </row>
    <row r="658" spans="1:91">
      <c r="A658" s="47" t="str">
        <f t="shared" si="511"/>
        <v/>
      </c>
      <c r="B658" s="244" t="str">
        <f t="shared" si="511"/>
        <v/>
      </c>
      <c r="C658" s="245" t="str">
        <f t="shared" si="511"/>
        <v/>
      </c>
      <c r="D658" s="245" t="str">
        <f t="shared" si="511"/>
        <v/>
      </c>
      <c r="E658" s="246" t="str">
        <f t="shared" si="511"/>
        <v/>
      </c>
      <c r="G658" s="244" t="str">
        <f t="shared" si="512"/>
        <v/>
      </c>
      <c r="H658" s="245" t="str">
        <f t="shared" si="512"/>
        <v/>
      </c>
      <c r="I658" s="245" t="str">
        <f t="shared" si="512"/>
        <v/>
      </c>
      <c r="J658" s="246" t="str">
        <f t="shared" si="512"/>
        <v/>
      </c>
      <c r="L658" s="244" t="str">
        <f t="shared" si="513"/>
        <v/>
      </c>
      <c r="M658" s="245" t="str">
        <f t="shared" si="513"/>
        <v/>
      </c>
      <c r="N658" s="245" t="str">
        <f t="shared" si="513"/>
        <v/>
      </c>
      <c r="O658" s="246" t="str">
        <f t="shared" si="513"/>
        <v/>
      </c>
      <c r="Q658" s="244" t="str">
        <f t="shared" si="514"/>
        <v/>
      </c>
      <c r="R658" s="245" t="str">
        <f t="shared" si="514"/>
        <v/>
      </c>
      <c r="S658" s="245" t="str">
        <f t="shared" si="514"/>
        <v/>
      </c>
      <c r="T658" s="246" t="str">
        <f t="shared" si="514"/>
        <v/>
      </c>
      <c r="V658" s="244" t="str">
        <f t="shared" si="515"/>
        <v/>
      </c>
      <c r="W658" s="245" t="str">
        <f t="shared" si="515"/>
        <v/>
      </c>
      <c r="X658" s="245" t="str">
        <f t="shared" si="515"/>
        <v/>
      </c>
      <c r="Y658" s="246" t="str">
        <f t="shared" si="515"/>
        <v/>
      </c>
      <c r="AA658" s="244" t="str">
        <f t="shared" si="516"/>
        <v/>
      </c>
      <c r="AB658" s="245" t="str">
        <f t="shared" si="516"/>
        <v/>
      </c>
      <c r="AC658" s="245" t="str">
        <f t="shared" si="516"/>
        <v/>
      </c>
      <c r="AD658" s="246" t="str">
        <f t="shared" si="516"/>
        <v/>
      </c>
      <c r="AF658" s="244" t="str">
        <f t="shared" si="517"/>
        <v/>
      </c>
      <c r="AG658" s="245" t="str">
        <f t="shared" si="517"/>
        <v/>
      </c>
      <c r="AH658" s="245" t="str">
        <f t="shared" si="517"/>
        <v/>
      </c>
      <c r="AI658" s="246" t="str">
        <f t="shared" si="517"/>
        <v/>
      </c>
      <c r="AK658" s="244" t="str">
        <f t="shared" si="518"/>
        <v/>
      </c>
      <c r="AL658" s="245" t="str">
        <f t="shared" si="518"/>
        <v/>
      </c>
      <c r="AM658" s="245" t="str">
        <f t="shared" si="518"/>
        <v/>
      </c>
      <c r="AN658" s="246" t="str">
        <f t="shared" si="518"/>
        <v/>
      </c>
      <c r="AP658" s="185" t="str">
        <f>""</f>
        <v/>
      </c>
      <c r="AQ658" s="173" t="str">
        <f>""</f>
        <v/>
      </c>
      <c r="AR658" s="173" t="str">
        <f>""</f>
        <v/>
      </c>
      <c r="AS658" s="180" t="str">
        <f>""</f>
        <v/>
      </c>
      <c r="AT658" s="288"/>
      <c r="AU658" s="244" t="str">
        <f t="shared" si="519"/>
        <v/>
      </c>
      <c r="AV658" s="245" t="str">
        <f t="shared" si="519"/>
        <v/>
      </c>
      <c r="AW658" s="245" t="str">
        <f t="shared" si="519"/>
        <v/>
      </c>
      <c r="AX658" s="246" t="str">
        <f t="shared" si="519"/>
        <v/>
      </c>
      <c r="AZ658" s="244" t="str">
        <f t="shared" si="520"/>
        <v/>
      </c>
      <c r="BA658" s="245" t="str">
        <f t="shared" si="520"/>
        <v/>
      </c>
      <c r="BB658" s="245" t="str">
        <f t="shared" si="520"/>
        <v/>
      </c>
      <c r="BC658" s="246" t="str">
        <f t="shared" si="520"/>
        <v/>
      </c>
      <c r="BE658" s="244" t="str">
        <f t="shared" si="521"/>
        <v/>
      </c>
      <c r="BF658" s="245" t="str">
        <f t="shared" si="521"/>
        <v/>
      </c>
      <c r="BG658" s="245" t="str">
        <f t="shared" si="521"/>
        <v/>
      </c>
      <c r="BH658" s="246" t="str">
        <f t="shared" si="521"/>
        <v/>
      </c>
      <c r="BI658" s="288"/>
      <c r="BJ658" s="244" t="str">
        <f t="shared" si="522"/>
        <v/>
      </c>
      <c r="BK658" s="245" t="str">
        <f t="shared" si="522"/>
        <v/>
      </c>
      <c r="BL658" s="245" t="str">
        <f t="shared" si="522"/>
        <v/>
      </c>
      <c r="BM658" s="246" t="str">
        <f t="shared" si="522"/>
        <v/>
      </c>
      <c r="BO658" s="244" t="str">
        <f t="shared" si="523"/>
        <v/>
      </c>
      <c r="BP658" s="245" t="str">
        <f t="shared" si="523"/>
        <v/>
      </c>
      <c r="BQ658" s="245" t="str">
        <f t="shared" si="523"/>
        <v/>
      </c>
      <c r="BR658" s="246" t="str">
        <f t="shared" si="523"/>
        <v/>
      </c>
      <c r="BT658" s="244" t="str">
        <f t="shared" si="524"/>
        <v/>
      </c>
      <c r="BU658" s="245" t="str">
        <f t="shared" si="524"/>
        <v/>
      </c>
      <c r="BV658" s="245" t="str">
        <f t="shared" si="524"/>
        <v/>
      </c>
      <c r="BW658" s="246" t="str">
        <f t="shared" si="524"/>
        <v/>
      </c>
      <c r="BX658" s="288"/>
      <c r="CM658" s="96"/>
    </row>
    <row r="659" spans="1:91">
      <c r="A659" s="47" t="str">
        <f t="shared" si="511"/>
        <v/>
      </c>
      <c r="B659" s="244" t="str">
        <f t="shared" si="511"/>
        <v/>
      </c>
      <c r="C659" s="245" t="str">
        <f t="shared" si="511"/>
        <v/>
      </c>
      <c r="D659" s="245" t="str">
        <f t="shared" si="511"/>
        <v/>
      </c>
      <c r="E659" s="246" t="str">
        <f t="shared" si="511"/>
        <v/>
      </c>
      <c r="G659" s="244" t="str">
        <f t="shared" si="512"/>
        <v/>
      </c>
      <c r="H659" s="245" t="str">
        <f t="shared" si="512"/>
        <v/>
      </c>
      <c r="I659" s="245" t="str">
        <f t="shared" si="512"/>
        <v/>
      </c>
      <c r="J659" s="246" t="str">
        <f t="shared" si="512"/>
        <v/>
      </c>
      <c r="L659" s="244" t="str">
        <f t="shared" si="513"/>
        <v/>
      </c>
      <c r="M659" s="245" t="str">
        <f t="shared" si="513"/>
        <v/>
      </c>
      <c r="N659" s="245" t="str">
        <f t="shared" si="513"/>
        <v/>
      </c>
      <c r="O659" s="246" t="str">
        <f t="shared" si="513"/>
        <v/>
      </c>
      <c r="Q659" s="244" t="str">
        <f t="shared" si="514"/>
        <v/>
      </c>
      <c r="R659" s="245" t="str">
        <f t="shared" si="514"/>
        <v/>
      </c>
      <c r="S659" s="245" t="str">
        <f t="shared" si="514"/>
        <v/>
      </c>
      <c r="T659" s="246" t="str">
        <f t="shared" si="514"/>
        <v/>
      </c>
      <c r="V659" s="244" t="str">
        <f t="shared" si="515"/>
        <v/>
      </c>
      <c r="W659" s="245" t="str">
        <f t="shared" si="515"/>
        <v/>
      </c>
      <c r="X659" s="245" t="str">
        <f t="shared" si="515"/>
        <v/>
      </c>
      <c r="Y659" s="246" t="str">
        <f t="shared" si="515"/>
        <v/>
      </c>
      <c r="AA659" s="244" t="str">
        <f t="shared" si="516"/>
        <v/>
      </c>
      <c r="AB659" s="245" t="str">
        <f t="shared" si="516"/>
        <v/>
      </c>
      <c r="AC659" s="245" t="str">
        <f t="shared" si="516"/>
        <v/>
      </c>
      <c r="AD659" s="246" t="str">
        <f t="shared" si="516"/>
        <v/>
      </c>
      <c r="AF659" s="244" t="str">
        <f t="shared" si="517"/>
        <v/>
      </c>
      <c r="AG659" s="245" t="str">
        <f t="shared" si="517"/>
        <v/>
      </c>
      <c r="AH659" s="245" t="str">
        <f t="shared" si="517"/>
        <v/>
      </c>
      <c r="AI659" s="246" t="str">
        <f t="shared" si="517"/>
        <v/>
      </c>
      <c r="AK659" s="244" t="str">
        <f t="shared" si="518"/>
        <v/>
      </c>
      <c r="AL659" s="245" t="str">
        <f t="shared" si="518"/>
        <v/>
      </c>
      <c r="AM659" s="245" t="str">
        <f t="shared" si="518"/>
        <v/>
      </c>
      <c r="AN659" s="246" t="str">
        <f t="shared" si="518"/>
        <v/>
      </c>
      <c r="AP659" s="185" t="str">
        <f>""</f>
        <v/>
      </c>
      <c r="AQ659" s="173" t="str">
        <f>""</f>
        <v/>
      </c>
      <c r="AR659" s="173" t="str">
        <f>""</f>
        <v/>
      </c>
      <c r="AS659" s="180" t="str">
        <f>""</f>
        <v/>
      </c>
      <c r="AT659" s="288"/>
      <c r="AU659" s="244" t="str">
        <f t="shared" si="519"/>
        <v/>
      </c>
      <c r="AV659" s="245" t="str">
        <f t="shared" si="519"/>
        <v/>
      </c>
      <c r="AW659" s="245" t="str">
        <f t="shared" si="519"/>
        <v/>
      </c>
      <c r="AX659" s="246" t="str">
        <f t="shared" si="519"/>
        <v/>
      </c>
      <c r="AZ659" s="244" t="str">
        <f t="shared" si="520"/>
        <v/>
      </c>
      <c r="BA659" s="245" t="str">
        <f t="shared" si="520"/>
        <v/>
      </c>
      <c r="BB659" s="245" t="str">
        <f t="shared" si="520"/>
        <v/>
      </c>
      <c r="BC659" s="246" t="str">
        <f t="shared" si="520"/>
        <v/>
      </c>
      <c r="BE659" s="244" t="str">
        <f t="shared" si="521"/>
        <v/>
      </c>
      <c r="BF659" s="245" t="str">
        <f t="shared" si="521"/>
        <v/>
      </c>
      <c r="BG659" s="245" t="str">
        <f t="shared" si="521"/>
        <v/>
      </c>
      <c r="BH659" s="246" t="str">
        <f t="shared" si="521"/>
        <v/>
      </c>
      <c r="BI659" s="288"/>
      <c r="BJ659" s="244" t="str">
        <f t="shared" si="522"/>
        <v/>
      </c>
      <c r="BK659" s="245" t="str">
        <f t="shared" si="522"/>
        <v/>
      </c>
      <c r="BL659" s="245" t="str">
        <f t="shared" si="522"/>
        <v/>
      </c>
      <c r="BM659" s="246" t="str">
        <f t="shared" si="522"/>
        <v/>
      </c>
      <c r="BO659" s="244" t="str">
        <f t="shared" si="523"/>
        <v/>
      </c>
      <c r="BP659" s="245" t="str">
        <f t="shared" si="523"/>
        <v/>
      </c>
      <c r="BQ659" s="245" t="str">
        <f t="shared" si="523"/>
        <v/>
      </c>
      <c r="BR659" s="246" t="str">
        <f t="shared" si="523"/>
        <v/>
      </c>
      <c r="BT659" s="244" t="str">
        <f t="shared" si="524"/>
        <v/>
      </c>
      <c r="BU659" s="245" t="str">
        <f t="shared" si="524"/>
        <v/>
      </c>
      <c r="BV659" s="245" t="str">
        <f t="shared" si="524"/>
        <v/>
      </c>
      <c r="BW659" s="246" t="str">
        <f t="shared" si="524"/>
        <v/>
      </c>
      <c r="BX659" s="288"/>
      <c r="CM659" s="96"/>
    </row>
    <row r="660" spans="1:91">
      <c r="A660" s="47" t="str">
        <f t="shared" si="511"/>
        <v/>
      </c>
      <c r="B660" s="244" t="str">
        <f t="shared" si="511"/>
        <v/>
      </c>
      <c r="C660" s="245" t="str">
        <f t="shared" si="511"/>
        <v/>
      </c>
      <c r="D660" s="245" t="str">
        <f t="shared" si="511"/>
        <v/>
      </c>
      <c r="E660" s="246" t="str">
        <f t="shared" si="511"/>
        <v/>
      </c>
      <c r="G660" s="244" t="str">
        <f t="shared" si="512"/>
        <v/>
      </c>
      <c r="H660" s="245" t="str">
        <f t="shared" si="512"/>
        <v/>
      </c>
      <c r="I660" s="245" t="str">
        <f t="shared" si="512"/>
        <v/>
      </c>
      <c r="J660" s="246" t="str">
        <f t="shared" si="512"/>
        <v/>
      </c>
      <c r="L660" s="244" t="str">
        <f t="shared" si="513"/>
        <v/>
      </c>
      <c r="M660" s="245" t="str">
        <f t="shared" si="513"/>
        <v/>
      </c>
      <c r="N660" s="245" t="str">
        <f t="shared" si="513"/>
        <v/>
      </c>
      <c r="O660" s="246" t="str">
        <f t="shared" si="513"/>
        <v/>
      </c>
      <c r="Q660" s="244" t="str">
        <f t="shared" si="514"/>
        <v/>
      </c>
      <c r="R660" s="245" t="str">
        <f t="shared" si="514"/>
        <v/>
      </c>
      <c r="S660" s="245" t="str">
        <f t="shared" si="514"/>
        <v/>
      </c>
      <c r="T660" s="246" t="str">
        <f t="shared" si="514"/>
        <v/>
      </c>
      <c r="V660" s="244" t="str">
        <f t="shared" si="515"/>
        <v/>
      </c>
      <c r="W660" s="245" t="str">
        <f t="shared" si="515"/>
        <v/>
      </c>
      <c r="X660" s="245" t="str">
        <f t="shared" si="515"/>
        <v/>
      </c>
      <c r="Y660" s="246" t="str">
        <f t="shared" si="515"/>
        <v/>
      </c>
      <c r="AA660" s="244" t="str">
        <f t="shared" si="516"/>
        <v/>
      </c>
      <c r="AB660" s="245" t="str">
        <f t="shared" si="516"/>
        <v/>
      </c>
      <c r="AC660" s="245" t="str">
        <f t="shared" si="516"/>
        <v/>
      </c>
      <c r="AD660" s="246" t="str">
        <f t="shared" si="516"/>
        <v/>
      </c>
      <c r="AF660" s="244" t="str">
        <f t="shared" si="517"/>
        <v/>
      </c>
      <c r="AG660" s="245" t="str">
        <f t="shared" si="517"/>
        <v/>
      </c>
      <c r="AH660" s="245" t="str">
        <f t="shared" si="517"/>
        <v/>
      </c>
      <c r="AI660" s="246" t="str">
        <f t="shared" si="517"/>
        <v/>
      </c>
      <c r="AK660" s="244" t="str">
        <f t="shared" si="518"/>
        <v/>
      </c>
      <c r="AL660" s="245" t="str">
        <f t="shared" si="518"/>
        <v/>
      </c>
      <c r="AM660" s="245" t="str">
        <f t="shared" si="518"/>
        <v/>
      </c>
      <c r="AN660" s="246" t="str">
        <f t="shared" si="518"/>
        <v/>
      </c>
      <c r="AP660" s="185" t="str">
        <f>""</f>
        <v/>
      </c>
      <c r="AQ660" s="173" t="str">
        <f>""</f>
        <v/>
      </c>
      <c r="AR660" s="173" t="str">
        <f>""</f>
        <v/>
      </c>
      <c r="AS660" s="180" t="str">
        <f>""</f>
        <v/>
      </c>
      <c r="AT660" s="288"/>
      <c r="AU660" s="244" t="str">
        <f t="shared" si="519"/>
        <v/>
      </c>
      <c r="AV660" s="245" t="str">
        <f t="shared" si="519"/>
        <v/>
      </c>
      <c r="AW660" s="245" t="str">
        <f t="shared" si="519"/>
        <v/>
      </c>
      <c r="AX660" s="246" t="str">
        <f t="shared" si="519"/>
        <v/>
      </c>
      <c r="AZ660" s="244" t="str">
        <f t="shared" si="520"/>
        <v/>
      </c>
      <c r="BA660" s="245" t="str">
        <f t="shared" si="520"/>
        <v/>
      </c>
      <c r="BB660" s="245" t="str">
        <f t="shared" si="520"/>
        <v/>
      </c>
      <c r="BC660" s="246" t="str">
        <f t="shared" si="520"/>
        <v/>
      </c>
      <c r="BE660" s="244" t="str">
        <f t="shared" si="521"/>
        <v/>
      </c>
      <c r="BF660" s="245" t="str">
        <f t="shared" si="521"/>
        <v/>
      </c>
      <c r="BG660" s="245" t="str">
        <f t="shared" si="521"/>
        <v/>
      </c>
      <c r="BH660" s="246" t="str">
        <f t="shared" si="521"/>
        <v/>
      </c>
      <c r="BI660" s="288"/>
      <c r="BJ660" s="244" t="str">
        <f t="shared" si="522"/>
        <v/>
      </c>
      <c r="BK660" s="245" t="str">
        <f t="shared" si="522"/>
        <v/>
      </c>
      <c r="BL660" s="245" t="str">
        <f t="shared" si="522"/>
        <v/>
      </c>
      <c r="BM660" s="246" t="str">
        <f t="shared" si="522"/>
        <v/>
      </c>
      <c r="BO660" s="244" t="str">
        <f t="shared" si="523"/>
        <v/>
      </c>
      <c r="BP660" s="245" t="str">
        <f t="shared" si="523"/>
        <v/>
      </c>
      <c r="BQ660" s="245" t="str">
        <f t="shared" si="523"/>
        <v/>
      </c>
      <c r="BR660" s="246" t="str">
        <f t="shared" si="523"/>
        <v/>
      </c>
      <c r="BT660" s="244" t="str">
        <f t="shared" si="524"/>
        <v/>
      </c>
      <c r="BU660" s="245" t="str">
        <f t="shared" si="524"/>
        <v/>
      </c>
      <c r="BV660" s="245" t="str">
        <f t="shared" si="524"/>
        <v/>
      </c>
      <c r="BW660" s="246" t="str">
        <f t="shared" si="524"/>
        <v/>
      </c>
      <c r="BX660" s="288"/>
      <c r="CM660" s="96"/>
    </row>
    <row r="661" spans="1:91">
      <c r="A661" s="47"/>
      <c r="B661" s="244" t="str">
        <f t="shared" si="511"/>
        <v/>
      </c>
      <c r="C661" s="245" t="str">
        <f t="shared" si="511"/>
        <v/>
      </c>
      <c r="D661" s="245" t="str">
        <f t="shared" si="511"/>
        <v/>
      </c>
      <c r="E661" s="246" t="str">
        <f t="shared" si="511"/>
        <v/>
      </c>
      <c r="G661" s="244" t="str">
        <f t="shared" si="512"/>
        <v/>
      </c>
      <c r="H661" s="245" t="str">
        <f t="shared" si="512"/>
        <v/>
      </c>
      <c r="I661" s="245" t="str">
        <f t="shared" si="512"/>
        <v/>
      </c>
      <c r="J661" s="246" t="str">
        <f t="shared" si="512"/>
        <v/>
      </c>
      <c r="L661" s="244" t="str">
        <f t="shared" si="513"/>
        <v/>
      </c>
      <c r="M661" s="245" t="str">
        <f t="shared" si="513"/>
        <v/>
      </c>
      <c r="N661" s="245" t="str">
        <f t="shared" si="513"/>
        <v/>
      </c>
      <c r="O661" s="246" t="str">
        <f t="shared" si="513"/>
        <v/>
      </c>
      <c r="Q661" s="244" t="str">
        <f t="shared" si="514"/>
        <v/>
      </c>
      <c r="R661" s="245" t="str">
        <f t="shared" si="514"/>
        <v/>
      </c>
      <c r="S661" s="245" t="str">
        <f t="shared" si="514"/>
        <v/>
      </c>
      <c r="T661" s="246" t="str">
        <f t="shared" si="514"/>
        <v/>
      </c>
      <c r="V661" s="244" t="str">
        <f t="shared" si="515"/>
        <v/>
      </c>
      <c r="W661" s="245" t="str">
        <f t="shared" si="515"/>
        <v/>
      </c>
      <c r="X661" s="245" t="str">
        <f t="shared" si="515"/>
        <v/>
      </c>
      <c r="Y661" s="246" t="str">
        <f t="shared" si="515"/>
        <v/>
      </c>
      <c r="AA661" s="244" t="str">
        <f t="shared" si="516"/>
        <v/>
      </c>
      <c r="AB661" s="245" t="str">
        <f t="shared" si="516"/>
        <v/>
      </c>
      <c r="AC661" s="245" t="str">
        <f t="shared" si="516"/>
        <v/>
      </c>
      <c r="AD661" s="246" t="str">
        <f t="shared" si="516"/>
        <v/>
      </c>
      <c r="AF661" s="244" t="str">
        <f t="shared" si="517"/>
        <v/>
      </c>
      <c r="AG661" s="245" t="str">
        <f t="shared" si="517"/>
        <v/>
      </c>
      <c r="AH661" s="245" t="str">
        <f t="shared" si="517"/>
        <v/>
      </c>
      <c r="AI661" s="246" t="str">
        <f t="shared" si="517"/>
        <v/>
      </c>
      <c r="AK661" s="244" t="str">
        <f t="shared" si="518"/>
        <v/>
      </c>
      <c r="AL661" s="245" t="str">
        <f t="shared" si="518"/>
        <v/>
      </c>
      <c r="AM661" s="245" t="str">
        <f t="shared" si="518"/>
        <v/>
      </c>
      <c r="AN661" s="246" t="str">
        <f t="shared" si="518"/>
        <v/>
      </c>
      <c r="AP661" s="185" t="str">
        <f>""</f>
        <v/>
      </c>
      <c r="AQ661" s="173" t="str">
        <f>""</f>
        <v/>
      </c>
      <c r="AR661" s="173" t="str">
        <f>""</f>
        <v/>
      </c>
      <c r="AS661" s="180" t="str">
        <f>""</f>
        <v/>
      </c>
      <c r="AT661" s="288"/>
      <c r="AU661" s="244" t="str">
        <f t="shared" si="519"/>
        <v/>
      </c>
      <c r="AV661" s="245" t="str">
        <f t="shared" si="519"/>
        <v/>
      </c>
      <c r="AW661" s="245" t="str">
        <f t="shared" si="519"/>
        <v/>
      </c>
      <c r="AX661" s="246" t="str">
        <f t="shared" si="519"/>
        <v/>
      </c>
      <c r="AZ661" s="244" t="str">
        <f t="shared" si="520"/>
        <v/>
      </c>
      <c r="BA661" s="245" t="str">
        <f t="shared" si="520"/>
        <v/>
      </c>
      <c r="BB661" s="245" t="str">
        <f t="shared" si="520"/>
        <v/>
      </c>
      <c r="BC661" s="246" t="str">
        <f t="shared" si="520"/>
        <v/>
      </c>
      <c r="BE661" s="244" t="str">
        <f t="shared" si="521"/>
        <v/>
      </c>
      <c r="BF661" s="245" t="str">
        <f t="shared" si="521"/>
        <v/>
      </c>
      <c r="BG661" s="245" t="str">
        <f t="shared" si="521"/>
        <v/>
      </c>
      <c r="BH661" s="246" t="str">
        <f t="shared" si="521"/>
        <v/>
      </c>
      <c r="BI661" s="288"/>
      <c r="BJ661" s="244" t="str">
        <f t="shared" si="522"/>
        <v/>
      </c>
      <c r="BK661" s="245" t="str">
        <f t="shared" si="522"/>
        <v/>
      </c>
      <c r="BL661" s="245" t="str">
        <f t="shared" si="522"/>
        <v/>
      </c>
      <c r="BM661" s="246" t="str">
        <f t="shared" si="522"/>
        <v/>
      </c>
      <c r="BO661" s="244" t="str">
        <f t="shared" si="523"/>
        <v/>
      </c>
      <c r="BP661" s="245" t="str">
        <f t="shared" si="523"/>
        <v/>
      </c>
      <c r="BQ661" s="245" t="str">
        <f t="shared" si="523"/>
        <v/>
      </c>
      <c r="BR661" s="246" t="str">
        <f t="shared" si="523"/>
        <v/>
      </c>
      <c r="BT661" s="244" t="str">
        <f t="shared" si="524"/>
        <v/>
      </c>
      <c r="BU661" s="245" t="str">
        <f t="shared" si="524"/>
        <v/>
      </c>
      <c r="BV661" s="245" t="str">
        <f t="shared" si="524"/>
        <v/>
      </c>
      <c r="BW661" s="246" t="str">
        <f t="shared" si="524"/>
        <v/>
      </c>
      <c r="BX661" s="288"/>
      <c r="CM661" s="96"/>
    </row>
    <row r="662" spans="1:91">
      <c r="A662" s="47"/>
      <c r="B662" s="247" t="str">
        <f t="shared" si="511"/>
        <v/>
      </c>
      <c r="C662" s="248" t="str">
        <f t="shared" si="511"/>
        <v/>
      </c>
      <c r="D662" s="248" t="str">
        <f t="shared" si="511"/>
        <v/>
      </c>
      <c r="E662" s="249" t="str">
        <f t="shared" si="511"/>
        <v/>
      </c>
      <c r="G662" s="247" t="str">
        <f t="shared" si="512"/>
        <v/>
      </c>
      <c r="H662" s="248" t="str">
        <f t="shared" si="512"/>
        <v/>
      </c>
      <c r="I662" s="248" t="str">
        <f t="shared" si="512"/>
        <v/>
      </c>
      <c r="J662" s="249" t="str">
        <f t="shared" si="512"/>
        <v/>
      </c>
      <c r="L662" s="247" t="str">
        <f t="shared" si="513"/>
        <v/>
      </c>
      <c r="M662" s="248" t="str">
        <f t="shared" si="513"/>
        <v/>
      </c>
      <c r="N662" s="248" t="str">
        <f t="shared" si="513"/>
        <v/>
      </c>
      <c r="O662" s="249" t="str">
        <f t="shared" si="513"/>
        <v/>
      </c>
      <c r="Q662" s="247" t="str">
        <f t="shared" si="514"/>
        <v/>
      </c>
      <c r="R662" s="248" t="str">
        <f t="shared" si="514"/>
        <v/>
      </c>
      <c r="S662" s="248" t="str">
        <f t="shared" si="514"/>
        <v/>
      </c>
      <c r="T662" s="249" t="str">
        <f t="shared" si="514"/>
        <v/>
      </c>
      <c r="V662" s="247" t="str">
        <f t="shared" si="515"/>
        <v/>
      </c>
      <c r="W662" s="248" t="str">
        <f t="shared" si="515"/>
        <v/>
      </c>
      <c r="X662" s="248" t="str">
        <f t="shared" si="515"/>
        <v/>
      </c>
      <c r="Y662" s="249" t="str">
        <f t="shared" si="515"/>
        <v/>
      </c>
      <c r="AA662" s="247" t="str">
        <f t="shared" si="516"/>
        <v/>
      </c>
      <c r="AB662" s="248" t="str">
        <f t="shared" si="516"/>
        <v/>
      </c>
      <c r="AC662" s="248" t="str">
        <f t="shared" si="516"/>
        <v/>
      </c>
      <c r="AD662" s="249" t="str">
        <f t="shared" si="516"/>
        <v/>
      </c>
      <c r="AF662" s="247" t="str">
        <f t="shared" si="517"/>
        <v/>
      </c>
      <c r="AG662" s="248" t="str">
        <f t="shared" si="517"/>
        <v/>
      </c>
      <c r="AH662" s="248" t="str">
        <f t="shared" si="517"/>
        <v/>
      </c>
      <c r="AI662" s="249" t="str">
        <f t="shared" si="517"/>
        <v/>
      </c>
      <c r="AK662" s="247" t="str">
        <f t="shared" si="518"/>
        <v/>
      </c>
      <c r="AL662" s="248" t="str">
        <f t="shared" si="518"/>
        <v/>
      </c>
      <c r="AM662" s="248" t="str">
        <f t="shared" si="518"/>
        <v/>
      </c>
      <c r="AN662" s="249" t="str">
        <f t="shared" si="518"/>
        <v/>
      </c>
      <c r="AP662" s="186" t="str">
        <f>""</f>
        <v/>
      </c>
      <c r="AQ662" s="174" t="str">
        <f>""</f>
        <v/>
      </c>
      <c r="AR662" s="174" t="str">
        <f>""</f>
        <v/>
      </c>
      <c r="AS662" s="181" t="str">
        <f>""</f>
        <v/>
      </c>
      <c r="AT662" s="288"/>
      <c r="AU662" s="247" t="str">
        <f t="shared" si="519"/>
        <v/>
      </c>
      <c r="AV662" s="248" t="str">
        <f t="shared" si="519"/>
        <v/>
      </c>
      <c r="AW662" s="248" t="str">
        <f t="shared" si="519"/>
        <v/>
      </c>
      <c r="AX662" s="249" t="str">
        <f t="shared" si="519"/>
        <v/>
      </c>
      <c r="AZ662" s="247" t="str">
        <f t="shared" si="520"/>
        <v/>
      </c>
      <c r="BA662" s="248" t="str">
        <f t="shared" si="520"/>
        <v/>
      </c>
      <c r="BB662" s="248" t="str">
        <f t="shared" si="520"/>
        <v/>
      </c>
      <c r="BC662" s="249" t="str">
        <f t="shared" si="520"/>
        <v/>
      </c>
      <c r="BE662" s="247" t="str">
        <f t="shared" si="521"/>
        <v/>
      </c>
      <c r="BF662" s="248" t="str">
        <f t="shared" si="521"/>
        <v/>
      </c>
      <c r="BG662" s="248" t="str">
        <f t="shared" si="521"/>
        <v/>
      </c>
      <c r="BH662" s="249" t="str">
        <f t="shared" si="521"/>
        <v/>
      </c>
      <c r="BI662" s="288"/>
      <c r="BJ662" s="247" t="str">
        <f t="shared" si="522"/>
        <v/>
      </c>
      <c r="BK662" s="248" t="str">
        <f t="shared" si="522"/>
        <v/>
      </c>
      <c r="BL662" s="248" t="str">
        <f t="shared" si="522"/>
        <v/>
      </c>
      <c r="BM662" s="249" t="str">
        <f t="shared" si="522"/>
        <v/>
      </c>
      <c r="BO662" s="247" t="str">
        <f t="shared" si="523"/>
        <v/>
      </c>
      <c r="BP662" s="248" t="str">
        <f t="shared" si="523"/>
        <v/>
      </c>
      <c r="BQ662" s="248" t="str">
        <f t="shared" si="523"/>
        <v/>
      </c>
      <c r="BR662" s="249" t="str">
        <f t="shared" si="523"/>
        <v/>
      </c>
      <c r="BT662" s="247" t="str">
        <f t="shared" si="524"/>
        <v/>
      </c>
      <c r="BU662" s="248" t="str">
        <f t="shared" si="524"/>
        <v/>
      </c>
      <c r="BV662" s="248" t="str">
        <f t="shared" si="524"/>
        <v/>
      </c>
      <c r="BW662" s="249" t="str">
        <f t="shared" si="524"/>
        <v/>
      </c>
      <c r="BX662" s="288"/>
      <c r="CM662" s="96"/>
    </row>
    <row r="663" spans="1:91">
      <c r="A663" s="47"/>
      <c r="B663" s="47">
        <f>COUNT(B589:B662)</f>
        <v>63</v>
      </c>
      <c r="C663" s="47"/>
      <c r="D663" s="47"/>
      <c r="E663" s="47"/>
      <c r="F663" s="47"/>
      <c r="G663" s="47">
        <f>COUNT(G589:G662)</f>
        <v>63</v>
      </c>
      <c r="H663" s="47"/>
      <c r="I663" s="47"/>
      <c r="J663" s="47"/>
      <c r="K663" s="47"/>
      <c r="L663" s="47">
        <f>COUNT(L589:L662)</f>
        <v>56</v>
      </c>
      <c r="M663" s="47"/>
      <c r="N663" s="47"/>
      <c r="O663" s="47"/>
      <c r="P663" s="47"/>
      <c r="Q663" s="47">
        <f>COUNT(Q589:Q662)</f>
        <v>52</v>
      </c>
      <c r="R663" s="47"/>
      <c r="S663" s="47"/>
      <c r="T663" s="47"/>
      <c r="U663" s="47"/>
      <c r="V663" s="47">
        <f>COUNT(V589:V662)</f>
        <v>44</v>
      </c>
      <c r="W663" s="47"/>
      <c r="X663" s="47"/>
      <c r="Y663" s="47"/>
      <c r="Z663" s="47"/>
      <c r="AA663" s="47">
        <f>COUNT(AA589:AA662)</f>
        <v>40</v>
      </c>
      <c r="AB663" s="47"/>
      <c r="AC663" s="47"/>
      <c r="AD663" s="47"/>
      <c r="AE663" s="47"/>
      <c r="AF663" s="47">
        <f>COUNT(AF589:AF662)</f>
        <v>32</v>
      </c>
      <c r="AG663" s="47"/>
      <c r="AH663" s="47"/>
      <c r="AI663" s="47"/>
      <c r="AJ663" s="47"/>
      <c r="AK663" s="47">
        <f>COUNT(AK589:AK662)</f>
        <v>24</v>
      </c>
      <c r="AL663" s="47"/>
      <c r="AM663" s="47"/>
      <c r="AN663" s="47"/>
      <c r="AO663" s="47"/>
      <c r="AP663" s="47">
        <f>COUNT(AP589:AP662)</f>
        <v>63</v>
      </c>
      <c r="AQ663" s="47"/>
      <c r="AR663" s="47"/>
      <c r="AS663" s="47"/>
      <c r="AT663" s="292"/>
      <c r="AU663" s="47">
        <f>COUNT(AU589:AU662)</f>
        <v>29</v>
      </c>
      <c r="AV663" s="47"/>
      <c r="AW663" s="47"/>
      <c r="AX663" s="47"/>
      <c r="AY663" s="47"/>
      <c r="AZ663" s="47">
        <f>COUNT(AZ589:AZ662)</f>
        <v>23</v>
      </c>
      <c r="BA663" s="47"/>
      <c r="BB663" s="47"/>
      <c r="BC663" s="47"/>
      <c r="BD663" s="47"/>
      <c r="BE663" s="47">
        <f>COUNT(BE589:BE662)</f>
        <v>17</v>
      </c>
      <c r="BF663" s="47"/>
      <c r="BG663" s="47"/>
      <c r="BH663" s="47"/>
      <c r="BI663" s="292"/>
      <c r="BJ663" s="47">
        <f>COUNT(BJ589:BJ662)</f>
        <v>20</v>
      </c>
      <c r="BK663" s="47"/>
      <c r="BL663" s="47"/>
      <c r="BM663" s="47"/>
      <c r="BN663" s="47"/>
      <c r="BO663" s="47">
        <f>COUNT(BO589:BO662)</f>
        <v>16</v>
      </c>
      <c r="BP663" s="47"/>
      <c r="BQ663" s="47"/>
      <c r="BR663" s="47"/>
      <c r="BS663" s="47"/>
      <c r="BT663" s="47">
        <f>COUNT(BT589:BT662)</f>
        <v>12</v>
      </c>
      <c r="BU663" s="47"/>
      <c r="BV663" s="47"/>
      <c r="BW663" s="47"/>
      <c r="BX663" s="288"/>
      <c r="CM663" s="47"/>
    </row>
    <row r="664" spans="1:91">
      <c r="A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c r="AA664" s="47"/>
      <c r="AB664" s="47"/>
      <c r="AC664" s="47"/>
      <c r="AD664" s="47"/>
      <c r="AE664" s="47"/>
      <c r="AF664" s="47"/>
      <c r="AG664" s="47"/>
      <c r="AH664" s="47"/>
      <c r="AI664" s="47"/>
      <c r="AJ664" s="47"/>
      <c r="AK664" s="47"/>
      <c r="AL664" s="47"/>
      <c r="AM664" s="47"/>
      <c r="AN664" s="47"/>
      <c r="AO664" s="47"/>
      <c r="AP664" s="47"/>
      <c r="AQ664" s="47"/>
      <c r="AR664" s="47"/>
      <c r="AS664" s="47"/>
      <c r="AT664" s="292"/>
      <c r="AU664" s="47"/>
      <c r="AV664" s="47"/>
      <c r="AW664" s="47"/>
      <c r="AX664" s="47"/>
      <c r="AY664" s="47"/>
      <c r="AZ664" s="47"/>
      <c r="BA664" s="47"/>
      <c r="BB664" s="47"/>
      <c r="BC664" s="47"/>
      <c r="BD664" s="47"/>
      <c r="BE664" s="47"/>
      <c r="BF664" s="47"/>
      <c r="BG664" s="47"/>
      <c r="BH664" s="47"/>
      <c r="BI664" s="292"/>
      <c r="BJ664" s="47"/>
      <c r="BK664" s="47"/>
      <c r="BL664" s="47"/>
      <c r="BM664" s="47"/>
      <c r="BN664" s="47"/>
      <c r="BO664" s="47"/>
      <c r="BP664" s="47"/>
      <c r="BQ664" s="47"/>
      <c r="BR664" s="47"/>
      <c r="BS664" s="47"/>
      <c r="BT664" s="47"/>
      <c r="BU664" s="47"/>
      <c r="BV664" s="47"/>
      <c r="BW664" s="47"/>
      <c r="BX664" s="288"/>
      <c r="CM664" s="47"/>
    </row>
    <row r="665" spans="1:91">
      <c r="A665" s="50" t="s">
        <v>215</v>
      </c>
      <c r="B665" s="96"/>
      <c r="C665" s="96"/>
      <c r="D665" s="96"/>
      <c r="E665" s="96"/>
      <c r="G665" s="96"/>
      <c r="H665" s="96"/>
      <c r="I665" s="96"/>
      <c r="J665" s="96"/>
      <c r="L665" s="96"/>
      <c r="M665" s="96"/>
      <c r="N665" s="96"/>
      <c r="O665" s="96"/>
      <c r="Q665" s="96"/>
      <c r="R665" s="96"/>
      <c r="S665" s="96"/>
      <c r="T665" s="96"/>
      <c r="V665" s="96"/>
      <c r="W665" s="96"/>
      <c r="X665" s="96"/>
      <c r="Y665" s="96"/>
      <c r="AA665" s="96"/>
      <c r="AB665" s="96"/>
      <c r="AC665" s="96"/>
      <c r="AD665" s="96"/>
      <c r="AF665" s="96"/>
      <c r="AG665" s="96"/>
      <c r="AH665" s="96"/>
      <c r="AI665" s="96"/>
      <c r="AK665" s="96"/>
      <c r="AL665" s="96"/>
      <c r="AM665" s="96"/>
      <c r="AN665" s="96"/>
      <c r="AP665" s="96"/>
      <c r="AQ665" s="96"/>
      <c r="AR665" s="96"/>
      <c r="AS665" s="96"/>
      <c r="AT665" s="288"/>
      <c r="AU665" s="96"/>
      <c r="AV665" s="96"/>
      <c r="AW665" s="96"/>
      <c r="AX665" s="96"/>
      <c r="AZ665" s="96"/>
      <c r="BA665" s="96"/>
      <c r="BB665" s="96"/>
      <c r="BC665" s="96"/>
      <c r="BE665" s="96"/>
      <c r="BF665" s="96"/>
      <c r="BG665" s="96"/>
      <c r="BH665" s="96"/>
      <c r="BI665" s="288"/>
      <c r="BJ665" s="96"/>
      <c r="BK665" s="96"/>
      <c r="BL665" s="96"/>
      <c r="BM665" s="96"/>
      <c r="BO665" s="96"/>
      <c r="BP665" s="96"/>
      <c r="BQ665" s="96"/>
      <c r="BR665" s="96"/>
      <c r="BT665" s="96"/>
      <c r="BU665" s="96"/>
      <c r="BV665" s="96"/>
      <c r="BW665" s="96"/>
      <c r="BX665" s="288"/>
      <c r="CM665" s="96"/>
    </row>
    <row r="666" spans="1:91">
      <c r="B666" s="98" cm="1">
        <f t="array" ref="B666:E739">_xlfn._xlws.SORT(B512:E585,3,1)</f>
        <v>90</v>
      </c>
      <c r="C666" s="257">
        <v>10</v>
      </c>
      <c r="D666" s="257">
        <v>10</v>
      </c>
      <c r="E666" s="258">
        <v>50</v>
      </c>
      <c r="G666" s="98" cm="1">
        <f t="array" ref="G666:J739">_xlfn._xlws.SORT(G512:J585,3,1)</f>
        <v>90</v>
      </c>
      <c r="H666" s="257">
        <v>10</v>
      </c>
      <c r="I666" s="257">
        <v>10</v>
      </c>
      <c r="J666" s="258">
        <v>50</v>
      </c>
      <c r="L666" s="98" cm="1">
        <f t="array" ref="L666:O739">_xlfn._xlws.SORT(L512:O585,3,1)</f>
        <v>90</v>
      </c>
      <c r="M666" s="257">
        <v>10</v>
      </c>
      <c r="N666" s="257">
        <v>10</v>
      </c>
      <c r="O666" s="258">
        <v>50</v>
      </c>
      <c r="Q666" s="98" cm="1">
        <f t="array" ref="Q666:T739">_xlfn._xlws.SORT(Q512:T585,3,1)</f>
        <v>90</v>
      </c>
      <c r="R666" s="257">
        <v>10</v>
      </c>
      <c r="S666" s="257">
        <v>10</v>
      </c>
      <c r="T666" s="258">
        <v>50</v>
      </c>
      <c r="V666" s="98" cm="1">
        <f t="array" ref="V666:Y739">_xlfn._xlws.SORT(V512:Y585,3,1)</f>
        <v>90</v>
      </c>
      <c r="W666" s="257">
        <v>10</v>
      </c>
      <c r="X666" s="257">
        <v>10</v>
      </c>
      <c r="Y666" s="258">
        <v>50</v>
      </c>
      <c r="AA666" s="98" cm="1">
        <f t="array" ref="AA666:AD739">_xlfn._xlws.SORT(AA512:AD585,3,1)</f>
        <v>90</v>
      </c>
      <c r="AB666" s="257">
        <v>10</v>
      </c>
      <c r="AC666" s="257">
        <v>10</v>
      </c>
      <c r="AD666" s="258">
        <v>50</v>
      </c>
      <c r="AF666" s="98" cm="1">
        <f t="array" ref="AF666:AI739">_xlfn._xlws.SORT(AF512:AI585,3,1)</f>
        <v>90</v>
      </c>
      <c r="AG666" s="257">
        <v>10</v>
      </c>
      <c r="AH666" s="257">
        <v>10</v>
      </c>
      <c r="AI666" s="258">
        <v>50</v>
      </c>
      <c r="AK666" s="98" cm="1">
        <f t="array" ref="AK666:AN739">_xlfn._xlws.SORT(AK512:AN585,3,1)</f>
        <v>90</v>
      </c>
      <c r="AL666" s="257">
        <v>10</v>
      </c>
      <c r="AM666" s="257">
        <v>10</v>
      </c>
      <c r="AN666" s="258">
        <v>50</v>
      </c>
      <c r="AP666" s="98" cm="1">
        <f t="array" ref="AP666:AS739">_xlfn._xlws.SORT(AP512:AS585,3,1)</f>
        <v>90</v>
      </c>
      <c r="AQ666" s="257">
        <v>10</v>
      </c>
      <c r="AR666" s="257">
        <v>15</v>
      </c>
      <c r="AS666" s="258">
        <v>50</v>
      </c>
      <c r="AT666" s="288"/>
      <c r="AU666" s="98" cm="1">
        <f t="array" ref="AU666:AX739">_xlfn._xlws.SORT(AU512:AX585,3,1)</f>
        <v>90</v>
      </c>
      <c r="AV666" s="257">
        <v>10</v>
      </c>
      <c r="AW666" s="257">
        <v>10</v>
      </c>
      <c r="AX666" s="258">
        <v>40</v>
      </c>
      <c r="AZ666" s="98" cm="1">
        <f t="array" ref="AZ666:BC739">_xlfn._xlws.SORT(AZ512:BC585,3,1)</f>
        <v>90</v>
      </c>
      <c r="BA666" s="257">
        <v>10</v>
      </c>
      <c r="BB666" s="257">
        <v>10</v>
      </c>
      <c r="BC666" s="258">
        <v>40</v>
      </c>
      <c r="BE666" s="98" cm="1">
        <f t="array" ref="BE666:BH739">_xlfn._xlws.SORT(BE512:BH585,3,1)</f>
        <v>90</v>
      </c>
      <c r="BF666" s="257">
        <v>10</v>
      </c>
      <c r="BG666" s="257">
        <v>10</v>
      </c>
      <c r="BH666" s="258">
        <v>40</v>
      </c>
      <c r="BI666" s="288"/>
      <c r="BJ666" s="98" cm="1">
        <f t="array" ref="BJ666:BM739">_xlfn._xlws.SORT(BJ512:BM585,3,1)</f>
        <v>90</v>
      </c>
      <c r="BK666" s="257">
        <v>10</v>
      </c>
      <c r="BL666" s="257">
        <v>10</v>
      </c>
      <c r="BM666" s="258">
        <v>40</v>
      </c>
      <c r="BO666" s="98" cm="1">
        <f t="array" ref="BO666:BR739">_xlfn._xlws.SORT(BO512:BR585,3,1)</f>
        <v>90</v>
      </c>
      <c r="BP666" s="257">
        <v>10</v>
      </c>
      <c r="BQ666" s="257">
        <v>10</v>
      </c>
      <c r="BR666" s="258">
        <v>40</v>
      </c>
      <c r="BT666" s="98" cm="1">
        <f t="array" ref="BT666:BW739">_xlfn._xlws.SORT(BT512:BW585,3,1)</f>
        <v>90</v>
      </c>
      <c r="BU666" s="257">
        <v>10</v>
      </c>
      <c r="BV666" s="257">
        <v>10</v>
      </c>
      <c r="BW666" s="258">
        <v>40</v>
      </c>
      <c r="BX666" s="288"/>
      <c r="CM666" s="96"/>
    </row>
    <row r="667" spans="1:91">
      <c r="B667" s="80">
        <v>90</v>
      </c>
      <c r="C667" s="259">
        <v>140</v>
      </c>
      <c r="D667" s="259">
        <v>10</v>
      </c>
      <c r="E667" s="260">
        <v>50</v>
      </c>
      <c r="G667" s="80">
        <v>90</v>
      </c>
      <c r="H667" s="259">
        <v>140</v>
      </c>
      <c r="I667" s="259">
        <v>10</v>
      </c>
      <c r="J667" s="260">
        <v>50</v>
      </c>
      <c r="L667" s="80">
        <v>90</v>
      </c>
      <c r="M667" s="259">
        <v>140</v>
      </c>
      <c r="N667" s="259">
        <v>10</v>
      </c>
      <c r="O667" s="260">
        <v>50</v>
      </c>
      <c r="Q667" s="80">
        <v>90</v>
      </c>
      <c r="R667" s="259">
        <v>140</v>
      </c>
      <c r="S667" s="259">
        <v>10</v>
      </c>
      <c r="T667" s="260">
        <v>50</v>
      </c>
      <c r="V667" s="80">
        <v>90</v>
      </c>
      <c r="W667" s="259">
        <v>140</v>
      </c>
      <c r="X667" s="259">
        <v>10</v>
      </c>
      <c r="Y667" s="260">
        <v>50</v>
      </c>
      <c r="AA667" s="80">
        <v>90</v>
      </c>
      <c r="AB667" s="259">
        <v>140</v>
      </c>
      <c r="AC667" s="259">
        <v>10</v>
      </c>
      <c r="AD667" s="260">
        <v>50</v>
      </c>
      <c r="AF667" s="80">
        <v>90</v>
      </c>
      <c r="AG667" s="259">
        <v>140</v>
      </c>
      <c r="AH667" s="259">
        <v>10</v>
      </c>
      <c r="AI667" s="260">
        <v>50</v>
      </c>
      <c r="AK667" s="80">
        <v>90</v>
      </c>
      <c r="AL667" s="259">
        <v>140</v>
      </c>
      <c r="AM667" s="259">
        <v>10</v>
      </c>
      <c r="AN667" s="260">
        <v>50</v>
      </c>
      <c r="AP667" s="80">
        <v>90</v>
      </c>
      <c r="AQ667" s="259">
        <v>140</v>
      </c>
      <c r="AR667" s="259">
        <v>15</v>
      </c>
      <c r="AS667" s="260">
        <v>50</v>
      </c>
      <c r="AT667" s="288"/>
      <c r="AU667" s="80">
        <v>90</v>
      </c>
      <c r="AV667" s="259">
        <v>90</v>
      </c>
      <c r="AW667" s="259">
        <v>10</v>
      </c>
      <c r="AX667" s="260">
        <v>40</v>
      </c>
      <c r="AZ667" s="80">
        <v>90</v>
      </c>
      <c r="BA667" s="259">
        <v>90</v>
      </c>
      <c r="BB667" s="259">
        <v>10</v>
      </c>
      <c r="BC667" s="260">
        <v>40</v>
      </c>
      <c r="BE667" s="80">
        <v>90</v>
      </c>
      <c r="BF667" s="259">
        <v>90</v>
      </c>
      <c r="BG667" s="259">
        <v>10</v>
      </c>
      <c r="BH667" s="260">
        <v>40</v>
      </c>
      <c r="BI667" s="288"/>
      <c r="BJ667" s="80">
        <v>90</v>
      </c>
      <c r="BK667" s="259">
        <v>50</v>
      </c>
      <c r="BL667" s="259">
        <v>10</v>
      </c>
      <c r="BM667" s="260">
        <v>40</v>
      </c>
      <c r="BO667" s="80">
        <v>90</v>
      </c>
      <c r="BP667" s="259">
        <v>50</v>
      </c>
      <c r="BQ667" s="259">
        <v>10</v>
      </c>
      <c r="BR667" s="260">
        <v>40</v>
      </c>
      <c r="BT667" s="80">
        <v>90</v>
      </c>
      <c r="BU667" s="259">
        <v>50</v>
      </c>
      <c r="BV667" s="259">
        <v>10</v>
      </c>
      <c r="BW667" s="260">
        <v>40</v>
      </c>
      <c r="BX667" s="288"/>
      <c r="CM667" s="96"/>
    </row>
    <row r="668" spans="1:91">
      <c r="B668" s="80">
        <v>90</v>
      </c>
      <c r="C668" s="259">
        <v>54</v>
      </c>
      <c r="D668" s="259">
        <v>20</v>
      </c>
      <c r="E668" s="260">
        <v>50</v>
      </c>
      <c r="G668" s="80">
        <v>90</v>
      </c>
      <c r="H668" s="259">
        <v>54</v>
      </c>
      <c r="I668" s="259">
        <v>20</v>
      </c>
      <c r="J668" s="260">
        <v>50</v>
      </c>
      <c r="L668" s="80">
        <v>90</v>
      </c>
      <c r="M668" s="259">
        <v>54</v>
      </c>
      <c r="N668" s="259">
        <v>20</v>
      </c>
      <c r="O668" s="260">
        <v>50</v>
      </c>
      <c r="Q668" s="80">
        <v>90</v>
      </c>
      <c r="R668" s="259">
        <v>54</v>
      </c>
      <c r="S668" s="259">
        <v>20</v>
      </c>
      <c r="T668" s="260">
        <v>50</v>
      </c>
      <c r="V668" s="80">
        <v>90</v>
      </c>
      <c r="W668" s="259">
        <v>54</v>
      </c>
      <c r="X668" s="259">
        <v>20</v>
      </c>
      <c r="Y668" s="260">
        <v>50</v>
      </c>
      <c r="AA668" s="80">
        <v>90</v>
      </c>
      <c r="AB668" s="259">
        <v>54</v>
      </c>
      <c r="AC668" s="259">
        <v>20</v>
      </c>
      <c r="AD668" s="260">
        <v>50</v>
      </c>
      <c r="AF668" s="80">
        <v>90</v>
      </c>
      <c r="AG668" s="259">
        <v>54</v>
      </c>
      <c r="AH668" s="259">
        <v>20</v>
      </c>
      <c r="AI668" s="260">
        <v>50</v>
      </c>
      <c r="AK668" s="80">
        <v>90</v>
      </c>
      <c r="AL668" s="259">
        <v>54</v>
      </c>
      <c r="AM668" s="259">
        <v>20</v>
      </c>
      <c r="AN668" s="260">
        <v>50</v>
      </c>
      <c r="AP668" s="80">
        <v>90</v>
      </c>
      <c r="AQ668" s="259">
        <v>54</v>
      </c>
      <c r="AR668" s="259">
        <v>25</v>
      </c>
      <c r="AS668" s="260">
        <v>50</v>
      </c>
      <c r="AT668" s="288"/>
      <c r="AU668" s="80">
        <v>90</v>
      </c>
      <c r="AV668" s="259">
        <v>30</v>
      </c>
      <c r="AW668" s="259">
        <v>65</v>
      </c>
      <c r="AX668" s="260">
        <v>14</v>
      </c>
      <c r="AZ668" s="80">
        <v>90</v>
      </c>
      <c r="BA668" s="259">
        <v>30</v>
      </c>
      <c r="BB668" s="259">
        <v>65</v>
      </c>
      <c r="BC668" s="260">
        <v>14</v>
      </c>
      <c r="BE668" s="80">
        <v>90</v>
      </c>
      <c r="BF668" s="259">
        <v>30</v>
      </c>
      <c r="BG668" s="259">
        <v>65</v>
      </c>
      <c r="BH668" s="260">
        <v>14</v>
      </c>
      <c r="BI668" s="288"/>
      <c r="BJ668" s="80">
        <v>90</v>
      </c>
      <c r="BK668" s="259">
        <v>9.75</v>
      </c>
      <c r="BL668" s="259">
        <v>60</v>
      </c>
      <c r="BM668" s="260">
        <v>16.5</v>
      </c>
      <c r="BO668" s="80">
        <v>90</v>
      </c>
      <c r="BP668" s="259">
        <v>9.75</v>
      </c>
      <c r="BQ668" s="259">
        <v>60</v>
      </c>
      <c r="BR668" s="260">
        <v>16.5</v>
      </c>
      <c r="BT668" s="80">
        <v>90</v>
      </c>
      <c r="BU668" s="259">
        <v>9.75</v>
      </c>
      <c r="BV668" s="259">
        <v>60</v>
      </c>
      <c r="BW668" s="260">
        <v>16.5</v>
      </c>
      <c r="BX668" s="288"/>
      <c r="CM668" s="96"/>
    </row>
    <row r="669" spans="1:91">
      <c r="B669" s="80">
        <v>90</v>
      </c>
      <c r="C669" s="259">
        <v>96</v>
      </c>
      <c r="D669" s="259">
        <v>20</v>
      </c>
      <c r="E669" s="260">
        <v>50</v>
      </c>
      <c r="G669" s="80">
        <v>90</v>
      </c>
      <c r="H669" s="259">
        <v>96</v>
      </c>
      <c r="I669" s="259">
        <v>20</v>
      </c>
      <c r="J669" s="260">
        <v>50</v>
      </c>
      <c r="L669" s="80">
        <v>90</v>
      </c>
      <c r="M669" s="259">
        <v>96</v>
      </c>
      <c r="N669" s="259">
        <v>20</v>
      </c>
      <c r="O669" s="260">
        <v>50</v>
      </c>
      <c r="Q669" s="80">
        <v>90</v>
      </c>
      <c r="R669" s="259">
        <v>96</v>
      </c>
      <c r="S669" s="259">
        <v>20</v>
      </c>
      <c r="T669" s="260">
        <v>50</v>
      </c>
      <c r="V669" s="80">
        <v>90</v>
      </c>
      <c r="W669" s="259">
        <v>96</v>
      </c>
      <c r="X669" s="259">
        <v>20</v>
      </c>
      <c r="Y669" s="260">
        <v>50</v>
      </c>
      <c r="AA669" s="80">
        <v>90</v>
      </c>
      <c r="AB669" s="259">
        <v>96</v>
      </c>
      <c r="AC669" s="259">
        <v>20</v>
      </c>
      <c r="AD669" s="260">
        <v>50</v>
      </c>
      <c r="AF669" s="80">
        <v>90</v>
      </c>
      <c r="AG669" s="259">
        <v>96</v>
      </c>
      <c r="AH669" s="259">
        <v>20</v>
      </c>
      <c r="AI669" s="260">
        <v>50</v>
      </c>
      <c r="AK669" s="80">
        <v>90</v>
      </c>
      <c r="AL669" s="259">
        <v>96</v>
      </c>
      <c r="AM669" s="259">
        <v>20</v>
      </c>
      <c r="AN669" s="260">
        <v>50</v>
      </c>
      <c r="AP669" s="80">
        <v>90</v>
      </c>
      <c r="AQ669" s="259">
        <v>96</v>
      </c>
      <c r="AR669" s="259">
        <v>25</v>
      </c>
      <c r="AS669" s="260">
        <v>50</v>
      </c>
      <c r="AT669" s="288"/>
      <c r="AU669" s="80">
        <v>90</v>
      </c>
      <c r="AV669" s="259">
        <v>70</v>
      </c>
      <c r="AW669" s="259">
        <v>65</v>
      </c>
      <c r="AX669" s="260">
        <v>14</v>
      </c>
      <c r="AZ669" s="80">
        <v>90</v>
      </c>
      <c r="BA669" s="259">
        <v>70</v>
      </c>
      <c r="BB669" s="259">
        <v>65</v>
      </c>
      <c r="BC669" s="260">
        <v>14</v>
      </c>
      <c r="BE669" s="80">
        <v>90</v>
      </c>
      <c r="BF669" s="259">
        <v>70</v>
      </c>
      <c r="BG669" s="259">
        <v>65</v>
      </c>
      <c r="BH669" s="260">
        <v>14</v>
      </c>
      <c r="BI669" s="288"/>
      <c r="BJ669" s="80">
        <v>90</v>
      </c>
      <c r="BK669" s="259">
        <v>30</v>
      </c>
      <c r="BL669" s="259">
        <v>70</v>
      </c>
      <c r="BM669" s="260">
        <v>14</v>
      </c>
      <c r="BO669" s="80">
        <v>90</v>
      </c>
      <c r="BP669" s="259">
        <v>30</v>
      </c>
      <c r="BQ669" s="259">
        <v>70</v>
      </c>
      <c r="BR669" s="260">
        <v>14</v>
      </c>
      <c r="BT669" s="80">
        <v>90</v>
      </c>
      <c r="BU669" s="259">
        <v>30</v>
      </c>
      <c r="BV669" s="259">
        <v>70</v>
      </c>
      <c r="BW669" s="260">
        <v>14</v>
      </c>
      <c r="BX669" s="288"/>
      <c r="CM669" s="96"/>
    </row>
    <row r="670" spans="1:91">
      <c r="B670" s="80">
        <v>90</v>
      </c>
      <c r="C670" s="259">
        <v>32</v>
      </c>
      <c r="D670" s="259">
        <v>65</v>
      </c>
      <c r="E670" s="260">
        <v>14</v>
      </c>
      <c r="G670" s="80">
        <v>90</v>
      </c>
      <c r="H670" s="259">
        <v>32</v>
      </c>
      <c r="I670" s="259">
        <v>65</v>
      </c>
      <c r="J670" s="260">
        <v>14</v>
      </c>
      <c r="L670" s="80">
        <v>90</v>
      </c>
      <c r="M670" s="259">
        <v>32</v>
      </c>
      <c r="N670" s="259">
        <v>65</v>
      </c>
      <c r="O670" s="260">
        <v>14</v>
      </c>
      <c r="Q670" s="80">
        <v>90</v>
      </c>
      <c r="R670" s="259">
        <v>32</v>
      </c>
      <c r="S670" s="259">
        <v>65</v>
      </c>
      <c r="T670" s="260">
        <v>14</v>
      </c>
      <c r="V670" s="80">
        <v>90</v>
      </c>
      <c r="W670" s="259">
        <v>32</v>
      </c>
      <c r="X670" s="259">
        <v>65</v>
      </c>
      <c r="Y670" s="260">
        <v>14</v>
      </c>
      <c r="AA670" s="80">
        <v>90</v>
      </c>
      <c r="AB670" s="259">
        <v>32</v>
      </c>
      <c r="AC670" s="259">
        <v>65</v>
      </c>
      <c r="AD670" s="260">
        <v>14</v>
      </c>
      <c r="AF670" s="80">
        <v>90</v>
      </c>
      <c r="AG670" s="259">
        <v>32</v>
      </c>
      <c r="AH670" s="259">
        <v>65</v>
      </c>
      <c r="AI670" s="260">
        <v>14</v>
      </c>
      <c r="AK670" s="80">
        <v>90</v>
      </c>
      <c r="AL670" s="259">
        <v>32</v>
      </c>
      <c r="AM670" s="259">
        <v>65</v>
      </c>
      <c r="AN670" s="260">
        <v>14</v>
      </c>
      <c r="AP670" s="80">
        <v>45</v>
      </c>
      <c r="AQ670" s="259">
        <v>10</v>
      </c>
      <c r="AR670" s="259">
        <v>50</v>
      </c>
      <c r="AS670" s="260">
        <v>18</v>
      </c>
      <c r="AT670" s="288"/>
      <c r="AU670" s="80">
        <v>90</v>
      </c>
      <c r="AV670" s="259">
        <v>10.8</v>
      </c>
      <c r="AW670" s="259">
        <v>80</v>
      </c>
      <c r="AX670" s="260">
        <v>16.5</v>
      </c>
      <c r="AZ670" s="80">
        <v>90</v>
      </c>
      <c r="BA670" s="259">
        <v>10.8</v>
      </c>
      <c r="BB670" s="259">
        <v>80</v>
      </c>
      <c r="BC670" s="260">
        <v>16.5</v>
      </c>
      <c r="BE670" s="80">
        <v>90</v>
      </c>
      <c r="BF670" s="259">
        <v>10.8</v>
      </c>
      <c r="BG670" s="259">
        <v>80</v>
      </c>
      <c r="BH670" s="260">
        <v>16.5</v>
      </c>
      <c r="BI670" s="288"/>
      <c r="BJ670" s="80">
        <v>45</v>
      </c>
      <c r="BK670" s="259">
        <v>50.25</v>
      </c>
      <c r="BL670" s="259">
        <v>80</v>
      </c>
      <c r="BM670" s="260">
        <v>17.5</v>
      </c>
      <c r="BO670" s="80">
        <v>45</v>
      </c>
      <c r="BP670" s="259">
        <v>50.25</v>
      </c>
      <c r="BQ670" s="259">
        <v>80</v>
      </c>
      <c r="BR670" s="260">
        <v>17.5</v>
      </c>
      <c r="BT670" s="80">
        <v>45</v>
      </c>
      <c r="BU670" s="259">
        <v>50.25</v>
      </c>
      <c r="BV670" s="259">
        <v>80</v>
      </c>
      <c r="BW670" s="260">
        <v>17.5</v>
      </c>
      <c r="BX670" s="288"/>
      <c r="CM670" s="96"/>
    </row>
    <row r="671" spans="1:91">
      <c r="B671" s="80">
        <v>90</v>
      </c>
      <c r="C671" s="259">
        <v>118</v>
      </c>
      <c r="D671" s="259">
        <v>65</v>
      </c>
      <c r="E671" s="260">
        <v>14</v>
      </c>
      <c r="G671" s="80">
        <v>90</v>
      </c>
      <c r="H671" s="259">
        <v>118</v>
      </c>
      <c r="I671" s="259">
        <v>65</v>
      </c>
      <c r="J671" s="260">
        <v>14</v>
      </c>
      <c r="L671" s="80">
        <v>90</v>
      </c>
      <c r="M671" s="259">
        <v>118</v>
      </c>
      <c r="N671" s="259">
        <v>65</v>
      </c>
      <c r="O671" s="260">
        <v>14</v>
      </c>
      <c r="Q671" s="80">
        <v>90</v>
      </c>
      <c r="R671" s="259">
        <v>118</v>
      </c>
      <c r="S671" s="259">
        <v>65</v>
      </c>
      <c r="T671" s="260">
        <v>14</v>
      </c>
      <c r="V671" s="80">
        <v>90</v>
      </c>
      <c r="W671" s="259">
        <v>118</v>
      </c>
      <c r="X671" s="259">
        <v>65</v>
      </c>
      <c r="Y671" s="260">
        <v>14</v>
      </c>
      <c r="AA671" s="80">
        <v>90</v>
      </c>
      <c r="AB671" s="259">
        <v>118</v>
      </c>
      <c r="AC671" s="259">
        <v>65</v>
      </c>
      <c r="AD671" s="260">
        <v>14</v>
      </c>
      <c r="AF671" s="80">
        <v>90</v>
      </c>
      <c r="AG671" s="259">
        <v>118</v>
      </c>
      <c r="AH671" s="259">
        <v>65</v>
      </c>
      <c r="AI671" s="260">
        <v>14</v>
      </c>
      <c r="AK671" s="80">
        <v>90</v>
      </c>
      <c r="AL671" s="259">
        <v>118</v>
      </c>
      <c r="AM671" s="259">
        <v>65</v>
      </c>
      <c r="AN671" s="260">
        <v>14</v>
      </c>
      <c r="AP671" s="80">
        <v>45</v>
      </c>
      <c r="AQ671" s="259">
        <v>54</v>
      </c>
      <c r="AR671" s="259">
        <v>50</v>
      </c>
      <c r="AS671" s="260">
        <v>18</v>
      </c>
      <c r="AT671" s="288"/>
      <c r="AU671" s="80">
        <v>90</v>
      </c>
      <c r="AV671" s="259">
        <v>89.2</v>
      </c>
      <c r="AW671" s="259">
        <v>80</v>
      </c>
      <c r="AX671" s="260">
        <v>14</v>
      </c>
      <c r="AZ671" s="80">
        <v>90</v>
      </c>
      <c r="BA671" s="259">
        <v>89.2</v>
      </c>
      <c r="BB671" s="259">
        <v>80</v>
      </c>
      <c r="BC671" s="260">
        <v>14</v>
      </c>
      <c r="BE671" s="80">
        <v>90</v>
      </c>
      <c r="BF671" s="259">
        <v>89.2</v>
      </c>
      <c r="BG671" s="259">
        <v>80</v>
      </c>
      <c r="BH671" s="260">
        <v>14</v>
      </c>
      <c r="BI671" s="288"/>
      <c r="BJ671" s="80">
        <v>45</v>
      </c>
      <c r="BK671" s="259">
        <v>9.75</v>
      </c>
      <c r="BL671" s="259">
        <v>118</v>
      </c>
      <c r="BM671" s="260">
        <v>17.5</v>
      </c>
      <c r="BO671" s="80">
        <v>45</v>
      </c>
      <c r="BP671" s="259">
        <v>9.75</v>
      </c>
      <c r="BQ671" s="259">
        <v>118</v>
      </c>
      <c r="BR671" s="260">
        <v>17.5</v>
      </c>
      <c r="BT671" s="80">
        <v>45</v>
      </c>
      <c r="BU671" s="259">
        <v>9.75</v>
      </c>
      <c r="BV671" s="259">
        <v>118</v>
      </c>
      <c r="BW671" s="260">
        <v>17.5</v>
      </c>
      <c r="BX671" s="288"/>
      <c r="CM671" s="96"/>
    </row>
    <row r="672" spans="1:91">
      <c r="B672" s="80">
        <v>90</v>
      </c>
      <c r="C672" s="259">
        <v>75</v>
      </c>
      <c r="D672" s="259">
        <v>75</v>
      </c>
      <c r="E672" s="260">
        <v>14</v>
      </c>
      <c r="G672" s="80">
        <v>90</v>
      </c>
      <c r="H672" s="259">
        <v>75</v>
      </c>
      <c r="I672" s="259">
        <v>75</v>
      </c>
      <c r="J672" s="260">
        <v>14</v>
      </c>
      <c r="L672" s="80">
        <v>90</v>
      </c>
      <c r="M672" s="259">
        <v>75</v>
      </c>
      <c r="N672" s="259">
        <v>75</v>
      </c>
      <c r="O672" s="260">
        <v>14</v>
      </c>
      <c r="Q672" s="80">
        <v>90</v>
      </c>
      <c r="R672" s="259">
        <v>75</v>
      </c>
      <c r="S672" s="259">
        <v>75</v>
      </c>
      <c r="T672" s="260">
        <v>14</v>
      </c>
      <c r="V672" s="80">
        <v>90</v>
      </c>
      <c r="W672" s="259">
        <v>75</v>
      </c>
      <c r="X672" s="259">
        <v>75</v>
      </c>
      <c r="Y672" s="260">
        <v>14</v>
      </c>
      <c r="AA672" s="80">
        <v>90</v>
      </c>
      <c r="AB672" s="259">
        <v>75</v>
      </c>
      <c r="AC672" s="259">
        <v>75</v>
      </c>
      <c r="AD672" s="260">
        <v>14</v>
      </c>
      <c r="AF672" s="80">
        <v>90</v>
      </c>
      <c r="AG672" s="259">
        <v>75</v>
      </c>
      <c r="AH672" s="259">
        <v>75</v>
      </c>
      <c r="AI672" s="260">
        <v>14</v>
      </c>
      <c r="AK672" s="80">
        <v>90</v>
      </c>
      <c r="AL672" s="259">
        <v>75</v>
      </c>
      <c r="AM672" s="259">
        <v>75</v>
      </c>
      <c r="AN672" s="260">
        <v>14</v>
      </c>
      <c r="AP672" s="80">
        <v>45</v>
      </c>
      <c r="AQ672" s="259">
        <v>96</v>
      </c>
      <c r="AR672" s="259">
        <v>50</v>
      </c>
      <c r="AS672" s="260">
        <v>18</v>
      </c>
      <c r="AT672" s="288"/>
      <c r="AU672" s="80">
        <v>45</v>
      </c>
      <c r="AV672" s="259">
        <v>50</v>
      </c>
      <c r="AW672" s="259">
        <v>110</v>
      </c>
      <c r="AX672" s="260">
        <v>17.5</v>
      </c>
      <c r="AZ672" s="80">
        <v>45</v>
      </c>
      <c r="BA672" s="259">
        <v>50</v>
      </c>
      <c r="BB672" s="259">
        <v>110</v>
      </c>
      <c r="BC672" s="260">
        <v>17.5</v>
      </c>
      <c r="BE672" s="80">
        <v>45</v>
      </c>
      <c r="BF672" s="259">
        <v>50</v>
      </c>
      <c r="BG672" s="259">
        <v>110</v>
      </c>
      <c r="BH672" s="260">
        <v>17.5</v>
      </c>
      <c r="BI672" s="288"/>
      <c r="BJ672" s="80">
        <v>45</v>
      </c>
      <c r="BK672" s="259">
        <v>50.25</v>
      </c>
      <c r="BL672" s="259">
        <v>138</v>
      </c>
      <c r="BM672" s="260">
        <v>17.5</v>
      </c>
      <c r="BO672" s="80">
        <v>45</v>
      </c>
      <c r="BP672" s="259">
        <v>50.25</v>
      </c>
      <c r="BQ672" s="259">
        <v>138</v>
      </c>
      <c r="BR672" s="260">
        <v>17.5</v>
      </c>
      <c r="BT672" s="80">
        <v>45</v>
      </c>
      <c r="BU672" s="259">
        <v>50.25</v>
      </c>
      <c r="BV672" s="259">
        <v>138</v>
      </c>
      <c r="BW672" s="260">
        <v>17.5</v>
      </c>
      <c r="BX672" s="288"/>
      <c r="CM672" s="96"/>
    </row>
    <row r="673" spans="2:91">
      <c r="B673" s="80">
        <v>90</v>
      </c>
      <c r="C673" s="259">
        <v>10.5</v>
      </c>
      <c r="D673" s="259">
        <v>80</v>
      </c>
      <c r="E673" s="260">
        <v>20</v>
      </c>
      <c r="G673" s="80">
        <v>90</v>
      </c>
      <c r="H673" s="259">
        <v>10.5</v>
      </c>
      <c r="I673" s="259">
        <v>80</v>
      </c>
      <c r="J673" s="260">
        <v>20</v>
      </c>
      <c r="L673" s="80">
        <v>90</v>
      </c>
      <c r="M673" s="259">
        <v>10.5</v>
      </c>
      <c r="N673" s="259">
        <v>80</v>
      </c>
      <c r="O673" s="260">
        <v>20</v>
      </c>
      <c r="Q673" s="80">
        <v>90</v>
      </c>
      <c r="R673" s="259">
        <v>10.5</v>
      </c>
      <c r="S673" s="259">
        <v>80</v>
      </c>
      <c r="T673" s="260">
        <v>20</v>
      </c>
      <c r="V673" s="80">
        <v>90</v>
      </c>
      <c r="W673" s="259">
        <v>10.5</v>
      </c>
      <c r="X673" s="259">
        <v>80</v>
      </c>
      <c r="Y673" s="260">
        <v>20</v>
      </c>
      <c r="AA673" s="80">
        <v>90</v>
      </c>
      <c r="AB673" s="259">
        <v>10.5</v>
      </c>
      <c r="AC673" s="259">
        <v>80</v>
      </c>
      <c r="AD673" s="260">
        <v>20</v>
      </c>
      <c r="AF673" s="80">
        <v>90</v>
      </c>
      <c r="AG673" s="259">
        <v>10.5</v>
      </c>
      <c r="AH673" s="259">
        <v>80</v>
      </c>
      <c r="AI673" s="260">
        <v>20</v>
      </c>
      <c r="AK673" s="80">
        <v>90</v>
      </c>
      <c r="AL673" s="259">
        <v>10.5</v>
      </c>
      <c r="AM673" s="259">
        <v>80</v>
      </c>
      <c r="AN673" s="260">
        <v>20</v>
      </c>
      <c r="AP673" s="80">
        <v>45</v>
      </c>
      <c r="AQ673" s="259">
        <v>140</v>
      </c>
      <c r="AR673" s="259">
        <v>50</v>
      </c>
      <c r="AS673" s="260">
        <v>18</v>
      </c>
      <c r="AT673" s="288"/>
      <c r="AU673" s="80">
        <v>45</v>
      </c>
      <c r="AV673" s="259">
        <v>10.8</v>
      </c>
      <c r="AW673" s="259">
        <v>138</v>
      </c>
      <c r="AX673" s="260">
        <v>17.5</v>
      </c>
      <c r="AZ673" s="80">
        <v>45</v>
      </c>
      <c r="BA673" s="259">
        <v>10.8</v>
      </c>
      <c r="BB673" s="259">
        <v>138</v>
      </c>
      <c r="BC673" s="260">
        <v>17.5</v>
      </c>
      <c r="BE673" s="80">
        <v>45</v>
      </c>
      <c r="BF673" s="259">
        <v>10.8</v>
      </c>
      <c r="BG673" s="259">
        <v>138</v>
      </c>
      <c r="BH673" s="260">
        <v>17.5</v>
      </c>
      <c r="BI673" s="288"/>
      <c r="BJ673" s="80">
        <v>45</v>
      </c>
      <c r="BK673" s="259">
        <v>9.75</v>
      </c>
      <c r="BL673" s="259">
        <v>176</v>
      </c>
      <c r="BM673" s="260">
        <v>17.5</v>
      </c>
      <c r="BO673" s="80">
        <v>45</v>
      </c>
      <c r="BP673" s="259">
        <v>9.75</v>
      </c>
      <c r="BQ673" s="259">
        <v>176</v>
      </c>
      <c r="BR673" s="260">
        <v>17.5</v>
      </c>
      <c r="BT673" s="80">
        <v>45</v>
      </c>
      <c r="BU673" s="259">
        <v>9.75</v>
      </c>
      <c r="BV673" s="259">
        <v>176</v>
      </c>
      <c r="BW673" s="260">
        <v>17.5</v>
      </c>
      <c r="BX673" s="288"/>
      <c r="CM673" s="96"/>
    </row>
    <row r="674" spans="2:91">
      <c r="B674" s="80">
        <v>90</v>
      </c>
      <c r="C674" s="259">
        <v>139.5</v>
      </c>
      <c r="D674" s="259">
        <v>80</v>
      </c>
      <c r="E674" s="260">
        <v>20</v>
      </c>
      <c r="G674" s="80">
        <v>90</v>
      </c>
      <c r="H674" s="259">
        <v>139.5</v>
      </c>
      <c r="I674" s="259">
        <v>80</v>
      </c>
      <c r="J674" s="260">
        <v>20</v>
      </c>
      <c r="L674" s="80">
        <v>90</v>
      </c>
      <c r="M674" s="259">
        <v>139.5</v>
      </c>
      <c r="N674" s="259">
        <v>80</v>
      </c>
      <c r="O674" s="260">
        <v>20</v>
      </c>
      <c r="Q674" s="80">
        <v>90</v>
      </c>
      <c r="R674" s="259">
        <v>139.5</v>
      </c>
      <c r="S674" s="259">
        <v>80</v>
      </c>
      <c r="T674" s="260">
        <v>20</v>
      </c>
      <c r="V674" s="80">
        <v>90</v>
      </c>
      <c r="W674" s="259">
        <v>139.5</v>
      </c>
      <c r="X674" s="259">
        <v>80</v>
      </c>
      <c r="Y674" s="260">
        <v>20</v>
      </c>
      <c r="AA674" s="80">
        <v>90</v>
      </c>
      <c r="AB674" s="259">
        <v>139.5</v>
      </c>
      <c r="AC674" s="259">
        <v>80</v>
      </c>
      <c r="AD674" s="260">
        <v>20</v>
      </c>
      <c r="AF674" s="80">
        <v>90</v>
      </c>
      <c r="AG674" s="259">
        <v>139.5</v>
      </c>
      <c r="AH674" s="259">
        <v>80</v>
      </c>
      <c r="AI674" s="260">
        <v>20</v>
      </c>
      <c r="AK674" s="80">
        <v>90</v>
      </c>
      <c r="AL674" s="259">
        <v>139.5</v>
      </c>
      <c r="AM674" s="259">
        <v>80</v>
      </c>
      <c r="AN674" s="260">
        <v>20</v>
      </c>
      <c r="AP674" s="80">
        <v>45</v>
      </c>
      <c r="AQ674" s="259">
        <v>10</v>
      </c>
      <c r="AR674" s="259">
        <v>107</v>
      </c>
      <c r="AS674" s="260">
        <v>18</v>
      </c>
      <c r="AT674" s="288"/>
      <c r="AU674" s="80">
        <v>45</v>
      </c>
      <c r="AV674" s="259">
        <v>89.2</v>
      </c>
      <c r="AW674" s="259">
        <v>138</v>
      </c>
      <c r="AX674" s="260">
        <v>17.5</v>
      </c>
      <c r="AZ674" s="80">
        <v>45</v>
      </c>
      <c r="BA674" s="259">
        <v>89.2</v>
      </c>
      <c r="BB674" s="259">
        <v>138</v>
      </c>
      <c r="BC674" s="260">
        <v>17.5</v>
      </c>
      <c r="BE674" s="80">
        <v>45</v>
      </c>
      <c r="BF674" s="259">
        <v>89.2</v>
      </c>
      <c r="BG674" s="259">
        <v>138</v>
      </c>
      <c r="BH674" s="260">
        <v>17.5</v>
      </c>
      <c r="BI674" s="288"/>
      <c r="BJ674" s="80">
        <v>45</v>
      </c>
      <c r="BK674" s="259">
        <v>50.25</v>
      </c>
      <c r="BL674" s="259">
        <v>196</v>
      </c>
      <c r="BM674" s="260">
        <v>17.5</v>
      </c>
      <c r="BO674" s="80">
        <v>45</v>
      </c>
      <c r="BP674" s="259">
        <v>50.25</v>
      </c>
      <c r="BQ674" s="259">
        <v>196</v>
      </c>
      <c r="BR674" s="260">
        <v>17.5</v>
      </c>
      <c r="BT674" s="80">
        <v>45</v>
      </c>
      <c r="BU674" s="259">
        <v>50.25</v>
      </c>
      <c r="BV674" s="259">
        <v>196</v>
      </c>
      <c r="BW674" s="260">
        <v>17.5</v>
      </c>
      <c r="BX674" s="288"/>
      <c r="CM674" s="96"/>
    </row>
    <row r="675" spans="2:91">
      <c r="B675" s="261">
        <v>45</v>
      </c>
      <c r="C675" s="262">
        <v>53.5</v>
      </c>
      <c r="D675" s="262">
        <v>121</v>
      </c>
      <c r="E675" s="263">
        <v>18</v>
      </c>
      <c r="G675" s="261">
        <v>45</v>
      </c>
      <c r="H675" s="262">
        <v>53.5</v>
      </c>
      <c r="I675" s="262">
        <v>121</v>
      </c>
      <c r="J675" s="263">
        <v>18</v>
      </c>
      <c r="L675" s="261">
        <v>45</v>
      </c>
      <c r="M675" s="262">
        <v>53.5</v>
      </c>
      <c r="N675" s="262">
        <v>130</v>
      </c>
      <c r="O675" s="263">
        <v>18</v>
      </c>
      <c r="Q675" s="261">
        <v>45</v>
      </c>
      <c r="R675" s="262">
        <v>53.5</v>
      </c>
      <c r="S675" s="262">
        <v>127</v>
      </c>
      <c r="T675" s="263">
        <v>18</v>
      </c>
      <c r="V675" s="261">
        <v>45</v>
      </c>
      <c r="W675" s="262">
        <v>53.5</v>
      </c>
      <c r="X675" s="262">
        <v>121.5</v>
      </c>
      <c r="Y675" s="263">
        <v>18</v>
      </c>
      <c r="AA675" s="261">
        <v>45</v>
      </c>
      <c r="AB675" s="262">
        <v>53.5</v>
      </c>
      <c r="AC675" s="262">
        <v>110</v>
      </c>
      <c r="AD675" s="263">
        <v>18</v>
      </c>
      <c r="AF675" s="261">
        <v>45</v>
      </c>
      <c r="AG675" s="262">
        <v>53.5</v>
      </c>
      <c r="AH675" s="262">
        <v>110</v>
      </c>
      <c r="AI675" s="263">
        <v>18</v>
      </c>
      <c r="AK675" s="261">
        <v>45</v>
      </c>
      <c r="AL675" s="262">
        <v>53.5</v>
      </c>
      <c r="AM675" s="262">
        <v>110</v>
      </c>
      <c r="AN675" s="263">
        <v>18</v>
      </c>
      <c r="AP675" s="261">
        <v>45</v>
      </c>
      <c r="AQ675" s="262">
        <v>54</v>
      </c>
      <c r="AR675" s="262">
        <v>107</v>
      </c>
      <c r="AS675" s="263">
        <v>18</v>
      </c>
      <c r="AT675" s="288"/>
      <c r="AU675" s="261">
        <v>45</v>
      </c>
      <c r="AV675" s="262">
        <v>50</v>
      </c>
      <c r="AW675" s="262">
        <v>168</v>
      </c>
      <c r="AX675" s="263">
        <v>17.5</v>
      </c>
      <c r="AZ675" s="261">
        <v>45</v>
      </c>
      <c r="BA675" s="262">
        <v>50</v>
      </c>
      <c r="BB675" s="262">
        <v>168</v>
      </c>
      <c r="BC675" s="263">
        <v>17.5</v>
      </c>
      <c r="BE675" s="261">
        <v>45</v>
      </c>
      <c r="BF675" s="262">
        <v>50</v>
      </c>
      <c r="BG675" s="262">
        <v>168</v>
      </c>
      <c r="BH675" s="263">
        <v>17.5</v>
      </c>
      <c r="BI675" s="288"/>
      <c r="BJ675" s="261">
        <v>45</v>
      </c>
      <c r="BK675" s="262">
        <v>9.75</v>
      </c>
      <c r="BL675" s="262">
        <v>234</v>
      </c>
      <c r="BM675" s="263">
        <v>17.5</v>
      </c>
      <c r="BO675" s="261">
        <v>45</v>
      </c>
      <c r="BP675" s="262">
        <v>9.75</v>
      </c>
      <c r="BQ675" s="262">
        <v>234</v>
      </c>
      <c r="BR675" s="263">
        <v>17.5</v>
      </c>
      <c r="BT675" s="261">
        <v>45</v>
      </c>
      <c r="BU675" s="262">
        <v>9.75</v>
      </c>
      <c r="BV675" s="262">
        <v>234</v>
      </c>
      <c r="BW675" s="263">
        <v>17.5</v>
      </c>
      <c r="BX675" s="288"/>
      <c r="CM675" s="96"/>
    </row>
    <row r="676" spans="2:91">
      <c r="B676" s="261">
        <v>45</v>
      </c>
      <c r="C676" s="262">
        <v>96.5</v>
      </c>
      <c r="D676" s="262">
        <v>121</v>
      </c>
      <c r="E676" s="263">
        <v>18</v>
      </c>
      <c r="G676" s="261">
        <v>45</v>
      </c>
      <c r="H676" s="262">
        <v>96.5</v>
      </c>
      <c r="I676" s="262">
        <v>121</v>
      </c>
      <c r="J676" s="263">
        <v>18</v>
      </c>
      <c r="L676" s="261">
        <v>45</v>
      </c>
      <c r="M676" s="262">
        <v>96.5</v>
      </c>
      <c r="N676" s="262">
        <v>130</v>
      </c>
      <c r="O676" s="263">
        <v>18</v>
      </c>
      <c r="Q676" s="261">
        <v>45</v>
      </c>
      <c r="R676" s="262">
        <v>96.5</v>
      </c>
      <c r="S676" s="262">
        <v>127</v>
      </c>
      <c r="T676" s="263">
        <v>18</v>
      </c>
      <c r="V676" s="261">
        <v>45</v>
      </c>
      <c r="W676" s="262">
        <v>96.5</v>
      </c>
      <c r="X676" s="262">
        <v>121.5</v>
      </c>
      <c r="Y676" s="263">
        <v>18</v>
      </c>
      <c r="AA676" s="261">
        <v>45</v>
      </c>
      <c r="AB676" s="262">
        <v>96.5</v>
      </c>
      <c r="AC676" s="262">
        <v>110</v>
      </c>
      <c r="AD676" s="263">
        <v>18</v>
      </c>
      <c r="AF676" s="261">
        <v>45</v>
      </c>
      <c r="AG676" s="262">
        <v>96.5</v>
      </c>
      <c r="AH676" s="262">
        <v>110</v>
      </c>
      <c r="AI676" s="263">
        <v>18</v>
      </c>
      <c r="AK676" s="261">
        <v>45</v>
      </c>
      <c r="AL676" s="262">
        <v>96.5</v>
      </c>
      <c r="AM676" s="262">
        <v>110</v>
      </c>
      <c r="AN676" s="263">
        <v>18</v>
      </c>
      <c r="AP676" s="261">
        <v>45</v>
      </c>
      <c r="AQ676" s="262">
        <v>96</v>
      </c>
      <c r="AR676" s="262">
        <v>107</v>
      </c>
      <c r="AS676" s="263">
        <v>18</v>
      </c>
      <c r="AT676" s="288"/>
      <c r="AU676" s="261">
        <v>45</v>
      </c>
      <c r="AV676" s="262">
        <v>10.8</v>
      </c>
      <c r="AW676" s="262">
        <v>196</v>
      </c>
      <c r="AX676" s="263">
        <v>17.5</v>
      </c>
      <c r="AZ676" s="261">
        <v>45</v>
      </c>
      <c r="BA676" s="262">
        <v>10.8</v>
      </c>
      <c r="BB676" s="262">
        <v>196</v>
      </c>
      <c r="BC676" s="263">
        <v>17.5</v>
      </c>
      <c r="BE676" s="261">
        <v>45</v>
      </c>
      <c r="BF676" s="262">
        <v>10.8</v>
      </c>
      <c r="BG676" s="262">
        <v>196</v>
      </c>
      <c r="BH676" s="263">
        <v>17.5</v>
      </c>
      <c r="BI676" s="288"/>
      <c r="BJ676" s="261">
        <v>45</v>
      </c>
      <c r="BK676" s="262">
        <v>50.25</v>
      </c>
      <c r="BL676" s="262">
        <v>254</v>
      </c>
      <c r="BM676" s="263">
        <v>17.5</v>
      </c>
      <c r="BO676" s="261">
        <v>45</v>
      </c>
      <c r="BP676" s="262">
        <v>50.25</v>
      </c>
      <c r="BQ676" s="262">
        <v>254</v>
      </c>
      <c r="BR676" s="263">
        <v>17.5</v>
      </c>
      <c r="BT676" s="261">
        <v>90</v>
      </c>
      <c r="BU676" s="262">
        <v>30</v>
      </c>
      <c r="BV676" s="262">
        <v>240</v>
      </c>
      <c r="BW676" s="263">
        <v>14</v>
      </c>
      <c r="BX676" s="288"/>
      <c r="CM676" s="96"/>
    </row>
    <row r="677" spans="2:91">
      <c r="B677" s="261">
        <v>45</v>
      </c>
      <c r="C677" s="262">
        <v>10.5</v>
      </c>
      <c r="D677" s="262">
        <v>150</v>
      </c>
      <c r="E677" s="263">
        <v>18</v>
      </c>
      <c r="G677" s="261">
        <v>45</v>
      </c>
      <c r="H677" s="262">
        <v>10.5</v>
      </c>
      <c r="I677" s="262">
        <v>150</v>
      </c>
      <c r="J677" s="263">
        <v>18</v>
      </c>
      <c r="L677" s="261">
        <v>45</v>
      </c>
      <c r="M677" s="262">
        <v>10.5</v>
      </c>
      <c r="N677" s="262">
        <v>159</v>
      </c>
      <c r="O677" s="263">
        <v>18</v>
      </c>
      <c r="Q677" s="261">
        <v>45</v>
      </c>
      <c r="R677" s="262">
        <v>10.5</v>
      </c>
      <c r="S677" s="262">
        <v>156</v>
      </c>
      <c r="T677" s="263">
        <v>18</v>
      </c>
      <c r="V677" s="261">
        <v>45</v>
      </c>
      <c r="W677" s="262">
        <v>10.5</v>
      </c>
      <c r="X677" s="262">
        <v>150</v>
      </c>
      <c r="Y677" s="263">
        <v>18</v>
      </c>
      <c r="AA677" s="261">
        <v>45</v>
      </c>
      <c r="AB677" s="262">
        <v>10.5</v>
      </c>
      <c r="AC677" s="262">
        <v>138</v>
      </c>
      <c r="AD677" s="263">
        <v>18</v>
      </c>
      <c r="AF677" s="261">
        <v>45</v>
      </c>
      <c r="AG677" s="262">
        <v>10.5</v>
      </c>
      <c r="AH677" s="262">
        <v>138</v>
      </c>
      <c r="AI677" s="263">
        <v>18</v>
      </c>
      <c r="AK677" s="261">
        <v>45</v>
      </c>
      <c r="AL677" s="262">
        <v>10.5</v>
      </c>
      <c r="AM677" s="262">
        <v>134</v>
      </c>
      <c r="AN677" s="263">
        <v>18</v>
      </c>
      <c r="AP677" s="261">
        <v>45</v>
      </c>
      <c r="AQ677" s="262">
        <v>140</v>
      </c>
      <c r="AR677" s="262">
        <v>107</v>
      </c>
      <c r="AS677" s="263">
        <v>18</v>
      </c>
      <c r="AT677" s="288"/>
      <c r="AU677" s="261">
        <v>45</v>
      </c>
      <c r="AV677" s="262">
        <v>89.2</v>
      </c>
      <c r="AW677" s="262">
        <v>196</v>
      </c>
      <c r="AX677" s="263">
        <v>17.5</v>
      </c>
      <c r="AZ677" s="261">
        <v>45</v>
      </c>
      <c r="BA677" s="262">
        <v>89.2</v>
      </c>
      <c r="BB677" s="262">
        <v>196</v>
      </c>
      <c r="BC677" s="263">
        <v>17.5</v>
      </c>
      <c r="BE677" s="261">
        <v>45</v>
      </c>
      <c r="BF677" s="262">
        <v>89.2</v>
      </c>
      <c r="BG677" s="262">
        <v>196</v>
      </c>
      <c r="BH677" s="263">
        <v>17.5</v>
      </c>
      <c r="BI677" s="288"/>
      <c r="BJ677" s="261">
        <v>45</v>
      </c>
      <c r="BK677" s="262">
        <v>9.75</v>
      </c>
      <c r="BL677" s="262">
        <v>292</v>
      </c>
      <c r="BM677" s="263">
        <v>17.5</v>
      </c>
      <c r="BO677" s="261">
        <v>45</v>
      </c>
      <c r="BP677" s="262">
        <v>9.75</v>
      </c>
      <c r="BQ677" s="262">
        <v>292</v>
      </c>
      <c r="BR677" s="263">
        <v>17.5</v>
      </c>
      <c r="BT677" s="261">
        <v>45</v>
      </c>
      <c r="BU677" s="262">
        <v>50.25</v>
      </c>
      <c r="BV677" s="262">
        <v>254</v>
      </c>
      <c r="BW677" s="263">
        <v>17.5</v>
      </c>
      <c r="BX677" s="288"/>
      <c r="CM677" s="96"/>
    </row>
    <row r="678" spans="2:91">
      <c r="B678" s="261">
        <v>45</v>
      </c>
      <c r="C678" s="262">
        <v>139.5</v>
      </c>
      <c r="D678" s="262">
        <v>150</v>
      </c>
      <c r="E678" s="263">
        <v>18</v>
      </c>
      <c r="G678" s="261">
        <v>45</v>
      </c>
      <c r="H678" s="262">
        <v>139.5</v>
      </c>
      <c r="I678" s="262">
        <v>150</v>
      </c>
      <c r="J678" s="263">
        <v>18</v>
      </c>
      <c r="L678" s="261">
        <v>45</v>
      </c>
      <c r="M678" s="262">
        <v>139.5</v>
      </c>
      <c r="N678" s="262">
        <v>159</v>
      </c>
      <c r="O678" s="263">
        <v>18</v>
      </c>
      <c r="Q678" s="261">
        <v>45</v>
      </c>
      <c r="R678" s="262">
        <v>139.5</v>
      </c>
      <c r="S678" s="262">
        <v>156</v>
      </c>
      <c r="T678" s="263">
        <v>18</v>
      </c>
      <c r="V678" s="261">
        <v>45</v>
      </c>
      <c r="W678" s="262">
        <v>139.5</v>
      </c>
      <c r="X678" s="262">
        <v>150</v>
      </c>
      <c r="Y678" s="263">
        <v>18</v>
      </c>
      <c r="AA678" s="261">
        <v>45</v>
      </c>
      <c r="AB678" s="262">
        <v>139.5</v>
      </c>
      <c r="AC678" s="262">
        <v>138</v>
      </c>
      <c r="AD678" s="263">
        <v>18</v>
      </c>
      <c r="AF678" s="261">
        <v>45</v>
      </c>
      <c r="AG678" s="262">
        <v>139.5</v>
      </c>
      <c r="AH678" s="262">
        <v>138</v>
      </c>
      <c r="AI678" s="263">
        <v>18</v>
      </c>
      <c r="AK678" s="261">
        <v>45</v>
      </c>
      <c r="AL678" s="262">
        <v>139.5</v>
      </c>
      <c r="AM678" s="262">
        <v>134</v>
      </c>
      <c r="AN678" s="263">
        <v>18</v>
      </c>
      <c r="AP678" s="261">
        <v>90</v>
      </c>
      <c r="AQ678" s="262">
        <v>32</v>
      </c>
      <c r="AR678" s="262">
        <v>215</v>
      </c>
      <c r="AS678" s="263">
        <v>14</v>
      </c>
      <c r="AT678" s="288"/>
      <c r="AU678" s="261">
        <v>45</v>
      </c>
      <c r="AV678" s="262">
        <v>50</v>
      </c>
      <c r="AW678" s="262">
        <v>226</v>
      </c>
      <c r="AX678" s="263">
        <v>17.5</v>
      </c>
      <c r="AZ678" s="261">
        <v>45</v>
      </c>
      <c r="BA678" s="262">
        <v>50</v>
      </c>
      <c r="BB678" s="262">
        <v>226</v>
      </c>
      <c r="BC678" s="263">
        <v>17.5</v>
      </c>
      <c r="BE678" s="261">
        <v>45</v>
      </c>
      <c r="BF678" s="262">
        <v>50</v>
      </c>
      <c r="BG678" s="262">
        <v>226</v>
      </c>
      <c r="BH678" s="263">
        <v>17.5</v>
      </c>
      <c r="BI678" s="288"/>
      <c r="BJ678" s="261">
        <v>45</v>
      </c>
      <c r="BK678" s="262">
        <v>50.25</v>
      </c>
      <c r="BL678" s="262">
        <v>312</v>
      </c>
      <c r="BM678" s="263">
        <v>17.5</v>
      </c>
      <c r="BO678" s="261">
        <v>45</v>
      </c>
      <c r="BP678" s="262">
        <v>50.25</v>
      </c>
      <c r="BQ678" s="262">
        <v>312</v>
      </c>
      <c r="BR678" s="263">
        <v>17.5</v>
      </c>
      <c r="BT678" s="261" t="str">
        <v/>
      </c>
      <c r="BU678" s="262" t="str">
        <v/>
      </c>
      <c r="BV678" s="262" t="str">
        <v/>
      </c>
      <c r="BW678" s="263" t="str">
        <v/>
      </c>
      <c r="BX678" s="288"/>
      <c r="CM678" s="96"/>
    </row>
    <row r="679" spans="2:91">
      <c r="B679" s="261">
        <v>45</v>
      </c>
      <c r="C679" s="262">
        <v>53.5</v>
      </c>
      <c r="D679" s="262">
        <v>178</v>
      </c>
      <c r="E679" s="263">
        <v>18</v>
      </c>
      <c r="G679" s="261">
        <v>45</v>
      </c>
      <c r="H679" s="262">
        <v>53.5</v>
      </c>
      <c r="I679" s="262">
        <v>178</v>
      </c>
      <c r="J679" s="263">
        <v>18</v>
      </c>
      <c r="L679" s="261">
        <v>45</v>
      </c>
      <c r="M679" s="262">
        <v>53.5</v>
      </c>
      <c r="N679" s="262">
        <v>187</v>
      </c>
      <c r="O679" s="263">
        <v>18</v>
      </c>
      <c r="Q679" s="261">
        <v>45</v>
      </c>
      <c r="R679" s="262">
        <v>53.5</v>
      </c>
      <c r="S679" s="262">
        <v>184</v>
      </c>
      <c r="T679" s="263">
        <v>18</v>
      </c>
      <c r="V679" s="261">
        <v>45</v>
      </c>
      <c r="W679" s="262">
        <v>53.5</v>
      </c>
      <c r="X679" s="262">
        <v>178.5</v>
      </c>
      <c r="Y679" s="263">
        <v>18</v>
      </c>
      <c r="AA679" s="261">
        <v>45</v>
      </c>
      <c r="AB679" s="262">
        <v>53.5</v>
      </c>
      <c r="AC679" s="262">
        <v>168</v>
      </c>
      <c r="AD679" s="263">
        <v>18</v>
      </c>
      <c r="AF679" s="261">
        <v>45</v>
      </c>
      <c r="AG679" s="262">
        <v>53.5</v>
      </c>
      <c r="AH679" s="262">
        <v>168</v>
      </c>
      <c r="AI679" s="263">
        <v>18</v>
      </c>
      <c r="AK679" s="261">
        <v>45</v>
      </c>
      <c r="AL679" s="262">
        <v>53.5</v>
      </c>
      <c r="AM679" s="262">
        <v>168</v>
      </c>
      <c r="AN679" s="263">
        <v>18</v>
      </c>
      <c r="AP679" s="261">
        <v>90</v>
      </c>
      <c r="AQ679" s="262">
        <v>118</v>
      </c>
      <c r="AR679" s="262">
        <v>215</v>
      </c>
      <c r="AS679" s="263">
        <v>14</v>
      </c>
      <c r="AT679" s="288"/>
      <c r="AU679" s="261">
        <v>45</v>
      </c>
      <c r="AV679" s="262">
        <v>10.8</v>
      </c>
      <c r="AW679" s="262">
        <v>254</v>
      </c>
      <c r="AX679" s="263">
        <v>17.5</v>
      </c>
      <c r="AZ679" s="261">
        <v>45</v>
      </c>
      <c r="BA679" s="262">
        <v>10.8</v>
      </c>
      <c r="BB679" s="262">
        <v>254</v>
      </c>
      <c r="BC679" s="263">
        <v>17.5</v>
      </c>
      <c r="BE679" s="261">
        <v>90</v>
      </c>
      <c r="BF679" s="262">
        <v>30</v>
      </c>
      <c r="BG679" s="262">
        <v>235</v>
      </c>
      <c r="BH679" s="263">
        <v>14</v>
      </c>
      <c r="BI679" s="288"/>
      <c r="BJ679" s="261">
        <v>45</v>
      </c>
      <c r="BK679" s="262">
        <v>9.75</v>
      </c>
      <c r="BL679" s="262">
        <v>350</v>
      </c>
      <c r="BM679" s="263">
        <v>17.5</v>
      </c>
      <c r="BO679" s="261">
        <v>45</v>
      </c>
      <c r="BP679" s="262">
        <v>9.75</v>
      </c>
      <c r="BQ679" s="262">
        <v>350</v>
      </c>
      <c r="BR679" s="263">
        <v>17.5</v>
      </c>
      <c r="BT679" s="261" t="str">
        <v/>
      </c>
      <c r="BU679" s="262" t="str">
        <v/>
      </c>
      <c r="BV679" s="262" t="str">
        <v/>
      </c>
      <c r="BW679" s="263" t="str">
        <v/>
      </c>
      <c r="BX679" s="288"/>
      <c r="CM679" s="96"/>
    </row>
    <row r="680" spans="2:91">
      <c r="B680" s="261">
        <v>45</v>
      </c>
      <c r="C680" s="262">
        <v>96.5</v>
      </c>
      <c r="D680" s="262">
        <v>178</v>
      </c>
      <c r="E680" s="263">
        <v>18</v>
      </c>
      <c r="G680" s="261">
        <v>45</v>
      </c>
      <c r="H680" s="262">
        <v>96.5</v>
      </c>
      <c r="I680" s="262">
        <v>178</v>
      </c>
      <c r="J680" s="263">
        <v>18</v>
      </c>
      <c r="L680" s="261">
        <v>45</v>
      </c>
      <c r="M680" s="262">
        <v>96.5</v>
      </c>
      <c r="N680" s="262">
        <v>187</v>
      </c>
      <c r="O680" s="263">
        <v>18</v>
      </c>
      <c r="Q680" s="261">
        <v>45</v>
      </c>
      <c r="R680" s="262">
        <v>96.5</v>
      </c>
      <c r="S680" s="262">
        <v>184</v>
      </c>
      <c r="T680" s="263">
        <v>18</v>
      </c>
      <c r="V680" s="261">
        <v>45</v>
      </c>
      <c r="W680" s="262">
        <v>96.5</v>
      </c>
      <c r="X680" s="262">
        <v>178.5</v>
      </c>
      <c r="Y680" s="263">
        <v>18</v>
      </c>
      <c r="AA680" s="261">
        <v>45</v>
      </c>
      <c r="AB680" s="262">
        <v>96.5</v>
      </c>
      <c r="AC680" s="262">
        <v>168</v>
      </c>
      <c r="AD680" s="263">
        <v>18</v>
      </c>
      <c r="AF680" s="261">
        <v>45</v>
      </c>
      <c r="AG680" s="262">
        <v>96.5</v>
      </c>
      <c r="AH680" s="262">
        <v>168</v>
      </c>
      <c r="AI680" s="263">
        <v>18</v>
      </c>
      <c r="AK680" s="261">
        <v>45</v>
      </c>
      <c r="AL680" s="262">
        <v>96.5</v>
      </c>
      <c r="AM680" s="262">
        <v>168</v>
      </c>
      <c r="AN680" s="263">
        <v>18</v>
      </c>
      <c r="AP680" s="261">
        <v>90</v>
      </c>
      <c r="AQ680" s="262">
        <v>75</v>
      </c>
      <c r="AR680" s="262">
        <v>225</v>
      </c>
      <c r="AS680" s="263">
        <v>14</v>
      </c>
      <c r="AT680" s="288"/>
      <c r="AU680" s="261">
        <v>45</v>
      </c>
      <c r="AV680" s="262">
        <v>89.2</v>
      </c>
      <c r="AW680" s="262">
        <v>254</v>
      </c>
      <c r="AX680" s="263">
        <v>17.5</v>
      </c>
      <c r="AZ680" s="261">
        <v>45</v>
      </c>
      <c r="BA680" s="262">
        <v>89.2</v>
      </c>
      <c r="BB680" s="262">
        <v>254</v>
      </c>
      <c r="BC680" s="263">
        <v>17.5</v>
      </c>
      <c r="BE680" s="261">
        <v>90</v>
      </c>
      <c r="BF680" s="262">
        <v>70</v>
      </c>
      <c r="BG680" s="262">
        <v>235</v>
      </c>
      <c r="BH680" s="263">
        <v>14</v>
      </c>
      <c r="BI680" s="288"/>
      <c r="BJ680" s="261">
        <v>45</v>
      </c>
      <c r="BK680" s="262">
        <v>50.25</v>
      </c>
      <c r="BL680" s="262">
        <v>370</v>
      </c>
      <c r="BM680" s="263">
        <v>17.5</v>
      </c>
      <c r="BO680" s="261">
        <v>90</v>
      </c>
      <c r="BP680" s="262">
        <v>30</v>
      </c>
      <c r="BQ680" s="262">
        <v>360</v>
      </c>
      <c r="BR680" s="263">
        <v>14</v>
      </c>
      <c r="BT680" s="261" t="str">
        <v/>
      </c>
      <c r="BU680" s="262" t="str">
        <v/>
      </c>
      <c r="BV680" s="262" t="str">
        <v/>
      </c>
      <c r="BW680" s="263" t="str">
        <v/>
      </c>
      <c r="BX680" s="288"/>
      <c r="CM680" s="96"/>
    </row>
    <row r="681" spans="2:91">
      <c r="B681" s="80">
        <v>45</v>
      </c>
      <c r="C681" s="259">
        <v>10.5</v>
      </c>
      <c r="D681" s="259">
        <v>207</v>
      </c>
      <c r="E681" s="260">
        <v>18</v>
      </c>
      <c r="G681" s="80">
        <v>45</v>
      </c>
      <c r="H681" s="259">
        <v>10.5</v>
      </c>
      <c r="I681" s="259">
        <v>207</v>
      </c>
      <c r="J681" s="260">
        <v>18</v>
      </c>
      <c r="L681" s="80">
        <v>45</v>
      </c>
      <c r="M681" s="259">
        <v>10.5</v>
      </c>
      <c r="N681" s="259">
        <v>216</v>
      </c>
      <c r="O681" s="260">
        <v>18</v>
      </c>
      <c r="Q681" s="80">
        <v>45</v>
      </c>
      <c r="R681" s="259">
        <v>10.5</v>
      </c>
      <c r="S681" s="259">
        <v>213</v>
      </c>
      <c r="T681" s="260">
        <v>18</v>
      </c>
      <c r="V681" s="80">
        <v>45</v>
      </c>
      <c r="W681" s="259">
        <v>10.5</v>
      </c>
      <c r="X681" s="259">
        <v>207</v>
      </c>
      <c r="Y681" s="260">
        <v>18</v>
      </c>
      <c r="AA681" s="80">
        <v>45</v>
      </c>
      <c r="AB681" s="259">
        <v>10.5</v>
      </c>
      <c r="AC681" s="259">
        <v>196</v>
      </c>
      <c r="AD681" s="260">
        <v>18</v>
      </c>
      <c r="AF681" s="80">
        <v>45</v>
      </c>
      <c r="AG681" s="259">
        <v>10.5</v>
      </c>
      <c r="AH681" s="259">
        <v>196</v>
      </c>
      <c r="AI681" s="260">
        <v>18</v>
      </c>
      <c r="AK681" s="80">
        <v>45</v>
      </c>
      <c r="AL681" s="259">
        <v>10.5</v>
      </c>
      <c r="AM681" s="259">
        <v>192</v>
      </c>
      <c r="AN681" s="260">
        <v>18</v>
      </c>
      <c r="AP681" s="80">
        <v>90</v>
      </c>
      <c r="AQ681" s="259">
        <v>10.5</v>
      </c>
      <c r="AR681" s="259">
        <v>230</v>
      </c>
      <c r="AS681" s="260">
        <v>20</v>
      </c>
      <c r="AT681" s="288"/>
      <c r="AU681" s="80">
        <v>45</v>
      </c>
      <c r="AV681" s="259">
        <v>50</v>
      </c>
      <c r="AW681" s="259">
        <v>284</v>
      </c>
      <c r="AX681" s="260">
        <v>17.5</v>
      </c>
      <c r="AZ681" s="80">
        <v>45</v>
      </c>
      <c r="BA681" s="259">
        <v>50</v>
      </c>
      <c r="BB681" s="259">
        <v>284</v>
      </c>
      <c r="BC681" s="260">
        <v>17.5</v>
      </c>
      <c r="BE681" s="80">
        <v>45</v>
      </c>
      <c r="BF681" s="259">
        <v>10.8</v>
      </c>
      <c r="BG681" s="259">
        <v>254</v>
      </c>
      <c r="BH681" s="260">
        <v>17.5</v>
      </c>
      <c r="BI681" s="288"/>
      <c r="BJ681" s="80">
        <v>45</v>
      </c>
      <c r="BK681" s="259">
        <v>9.75</v>
      </c>
      <c r="BL681" s="259">
        <v>408</v>
      </c>
      <c r="BM681" s="260">
        <v>17.5</v>
      </c>
      <c r="BO681" s="80">
        <v>45</v>
      </c>
      <c r="BP681" s="259">
        <v>50.25</v>
      </c>
      <c r="BQ681" s="259">
        <v>370</v>
      </c>
      <c r="BR681" s="260">
        <v>17.5</v>
      </c>
      <c r="BT681" s="80" t="str">
        <v/>
      </c>
      <c r="BU681" s="259" t="str">
        <v/>
      </c>
      <c r="BV681" s="259" t="str">
        <v/>
      </c>
      <c r="BW681" s="260" t="str">
        <v/>
      </c>
      <c r="BX681" s="288"/>
      <c r="CM681" s="96"/>
    </row>
    <row r="682" spans="2:91">
      <c r="B682" s="80">
        <v>45</v>
      </c>
      <c r="C682" s="259">
        <v>139.5</v>
      </c>
      <c r="D682" s="259">
        <v>207</v>
      </c>
      <c r="E682" s="260">
        <v>18</v>
      </c>
      <c r="G682" s="80">
        <v>45</v>
      </c>
      <c r="H682" s="259">
        <v>139.5</v>
      </c>
      <c r="I682" s="259">
        <v>207</v>
      </c>
      <c r="J682" s="260">
        <v>18</v>
      </c>
      <c r="L682" s="80">
        <v>45</v>
      </c>
      <c r="M682" s="259">
        <v>139.5</v>
      </c>
      <c r="N682" s="259">
        <v>216</v>
      </c>
      <c r="O682" s="260">
        <v>18</v>
      </c>
      <c r="Q682" s="80">
        <v>45</v>
      </c>
      <c r="R682" s="259">
        <v>139.5</v>
      </c>
      <c r="S682" s="259">
        <v>213</v>
      </c>
      <c r="T682" s="260">
        <v>18</v>
      </c>
      <c r="V682" s="80">
        <v>45</v>
      </c>
      <c r="W682" s="259">
        <v>139.5</v>
      </c>
      <c r="X682" s="259">
        <v>207</v>
      </c>
      <c r="Y682" s="260">
        <v>18</v>
      </c>
      <c r="AA682" s="80">
        <v>45</v>
      </c>
      <c r="AB682" s="259">
        <v>139.5</v>
      </c>
      <c r="AC682" s="259">
        <v>196</v>
      </c>
      <c r="AD682" s="260">
        <v>18</v>
      </c>
      <c r="AF682" s="80">
        <v>45</v>
      </c>
      <c r="AG682" s="259">
        <v>139.5</v>
      </c>
      <c r="AH682" s="259">
        <v>196</v>
      </c>
      <c r="AI682" s="260">
        <v>18</v>
      </c>
      <c r="AK682" s="80">
        <v>45</v>
      </c>
      <c r="AL682" s="259">
        <v>139.5</v>
      </c>
      <c r="AM682" s="259">
        <v>192</v>
      </c>
      <c r="AN682" s="260">
        <v>18</v>
      </c>
      <c r="AP682" s="80">
        <v>90</v>
      </c>
      <c r="AQ682" s="259">
        <v>139.5</v>
      </c>
      <c r="AR682" s="259">
        <v>230</v>
      </c>
      <c r="AS682" s="260">
        <v>20</v>
      </c>
      <c r="AT682" s="288"/>
      <c r="AU682" s="80">
        <v>45</v>
      </c>
      <c r="AV682" s="259">
        <v>10.8</v>
      </c>
      <c r="AW682" s="259">
        <v>312</v>
      </c>
      <c r="AX682" s="260">
        <v>17.5</v>
      </c>
      <c r="AZ682" s="80">
        <v>45</v>
      </c>
      <c r="BA682" s="259">
        <v>10.8</v>
      </c>
      <c r="BB682" s="259">
        <v>312</v>
      </c>
      <c r="BC682" s="260">
        <v>17.5</v>
      </c>
      <c r="BE682" s="80">
        <v>45</v>
      </c>
      <c r="BF682" s="259">
        <v>89.2</v>
      </c>
      <c r="BG682" s="259">
        <v>254</v>
      </c>
      <c r="BH682" s="260">
        <v>17.5</v>
      </c>
      <c r="BI682" s="288"/>
      <c r="BJ682" s="80">
        <v>45</v>
      </c>
      <c r="BK682" s="259">
        <v>50.25</v>
      </c>
      <c r="BL682" s="259">
        <v>428</v>
      </c>
      <c r="BM682" s="260">
        <v>17.5</v>
      </c>
      <c r="BO682" s="80" t="str">
        <v/>
      </c>
      <c r="BP682" s="259" t="str">
        <v/>
      </c>
      <c r="BQ682" s="259" t="str">
        <v/>
      </c>
      <c r="BR682" s="260" t="str">
        <v/>
      </c>
      <c r="BT682" s="80" t="str">
        <v/>
      </c>
      <c r="BU682" s="259" t="str">
        <v/>
      </c>
      <c r="BV682" s="259" t="str">
        <v/>
      </c>
      <c r="BW682" s="260" t="str">
        <v/>
      </c>
      <c r="BX682" s="288"/>
      <c r="CM682" s="96"/>
    </row>
    <row r="683" spans="2:91">
      <c r="B683" s="80">
        <v>45</v>
      </c>
      <c r="C683" s="259">
        <v>53.5</v>
      </c>
      <c r="D683" s="259">
        <v>235</v>
      </c>
      <c r="E683" s="260">
        <v>18</v>
      </c>
      <c r="G683" s="80">
        <v>45</v>
      </c>
      <c r="H683" s="259">
        <v>53.5</v>
      </c>
      <c r="I683" s="259">
        <v>235</v>
      </c>
      <c r="J683" s="260">
        <v>18</v>
      </c>
      <c r="L683" s="80">
        <v>45</v>
      </c>
      <c r="M683" s="259">
        <v>53.5</v>
      </c>
      <c r="N683" s="259">
        <v>244</v>
      </c>
      <c r="O683" s="260">
        <v>18</v>
      </c>
      <c r="Q683" s="80">
        <v>45</v>
      </c>
      <c r="R683" s="259">
        <v>53.5</v>
      </c>
      <c r="S683" s="259">
        <v>241</v>
      </c>
      <c r="T683" s="260">
        <v>18</v>
      </c>
      <c r="V683" s="80">
        <v>45</v>
      </c>
      <c r="W683" s="259">
        <v>53.5</v>
      </c>
      <c r="X683" s="259">
        <v>235.5</v>
      </c>
      <c r="Y683" s="260">
        <v>18</v>
      </c>
      <c r="AA683" s="80">
        <v>45</v>
      </c>
      <c r="AB683" s="259">
        <v>53.5</v>
      </c>
      <c r="AC683" s="259">
        <v>226</v>
      </c>
      <c r="AD683" s="260">
        <v>18</v>
      </c>
      <c r="AF683" s="80">
        <v>45</v>
      </c>
      <c r="AG683" s="259">
        <v>53.5</v>
      </c>
      <c r="AH683" s="259">
        <v>226</v>
      </c>
      <c r="AI683" s="260">
        <v>18</v>
      </c>
      <c r="AK683" s="80">
        <v>45</v>
      </c>
      <c r="AL683" s="259">
        <v>53.5</v>
      </c>
      <c r="AM683" s="259">
        <v>226</v>
      </c>
      <c r="AN683" s="260">
        <v>18</v>
      </c>
      <c r="AP683" s="80">
        <v>45</v>
      </c>
      <c r="AQ683" s="259">
        <v>53.5</v>
      </c>
      <c r="AR683" s="259">
        <v>277</v>
      </c>
      <c r="AS683" s="260">
        <v>18</v>
      </c>
      <c r="AT683" s="288"/>
      <c r="AU683" s="80">
        <v>45</v>
      </c>
      <c r="AV683" s="259">
        <v>89.2</v>
      </c>
      <c r="AW683" s="259">
        <v>312</v>
      </c>
      <c r="AX683" s="260">
        <v>17.5</v>
      </c>
      <c r="AZ683" s="80">
        <v>45</v>
      </c>
      <c r="BA683" s="259">
        <v>89.2</v>
      </c>
      <c r="BB683" s="259">
        <v>312</v>
      </c>
      <c r="BC683" s="260">
        <v>17.5</v>
      </c>
      <c r="BE683" s="80" t="str">
        <v/>
      </c>
      <c r="BF683" s="259" t="str">
        <v/>
      </c>
      <c r="BG683" s="259" t="str">
        <v/>
      </c>
      <c r="BH683" s="260" t="str">
        <v/>
      </c>
      <c r="BI683" s="288"/>
      <c r="BJ683" s="80">
        <v>45</v>
      </c>
      <c r="BK683" s="259">
        <v>9.75</v>
      </c>
      <c r="BL683" s="259">
        <v>466</v>
      </c>
      <c r="BM683" s="260">
        <v>17.5</v>
      </c>
      <c r="BO683" s="80" t="str">
        <v/>
      </c>
      <c r="BP683" s="259" t="str">
        <v/>
      </c>
      <c r="BQ683" s="259" t="str">
        <v/>
      </c>
      <c r="BR683" s="260" t="str">
        <v/>
      </c>
      <c r="BT683" s="80" t="str">
        <v/>
      </c>
      <c r="BU683" s="259" t="str">
        <v/>
      </c>
      <c r="BV683" s="259" t="str">
        <v/>
      </c>
      <c r="BW683" s="260" t="str">
        <v/>
      </c>
      <c r="BX683" s="288"/>
      <c r="CM683" s="96"/>
    </row>
    <row r="684" spans="2:91">
      <c r="B684" s="80">
        <v>45</v>
      </c>
      <c r="C684" s="259">
        <v>96.5</v>
      </c>
      <c r="D684" s="259">
        <v>235</v>
      </c>
      <c r="E684" s="260">
        <v>18</v>
      </c>
      <c r="G684" s="80">
        <v>45</v>
      </c>
      <c r="H684" s="259">
        <v>96.5</v>
      </c>
      <c r="I684" s="259">
        <v>235</v>
      </c>
      <c r="J684" s="260">
        <v>18</v>
      </c>
      <c r="L684" s="80">
        <v>45</v>
      </c>
      <c r="M684" s="259">
        <v>96.5</v>
      </c>
      <c r="N684" s="259">
        <v>244</v>
      </c>
      <c r="O684" s="260">
        <v>18</v>
      </c>
      <c r="Q684" s="80">
        <v>45</v>
      </c>
      <c r="R684" s="259">
        <v>96.5</v>
      </c>
      <c r="S684" s="259">
        <v>241</v>
      </c>
      <c r="T684" s="260">
        <v>18</v>
      </c>
      <c r="V684" s="80">
        <v>45</v>
      </c>
      <c r="W684" s="259">
        <v>96.5</v>
      </c>
      <c r="X684" s="259">
        <v>235.5</v>
      </c>
      <c r="Y684" s="260">
        <v>18</v>
      </c>
      <c r="AA684" s="80">
        <v>45</v>
      </c>
      <c r="AB684" s="259">
        <v>96.5</v>
      </c>
      <c r="AC684" s="259">
        <v>226</v>
      </c>
      <c r="AD684" s="260">
        <v>18</v>
      </c>
      <c r="AF684" s="80">
        <v>45</v>
      </c>
      <c r="AG684" s="259">
        <v>96.5</v>
      </c>
      <c r="AH684" s="259">
        <v>226</v>
      </c>
      <c r="AI684" s="260">
        <v>18</v>
      </c>
      <c r="AK684" s="80">
        <v>45</v>
      </c>
      <c r="AL684" s="259">
        <v>96.5</v>
      </c>
      <c r="AM684" s="259">
        <v>226</v>
      </c>
      <c r="AN684" s="260">
        <v>18</v>
      </c>
      <c r="AP684" s="80">
        <v>45</v>
      </c>
      <c r="AQ684" s="259">
        <v>96.5</v>
      </c>
      <c r="AR684" s="259">
        <v>277</v>
      </c>
      <c r="AS684" s="260">
        <v>18</v>
      </c>
      <c r="AT684" s="288"/>
      <c r="AU684" s="80">
        <v>45</v>
      </c>
      <c r="AV684" s="259">
        <v>50</v>
      </c>
      <c r="AW684" s="259">
        <v>342</v>
      </c>
      <c r="AX684" s="260">
        <v>17.5</v>
      </c>
      <c r="AZ684" s="80">
        <v>45</v>
      </c>
      <c r="BA684" s="259">
        <v>50</v>
      </c>
      <c r="BB684" s="259">
        <v>342</v>
      </c>
      <c r="BC684" s="260">
        <v>17.5</v>
      </c>
      <c r="BE684" s="80" t="str">
        <v/>
      </c>
      <c r="BF684" s="259" t="str">
        <v/>
      </c>
      <c r="BG684" s="259" t="str">
        <v/>
      </c>
      <c r="BH684" s="260" t="str">
        <v/>
      </c>
      <c r="BI684" s="288"/>
      <c r="BJ684" s="80">
        <v>90</v>
      </c>
      <c r="BK684" s="259">
        <v>30</v>
      </c>
      <c r="BL684" s="259">
        <v>480</v>
      </c>
      <c r="BM684" s="260">
        <v>14</v>
      </c>
      <c r="BO684" s="80" t="str">
        <v/>
      </c>
      <c r="BP684" s="259" t="str">
        <v/>
      </c>
      <c r="BQ684" s="259" t="str">
        <v/>
      </c>
      <c r="BR684" s="260" t="str">
        <v/>
      </c>
      <c r="BT684" s="80" t="str">
        <v/>
      </c>
      <c r="BU684" s="259" t="str">
        <v/>
      </c>
      <c r="BV684" s="259" t="str">
        <v/>
      </c>
      <c r="BW684" s="260" t="str">
        <v/>
      </c>
      <c r="BX684" s="288"/>
      <c r="CM684" s="96"/>
    </row>
    <row r="685" spans="2:91">
      <c r="B685" s="80">
        <v>45</v>
      </c>
      <c r="C685" s="259">
        <v>10.5</v>
      </c>
      <c r="D685" s="259">
        <v>264</v>
      </c>
      <c r="E685" s="260">
        <v>18</v>
      </c>
      <c r="G685" s="80">
        <v>45</v>
      </c>
      <c r="H685" s="259">
        <v>10.5</v>
      </c>
      <c r="I685" s="259">
        <v>264</v>
      </c>
      <c r="J685" s="260">
        <v>18</v>
      </c>
      <c r="L685" s="80">
        <v>45</v>
      </c>
      <c r="M685" s="259">
        <v>10.5</v>
      </c>
      <c r="N685" s="259">
        <v>273</v>
      </c>
      <c r="O685" s="260">
        <v>18</v>
      </c>
      <c r="Q685" s="80">
        <v>45</v>
      </c>
      <c r="R685" s="259">
        <v>10.5</v>
      </c>
      <c r="S685" s="259">
        <v>270</v>
      </c>
      <c r="T685" s="260">
        <v>18</v>
      </c>
      <c r="V685" s="80">
        <v>45</v>
      </c>
      <c r="W685" s="259">
        <v>10.5</v>
      </c>
      <c r="X685" s="259">
        <v>264</v>
      </c>
      <c r="Y685" s="260">
        <v>18</v>
      </c>
      <c r="AA685" s="80">
        <v>45</v>
      </c>
      <c r="AB685" s="259">
        <v>10.5</v>
      </c>
      <c r="AC685" s="259">
        <v>254</v>
      </c>
      <c r="AD685" s="260">
        <v>18</v>
      </c>
      <c r="AF685" s="80">
        <v>45</v>
      </c>
      <c r="AG685" s="259">
        <v>10.5</v>
      </c>
      <c r="AH685" s="259">
        <v>254</v>
      </c>
      <c r="AI685" s="260">
        <v>18</v>
      </c>
      <c r="AK685" s="80">
        <v>90</v>
      </c>
      <c r="AL685" s="259">
        <v>32</v>
      </c>
      <c r="AM685" s="259">
        <v>235</v>
      </c>
      <c r="AN685" s="260">
        <v>14</v>
      </c>
      <c r="AP685" s="80">
        <v>45</v>
      </c>
      <c r="AQ685" s="259">
        <v>10.5</v>
      </c>
      <c r="AR685" s="259">
        <v>306</v>
      </c>
      <c r="AS685" s="260">
        <v>18</v>
      </c>
      <c r="AT685" s="288"/>
      <c r="AU685" s="80">
        <v>45</v>
      </c>
      <c r="AV685" s="259">
        <v>10.8</v>
      </c>
      <c r="AW685" s="259">
        <v>370</v>
      </c>
      <c r="AX685" s="260">
        <v>17.5</v>
      </c>
      <c r="AZ685" s="80">
        <v>90</v>
      </c>
      <c r="BA685" s="259">
        <v>30</v>
      </c>
      <c r="BB685" s="259">
        <v>355</v>
      </c>
      <c r="BC685" s="260">
        <v>14</v>
      </c>
      <c r="BE685" s="80" t="str">
        <v/>
      </c>
      <c r="BF685" s="259" t="str">
        <v/>
      </c>
      <c r="BG685" s="259" t="str">
        <v/>
      </c>
      <c r="BH685" s="260" t="str">
        <v/>
      </c>
      <c r="BI685" s="288"/>
      <c r="BJ685" s="80">
        <v>45</v>
      </c>
      <c r="BK685" s="259">
        <v>50.25</v>
      </c>
      <c r="BL685" s="259">
        <v>486</v>
      </c>
      <c r="BM685" s="260">
        <v>17.5</v>
      </c>
      <c r="BO685" s="80" t="str">
        <v/>
      </c>
      <c r="BP685" s="259" t="str">
        <v/>
      </c>
      <c r="BQ685" s="259" t="str">
        <v/>
      </c>
      <c r="BR685" s="260" t="str">
        <v/>
      </c>
      <c r="BT685" s="80" t="str">
        <v/>
      </c>
      <c r="BU685" s="259" t="str">
        <v/>
      </c>
      <c r="BV685" s="259" t="str">
        <v/>
      </c>
      <c r="BW685" s="260" t="str">
        <v/>
      </c>
      <c r="BX685" s="288"/>
      <c r="CM685" s="96"/>
    </row>
    <row r="686" spans="2:91">
      <c r="B686" s="80">
        <v>45</v>
      </c>
      <c r="C686" s="259">
        <v>139.5</v>
      </c>
      <c r="D686" s="259">
        <v>264</v>
      </c>
      <c r="E686" s="260">
        <v>18</v>
      </c>
      <c r="G686" s="80">
        <v>45</v>
      </c>
      <c r="H686" s="259">
        <v>139.5</v>
      </c>
      <c r="I686" s="259">
        <v>264</v>
      </c>
      <c r="J686" s="260">
        <v>18</v>
      </c>
      <c r="L686" s="80">
        <v>45</v>
      </c>
      <c r="M686" s="259">
        <v>139.5</v>
      </c>
      <c r="N686" s="259">
        <v>273</v>
      </c>
      <c r="O686" s="260">
        <v>18</v>
      </c>
      <c r="Q686" s="80">
        <v>45</v>
      </c>
      <c r="R686" s="259">
        <v>139.5</v>
      </c>
      <c r="S686" s="259">
        <v>270</v>
      </c>
      <c r="T686" s="260">
        <v>18</v>
      </c>
      <c r="V686" s="80">
        <v>45</v>
      </c>
      <c r="W686" s="259">
        <v>139.5</v>
      </c>
      <c r="X686" s="259">
        <v>264</v>
      </c>
      <c r="Y686" s="260">
        <v>18</v>
      </c>
      <c r="AA686" s="80">
        <v>45</v>
      </c>
      <c r="AB686" s="259">
        <v>139.5</v>
      </c>
      <c r="AC686" s="259">
        <v>254</v>
      </c>
      <c r="AD686" s="260">
        <v>18</v>
      </c>
      <c r="AF686" s="80">
        <v>45</v>
      </c>
      <c r="AG686" s="259">
        <v>139.5</v>
      </c>
      <c r="AH686" s="259">
        <v>254</v>
      </c>
      <c r="AI686" s="260">
        <v>18</v>
      </c>
      <c r="AK686" s="80">
        <v>90</v>
      </c>
      <c r="AL686" s="259">
        <v>118</v>
      </c>
      <c r="AM686" s="259">
        <v>235</v>
      </c>
      <c r="AN686" s="260">
        <v>14</v>
      </c>
      <c r="AP686" s="80">
        <v>45</v>
      </c>
      <c r="AQ686" s="259">
        <v>139.5</v>
      </c>
      <c r="AR686" s="259">
        <v>306</v>
      </c>
      <c r="AS686" s="260">
        <v>18</v>
      </c>
      <c r="AT686" s="288"/>
      <c r="AU686" s="80">
        <v>45</v>
      </c>
      <c r="AV686" s="259">
        <v>89.2</v>
      </c>
      <c r="AW686" s="259">
        <v>370</v>
      </c>
      <c r="AX686" s="260">
        <v>17.5</v>
      </c>
      <c r="AZ686" s="80">
        <v>90</v>
      </c>
      <c r="BA686" s="259">
        <v>70</v>
      </c>
      <c r="BB686" s="259">
        <v>355</v>
      </c>
      <c r="BC686" s="260">
        <v>14</v>
      </c>
      <c r="BE686" s="80" t="str">
        <v/>
      </c>
      <c r="BF686" s="259" t="str">
        <v/>
      </c>
      <c r="BG686" s="259" t="str">
        <v/>
      </c>
      <c r="BH686" s="260" t="str">
        <v/>
      </c>
      <c r="BI686" s="288"/>
      <c r="BJ686" s="80" t="str">
        <v/>
      </c>
      <c r="BK686" s="259" t="str">
        <v/>
      </c>
      <c r="BL686" s="259" t="str">
        <v/>
      </c>
      <c r="BM686" s="260" t="str">
        <v/>
      </c>
      <c r="BO686" s="80" t="str">
        <v/>
      </c>
      <c r="BP686" s="259" t="str">
        <v/>
      </c>
      <c r="BQ686" s="259" t="str">
        <v/>
      </c>
      <c r="BR686" s="260" t="str">
        <v/>
      </c>
      <c r="BT686" s="80" t="str">
        <v/>
      </c>
      <c r="BU686" s="259" t="str">
        <v/>
      </c>
      <c r="BV686" s="259" t="str">
        <v/>
      </c>
      <c r="BW686" s="260" t="str">
        <v/>
      </c>
      <c r="BX686" s="288"/>
      <c r="CM686" s="96"/>
    </row>
    <row r="687" spans="2:91">
      <c r="B687" s="80">
        <v>45</v>
      </c>
      <c r="C687" s="259">
        <v>53.5</v>
      </c>
      <c r="D687" s="259">
        <v>292</v>
      </c>
      <c r="E687" s="260">
        <v>18</v>
      </c>
      <c r="G687" s="80">
        <v>45</v>
      </c>
      <c r="H687" s="259">
        <v>53.5</v>
      </c>
      <c r="I687" s="259">
        <v>292</v>
      </c>
      <c r="J687" s="260">
        <v>18</v>
      </c>
      <c r="L687" s="80">
        <v>45</v>
      </c>
      <c r="M687" s="259">
        <v>53.5</v>
      </c>
      <c r="N687" s="259">
        <v>301</v>
      </c>
      <c r="O687" s="260">
        <v>18</v>
      </c>
      <c r="Q687" s="80">
        <v>45</v>
      </c>
      <c r="R687" s="259">
        <v>53.5</v>
      </c>
      <c r="S687" s="259">
        <v>298</v>
      </c>
      <c r="T687" s="260">
        <v>18</v>
      </c>
      <c r="V687" s="80">
        <v>45</v>
      </c>
      <c r="W687" s="259">
        <v>53.5</v>
      </c>
      <c r="X687" s="259">
        <v>292.5</v>
      </c>
      <c r="Y687" s="260">
        <v>18</v>
      </c>
      <c r="AA687" s="80">
        <v>45</v>
      </c>
      <c r="AB687" s="259">
        <v>53.5</v>
      </c>
      <c r="AC687" s="259">
        <v>284</v>
      </c>
      <c r="AD687" s="260">
        <v>18</v>
      </c>
      <c r="AF687" s="80">
        <v>45</v>
      </c>
      <c r="AG687" s="259">
        <v>53.5</v>
      </c>
      <c r="AH687" s="259">
        <v>284</v>
      </c>
      <c r="AI687" s="260">
        <v>18</v>
      </c>
      <c r="AK687" s="80">
        <v>90</v>
      </c>
      <c r="AL687" s="259">
        <v>75</v>
      </c>
      <c r="AM687" s="259">
        <v>245</v>
      </c>
      <c r="AN687" s="260">
        <v>14</v>
      </c>
      <c r="AP687" s="80">
        <v>45</v>
      </c>
      <c r="AQ687" s="259">
        <v>53.5</v>
      </c>
      <c r="AR687" s="259">
        <v>334</v>
      </c>
      <c r="AS687" s="260">
        <v>18</v>
      </c>
      <c r="AT687" s="288"/>
      <c r="AU687" s="80">
        <v>45</v>
      </c>
      <c r="AV687" s="259">
        <v>50</v>
      </c>
      <c r="AW687" s="259">
        <v>400</v>
      </c>
      <c r="AX687" s="260">
        <v>17.5</v>
      </c>
      <c r="AZ687" s="80">
        <v>45</v>
      </c>
      <c r="BA687" s="259">
        <v>10.8</v>
      </c>
      <c r="BB687" s="259">
        <v>370</v>
      </c>
      <c r="BC687" s="260">
        <v>17.5</v>
      </c>
      <c r="BE687" s="80" t="str">
        <v/>
      </c>
      <c r="BF687" s="259" t="str">
        <v/>
      </c>
      <c r="BG687" s="259" t="str">
        <v/>
      </c>
      <c r="BH687" s="260" t="str">
        <v/>
      </c>
      <c r="BI687" s="288"/>
      <c r="BJ687" s="80" t="str">
        <v/>
      </c>
      <c r="BK687" s="259" t="str">
        <v/>
      </c>
      <c r="BL687" s="259" t="str">
        <v/>
      </c>
      <c r="BM687" s="260" t="str">
        <v/>
      </c>
      <c r="BO687" s="80" t="str">
        <v/>
      </c>
      <c r="BP687" s="259" t="str">
        <v/>
      </c>
      <c r="BQ687" s="259" t="str">
        <v/>
      </c>
      <c r="BR687" s="260" t="str">
        <v/>
      </c>
      <c r="BT687" s="80" t="str">
        <v/>
      </c>
      <c r="BU687" s="259" t="str">
        <v/>
      </c>
      <c r="BV687" s="259" t="str">
        <v/>
      </c>
      <c r="BW687" s="260" t="str">
        <v/>
      </c>
      <c r="BX687" s="288"/>
      <c r="CM687" s="96"/>
    </row>
    <row r="688" spans="2:91">
      <c r="B688" s="80">
        <v>45</v>
      </c>
      <c r="C688" s="259">
        <v>96.5</v>
      </c>
      <c r="D688" s="259">
        <v>292</v>
      </c>
      <c r="E688" s="260">
        <v>18</v>
      </c>
      <c r="G688" s="80">
        <v>45</v>
      </c>
      <c r="H688" s="259">
        <v>96.5</v>
      </c>
      <c r="I688" s="259">
        <v>292</v>
      </c>
      <c r="J688" s="260">
        <v>18</v>
      </c>
      <c r="L688" s="80">
        <v>45</v>
      </c>
      <c r="M688" s="259">
        <v>96.5</v>
      </c>
      <c r="N688" s="259">
        <v>301</v>
      </c>
      <c r="O688" s="260">
        <v>18</v>
      </c>
      <c r="Q688" s="80">
        <v>45</v>
      </c>
      <c r="R688" s="259">
        <v>96.5</v>
      </c>
      <c r="S688" s="259">
        <v>298</v>
      </c>
      <c r="T688" s="260">
        <v>18</v>
      </c>
      <c r="V688" s="80">
        <v>45</v>
      </c>
      <c r="W688" s="259">
        <v>96.5</v>
      </c>
      <c r="X688" s="259">
        <v>292.5</v>
      </c>
      <c r="Y688" s="260">
        <v>18</v>
      </c>
      <c r="AA688" s="80">
        <v>45</v>
      </c>
      <c r="AB688" s="259">
        <v>96.5</v>
      </c>
      <c r="AC688" s="259">
        <v>284</v>
      </c>
      <c r="AD688" s="260">
        <v>18</v>
      </c>
      <c r="AF688" s="80">
        <v>45</v>
      </c>
      <c r="AG688" s="259">
        <v>96.5</v>
      </c>
      <c r="AH688" s="259">
        <v>284</v>
      </c>
      <c r="AI688" s="260">
        <v>18</v>
      </c>
      <c r="AK688" s="80">
        <v>45</v>
      </c>
      <c r="AL688" s="259">
        <v>10.5</v>
      </c>
      <c r="AM688" s="259">
        <v>250</v>
      </c>
      <c r="AN688" s="260">
        <v>18</v>
      </c>
      <c r="AP688" s="80">
        <v>45</v>
      </c>
      <c r="AQ688" s="259">
        <v>96.5</v>
      </c>
      <c r="AR688" s="259">
        <v>334</v>
      </c>
      <c r="AS688" s="260">
        <v>18</v>
      </c>
      <c r="AT688" s="288"/>
      <c r="AU688" s="80">
        <v>45</v>
      </c>
      <c r="AV688" s="259">
        <v>10.8</v>
      </c>
      <c r="AW688" s="259">
        <v>428</v>
      </c>
      <c r="AX688" s="260">
        <v>17.5</v>
      </c>
      <c r="AZ688" s="80">
        <v>45</v>
      </c>
      <c r="BA688" s="259">
        <v>89.2</v>
      </c>
      <c r="BB688" s="259">
        <v>370</v>
      </c>
      <c r="BC688" s="260">
        <v>17.5</v>
      </c>
      <c r="BE688" s="80" t="str">
        <v/>
      </c>
      <c r="BF688" s="259" t="str">
        <v/>
      </c>
      <c r="BG688" s="259" t="str">
        <v/>
      </c>
      <c r="BH688" s="260" t="str">
        <v/>
      </c>
      <c r="BI688" s="288"/>
      <c r="BJ688" s="80" t="str">
        <v/>
      </c>
      <c r="BK688" s="259" t="str">
        <v/>
      </c>
      <c r="BL688" s="259" t="str">
        <v/>
      </c>
      <c r="BM688" s="260" t="str">
        <v/>
      </c>
      <c r="BO688" s="80" t="str">
        <v/>
      </c>
      <c r="BP688" s="259" t="str">
        <v/>
      </c>
      <c r="BQ688" s="259" t="str">
        <v/>
      </c>
      <c r="BR688" s="260" t="str">
        <v/>
      </c>
      <c r="BT688" s="80" t="str">
        <v/>
      </c>
      <c r="BU688" s="259" t="str">
        <v/>
      </c>
      <c r="BV688" s="259" t="str">
        <v/>
      </c>
      <c r="BW688" s="260" t="str">
        <v/>
      </c>
      <c r="BX688" s="288"/>
      <c r="CM688" s="96"/>
    </row>
    <row r="689" spans="2:91">
      <c r="B689" s="80">
        <v>45</v>
      </c>
      <c r="C689" s="259">
        <v>10.5</v>
      </c>
      <c r="D689" s="259">
        <v>321</v>
      </c>
      <c r="E689" s="260">
        <v>18</v>
      </c>
      <c r="G689" s="80">
        <v>45</v>
      </c>
      <c r="H689" s="259">
        <v>10.5</v>
      </c>
      <c r="I689" s="259">
        <v>321</v>
      </c>
      <c r="J689" s="260">
        <v>18</v>
      </c>
      <c r="L689" s="80">
        <v>45</v>
      </c>
      <c r="M689" s="259">
        <v>10.5</v>
      </c>
      <c r="N689" s="259">
        <v>330</v>
      </c>
      <c r="O689" s="260">
        <v>18</v>
      </c>
      <c r="Q689" s="80">
        <v>45</v>
      </c>
      <c r="R689" s="259">
        <v>10.5</v>
      </c>
      <c r="S689" s="259">
        <v>327</v>
      </c>
      <c r="T689" s="260">
        <v>18</v>
      </c>
      <c r="V689" s="80">
        <v>45</v>
      </c>
      <c r="W689" s="259">
        <v>10.5</v>
      </c>
      <c r="X689" s="259">
        <v>321</v>
      </c>
      <c r="Y689" s="260">
        <v>18</v>
      </c>
      <c r="AA689" s="80">
        <v>45</v>
      </c>
      <c r="AB689" s="259">
        <v>10.5</v>
      </c>
      <c r="AC689" s="259">
        <v>312</v>
      </c>
      <c r="AD689" s="260">
        <v>18</v>
      </c>
      <c r="AF689" s="80">
        <v>45</v>
      </c>
      <c r="AG689" s="259">
        <v>10.5</v>
      </c>
      <c r="AH689" s="259">
        <v>312</v>
      </c>
      <c r="AI689" s="260">
        <v>18</v>
      </c>
      <c r="AK689" s="80">
        <v>45</v>
      </c>
      <c r="AL689" s="259">
        <v>139.5</v>
      </c>
      <c r="AM689" s="259">
        <v>250</v>
      </c>
      <c r="AN689" s="260">
        <v>18</v>
      </c>
      <c r="AP689" s="80">
        <v>45</v>
      </c>
      <c r="AQ689" s="259">
        <v>10.5</v>
      </c>
      <c r="AR689" s="259">
        <v>363</v>
      </c>
      <c r="AS689" s="260">
        <v>18</v>
      </c>
      <c r="AT689" s="288"/>
      <c r="AU689" s="80">
        <v>45</v>
      </c>
      <c r="AV689" s="259">
        <v>89.2</v>
      </c>
      <c r="AW689" s="259">
        <v>428</v>
      </c>
      <c r="AX689" s="260">
        <v>17.5</v>
      </c>
      <c r="AZ689" s="80" t="str">
        <v/>
      </c>
      <c r="BA689" s="259" t="str">
        <v/>
      </c>
      <c r="BB689" s="259" t="str">
        <v/>
      </c>
      <c r="BC689" s="260" t="str">
        <v/>
      </c>
      <c r="BE689" s="80" t="str">
        <v/>
      </c>
      <c r="BF689" s="259" t="str">
        <v/>
      </c>
      <c r="BG689" s="259" t="str">
        <v/>
      </c>
      <c r="BH689" s="260" t="str">
        <v/>
      </c>
      <c r="BI689" s="288"/>
      <c r="BJ689" s="80" t="str">
        <v/>
      </c>
      <c r="BK689" s="259" t="str">
        <v/>
      </c>
      <c r="BL689" s="259" t="str">
        <v/>
      </c>
      <c r="BM689" s="260" t="str">
        <v/>
      </c>
      <c r="BO689" s="80" t="str">
        <v/>
      </c>
      <c r="BP689" s="259" t="str">
        <v/>
      </c>
      <c r="BQ689" s="259" t="str">
        <v/>
      </c>
      <c r="BR689" s="260" t="str">
        <v/>
      </c>
      <c r="BT689" s="80" t="str">
        <v/>
      </c>
      <c r="BU689" s="259" t="str">
        <v/>
      </c>
      <c r="BV689" s="259" t="str">
        <v/>
      </c>
      <c r="BW689" s="260" t="str">
        <v/>
      </c>
      <c r="BX689" s="288"/>
      <c r="CM689" s="96"/>
    </row>
    <row r="690" spans="2:91">
      <c r="B690" s="80">
        <v>45</v>
      </c>
      <c r="C690" s="259">
        <v>139.5</v>
      </c>
      <c r="D690" s="259">
        <v>321</v>
      </c>
      <c r="E690" s="260">
        <v>18</v>
      </c>
      <c r="G690" s="80">
        <v>45</v>
      </c>
      <c r="H690" s="259">
        <v>139.5</v>
      </c>
      <c r="I690" s="259">
        <v>321</v>
      </c>
      <c r="J690" s="260">
        <v>18</v>
      </c>
      <c r="L690" s="80">
        <v>45</v>
      </c>
      <c r="M690" s="259">
        <v>139.5</v>
      </c>
      <c r="N690" s="259">
        <v>330</v>
      </c>
      <c r="O690" s="260">
        <v>18</v>
      </c>
      <c r="Q690" s="80">
        <v>45</v>
      </c>
      <c r="R690" s="259">
        <v>139.5</v>
      </c>
      <c r="S690" s="259">
        <v>327</v>
      </c>
      <c r="T690" s="260">
        <v>18</v>
      </c>
      <c r="V690" s="80">
        <v>45</v>
      </c>
      <c r="W690" s="259">
        <v>139.5</v>
      </c>
      <c r="X690" s="259">
        <v>321</v>
      </c>
      <c r="Y690" s="260">
        <v>18</v>
      </c>
      <c r="AA690" s="80">
        <v>45</v>
      </c>
      <c r="AB690" s="259">
        <v>139.5</v>
      </c>
      <c r="AC690" s="259">
        <v>312</v>
      </c>
      <c r="AD690" s="260">
        <v>18</v>
      </c>
      <c r="AF690" s="80">
        <v>45</v>
      </c>
      <c r="AG690" s="259">
        <v>139.5</v>
      </c>
      <c r="AH690" s="259">
        <v>312</v>
      </c>
      <c r="AI690" s="260">
        <v>18</v>
      </c>
      <c r="AK690" s="80" t="str">
        <v/>
      </c>
      <c r="AL690" s="259" t="str">
        <v/>
      </c>
      <c r="AM690" s="259" t="str">
        <v/>
      </c>
      <c r="AN690" s="260" t="str">
        <v/>
      </c>
      <c r="AP690" s="80">
        <v>45</v>
      </c>
      <c r="AQ690" s="259">
        <v>139.5</v>
      </c>
      <c r="AR690" s="259">
        <v>363</v>
      </c>
      <c r="AS690" s="260">
        <v>18</v>
      </c>
      <c r="AT690" s="288"/>
      <c r="AU690" s="80">
        <v>45</v>
      </c>
      <c r="AV690" s="259">
        <v>50</v>
      </c>
      <c r="AW690" s="259">
        <v>458</v>
      </c>
      <c r="AX690" s="260">
        <v>17.5</v>
      </c>
      <c r="AZ690" s="80" t="str">
        <v/>
      </c>
      <c r="BA690" s="259" t="str">
        <v/>
      </c>
      <c r="BB690" s="259" t="str">
        <v/>
      </c>
      <c r="BC690" s="260" t="str">
        <v/>
      </c>
      <c r="BE690" s="80" t="str">
        <v/>
      </c>
      <c r="BF690" s="259" t="str">
        <v/>
      </c>
      <c r="BG690" s="259" t="str">
        <v/>
      </c>
      <c r="BH690" s="260" t="str">
        <v/>
      </c>
      <c r="BI690" s="288"/>
      <c r="BJ690" s="80" t="str">
        <v/>
      </c>
      <c r="BK690" s="259" t="str">
        <v/>
      </c>
      <c r="BL690" s="259" t="str">
        <v/>
      </c>
      <c r="BM690" s="260" t="str">
        <v/>
      </c>
      <c r="BO690" s="80" t="str">
        <v/>
      </c>
      <c r="BP690" s="259" t="str">
        <v/>
      </c>
      <c r="BQ690" s="259" t="str">
        <v/>
      </c>
      <c r="BR690" s="260" t="str">
        <v/>
      </c>
      <c r="BT690" s="80" t="str">
        <v/>
      </c>
      <c r="BU690" s="259" t="str">
        <v/>
      </c>
      <c r="BV690" s="259" t="str">
        <v/>
      </c>
      <c r="BW690" s="260" t="str">
        <v/>
      </c>
      <c r="BX690" s="288"/>
      <c r="CM690" s="96"/>
    </row>
    <row r="691" spans="2:91">
      <c r="B691" s="80">
        <v>45</v>
      </c>
      <c r="C691" s="259">
        <v>53.5</v>
      </c>
      <c r="D691" s="259">
        <v>349</v>
      </c>
      <c r="E691" s="260">
        <v>18</v>
      </c>
      <c r="G691" s="80">
        <v>45</v>
      </c>
      <c r="H691" s="259">
        <v>53.5</v>
      </c>
      <c r="I691" s="259">
        <v>349</v>
      </c>
      <c r="J691" s="260">
        <v>18</v>
      </c>
      <c r="L691" s="80">
        <v>45</v>
      </c>
      <c r="M691" s="259">
        <v>53.5</v>
      </c>
      <c r="N691" s="259">
        <v>358</v>
      </c>
      <c r="O691" s="260">
        <v>18</v>
      </c>
      <c r="Q691" s="80">
        <v>45</v>
      </c>
      <c r="R691" s="259">
        <v>53.5</v>
      </c>
      <c r="S691" s="259">
        <v>355</v>
      </c>
      <c r="T691" s="260">
        <v>18</v>
      </c>
      <c r="V691" s="80">
        <v>45</v>
      </c>
      <c r="W691" s="259">
        <v>53.5</v>
      </c>
      <c r="X691" s="259">
        <v>349.5</v>
      </c>
      <c r="Y691" s="260">
        <v>18</v>
      </c>
      <c r="AA691" s="80">
        <v>45</v>
      </c>
      <c r="AB691" s="259">
        <v>53.5</v>
      </c>
      <c r="AC691" s="259">
        <v>342</v>
      </c>
      <c r="AD691" s="260">
        <v>18</v>
      </c>
      <c r="AF691" s="80">
        <v>45</v>
      </c>
      <c r="AG691" s="259">
        <v>53.5</v>
      </c>
      <c r="AH691" s="259">
        <v>342</v>
      </c>
      <c r="AI691" s="260">
        <v>18</v>
      </c>
      <c r="AK691" s="80" t="str">
        <v/>
      </c>
      <c r="AL691" s="259" t="str">
        <v/>
      </c>
      <c r="AM691" s="259" t="str">
        <v/>
      </c>
      <c r="AN691" s="260" t="str">
        <v/>
      </c>
      <c r="AP691" s="80">
        <v>45</v>
      </c>
      <c r="AQ691" s="259">
        <v>53.5</v>
      </c>
      <c r="AR691" s="259">
        <v>391</v>
      </c>
      <c r="AS691" s="260">
        <v>18</v>
      </c>
      <c r="AT691" s="288"/>
      <c r="AU691" s="80">
        <v>90</v>
      </c>
      <c r="AV691" s="259">
        <v>30</v>
      </c>
      <c r="AW691" s="259">
        <v>475</v>
      </c>
      <c r="AX691" s="260">
        <v>14</v>
      </c>
      <c r="AZ691" s="80" t="str">
        <v/>
      </c>
      <c r="BA691" s="259" t="str">
        <v/>
      </c>
      <c r="BB691" s="259" t="str">
        <v/>
      </c>
      <c r="BC691" s="260" t="str">
        <v/>
      </c>
      <c r="BE691" s="80" t="str">
        <v/>
      </c>
      <c r="BF691" s="259" t="str">
        <v/>
      </c>
      <c r="BG691" s="259" t="str">
        <v/>
      </c>
      <c r="BH691" s="260" t="str">
        <v/>
      </c>
      <c r="BI691" s="288"/>
      <c r="BJ691" s="80" t="str">
        <v/>
      </c>
      <c r="BK691" s="259" t="str">
        <v/>
      </c>
      <c r="BL691" s="259" t="str">
        <v/>
      </c>
      <c r="BM691" s="260" t="str">
        <v/>
      </c>
      <c r="BO691" s="80" t="str">
        <v/>
      </c>
      <c r="BP691" s="259" t="str">
        <v/>
      </c>
      <c r="BQ691" s="259" t="str">
        <v/>
      </c>
      <c r="BR691" s="260" t="str">
        <v/>
      </c>
      <c r="BT691" s="80" t="str">
        <v/>
      </c>
      <c r="BU691" s="259" t="str">
        <v/>
      </c>
      <c r="BV691" s="259" t="str">
        <v/>
      </c>
      <c r="BW691" s="260" t="str">
        <v/>
      </c>
      <c r="BX691" s="288"/>
      <c r="CM691" s="96"/>
    </row>
    <row r="692" spans="2:91">
      <c r="B692" s="80">
        <v>45</v>
      </c>
      <c r="C692" s="259">
        <v>96.5</v>
      </c>
      <c r="D692" s="259">
        <v>349</v>
      </c>
      <c r="E692" s="260">
        <v>18</v>
      </c>
      <c r="G692" s="80">
        <v>45</v>
      </c>
      <c r="H692" s="259">
        <v>96.5</v>
      </c>
      <c r="I692" s="259">
        <v>349</v>
      </c>
      <c r="J692" s="260">
        <v>18</v>
      </c>
      <c r="L692" s="80">
        <v>45</v>
      </c>
      <c r="M692" s="259">
        <v>96.5</v>
      </c>
      <c r="N692" s="259">
        <v>358</v>
      </c>
      <c r="O692" s="260">
        <v>18</v>
      </c>
      <c r="Q692" s="80">
        <v>45</v>
      </c>
      <c r="R692" s="259">
        <v>96.5</v>
      </c>
      <c r="S692" s="259">
        <v>355</v>
      </c>
      <c r="T692" s="260">
        <v>18</v>
      </c>
      <c r="V692" s="80">
        <v>45</v>
      </c>
      <c r="W692" s="259">
        <v>96.5</v>
      </c>
      <c r="X692" s="259">
        <v>349.5</v>
      </c>
      <c r="Y692" s="260">
        <v>18</v>
      </c>
      <c r="AA692" s="80">
        <v>45</v>
      </c>
      <c r="AB692" s="259">
        <v>96.5</v>
      </c>
      <c r="AC692" s="259">
        <v>342</v>
      </c>
      <c r="AD692" s="260">
        <v>18</v>
      </c>
      <c r="AF692" s="80">
        <v>45</v>
      </c>
      <c r="AG692" s="259">
        <v>96.5</v>
      </c>
      <c r="AH692" s="259">
        <v>342</v>
      </c>
      <c r="AI692" s="260">
        <v>18</v>
      </c>
      <c r="AK692" s="80" t="str">
        <v/>
      </c>
      <c r="AL692" s="259" t="str">
        <v/>
      </c>
      <c r="AM692" s="259" t="str">
        <v/>
      </c>
      <c r="AN692" s="260" t="str">
        <v/>
      </c>
      <c r="AP692" s="80">
        <v>45</v>
      </c>
      <c r="AQ692" s="259">
        <v>96.5</v>
      </c>
      <c r="AR692" s="259">
        <v>391</v>
      </c>
      <c r="AS692" s="260">
        <v>18</v>
      </c>
      <c r="AT692" s="288"/>
      <c r="AU692" s="80">
        <v>90</v>
      </c>
      <c r="AV692" s="259">
        <v>70</v>
      </c>
      <c r="AW692" s="259">
        <v>475</v>
      </c>
      <c r="AX692" s="260">
        <v>14</v>
      </c>
      <c r="AZ692" s="80" t="str">
        <v/>
      </c>
      <c r="BA692" s="259" t="str">
        <v/>
      </c>
      <c r="BB692" s="259" t="str">
        <v/>
      </c>
      <c r="BC692" s="260" t="str">
        <v/>
      </c>
      <c r="BE692" s="80" t="str">
        <v/>
      </c>
      <c r="BF692" s="259" t="str">
        <v/>
      </c>
      <c r="BG692" s="259" t="str">
        <v/>
      </c>
      <c r="BH692" s="260" t="str">
        <v/>
      </c>
      <c r="BI692" s="288"/>
      <c r="BJ692" s="80" t="str">
        <v/>
      </c>
      <c r="BK692" s="259" t="str">
        <v/>
      </c>
      <c r="BL692" s="259" t="str">
        <v/>
      </c>
      <c r="BM692" s="260" t="str">
        <v/>
      </c>
      <c r="BO692" s="80" t="str">
        <v/>
      </c>
      <c r="BP692" s="259" t="str">
        <v/>
      </c>
      <c r="BQ692" s="259" t="str">
        <v/>
      </c>
      <c r="BR692" s="260" t="str">
        <v/>
      </c>
      <c r="BT692" s="80" t="str">
        <v/>
      </c>
      <c r="BU692" s="259" t="str">
        <v/>
      </c>
      <c r="BV692" s="259" t="str">
        <v/>
      </c>
      <c r="BW692" s="260" t="str">
        <v/>
      </c>
      <c r="BX692" s="288"/>
      <c r="CM692" s="96"/>
    </row>
    <row r="693" spans="2:91">
      <c r="B693" s="80">
        <v>45</v>
      </c>
      <c r="C693" s="259">
        <v>10.5</v>
      </c>
      <c r="D693" s="259">
        <v>378</v>
      </c>
      <c r="E693" s="260">
        <v>18</v>
      </c>
      <c r="G693" s="80">
        <v>45</v>
      </c>
      <c r="H693" s="259">
        <v>10.5</v>
      </c>
      <c r="I693" s="259">
        <v>378</v>
      </c>
      <c r="J693" s="260">
        <v>18</v>
      </c>
      <c r="L693" s="80">
        <v>45</v>
      </c>
      <c r="M693" s="259">
        <v>10.5</v>
      </c>
      <c r="N693" s="259">
        <v>387</v>
      </c>
      <c r="O693" s="260">
        <v>18</v>
      </c>
      <c r="Q693" s="80">
        <v>45</v>
      </c>
      <c r="R693" s="259">
        <v>10.5</v>
      </c>
      <c r="S693" s="259">
        <v>384</v>
      </c>
      <c r="T693" s="260">
        <v>18</v>
      </c>
      <c r="V693" s="80">
        <v>45</v>
      </c>
      <c r="W693" s="259">
        <v>10.5</v>
      </c>
      <c r="X693" s="259">
        <v>378</v>
      </c>
      <c r="Y693" s="260">
        <v>18</v>
      </c>
      <c r="AA693" s="80">
        <v>45</v>
      </c>
      <c r="AB693" s="259">
        <v>10.5</v>
      </c>
      <c r="AC693" s="259">
        <v>370</v>
      </c>
      <c r="AD693" s="260">
        <v>18</v>
      </c>
      <c r="AF693" s="80">
        <v>90</v>
      </c>
      <c r="AG693" s="259">
        <v>32</v>
      </c>
      <c r="AH693" s="259">
        <v>355</v>
      </c>
      <c r="AI693" s="260">
        <v>14</v>
      </c>
      <c r="AK693" s="80" t="str">
        <v/>
      </c>
      <c r="AL693" s="259" t="str">
        <v/>
      </c>
      <c r="AM693" s="259" t="str">
        <v/>
      </c>
      <c r="AN693" s="260" t="str">
        <v/>
      </c>
      <c r="AP693" s="80">
        <v>45</v>
      </c>
      <c r="AQ693" s="259">
        <v>10.5</v>
      </c>
      <c r="AR693" s="259">
        <v>420</v>
      </c>
      <c r="AS693" s="260">
        <v>18</v>
      </c>
      <c r="AT693" s="288"/>
      <c r="AU693" s="80">
        <v>45</v>
      </c>
      <c r="AV693" s="259">
        <v>10.8</v>
      </c>
      <c r="AW693" s="259">
        <v>486</v>
      </c>
      <c r="AX693" s="260">
        <v>17.5</v>
      </c>
      <c r="AZ693" s="80" t="str">
        <v/>
      </c>
      <c r="BA693" s="259" t="str">
        <v/>
      </c>
      <c r="BB693" s="259" t="str">
        <v/>
      </c>
      <c r="BC693" s="260" t="str">
        <v/>
      </c>
      <c r="BE693" s="80" t="str">
        <v/>
      </c>
      <c r="BF693" s="259" t="str">
        <v/>
      </c>
      <c r="BG693" s="259" t="str">
        <v/>
      </c>
      <c r="BH693" s="260" t="str">
        <v/>
      </c>
      <c r="BI693" s="288"/>
      <c r="BJ693" s="80" t="str">
        <v/>
      </c>
      <c r="BK693" s="259" t="str">
        <v/>
      </c>
      <c r="BL693" s="259" t="str">
        <v/>
      </c>
      <c r="BM693" s="260" t="str">
        <v/>
      </c>
      <c r="BO693" s="80" t="str">
        <v/>
      </c>
      <c r="BP693" s="259" t="str">
        <v/>
      </c>
      <c r="BQ693" s="259" t="str">
        <v/>
      </c>
      <c r="BR693" s="260" t="str">
        <v/>
      </c>
      <c r="BT693" s="80" t="str">
        <v/>
      </c>
      <c r="BU693" s="259" t="str">
        <v/>
      </c>
      <c r="BV693" s="259" t="str">
        <v/>
      </c>
      <c r="BW693" s="260" t="str">
        <v/>
      </c>
      <c r="BX693" s="288"/>
      <c r="CM693" s="96"/>
    </row>
    <row r="694" spans="2:91">
      <c r="B694" s="80">
        <v>45</v>
      </c>
      <c r="C694" s="259">
        <v>139.5</v>
      </c>
      <c r="D694" s="259">
        <v>378</v>
      </c>
      <c r="E694" s="260">
        <v>18</v>
      </c>
      <c r="G694" s="80">
        <v>45</v>
      </c>
      <c r="H694" s="259">
        <v>139.5</v>
      </c>
      <c r="I694" s="259">
        <v>378</v>
      </c>
      <c r="J694" s="260">
        <v>18</v>
      </c>
      <c r="L694" s="80">
        <v>45</v>
      </c>
      <c r="M694" s="259">
        <v>139.5</v>
      </c>
      <c r="N694" s="259">
        <v>387</v>
      </c>
      <c r="O694" s="260">
        <v>18</v>
      </c>
      <c r="Q694" s="80">
        <v>45</v>
      </c>
      <c r="R694" s="259">
        <v>139.5</v>
      </c>
      <c r="S694" s="259">
        <v>384</v>
      </c>
      <c r="T694" s="260">
        <v>18</v>
      </c>
      <c r="V694" s="80">
        <v>45</v>
      </c>
      <c r="W694" s="259">
        <v>139.5</v>
      </c>
      <c r="X694" s="259">
        <v>378</v>
      </c>
      <c r="Y694" s="260">
        <v>18</v>
      </c>
      <c r="AA694" s="80">
        <v>45</v>
      </c>
      <c r="AB694" s="259">
        <v>139.5</v>
      </c>
      <c r="AC694" s="259">
        <v>370</v>
      </c>
      <c r="AD694" s="260">
        <v>18</v>
      </c>
      <c r="AF694" s="80">
        <v>90</v>
      </c>
      <c r="AG694" s="259">
        <v>118</v>
      </c>
      <c r="AH694" s="259">
        <v>355</v>
      </c>
      <c r="AI694" s="260">
        <v>14</v>
      </c>
      <c r="AK694" s="80" t="str">
        <v/>
      </c>
      <c r="AL694" s="259" t="str">
        <v/>
      </c>
      <c r="AM694" s="259" t="str">
        <v/>
      </c>
      <c r="AN694" s="260" t="str">
        <v/>
      </c>
      <c r="AP694" s="80">
        <v>45</v>
      </c>
      <c r="AQ694" s="259">
        <v>139.5</v>
      </c>
      <c r="AR694" s="259">
        <v>420</v>
      </c>
      <c r="AS694" s="260">
        <v>18</v>
      </c>
      <c r="AT694" s="288"/>
      <c r="AU694" s="80">
        <v>45</v>
      </c>
      <c r="AV694" s="259">
        <v>89.2</v>
      </c>
      <c r="AW694" s="259">
        <v>486</v>
      </c>
      <c r="AX694" s="260">
        <v>17.5</v>
      </c>
      <c r="AZ694" s="80" t="str">
        <v/>
      </c>
      <c r="BA694" s="259" t="str">
        <v/>
      </c>
      <c r="BB694" s="259" t="str">
        <v/>
      </c>
      <c r="BC694" s="260" t="str">
        <v/>
      </c>
      <c r="BE694" s="80" t="str">
        <v/>
      </c>
      <c r="BF694" s="259" t="str">
        <v/>
      </c>
      <c r="BG694" s="259" t="str">
        <v/>
      </c>
      <c r="BH694" s="260" t="str">
        <v/>
      </c>
      <c r="BI694" s="288"/>
      <c r="BJ694" s="80" t="str">
        <v/>
      </c>
      <c r="BK694" s="259" t="str">
        <v/>
      </c>
      <c r="BL694" s="259" t="str">
        <v/>
      </c>
      <c r="BM694" s="260" t="str">
        <v/>
      </c>
      <c r="BO694" s="80" t="str">
        <v/>
      </c>
      <c r="BP694" s="259" t="str">
        <v/>
      </c>
      <c r="BQ694" s="259" t="str">
        <v/>
      </c>
      <c r="BR694" s="260" t="str">
        <v/>
      </c>
      <c r="BT694" s="80" t="str">
        <v/>
      </c>
      <c r="BU694" s="259" t="str">
        <v/>
      </c>
      <c r="BV694" s="259" t="str">
        <v/>
      </c>
      <c r="BW694" s="260" t="str">
        <v/>
      </c>
      <c r="BX694" s="288"/>
      <c r="CM694" s="96"/>
    </row>
    <row r="695" spans="2:91">
      <c r="B695" s="80">
        <v>45</v>
      </c>
      <c r="C695" s="259">
        <v>53.5</v>
      </c>
      <c r="D695" s="259">
        <v>406</v>
      </c>
      <c r="E695" s="260">
        <v>18</v>
      </c>
      <c r="G695" s="80">
        <v>45</v>
      </c>
      <c r="H695" s="259">
        <v>53.5</v>
      </c>
      <c r="I695" s="259">
        <v>406</v>
      </c>
      <c r="J695" s="260">
        <v>18</v>
      </c>
      <c r="L695" s="80">
        <v>45</v>
      </c>
      <c r="M695" s="259">
        <v>53.5</v>
      </c>
      <c r="N695" s="259">
        <v>415</v>
      </c>
      <c r="O695" s="260">
        <v>18</v>
      </c>
      <c r="Q695" s="80">
        <v>45</v>
      </c>
      <c r="R695" s="259">
        <v>53.5</v>
      </c>
      <c r="S695" s="259">
        <v>412</v>
      </c>
      <c r="T695" s="260">
        <v>18</v>
      </c>
      <c r="V695" s="80">
        <v>45</v>
      </c>
      <c r="W695" s="259">
        <v>53.5</v>
      </c>
      <c r="X695" s="259">
        <v>406.5</v>
      </c>
      <c r="Y695" s="260">
        <v>18</v>
      </c>
      <c r="AA695" s="80">
        <v>45</v>
      </c>
      <c r="AB695" s="259">
        <v>53.5</v>
      </c>
      <c r="AC695" s="259">
        <v>400</v>
      </c>
      <c r="AD695" s="260">
        <v>18</v>
      </c>
      <c r="AF695" s="80">
        <v>90</v>
      </c>
      <c r="AG695" s="259">
        <v>75</v>
      </c>
      <c r="AH695" s="259">
        <v>365</v>
      </c>
      <c r="AI695" s="260">
        <v>14</v>
      </c>
      <c r="AK695" s="80" t="str">
        <v/>
      </c>
      <c r="AL695" s="259" t="str">
        <v/>
      </c>
      <c r="AM695" s="259" t="str">
        <v/>
      </c>
      <c r="AN695" s="260" t="str">
        <v/>
      </c>
      <c r="AP695" s="80">
        <v>45</v>
      </c>
      <c r="AQ695" s="259">
        <v>53.5</v>
      </c>
      <c r="AR695" s="259">
        <v>448</v>
      </c>
      <c r="AS695" s="260">
        <v>18</v>
      </c>
      <c r="AT695" s="288"/>
      <c r="AU695" s="80" t="str">
        <v/>
      </c>
      <c r="AV695" s="259" t="str">
        <v/>
      </c>
      <c r="AW695" s="259" t="str">
        <v/>
      </c>
      <c r="AX695" s="260" t="str">
        <v/>
      </c>
      <c r="AZ695" s="80" t="str">
        <v/>
      </c>
      <c r="BA695" s="259" t="str">
        <v/>
      </c>
      <c r="BB695" s="259" t="str">
        <v/>
      </c>
      <c r="BC695" s="260" t="str">
        <v/>
      </c>
      <c r="BE695" s="80" t="str">
        <v/>
      </c>
      <c r="BF695" s="259" t="str">
        <v/>
      </c>
      <c r="BG695" s="259" t="str">
        <v/>
      </c>
      <c r="BH695" s="260" t="str">
        <v/>
      </c>
      <c r="BI695" s="288"/>
      <c r="BJ695" s="80" t="str">
        <v/>
      </c>
      <c r="BK695" s="259" t="str">
        <v/>
      </c>
      <c r="BL695" s="259" t="str">
        <v/>
      </c>
      <c r="BM695" s="260" t="str">
        <v/>
      </c>
      <c r="BO695" s="80" t="str">
        <v/>
      </c>
      <c r="BP695" s="259" t="str">
        <v/>
      </c>
      <c r="BQ695" s="259" t="str">
        <v/>
      </c>
      <c r="BR695" s="260" t="str">
        <v/>
      </c>
      <c r="BT695" s="80" t="str">
        <v/>
      </c>
      <c r="BU695" s="259" t="str">
        <v/>
      </c>
      <c r="BV695" s="259" t="str">
        <v/>
      </c>
      <c r="BW695" s="260" t="str">
        <v/>
      </c>
      <c r="BX695" s="288"/>
      <c r="CM695" s="96"/>
    </row>
    <row r="696" spans="2:91">
      <c r="B696" s="80">
        <v>45</v>
      </c>
      <c r="C696" s="259">
        <v>96.5</v>
      </c>
      <c r="D696" s="259">
        <v>406</v>
      </c>
      <c r="E696" s="260">
        <v>18</v>
      </c>
      <c r="G696" s="80">
        <v>45</v>
      </c>
      <c r="H696" s="259">
        <v>96.5</v>
      </c>
      <c r="I696" s="259">
        <v>406</v>
      </c>
      <c r="J696" s="260">
        <v>18</v>
      </c>
      <c r="L696" s="80">
        <v>45</v>
      </c>
      <c r="M696" s="259">
        <v>96.5</v>
      </c>
      <c r="N696" s="259">
        <v>415</v>
      </c>
      <c r="O696" s="260">
        <v>18</v>
      </c>
      <c r="Q696" s="80">
        <v>45</v>
      </c>
      <c r="R696" s="259">
        <v>96.5</v>
      </c>
      <c r="S696" s="259">
        <v>412</v>
      </c>
      <c r="T696" s="260">
        <v>18</v>
      </c>
      <c r="V696" s="80">
        <v>45</v>
      </c>
      <c r="W696" s="259">
        <v>96.5</v>
      </c>
      <c r="X696" s="259">
        <v>406.5</v>
      </c>
      <c r="Y696" s="260">
        <v>18</v>
      </c>
      <c r="AA696" s="80">
        <v>45</v>
      </c>
      <c r="AB696" s="259">
        <v>96.5</v>
      </c>
      <c r="AC696" s="259">
        <v>400</v>
      </c>
      <c r="AD696" s="260">
        <v>18</v>
      </c>
      <c r="AF696" s="80">
        <v>45</v>
      </c>
      <c r="AG696" s="259">
        <v>10.5</v>
      </c>
      <c r="AH696" s="259">
        <v>370</v>
      </c>
      <c r="AI696" s="260">
        <v>18</v>
      </c>
      <c r="AK696" s="80" t="str">
        <v/>
      </c>
      <c r="AL696" s="259" t="str">
        <v/>
      </c>
      <c r="AM696" s="259" t="str">
        <v/>
      </c>
      <c r="AN696" s="260" t="str">
        <v/>
      </c>
      <c r="AP696" s="80">
        <v>45</v>
      </c>
      <c r="AQ696" s="259">
        <v>96.5</v>
      </c>
      <c r="AR696" s="259">
        <v>448</v>
      </c>
      <c r="AS696" s="260">
        <v>18</v>
      </c>
      <c r="AT696" s="288"/>
      <c r="AU696" s="80" t="str">
        <v/>
      </c>
      <c r="AV696" s="259" t="str">
        <v/>
      </c>
      <c r="AW696" s="259" t="str">
        <v/>
      </c>
      <c r="AX696" s="260" t="str">
        <v/>
      </c>
      <c r="AZ696" s="80" t="str">
        <v/>
      </c>
      <c r="BA696" s="259" t="str">
        <v/>
      </c>
      <c r="BB696" s="259" t="str">
        <v/>
      </c>
      <c r="BC696" s="260" t="str">
        <v/>
      </c>
      <c r="BE696" s="80" t="str">
        <v/>
      </c>
      <c r="BF696" s="259" t="str">
        <v/>
      </c>
      <c r="BG696" s="259" t="str">
        <v/>
      </c>
      <c r="BH696" s="260" t="str">
        <v/>
      </c>
      <c r="BI696" s="288"/>
      <c r="BJ696" s="80" t="str">
        <v/>
      </c>
      <c r="BK696" s="259" t="str">
        <v/>
      </c>
      <c r="BL696" s="259" t="str">
        <v/>
      </c>
      <c r="BM696" s="260" t="str">
        <v/>
      </c>
      <c r="BO696" s="80" t="str">
        <v/>
      </c>
      <c r="BP696" s="259" t="str">
        <v/>
      </c>
      <c r="BQ696" s="259" t="str">
        <v/>
      </c>
      <c r="BR696" s="260" t="str">
        <v/>
      </c>
      <c r="BT696" s="80" t="str">
        <v/>
      </c>
      <c r="BU696" s="259" t="str">
        <v/>
      </c>
      <c r="BV696" s="259" t="str">
        <v/>
      </c>
      <c r="BW696" s="260" t="str">
        <v/>
      </c>
      <c r="BX696" s="288"/>
      <c r="CM696" s="96"/>
    </row>
    <row r="697" spans="2:91">
      <c r="B697" s="80">
        <v>45</v>
      </c>
      <c r="C697" s="259">
        <v>10.5</v>
      </c>
      <c r="D697" s="259">
        <v>435</v>
      </c>
      <c r="E697" s="260">
        <v>18</v>
      </c>
      <c r="G697" s="80">
        <v>90</v>
      </c>
      <c r="H697" s="259">
        <v>32</v>
      </c>
      <c r="I697" s="259">
        <v>420</v>
      </c>
      <c r="J697" s="260">
        <v>14</v>
      </c>
      <c r="L697" s="80">
        <v>45</v>
      </c>
      <c r="M697" s="259">
        <v>10.5</v>
      </c>
      <c r="N697" s="259">
        <v>444</v>
      </c>
      <c r="O697" s="260">
        <v>18</v>
      </c>
      <c r="Q697" s="80">
        <v>45</v>
      </c>
      <c r="R697" s="259">
        <v>10.5</v>
      </c>
      <c r="S697" s="259">
        <v>441</v>
      </c>
      <c r="T697" s="260">
        <v>18</v>
      </c>
      <c r="V697" s="80">
        <v>45</v>
      </c>
      <c r="W697" s="259">
        <v>10.5</v>
      </c>
      <c r="X697" s="259">
        <v>435</v>
      </c>
      <c r="Y697" s="260">
        <v>18</v>
      </c>
      <c r="AA697" s="80">
        <v>45</v>
      </c>
      <c r="AB697" s="259">
        <v>10.5</v>
      </c>
      <c r="AC697" s="259">
        <v>428</v>
      </c>
      <c r="AD697" s="260">
        <v>18</v>
      </c>
      <c r="AF697" s="80">
        <v>45</v>
      </c>
      <c r="AG697" s="259">
        <v>139.5</v>
      </c>
      <c r="AH697" s="259">
        <v>370</v>
      </c>
      <c r="AI697" s="260">
        <v>18</v>
      </c>
      <c r="AK697" s="80" t="str">
        <v/>
      </c>
      <c r="AL697" s="259" t="str">
        <v/>
      </c>
      <c r="AM697" s="259" t="str">
        <v/>
      </c>
      <c r="AN697" s="260" t="str">
        <v/>
      </c>
      <c r="AP697" s="80">
        <v>45</v>
      </c>
      <c r="AQ697" s="259">
        <v>10.5</v>
      </c>
      <c r="AR697" s="259">
        <v>477</v>
      </c>
      <c r="AS697" s="260">
        <v>18</v>
      </c>
      <c r="AT697" s="288"/>
      <c r="AU697" s="80" t="str">
        <v/>
      </c>
      <c r="AV697" s="259" t="str">
        <v/>
      </c>
      <c r="AW697" s="259" t="str">
        <v/>
      </c>
      <c r="AX697" s="260" t="str">
        <v/>
      </c>
      <c r="AZ697" s="80" t="str">
        <v/>
      </c>
      <c r="BA697" s="259" t="str">
        <v/>
      </c>
      <c r="BB697" s="259" t="str">
        <v/>
      </c>
      <c r="BC697" s="260" t="str">
        <v/>
      </c>
      <c r="BE697" s="80" t="str">
        <v/>
      </c>
      <c r="BF697" s="259" t="str">
        <v/>
      </c>
      <c r="BG697" s="259" t="str">
        <v/>
      </c>
      <c r="BH697" s="260" t="str">
        <v/>
      </c>
      <c r="BI697" s="288"/>
      <c r="BJ697" s="80" t="str">
        <v/>
      </c>
      <c r="BK697" s="259" t="str">
        <v/>
      </c>
      <c r="BL697" s="259" t="str">
        <v/>
      </c>
      <c r="BM697" s="260" t="str">
        <v/>
      </c>
      <c r="BO697" s="80" t="str">
        <v/>
      </c>
      <c r="BP697" s="259" t="str">
        <v/>
      </c>
      <c r="BQ697" s="259" t="str">
        <v/>
      </c>
      <c r="BR697" s="260" t="str">
        <v/>
      </c>
      <c r="BT697" s="80" t="str">
        <v/>
      </c>
      <c r="BU697" s="259" t="str">
        <v/>
      </c>
      <c r="BV697" s="259" t="str">
        <v/>
      </c>
      <c r="BW697" s="260" t="str">
        <v/>
      </c>
      <c r="BX697" s="288"/>
      <c r="CM697" s="96"/>
    </row>
    <row r="698" spans="2:91">
      <c r="B698" s="80">
        <v>45</v>
      </c>
      <c r="C698" s="259">
        <v>139.5</v>
      </c>
      <c r="D698" s="259">
        <v>435</v>
      </c>
      <c r="E698" s="260">
        <v>18</v>
      </c>
      <c r="G698" s="80">
        <v>90</v>
      </c>
      <c r="H698" s="259">
        <v>118</v>
      </c>
      <c r="I698" s="259">
        <v>420</v>
      </c>
      <c r="J698" s="260">
        <v>14</v>
      </c>
      <c r="L698" s="80">
        <v>45</v>
      </c>
      <c r="M698" s="259">
        <v>139.5</v>
      </c>
      <c r="N698" s="259">
        <v>444</v>
      </c>
      <c r="O698" s="260">
        <v>18</v>
      </c>
      <c r="Q698" s="80">
        <v>45</v>
      </c>
      <c r="R698" s="259">
        <v>139.5</v>
      </c>
      <c r="S698" s="259">
        <v>441</v>
      </c>
      <c r="T698" s="260">
        <v>18</v>
      </c>
      <c r="V698" s="80">
        <v>45</v>
      </c>
      <c r="W698" s="259">
        <v>139.5</v>
      </c>
      <c r="X698" s="259">
        <v>435</v>
      </c>
      <c r="Y698" s="260">
        <v>18</v>
      </c>
      <c r="AA698" s="80">
        <v>45</v>
      </c>
      <c r="AB698" s="259">
        <v>139.5</v>
      </c>
      <c r="AC698" s="259">
        <v>428</v>
      </c>
      <c r="AD698" s="260">
        <v>18</v>
      </c>
      <c r="AF698" s="80" t="str">
        <v/>
      </c>
      <c r="AG698" s="259" t="str">
        <v/>
      </c>
      <c r="AH698" s="259" t="str">
        <v/>
      </c>
      <c r="AI698" s="260" t="str">
        <v/>
      </c>
      <c r="AK698" s="80" t="str">
        <v/>
      </c>
      <c r="AL698" s="259" t="str">
        <v/>
      </c>
      <c r="AM698" s="259" t="str">
        <v/>
      </c>
      <c r="AN698" s="260" t="str">
        <v/>
      </c>
      <c r="AP698" s="80">
        <v>45</v>
      </c>
      <c r="AQ698" s="259">
        <v>139.5</v>
      </c>
      <c r="AR698" s="259">
        <v>477</v>
      </c>
      <c r="AS698" s="260">
        <v>18</v>
      </c>
      <c r="AT698" s="288"/>
      <c r="AU698" s="80" t="str">
        <v/>
      </c>
      <c r="AV698" s="259" t="str">
        <v/>
      </c>
      <c r="AW698" s="259" t="str">
        <v/>
      </c>
      <c r="AX698" s="260" t="str">
        <v/>
      </c>
      <c r="AZ698" s="80" t="str">
        <v/>
      </c>
      <c r="BA698" s="259" t="str">
        <v/>
      </c>
      <c r="BB698" s="259" t="str">
        <v/>
      </c>
      <c r="BC698" s="260" t="str">
        <v/>
      </c>
      <c r="BE698" s="80" t="str">
        <v/>
      </c>
      <c r="BF698" s="259" t="str">
        <v/>
      </c>
      <c r="BG698" s="259" t="str">
        <v/>
      </c>
      <c r="BH698" s="260" t="str">
        <v/>
      </c>
      <c r="BI698" s="288"/>
      <c r="BJ698" s="80" t="str">
        <v/>
      </c>
      <c r="BK698" s="259" t="str">
        <v/>
      </c>
      <c r="BL698" s="259" t="str">
        <v/>
      </c>
      <c r="BM698" s="260" t="str">
        <v/>
      </c>
      <c r="BO698" s="80" t="str">
        <v/>
      </c>
      <c r="BP698" s="259" t="str">
        <v/>
      </c>
      <c r="BQ698" s="259" t="str">
        <v/>
      </c>
      <c r="BR698" s="260" t="str">
        <v/>
      </c>
      <c r="BT698" s="80" t="str">
        <v/>
      </c>
      <c r="BU698" s="259" t="str">
        <v/>
      </c>
      <c r="BV698" s="259" t="str">
        <v/>
      </c>
      <c r="BW698" s="260" t="str">
        <v/>
      </c>
      <c r="BX698" s="288"/>
      <c r="CM698" s="96"/>
    </row>
    <row r="699" spans="2:91">
      <c r="B699" s="80">
        <v>45</v>
      </c>
      <c r="C699" s="259">
        <v>53.5</v>
      </c>
      <c r="D699" s="259">
        <v>463</v>
      </c>
      <c r="E699" s="260">
        <v>18</v>
      </c>
      <c r="G699" s="80">
        <v>90</v>
      </c>
      <c r="H699" s="259">
        <v>75</v>
      </c>
      <c r="I699" s="259">
        <v>430</v>
      </c>
      <c r="J699" s="260">
        <v>14</v>
      </c>
      <c r="L699" s="80">
        <v>45</v>
      </c>
      <c r="M699" s="259">
        <v>53.5</v>
      </c>
      <c r="N699" s="259">
        <v>472</v>
      </c>
      <c r="O699" s="260">
        <v>18</v>
      </c>
      <c r="Q699" s="80">
        <v>45</v>
      </c>
      <c r="R699" s="259">
        <v>53.5</v>
      </c>
      <c r="S699" s="259">
        <v>469</v>
      </c>
      <c r="T699" s="260">
        <v>18</v>
      </c>
      <c r="V699" s="80">
        <v>45</v>
      </c>
      <c r="W699" s="259">
        <v>53.5</v>
      </c>
      <c r="X699" s="259">
        <v>463.5</v>
      </c>
      <c r="Y699" s="260">
        <v>18</v>
      </c>
      <c r="AA699" s="80">
        <v>45</v>
      </c>
      <c r="AB699" s="259">
        <v>53.5</v>
      </c>
      <c r="AC699" s="259">
        <v>458</v>
      </c>
      <c r="AD699" s="260">
        <v>18</v>
      </c>
      <c r="AF699" s="80" t="str">
        <v/>
      </c>
      <c r="AG699" s="259" t="str">
        <v/>
      </c>
      <c r="AH699" s="259" t="str">
        <v/>
      </c>
      <c r="AI699" s="260" t="str">
        <v/>
      </c>
      <c r="AK699" s="80" t="str">
        <v/>
      </c>
      <c r="AL699" s="259" t="str">
        <v/>
      </c>
      <c r="AM699" s="259" t="str">
        <v/>
      </c>
      <c r="AN699" s="260" t="str">
        <v/>
      </c>
      <c r="AP699" s="80">
        <v>45</v>
      </c>
      <c r="AQ699" s="259">
        <v>53.5</v>
      </c>
      <c r="AR699" s="259">
        <v>505</v>
      </c>
      <c r="AS699" s="260">
        <v>18</v>
      </c>
      <c r="AT699" s="288"/>
      <c r="AU699" s="80" t="str">
        <v/>
      </c>
      <c r="AV699" s="259" t="str">
        <v/>
      </c>
      <c r="AW699" s="259" t="str">
        <v/>
      </c>
      <c r="AX699" s="260" t="str">
        <v/>
      </c>
      <c r="AZ699" s="80" t="str">
        <v/>
      </c>
      <c r="BA699" s="259" t="str">
        <v/>
      </c>
      <c r="BB699" s="259" t="str">
        <v/>
      </c>
      <c r="BC699" s="260" t="str">
        <v/>
      </c>
      <c r="BE699" s="80" t="str">
        <v/>
      </c>
      <c r="BF699" s="259" t="str">
        <v/>
      </c>
      <c r="BG699" s="259" t="str">
        <v/>
      </c>
      <c r="BH699" s="260" t="str">
        <v/>
      </c>
      <c r="BI699" s="288"/>
      <c r="BJ699" s="80" t="str">
        <v/>
      </c>
      <c r="BK699" s="259" t="str">
        <v/>
      </c>
      <c r="BL699" s="259" t="str">
        <v/>
      </c>
      <c r="BM699" s="260" t="str">
        <v/>
      </c>
      <c r="BO699" s="80" t="str">
        <v/>
      </c>
      <c r="BP699" s="259" t="str">
        <v/>
      </c>
      <c r="BQ699" s="259" t="str">
        <v/>
      </c>
      <c r="BR699" s="260" t="str">
        <v/>
      </c>
      <c r="BT699" s="80" t="str">
        <v/>
      </c>
      <c r="BU699" s="259" t="str">
        <v/>
      </c>
      <c r="BV699" s="259" t="str">
        <v/>
      </c>
      <c r="BW699" s="260" t="str">
        <v/>
      </c>
      <c r="BX699" s="288"/>
      <c r="CM699" s="96"/>
    </row>
    <row r="700" spans="2:91">
      <c r="B700" s="80">
        <v>45</v>
      </c>
      <c r="C700" s="259">
        <v>96.5</v>
      </c>
      <c r="D700" s="259">
        <v>463</v>
      </c>
      <c r="E700" s="260">
        <v>18</v>
      </c>
      <c r="G700" s="80">
        <v>45</v>
      </c>
      <c r="H700" s="259">
        <v>10.5</v>
      </c>
      <c r="I700" s="259">
        <v>435</v>
      </c>
      <c r="J700" s="260">
        <v>18</v>
      </c>
      <c r="L700" s="80">
        <v>45</v>
      </c>
      <c r="M700" s="259">
        <v>96.5</v>
      </c>
      <c r="N700" s="259">
        <v>472</v>
      </c>
      <c r="O700" s="260">
        <v>18</v>
      </c>
      <c r="Q700" s="80">
        <v>45</v>
      </c>
      <c r="R700" s="259">
        <v>96.5</v>
      </c>
      <c r="S700" s="259">
        <v>469</v>
      </c>
      <c r="T700" s="260">
        <v>18</v>
      </c>
      <c r="V700" s="80">
        <v>45</v>
      </c>
      <c r="W700" s="259">
        <v>96.5</v>
      </c>
      <c r="X700" s="259">
        <v>463.5</v>
      </c>
      <c r="Y700" s="260">
        <v>18</v>
      </c>
      <c r="AA700" s="80">
        <v>45</v>
      </c>
      <c r="AB700" s="259">
        <v>96.5</v>
      </c>
      <c r="AC700" s="259">
        <v>458</v>
      </c>
      <c r="AD700" s="260">
        <v>18</v>
      </c>
      <c r="AF700" s="80" t="str">
        <v/>
      </c>
      <c r="AG700" s="259" t="str">
        <v/>
      </c>
      <c r="AH700" s="259" t="str">
        <v/>
      </c>
      <c r="AI700" s="260" t="str">
        <v/>
      </c>
      <c r="AK700" s="80" t="str">
        <v/>
      </c>
      <c r="AL700" s="259" t="str">
        <v/>
      </c>
      <c r="AM700" s="259" t="str">
        <v/>
      </c>
      <c r="AN700" s="260" t="str">
        <v/>
      </c>
      <c r="AP700" s="80">
        <v>45</v>
      </c>
      <c r="AQ700" s="259">
        <v>96.5</v>
      </c>
      <c r="AR700" s="259">
        <v>505</v>
      </c>
      <c r="AS700" s="260">
        <v>18</v>
      </c>
      <c r="AT700" s="288"/>
      <c r="AU700" s="80" t="str">
        <v/>
      </c>
      <c r="AV700" s="259" t="str">
        <v/>
      </c>
      <c r="AW700" s="259" t="str">
        <v/>
      </c>
      <c r="AX700" s="260" t="str">
        <v/>
      </c>
      <c r="AZ700" s="80" t="str">
        <v/>
      </c>
      <c r="BA700" s="259" t="str">
        <v/>
      </c>
      <c r="BB700" s="259" t="str">
        <v/>
      </c>
      <c r="BC700" s="260" t="str">
        <v/>
      </c>
      <c r="BE700" s="80" t="str">
        <v/>
      </c>
      <c r="BF700" s="259" t="str">
        <v/>
      </c>
      <c r="BG700" s="259" t="str">
        <v/>
      </c>
      <c r="BH700" s="260" t="str">
        <v/>
      </c>
      <c r="BI700" s="288"/>
      <c r="BJ700" s="80" t="str">
        <v/>
      </c>
      <c r="BK700" s="259" t="str">
        <v/>
      </c>
      <c r="BL700" s="259" t="str">
        <v/>
      </c>
      <c r="BM700" s="260" t="str">
        <v/>
      </c>
      <c r="BO700" s="80" t="str">
        <v/>
      </c>
      <c r="BP700" s="259" t="str">
        <v/>
      </c>
      <c r="BQ700" s="259" t="str">
        <v/>
      </c>
      <c r="BR700" s="260" t="str">
        <v/>
      </c>
      <c r="BT700" s="80" t="str">
        <v/>
      </c>
      <c r="BU700" s="259" t="str">
        <v/>
      </c>
      <c r="BV700" s="259" t="str">
        <v/>
      </c>
      <c r="BW700" s="260" t="str">
        <v/>
      </c>
      <c r="BX700" s="288"/>
      <c r="CM700" s="96"/>
    </row>
    <row r="701" spans="2:91">
      <c r="B701" s="80">
        <v>45</v>
      </c>
      <c r="C701" s="259">
        <v>10.5</v>
      </c>
      <c r="D701" s="259">
        <v>492</v>
      </c>
      <c r="E701" s="260">
        <v>18</v>
      </c>
      <c r="G701" s="80">
        <v>45</v>
      </c>
      <c r="H701" s="259">
        <v>139.5</v>
      </c>
      <c r="I701" s="259">
        <v>435</v>
      </c>
      <c r="J701" s="260">
        <v>18</v>
      </c>
      <c r="L701" s="80">
        <v>45</v>
      </c>
      <c r="M701" s="259">
        <v>10.5</v>
      </c>
      <c r="N701" s="259">
        <v>501</v>
      </c>
      <c r="O701" s="260">
        <v>18</v>
      </c>
      <c r="Q701" s="80">
        <v>45</v>
      </c>
      <c r="R701" s="259">
        <v>10.5</v>
      </c>
      <c r="S701" s="259">
        <v>498</v>
      </c>
      <c r="T701" s="260">
        <v>18</v>
      </c>
      <c r="V701" s="80">
        <v>45</v>
      </c>
      <c r="W701" s="259">
        <v>10.5</v>
      </c>
      <c r="X701" s="259">
        <v>492</v>
      </c>
      <c r="Y701" s="260">
        <v>18</v>
      </c>
      <c r="AA701" s="80">
        <v>90</v>
      </c>
      <c r="AB701" s="259">
        <v>32</v>
      </c>
      <c r="AC701" s="259">
        <v>475</v>
      </c>
      <c r="AD701" s="260">
        <v>14</v>
      </c>
      <c r="AF701" s="80" t="str">
        <v/>
      </c>
      <c r="AG701" s="259" t="str">
        <v/>
      </c>
      <c r="AH701" s="259" t="str">
        <v/>
      </c>
      <c r="AI701" s="260" t="str">
        <v/>
      </c>
      <c r="AK701" s="80" t="str">
        <v/>
      </c>
      <c r="AL701" s="259" t="str">
        <v/>
      </c>
      <c r="AM701" s="259" t="str">
        <v/>
      </c>
      <c r="AN701" s="260" t="str">
        <v/>
      </c>
      <c r="AP701" s="80">
        <v>45</v>
      </c>
      <c r="AQ701" s="259">
        <v>10.5</v>
      </c>
      <c r="AR701" s="259">
        <v>534</v>
      </c>
      <c r="AS701" s="260">
        <v>18</v>
      </c>
      <c r="AT701" s="288"/>
      <c r="AU701" s="80" t="str">
        <v/>
      </c>
      <c r="AV701" s="259" t="str">
        <v/>
      </c>
      <c r="AW701" s="259" t="str">
        <v/>
      </c>
      <c r="AX701" s="260" t="str">
        <v/>
      </c>
      <c r="AZ701" s="80" t="str">
        <v/>
      </c>
      <c r="BA701" s="259" t="str">
        <v/>
      </c>
      <c r="BB701" s="259" t="str">
        <v/>
      </c>
      <c r="BC701" s="260" t="str">
        <v/>
      </c>
      <c r="BE701" s="80" t="str">
        <v/>
      </c>
      <c r="BF701" s="259" t="str">
        <v/>
      </c>
      <c r="BG701" s="259" t="str">
        <v/>
      </c>
      <c r="BH701" s="260" t="str">
        <v/>
      </c>
      <c r="BI701" s="288"/>
      <c r="BJ701" s="80" t="str">
        <v/>
      </c>
      <c r="BK701" s="259" t="str">
        <v/>
      </c>
      <c r="BL701" s="259" t="str">
        <v/>
      </c>
      <c r="BM701" s="260" t="str">
        <v/>
      </c>
      <c r="BO701" s="80" t="str">
        <v/>
      </c>
      <c r="BP701" s="259" t="str">
        <v/>
      </c>
      <c r="BQ701" s="259" t="str">
        <v/>
      </c>
      <c r="BR701" s="260" t="str">
        <v/>
      </c>
      <c r="BT701" s="80" t="str">
        <v/>
      </c>
      <c r="BU701" s="259" t="str">
        <v/>
      </c>
      <c r="BV701" s="259" t="str">
        <v/>
      </c>
      <c r="BW701" s="260" t="str">
        <v/>
      </c>
      <c r="BX701" s="288"/>
      <c r="CM701" s="96"/>
    </row>
    <row r="702" spans="2:91">
      <c r="B702" s="80">
        <v>45</v>
      </c>
      <c r="C702" s="259">
        <v>139.5</v>
      </c>
      <c r="D702" s="259">
        <v>492</v>
      </c>
      <c r="E702" s="260">
        <v>18</v>
      </c>
      <c r="G702" s="80">
        <v>45</v>
      </c>
      <c r="H702" s="259">
        <v>53.5</v>
      </c>
      <c r="I702" s="259">
        <v>463</v>
      </c>
      <c r="J702" s="260">
        <v>18</v>
      </c>
      <c r="L702" s="80">
        <v>45</v>
      </c>
      <c r="M702" s="259">
        <v>139.5</v>
      </c>
      <c r="N702" s="259">
        <v>501</v>
      </c>
      <c r="O702" s="260">
        <v>18</v>
      </c>
      <c r="Q702" s="80">
        <v>45</v>
      </c>
      <c r="R702" s="259">
        <v>139.5</v>
      </c>
      <c r="S702" s="259">
        <v>498</v>
      </c>
      <c r="T702" s="260">
        <v>18</v>
      </c>
      <c r="V702" s="80">
        <v>45</v>
      </c>
      <c r="W702" s="259">
        <v>139.5</v>
      </c>
      <c r="X702" s="259">
        <v>492</v>
      </c>
      <c r="Y702" s="260">
        <v>18</v>
      </c>
      <c r="AA702" s="80">
        <v>90</v>
      </c>
      <c r="AB702" s="259">
        <v>118</v>
      </c>
      <c r="AC702" s="259">
        <v>475</v>
      </c>
      <c r="AD702" s="260">
        <v>14</v>
      </c>
      <c r="AF702" s="80" t="str">
        <v/>
      </c>
      <c r="AG702" s="259" t="str">
        <v/>
      </c>
      <c r="AH702" s="259" t="str">
        <v/>
      </c>
      <c r="AI702" s="260" t="str">
        <v/>
      </c>
      <c r="AK702" s="80" t="str">
        <v/>
      </c>
      <c r="AL702" s="259" t="str">
        <v/>
      </c>
      <c r="AM702" s="259" t="str">
        <v/>
      </c>
      <c r="AN702" s="260" t="str">
        <v/>
      </c>
      <c r="AP702" s="80">
        <v>45</v>
      </c>
      <c r="AQ702" s="259">
        <v>139.5</v>
      </c>
      <c r="AR702" s="259">
        <v>534</v>
      </c>
      <c r="AS702" s="260">
        <v>18</v>
      </c>
      <c r="AT702" s="288"/>
      <c r="AU702" s="80" t="str">
        <v/>
      </c>
      <c r="AV702" s="259" t="str">
        <v/>
      </c>
      <c r="AW702" s="259" t="str">
        <v/>
      </c>
      <c r="AX702" s="260" t="str">
        <v/>
      </c>
      <c r="AZ702" s="80" t="str">
        <v/>
      </c>
      <c r="BA702" s="259" t="str">
        <v/>
      </c>
      <c r="BB702" s="259" t="str">
        <v/>
      </c>
      <c r="BC702" s="260" t="str">
        <v/>
      </c>
      <c r="BE702" s="80" t="str">
        <v/>
      </c>
      <c r="BF702" s="259" t="str">
        <v/>
      </c>
      <c r="BG702" s="259" t="str">
        <v/>
      </c>
      <c r="BH702" s="260" t="str">
        <v/>
      </c>
      <c r="BI702" s="288"/>
      <c r="BJ702" s="80" t="str">
        <v/>
      </c>
      <c r="BK702" s="259" t="str">
        <v/>
      </c>
      <c r="BL702" s="259" t="str">
        <v/>
      </c>
      <c r="BM702" s="260" t="str">
        <v/>
      </c>
      <c r="BO702" s="80" t="str">
        <v/>
      </c>
      <c r="BP702" s="259" t="str">
        <v/>
      </c>
      <c r="BQ702" s="259" t="str">
        <v/>
      </c>
      <c r="BR702" s="260" t="str">
        <v/>
      </c>
      <c r="BT702" s="80" t="str">
        <v/>
      </c>
      <c r="BU702" s="259" t="str">
        <v/>
      </c>
      <c r="BV702" s="259" t="str">
        <v/>
      </c>
      <c r="BW702" s="260" t="str">
        <v/>
      </c>
      <c r="BX702" s="288"/>
      <c r="CM702" s="96"/>
    </row>
    <row r="703" spans="2:91">
      <c r="B703" s="80">
        <v>45</v>
      </c>
      <c r="C703" s="259">
        <v>53.5</v>
      </c>
      <c r="D703" s="259">
        <v>520</v>
      </c>
      <c r="E703" s="260">
        <v>18</v>
      </c>
      <c r="G703" s="80">
        <v>45</v>
      </c>
      <c r="H703" s="259">
        <v>96.5</v>
      </c>
      <c r="I703" s="259">
        <v>463</v>
      </c>
      <c r="J703" s="260">
        <v>18</v>
      </c>
      <c r="L703" s="80">
        <v>45</v>
      </c>
      <c r="M703" s="259">
        <v>53.5</v>
      </c>
      <c r="N703" s="259">
        <v>529</v>
      </c>
      <c r="O703" s="260">
        <v>18</v>
      </c>
      <c r="Q703" s="80">
        <v>45</v>
      </c>
      <c r="R703" s="259">
        <v>53.5</v>
      </c>
      <c r="S703" s="259">
        <v>526</v>
      </c>
      <c r="T703" s="260">
        <v>18</v>
      </c>
      <c r="V703" s="80">
        <v>45</v>
      </c>
      <c r="W703" s="259">
        <v>53.5</v>
      </c>
      <c r="X703" s="259">
        <v>520.5</v>
      </c>
      <c r="Y703" s="260">
        <v>18</v>
      </c>
      <c r="AA703" s="80">
        <v>90</v>
      </c>
      <c r="AB703" s="259">
        <v>75</v>
      </c>
      <c r="AC703" s="259">
        <v>485</v>
      </c>
      <c r="AD703" s="260">
        <v>14</v>
      </c>
      <c r="AF703" s="80" t="str">
        <v/>
      </c>
      <c r="AG703" s="259" t="str">
        <v/>
      </c>
      <c r="AH703" s="259" t="str">
        <v/>
      </c>
      <c r="AI703" s="260" t="str">
        <v/>
      </c>
      <c r="AK703" s="80" t="str">
        <v/>
      </c>
      <c r="AL703" s="259" t="str">
        <v/>
      </c>
      <c r="AM703" s="259" t="str">
        <v/>
      </c>
      <c r="AN703" s="260" t="str">
        <v/>
      </c>
      <c r="AP703" s="80">
        <v>45</v>
      </c>
      <c r="AQ703" s="259">
        <v>53.5</v>
      </c>
      <c r="AR703" s="259">
        <v>562</v>
      </c>
      <c r="AS703" s="260">
        <v>18</v>
      </c>
      <c r="AT703" s="288"/>
      <c r="AU703" s="80" t="str">
        <v/>
      </c>
      <c r="AV703" s="259" t="str">
        <v/>
      </c>
      <c r="AW703" s="259" t="str">
        <v/>
      </c>
      <c r="AX703" s="260" t="str">
        <v/>
      </c>
      <c r="AZ703" s="80" t="str">
        <v/>
      </c>
      <c r="BA703" s="259" t="str">
        <v/>
      </c>
      <c r="BB703" s="259" t="str">
        <v/>
      </c>
      <c r="BC703" s="260" t="str">
        <v/>
      </c>
      <c r="BE703" s="80" t="str">
        <v/>
      </c>
      <c r="BF703" s="259" t="str">
        <v/>
      </c>
      <c r="BG703" s="259" t="str">
        <v/>
      </c>
      <c r="BH703" s="260" t="str">
        <v/>
      </c>
      <c r="BI703" s="288"/>
      <c r="BJ703" s="80" t="str">
        <v/>
      </c>
      <c r="BK703" s="259" t="str">
        <v/>
      </c>
      <c r="BL703" s="259" t="str">
        <v/>
      </c>
      <c r="BM703" s="260" t="str">
        <v/>
      </c>
      <c r="BO703" s="80" t="str">
        <v/>
      </c>
      <c r="BP703" s="259" t="str">
        <v/>
      </c>
      <c r="BQ703" s="259" t="str">
        <v/>
      </c>
      <c r="BR703" s="260" t="str">
        <v/>
      </c>
      <c r="BT703" s="80" t="str">
        <v/>
      </c>
      <c r="BU703" s="259" t="str">
        <v/>
      </c>
      <c r="BV703" s="259" t="str">
        <v/>
      </c>
      <c r="BW703" s="260" t="str">
        <v/>
      </c>
      <c r="BX703" s="288"/>
      <c r="CM703" s="96"/>
    </row>
    <row r="704" spans="2:91">
      <c r="B704" s="80">
        <v>45</v>
      </c>
      <c r="C704" s="259">
        <v>96.5</v>
      </c>
      <c r="D704" s="259">
        <v>520</v>
      </c>
      <c r="E704" s="260">
        <v>18</v>
      </c>
      <c r="G704" s="80">
        <v>45</v>
      </c>
      <c r="H704" s="259">
        <v>10.5</v>
      </c>
      <c r="I704" s="259">
        <v>492</v>
      </c>
      <c r="J704" s="260">
        <v>18</v>
      </c>
      <c r="L704" s="80">
        <v>45</v>
      </c>
      <c r="M704" s="259">
        <v>96.5</v>
      </c>
      <c r="N704" s="259">
        <v>529</v>
      </c>
      <c r="O704" s="260">
        <v>18</v>
      </c>
      <c r="Q704" s="80">
        <v>45</v>
      </c>
      <c r="R704" s="259">
        <v>96.5</v>
      </c>
      <c r="S704" s="259">
        <v>526</v>
      </c>
      <c r="T704" s="260">
        <v>18</v>
      </c>
      <c r="V704" s="80">
        <v>45</v>
      </c>
      <c r="W704" s="259">
        <v>96.5</v>
      </c>
      <c r="X704" s="259">
        <v>520.5</v>
      </c>
      <c r="Y704" s="260">
        <v>18</v>
      </c>
      <c r="AA704" s="80">
        <v>45</v>
      </c>
      <c r="AB704" s="259">
        <v>10.5</v>
      </c>
      <c r="AC704" s="259">
        <v>486</v>
      </c>
      <c r="AD704" s="260">
        <v>18</v>
      </c>
      <c r="AF704" s="80" t="str">
        <v/>
      </c>
      <c r="AG704" s="259" t="str">
        <v/>
      </c>
      <c r="AH704" s="259" t="str">
        <v/>
      </c>
      <c r="AI704" s="260" t="str">
        <v/>
      </c>
      <c r="AK704" s="80" t="str">
        <v/>
      </c>
      <c r="AL704" s="259" t="str">
        <v/>
      </c>
      <c r="AM704" s="259" t="str">
        <v/>
      </c>
      <c r="AN704" s="260" t="str">
        <v/>
      </c>
      <c r="AP704" s="80">
        <v>45</v>
      </c>
      <c r="AQ704" s="259">
        <v>96.5</v>
      </c>
      <c r="AR704" s="259">
        <v>562</v>
      </c>
      <c r="AS704" s="260">
        <v>18</v>
      </c>
      <c r="AT704" s="288"/>
      <c r="AU704" s="80" t="str">
        <v/>
      </c>
      <c r="AV704" s="259" t="str">
        <v/>
      </c>
      <c r="AW704" s="259" t="str">
        <v/>
      </c>
      <c r="AX704" s="260" t="str">
        <v/>
      </c>
      <c r="AZ704" s="80" t="str">
        <v/>
      </c>
      <c r="BA704" s="259" t="str">
        <v/>
      </c>
      <c r="BB704" s="259" t="str">
        <v/>
      </c>
      <c r="BC704" s="260" t="str">
        <v/>
      </c>
      <c r="BE704" s="80" t="str">
        <v/>
      </c>
      <c r="BF704" s="259" t="str">
        <v/>
      </c>
      <c r="BG704" s="259" t="str">
        <v/>
      </c>
      <c r="BH704" s="260" t="str">
        <v/>
      </c>
      <c r="BI704" s="288"/>
      <c r="BJ704" s="80" t="str">
        <v/>
      </c>
      <c r="BK704" s="259" t="str">
        <v/>
      </c>
      <c r="BL704" s="259" t="str">
        <v/>
      </c>
      <c r="BM704" s="260" t="str">
        <v/>
      </c>
      <c r="BO704" s="80" t="str">
        <v/>
      </c>
      <c r="BP704" s="259" t="str">
        <v/>
      </c>
      <c r="BQ704" s="259" t="str">
        <v/>
      </c>
      <c r="BR704" s="260" t="str">
        <v/>
      </c>
      <c r="BT704" s="80" t="str">
        <v/>
      </c>
      <c r="BU704" s="259" t="str">
        <v/>
      </c>
      <c r="BV704" s="259" t="str">
        <v/>
      </c>
      <c r="BW704" s="260" t="str">
        <v/>
      </c>
      <c r="BX704" s="288"/>
      <c r="CM704" s="96"/>
    </row>
    <row r="705" spans="2:91">
      <c r="B705" s="80">
        <v>90</v>
      </c>
      <c r="C705" s="259">
        <v>32</v>
      </c>
      <c r="D705" s="259">
        <v>530</v>
      </c>
      <c r="E705" s="260">
        <v>14</v>
      </c>
      <c r="G705" s="80">
        <v>45</v>
      </c>
      <c r="H705" s="259">
        <v>139.5</v>
      </c>
      <c r="I705" s="259">
        <v>492</v>
      </c>
      <c r="J705" s="260">
        <v>18</v>
      </c>
      <c r="L705" s="80">
        <v>45</v>
      </c>
      <c r="M705" s="259">
        <v>10.5</v>
      </c>
      <c r="N705" s="259">
        <v>558</v>
      </c>
      <c r="O705" s="260">
        <v>18</v>
      </c>
      <c r="Q705" s="80">
        <v>45</v>
      </c>
      <c r="R705" s="259">
        <v>10.5</v>
      </c>
      <c r="S705" s="259">
        <v>555</v>
      </c>
      <c r="T705" s="260">
        <v>18</v>
      </c>
      <c r="V705" s="80">
        <v>90</v>
      </c>
      <c r="W705" s="259">
        <v>32</v>
      </c>
      <c r="X705" s="259">
        <v>535</v>
      </c>
      <c r="Y705" s="260">
        <v>14</v>
      </c>
      <c r="AA705" s="80">
        <v>45</v>
      </c>
      <c r="AB705" s="259">
        <v>139.5</v>
      </c>
      <c r="AC705" s="259">
        <v>486</v>
      </c>
      <c r="AD705" s="260">
        <v>18</v>
      </c>
      <c r="AF705" s="80" t="str">
        <v/>
      </c>
      <c r="AG705" s="259" t="str">
        <v/>
      </c>
      <c r="AH705" s="259" t="str">
        <v/>
      </c>
      <c r="AI705" s="260" t="str">
        <v/>
      </c>
      <c r="AK705" s="80" t="str">
        <v/>
      </c>
      <c r="AL705" s="259" t="str">
        <v/>
      </c>
      <c r="AM705" s="259" t="str">
        <v/>
      </c>
      <c r="AN705" s="260" t="str">
        <v/>
      </c>
      <c r="AP705" s="80">
        <v>45</v>
      </c>
      <c r="AQ705" s="259">
        <v>10.5</v>
      </c>
      <c r="AR705" s="259">
        <v>591</v>
      </c>
      <c r="AS705" s="260">
        <v>18</v>
      </c>
      <c r="AT705" s="288"/>
      <c r="AU705" s="80" t="str">
        <v/>
      </c>
      <c r="AV705" s="259" t="str">
        <v/>
      </c>
      <c r="AW705" s="259" t="str">
        <v/>
      </c>
      <c r="AX705" s="260" t="str">
        <v/>
      </c>
      <c r="AZ705" s="80" t="str">
        <v/>
      </c>
      <c r="BA705" s="259" t="str">
        <v/>
      </c>
      <c r="BB705" s="259" t="str">
        <v/>
      </c>
      <c r="BC705" s="260" t="str">
        <v/>
      </c>
      <c r="BE705" s="80" t="str">
        <v/>
      </c>
      <c r="BF705" s="259" t="str">
        <v/>
      </c>
      <c r="BG705" s="259" t="str">
        <v/>
      </c>
      <c r="BH705" s="260" t="str">
        <v/>
      </c>
      <c r="BI705" s="288"/>
      <c r="BJ705" s="80" t="str">
        <v/>
      </c>
      <c r="BK705" s="259" t="str">
        <v/>
      </c>
      <c r="BL705" s="259" t="str">
        <v/>
      </c>
      <c r="BM705" s="260" t="str">
        <v/>
      </c>
      <c r="BO705" s="80" t="str">
        <v/>
      </c>
      <c r="BP705" s="259" t="str">
        <v/>
      </c>
      <c r="BQ705" s="259" t="str">
        <v/>
      </c>
      <c r="BR705" s="260" t="str">
        <v/>
      </c>
      <c r="BT705" s="80" t="str">
        <v/>
      </c>
      <c r="BU705" s="259" t="str">
        <v/>
      </c>
      <c r="BV705" s="259" t="str">
        <v/>
      </c>
      <c r="BW705" s="260" t="str">
        <v/>
      </c>
      <c r="BX705" s="288"/>
      <c r="CM705" s="96"/>
    </row>
    <row r="706" spans="2:91">
      <c r="B706" s="80">
        <v>90</v>
      </c>
      <c r="C706" s="259">
        <v>118</v>
      </c>
      <c r="D706" s="259">
        <v>530</v>
      </c>
      <c r="E706" s="260">
        <v>14</v>
      </c>
      <c r="G706" s="80">
        <v>45</v>
      </c>
      <c r="H706" s="259">
        <v>53.5</v>
      </c>
      <c r="I706" s="259">
        <v>520</v>
      </c>
      <c r="J706" s="260">
        <v>18</v>
      </c>
      <c r="L706" s="80">
        <v>45</v>
      </c>
      <c r="M706" s="259">
        <v>139.5</v>
      </c>
      <c r="N706" s="259">
        <v>558</v>
      </c>
      <c r="O706" s="260">
        <v>18</v>
      </c>
      <c r="Q706" s="80">
        <v>45</v>
      </c>
      <c r="R706" s="259">
        <v>139.5</v>
      </c>
      <c r="S706" s="259">
        <v>555</v>
      </c>
      <c r="T706" s="260">
        <v>18</v>
      </c>
      <c r="V706" s="80">
        <v>90</v>
      </c>
      <c r="W706" s="259">
        <v>118</v>
      </c>
      <c r="X706" s="259">
        <v>535</v>
      </c>
      <c r="Y706" s="260">
        <v>14</v>
      </c>
      <c r="AA706" s="80" t="str">
        <v/>
      </c>
      <c r="AB706" s="259" t="str">
        <v/>
      </c>
      <c r="AC706" s="259" t="str">
        <v/>
      </c>
      <c r="AD706" s="260" t="str">
        <v/>
      </c>
      <c r="AF706" s="80" t="str">
        <v/>
      </c>
      <c r="AG706" s="259" t="str">
        <v/>
      </c>
      <c r="AH706" s="259" t="str">
        <v/>
      </c>
      <c r="AI706" s="260" t="str">
        <v/>
      </c>
      <c r="AK706" s="80" t="str">
        <v/>
      </c>
      <c r="AL706" s="259" t="str">
        <v/>
      </c>
      <c r="AM706" s="259" t="str">
        <v/>
      </c>
      <c r="AN706" s="260" t="str">
        <v/>
      </c>
      <c r="AP706" s="80">
        <v>45</v>
      </c>
      <c r="AQ706" s="259">
        <v>139.5</v>
      </c>
      <c r="AR706" s="259">
        <v>591</v>
      </c>
      <c r="AS706" s="260">
        <v>18</v>
      </c>
      <c r="AT706" s="288"/>
      <c r="AU706" s="80" t="str">
        <v/>
      </c>
      <c r="AV706" s="259" t="str">
        <v/>
      </c>
      <c r="AW706" s="259" t="str">
        <v/>
      </c>
      <c r="AX706" s="260" t="str">
        <v/>
      </c>
      <c r="AZ706" s="80" t="str">
        <v/>
      </c>
      <c r="BA706" s="259" t="str">
        <v/>
      </c>
      <c r="BB706" s="259" t="str">
        <v/>
      </c>
      <c r="BC706" s="260" t="str">
        <v/>
      </c>
      <c r="BE706" s="80" t="str">
        <v/>
      </c>
      <c r="BF706" s="259" t="str">
        <v/>
      </c>
      <c r="BG706" s="259" t="str">
        <v/>
      </c>
      <c r="BH706" s="260" t="str">
        <v/>
      </c>
      <c r="BI706" s="288"/>
      <c r="BJ706" s="80" t="str">
        <v/>
      </c>
      <c r="BK706" s="259" t="str">
        <v/>
      </c>
      <c r="BL706" s="259" t="str">
        <v/>
      </c>
      <c r="BM706" s="260" t="str">
        <v/>
      </c>
      <c r="BO706" s="80" t="str">
        <v/>
      </c>
      <c r="BP706" s="259" t="str">
        <v/>
      </c>
      <c r="BQ706" s="259" t="str">
        <v/>
      </c>
      <c r="BR706" s="260" t="str">
        <v/>
      </c>
      <c r="BT706" s="80" t="str">
        <v/>
      </c>
      <c r="BU706" s="259" t="str">
        <v/>
      </c>
      <c r="BV706" s="259" t="str">
        <v/>
      </c>
      <c r="BW706" s="260" t="str">
        <v/>
      </c>
      <c r="BX706" s="288"/>
      <c r="CM706" s="96"/>
    </row>
    <row r="707" spans="2:91">
      <c r="B707" s="80">
        <v>90</v>
      </c>
      <c r="C707" s="259">
        <v>75</v>
      </c>
      <c r="D707" s="259">
        <v>540</v>
      </c>
      <c r="E707" s="260">
        <v>14</v>
      </c>
      <c r="G707" s="80">
        <v>45</v>
      </c>
      <c r="H707" s="259">
        <v>96.5</v>
      </c>
      <c r="I707" s="259">
        <v>520</v>
      </c>
      <c r="J707" s="260">
        <v>18</v>
      </c>
      <c r="L707" s="80">
        <v>45</v>
      </c>
      <c r="M707" s="259">
        <v>53.5</v>
      </c>
      <c r="N707" s="259">
        <v>586</v>
      </c>
      <c r="O707" s="260">
        <v>18</v>
      </c>
      <c r="Q707" s="80">
        <v>45</v>
      </c>
      <c r="R707" s="259">
        <v>53.5</v>
      </c>
      <c r="S707" s="259">
        <v>583</v>
      </c>
      <c r="T707" s="260">
        <v>18</v>
      </c>
      <c r="V707" s="80">
        <v>90</v>
      </c>
      <c r="W707" s="259">
        <v>75</v>
      </c>
      <c r="X707" s="259">
        <v>545</v>
      </c>
      <c r="Y707" s="260">
        <v>14</v>
      </c>
      <c r="AA707" s="80" t="str">
        <v/>
      </c>
      <c r="AB707" s="259" t="str">
        <v/>
      </c>
      <c r="AC707" s="259" t="str">
        <v/>
      </c>
      <c r="AD707" s="260" t="str">
        <v/>
      </c>
      <c r="AF707" s="80" t="str">
        <v/>
      </c>
      <c r="AG707" s="259" t="str">
        <v/>
      </c>
      <c r="AH707" s="259" t="str">
        <v/>
      </c>
      <c r="AI707" s="260" t="str">
        <v/>
      </c>
      <c r="AK707" s="80" t="str">
        <v/>
      </c>
      <c r="AL707" s="259" t="str">
        <v/>
      </c>
      <c r="AM707" s="259" t="str">
        <v/>
      </c>
      <c r="AN707" s="260" t="str">
        <v/>
      </c>
      <c r="AP707" s="80">
        <v>45</v>
      </c>
      <c r="AQ707" s="259">
        <v>53.5</v>
      </c>
      <c r="AR707" s="259">
        <v>619</v>
      </c>
      <c r="AS707" s="260">
        <v>18</v>
      </c>
      <c r="AT707" s="288"/>
      <c r="AU707" s="80" t="str">
        <v/>
      </c>
      <c r="AV707" s="259" t="str">
        <v/>
      </c>
      <c r="AW707" s="259" t="str">
        <v/>
      </c>
      <c r="AX707" s="260" t="str">
        <v/>
      </c>
      <c r="AZ707" s="80" t="str">
        <v/>
      </c>
      <c r="BA707" s="259" t="str">
        <v/>
      </c>
      <c r="BB707" s="259" t="str">
        <v/>
      </c>
      <c r="BC707" s="260" t="str">
        <v/>
      </c>
      <c r="BE707" s="80" t="str">
        <v/>
      </c>
      <c r="BF707" s="259" t="str">
        <v/>
      </c>
      <c r="BG707" s="259" t="str">
        <v/>
      </c>
      <c r="BH707" s="260" t="str">
        <v/>
      </c>
      <c r="BI707" s="288"/>
      <c r="BJ707" s="80" t="str">
        <v/>
      </c>
      <c r="BK707" s="259" t="str">
        <v/>
      </c>
      <c r="BL707" s="259" t="str">
        <v/>
      </c>
      <c r="BM707" s="260" t="str">
        <v/>
      </c>
      <c r="BO707" s="80" t="str">
        <v/>
      </c>
      <c r="BP707" s="259" t="str">
        <v/>
      </c>
      <c r="BQ707" s="259" t="str">
        <v/>
      </c>
      <c r="BR707" s="260" t="str">
        <v/>
      </c>
      <c r="BT707" s="80" t="str">
        <v/>
      </c>
      <c r="BU707" s="259" t="str">
        <v/>
      </c>
      <c r="BV707" s="259" t="str">
        <v/>
      </c>
      <c r="BW707" s="260" t="str">
        <v/>
      </c>
      <c r="BX707" s="288"/>
      <c r="CM707" s="96"/>
    </row>
    <row r="708" spans="2:91">
      <c r="B708" s="80">
        <v>45</v>
      </c>
      <c r="C708" s="259">
        <v>10.5</v>
      </c>
      <c r="D708" s="259">
        <v>549</v>
      </c>
      <c r="E708" s="260">
        <v>18</v>
      </c>
      <c r="G708" s="80">
        <v>45</v>
      </c>
      <c r="H708" s="259">
        <v>10.5</v>
      </c>
      <c r="I708" s="259">
        <v>549</v>
      </c>
      <c r="J708" s="260">
        <v>18</v>
      </c>
      <c r="L708" s="80">
        <v>45</v>
      </c>
      <c r="M708" s="259">
        <v>96.5</v>
      </c>
      <c r="N708" s="259">
        <v>586</v>
      </c>
      <c r="O708" s="260">
        <v>18</v>
      </c>
      <c r="Q708" s="80">
        <v>45</v>
      </c>
      <c r="R708" s="259">
        <v>96.5</v>
      </c>
      <c r="S708" s="259">
        <v>583</v>
      </c>
      <c r="T708" s="260">
        <v>18</v>
      </c>
      <c r="V708" s="80">
        <v>45</v>
      </c>
      <c r="W708" s="259">
        <v>10.5</v>
      </c>
      <c r="X708" s="259">
        <v>549</v>
      </c>
      <c r="Y708" s="260">
        <v>18</v>
      </c>
      <c r="AA708" s="80" t="str">
        <v/>
      </c>
      <c r="AB708" s="259" t="str">
        <v/>
      </c>
      <c r="AC708" s="259" t="str">
        <v/>
      </c>
      <c r="AD708" s="260" t="str">
        <v/>
      </c>
      <c r="AF708" s="80" t="str">
        <v/>
      </c>
      <c r="AG708" s="259" t="str">
        <v/>
      </c>
      <c r="AH708" s="259" t="str">
        <v/>
      </c>
      <c r="AI708" s="260" t="str">
        <v/>
      </c>
      <c r="AK708" s="80" t="str">
        <v/>
      </c>
      <c r="AL708" s="259" t="str">
        <v/>
      </c>
      <c r="AM708" s="259" t="str">
        <v/>
      </c>
      <c r="AN708" s="260" t="str">
        <v/>
      </c>
      <c r="AP708" s="80">
        <v>45</v>
      </c>
      <c r="AQ708" s="259">
        <v>96.5</v>
      </c>
      <c r="AR708" s="259">
        <v>619</v>
      </c>
      <c r="AS708" s="260">
        <v>18</v>
      </c>
      <c r="AT708" s="288"/>
      <c r="AU708" s="80" t="str">
        <v/>
      </c>
      <c r="AV708" s="259" t="str">
        <v/>
      </c>
      <c r="AW708" s="259" t="str">
        <v/>
      </c>
      <c r="AX708" s="260" t="str">
        <v/>
      </c>
      <c r="AZ708" s="80" t="str">
        <v/>
      </c>
      <c r="BA708" s="259" t="str">
        <v/>
      </c>
      <c r="BB708" s="259" t="str">
        <v/>
      </c>
      <c r="BC708" s="260" t="str">
        <v/>
      </c>
      <c r="BE708" s="80" t="str">
        <v/>
      </c>
      <c r="BF708" s="259" t="str">
        <v/>
      </c>
      <c r="BG708" s="259" t="str">
        <v/>
      </c>
      <c r="BH708" s="260" t="str">
        <v/>
      </c>
      <c r="BI708" s="288"/>
      <c r="BJ708" s="80" t="str">
        <v/>
      </c>
      <c r="BK708" s="259" t="str">
        <v/>
      </c>
      <c r="BL708" s="259" t="str">
        <v/>
      </c>
      <c r="BM708" s="260" t="str">
        <v/>
      </c>
      <c r="BO708" s="80" t="str">
        <v/>
      </c>
      <c r="BP708" s="259" t="str">
        <v/>
      </c>
      <c r="BQ708" s="259" t="str">
        <v/>
      </c>
      <c r="BR708" s="260" t="str">
        <v/>
      </c>
      <c r="BT708" s="80" t="str">
        <v/>
      </c>
      <c r="BU708" s="259" t="str">
        <v/>
      </c>
      <c r="BV708" s="259" t="str">
        <v/>
      </c>
      <c r="BW708" s="260" t="str">
        <v/>
      </c>
      <c r="BX708" s="288"/>
      <c r="CM708" s="96"/>
    </row>
    <row r="709" spans="2:91">
      <c r="B709" s="80">
        <v>45</v>
      </c>
      <c r="C709" s="259">
        <v>139.5</v>
      </c>
      <c r="D709" s="259">
        <v>549</v>
      </c>
      <c r="E709" s="260">
        <v>18</v>
      </c>
      <c r="G709" s="80">
        <v>45</v>
      </c>
      <c r="H709" s="259">
        <v>139.5</v>
      </c>
      <c r="I709" s="259">
        <v>549</v>
      </c>
      <c r="J709" s="260">
        <v>18</v>
      </c>
      <c r="L709" s="80">
        <v>45</v>
      </c>
      <c r="M709" s="259">
        <v>10.5</v>
      </c>
      <c r="N709" s="259">
        <v>615</v>
      </c>
      <c r="O709" s="260">
        <v>18</v>
      </c>
      <c r="Q709" s="80">
        <v>45</v>
      </c>
      <c r="R709" s="259">
        <v>10.5</v>
      </c>
      <c r="S709" s="259">
        <v>612</v>
      </c>
      <c r="T709" s="260">
        <v>18</v>
      </c>
      <c r="V709" s="80">
        <v>45</v>
      </c>
      <c r="W709" s="259">
        <v>139.5</v>
      </c>
      <c r="X709" s="259">
        <v>549</v>
      </c>
      <c r="Y709" s="260">
        <v>18</v>
      </c>
      <c r="AA709" s="80" t="str">
        <v/>
      </c>
      <c r="AB709" s="259" t="str">
        <v/>
      </c>
      <c r="AC709" s="259" t="str">
        <v/>
      </c>
      <c r="AD709" s="260" t="str">
        <v/>
      </c>
      <c r="AF709" s="80" t="str">
        <v/>
      </c>
      <c r="AG709" s="259" t="str">
        <v/>
      </c>
      <c r="AH709" s="259" t="str">
        <v/>
      </c>
      <c r="AI709" s="260" t="str">
        <v/>
      </c>
      <c r="AK709" s="80" t="str">
        <v/>
      </c>
      <c r="AL709" s="259" t="str">
        <v/>
      </c>
      <c r="AM709" s="259" t="str">
        <v/>
      </c>
      <c r="AN709" s="260" t="str">
        <v/>
      </c>
      <c r="AP709" s="80">
        <v>45</v>
      </c>
      <c r="AQ709" s="259">
        <v>10.5</v>
      </c>
      <c r="AR709" s="259">
        <v>648</v>
      </c>
      <c r="AS709" s="260">
        <v>18</v>
      </c>
      <c r="AT709" s="288"/>
      <c r="AU709" s="80" t="str">
        <v/>
      </c>
      <c r="AV709" s="259" t="str">
        <v/>
      </c>
      <c r="AW709" s="259" t="str">
        <v/>
      </c>
      <c r="AX709" s="260" t="str">
        <v/>
      </c>
      <c r="AZ709" s="80" t="str">
        <v/>
      </c>
      <c r="BA709" s="259" t="str">
        <v/>
      </c>
      <c r="BB709" s="259" t="str">
        <v/>
      </c>
      <c r="BC709" s="260" t="str">
        <v/>
      </c>
      <c r="BE709" s="80" t="str">
        <v/>
      </c>
      <c r="BF709" s="259" t="str">
        <v/>
      </c>
      <c r="BG709" s="259" t="str">
        <v/>
      </c>
      <c r="BH709" s="260" t="str">
        <v/>
      </c>
      <c r="BI709" s="288"/>
      <c r="BJ709" s="80" t="str">
        <v/>
      </c>
      <c r="BK709" s="259" t="str">
        <v/>
      </c>
      <c r="BL709" s="259" t="str">
        <v/>
      </c>
      <c r="BM709" s="260" t="str">
        <v/>
      </c>
      <c r="BO709" s="80" t="str">
        <v/>
      </c>
      <c r="BP709" s="259" t="str">
        <v/>
      </c>
      <c r="BQ709" s="259" t="str">
        <v/>
      </c>
      <c r="BR709" s="260" t="str">
        <v/>
      </c>
      <c r="BT709" s="80" t="str">
        <v/>
      </c>
      <c r="BU709" s="259" t="str">
        <v/>
      </c>
      <c r="BV709" s="259" t="str">
        <v/>
      </c>
      <c r="BW709" s="260" t="str">
        <v/>
      </c>
      <c r="BX709" s="288"/>
      <c r="CM709" s="96"/>
    </row>
    <row r="710" spans="2:91">
      <c r="B710" s="80">
        <v>45</v>
      </c>
      <c r="C710" s="259">
        <v>53.5</v>
      </c>
      <c r="D710" s="259">
        <v>577</v>
      </c>
      <c r="E710" s="260">
        <v>18</v>
      </c>
      <c r="G710" s="80">
        <v>45</v>
      </c>
      <c r="H710" s="259">
        <v>53.5</v>
      </c>
      <c r="I710" s="259">
        <v>577</v>
      </c>
      <c r="J710" s="260">
        <v>18</v>
      </c>
      <c r="L710" s="80">
        <v>45</v>
      </c>
      <c r="M710" s="259">
        <v>139.5</v>
      </c>
      <c r="N710" s="259">
        <v>615</v>
      </c>
      <c r="O710" s="260">
        <v>18</v>
      </c>
      <c r="Q710" s="80">
        <v>45</v>
      </c>
      <c r="R710" s="259">
        <v>139.5</v>
      </c>
      <c r="S710" s="259">
        <v>612</v>
      </c>
      <c r="T710" s="260">
        <v>18</v>
      </c>
      <c r="V710" s="80" t="str">
        <v/>
      </c>
      <c r="W710" s="259" t="str">
        <v/>
      </c>
      <c r="X710" s="259" t="str">
        <v/>
      </c>
      <c r="Y710" s="260" t="str">
        <v/>
      </c>
      <c r="AA710" s="80" t="str">
        <v/>
      </c>
      <c r="AB710" s="259" t="str">
        <v/>
      </c>
      <c r="AC710" s="259" t="str">
        <v/>
      </c>
      <c r="AD710" s="260" t="str">
        <v/>
      </c>
      <c r="AF710" s="80" t="str">
        <v/>
      </c>
      <c r="AG710" s="259" t="str">
        <v/>
      </c>
      <c r="AH710" s="259" t="str">
        <v/>
      </c>
      <c r="AI710" s="260" t="str">
        <v/>
      </c>
      <c r="AK710" s="80" t="str">
        <v/>
      </c>
      <c r="AL710" s="259" t="str">
        <v/>
      </c>
      <c r="AM710" s="259" t="str">
        <v/>
      </c>
      <c r="AN710" s="260" t="str">
        <v/>
      </c>
      <c r="AP710" s="80">
        <v>45</v>
      </c>
      <c r="AQ710" s="259">
        <v>139.5</v>
      </c>
      <c r="AR710" s="259">
        <v>648</v>
      </c>
      <c r="AS710" s="260">
        <v>18</v>
      </c>
      <c r="AT710" s="288"/>
      <c r="AU710" s="80" t="str">
        <v/>
      </c>
      <c r="AV710" s="259" t="str">
        <v/>
      </c>
      <c r="AW710" s="259" t="str">
        <v/>
      </c>
      <c r="AX710" s="260" t="str">
        <v/>
      </c>
      <c r="AZ710" s="80" t="str">
        <v/>
      </c>
      <c r="BA710" s="259" t="str">
        <v/>
      </c>
      <c r="BB710" s="259" t="str">
        <v/>
      </c>
      <c r="BC710" s="260" t="str">
        <v/>
      </c>
      <c r="BE710" s="80" t="str">
        <v/>
      </c>
      <c r="BF710" s="259" t="str">
        <v/>
      </c>
      <c r="BG710" s="259" t="str">
        <v/>
      </c>
      <c r="BH710" s="260" t="str">
        <v/>
      </c>
      <c r="BI710" s="288"/>
      <c r="BJ710" s="80" t="str">
        <v/>
      </c>
      <c r="BK710" s="259" t="str">
        <v/>
      </c>
      <c r="BL710" s="259" t="str">
        <v/>
      </c>
      <c r="BM710" s="260" t="str">
        <v/>
      </c>
      <c r="BO710" s="80" t="str">
        <v/>
      </c>
      <c r="BP710" s="259" t="str">
        <v/>
      </c>
      <c r="BQ710" s="259" t="str">
        <v/>
      </c>
      <c r="BR710" s="260" t="str">
        <v/>
      </c>
      <c r="BT710" s="80" t="str">
        <v/>
      </c>
      <c r="BU710" s="259" t="str">
        <v/>
      </c>
      <c r="BV710" s="259" t="str">
        <v/>
      </c>
      <c r="BW710" s="260" t="str">
        <v/>
      </c>
      <c r="BX710" s="288"/>
      <c r="CM710" s="96"/>
    </row>
    <row r="711" spans="2:91">
      <c r="B711" s="80">
        <v>45</v>
      </c>
      <c r="C711" s="259">
        <v>96.5</v>
      </c>
      <c r="D711" s="259">
        <v>577</v>
      </c>
      <c r="E711" s="260">
        <v>18</v>
      </c>
      <c r="G711" s="80">
        <v>45</v>
      </c>
      <c r="H711" s="259">
        <v>96.5</v>
      </c>
      <c r="I711" s="259">
        <v>577</v>
      </c>
      <c r="J711" s="260">
        <v>18</v>
      </c>
      <c r="L711" s="80">
        <v>45</v>
      </c>
      <c r="M711" s="259">
        <v>53.5</v>
      </c>
      <c r="N711" s="259">
        <v>643</v>
      </c>
      <c r="O711" s="260">
        <v>18</v>
      </c>
      <c r="Q711" s="80">
        <v>45</v>
      </c>
      <c r="R711" s="259">
        <v>53.5</v>
      </c>
      <c r="S711" s="259">
        <v>640</v>
      </c>
      <c r="T711" s="260">
        <v>18</v>
      </c>
      <c r="V711" s="80" t="str">
        <v/>
      </c>
      <c r="W711" s="259" t="str">
        <v/>
      </c>
      <c r="X711" s="259" t="str">
        <v/>
      </c>
      <c r="Y711" s="260" t="str">
        <v/>
      </c>
      <c r="AA711" s="80" t="str">
        <v/>
      </c>
      <c r="AB711" s="259" t="str">
        <v/>
      </c>
      <c r="AC711" s="259" t="str">
        <v/>
      </c>
      <c r="AD711" s="260" t="str">
        <v/>
      </c>
      <c r="AF711" s="80" t="str">
        <v/>
      </c>
      <c r="AG711" s="259" t="str">
        <v/>
      </c>
      <c r="AH711" s="259" t="str">
        <v/>
      </c>
      <c r="AI711" s="260" t="str">
        <v/>
      </c>
      <c r="AK711" s="80" t="str">
        <v/>
      </c>
      <c r="AL711" s="259" t="str">
        <v/>
      </c>
      <c r="AM711" s="259" t="str">
        <v/>
      </c>
      <c r="AN711" s="260" t="str">
        <v/>
      </c>
      <c r="AP711" s="80">
        <v>45</v>
      </c>
      <c r="AQ711" s="259">
        <v>53.5</v>
      </c>
      <c r="AR711" s="259">
        <v>676</v>
      </c>
      <c r="AS711" s="260">
        <v>18</v>
      </c>
      <c r="AT711" s="288"/>
      <c r="AU711" s="80" t="str">
        <v/>
      </c>
      <c r="AV711" s="259" t="str">
        <v/>
      </c>
      <c r="AW711" s="259" t="str">
        <v/>
      </c>
      <c r="AX711" s="260" t="str">
        <v/>
      </c>
      <c r="AZ711" s="80" t="str">
        <v/>
      </c>
      <c r="BA711" s="259" t="str">
        <v/>
      </c>
      <c r="BB711" s="259" t="str">
        <v/>
      </c>
      <c r="BC711" s="260" t="str">
        <v/>
      </c>
      <c r="BE711" s="80" t="str">
        <v/>
      </c>
      <c r="BF711" s="259" t="str">
        <v/>
      </c>
      <c r="BG711" s="259" t="str">
        <v/>
      </c>
      <c r="BH711" s="260" t="str">
        <v/>
      </c>
      <c r="BI711" s="288"/>
      <c r="BJ711" s="80" t="str">
        <v/>
      </c>
      <c r="BK711" s="259" t="str">
        <v/>
      </c>
      <c r="BL711" s="259" t="str">
        <v/>
      </c>
      <c r="BM711" s="260" t="str">
        <v/>
      </c>
      <c r="BO711" s="80" t="str">
        <v/>
      </c>
      <c r="BP711" s="259" t="str">
        <v/>
      </c>
      <c r="BQ711" s="259" t="str">
        <v/>
      </c>
      <c r="BR711" s="260" t="str">
        <v/>
      </c>
      <c r="BT711" s="80" t="str">
        <v/>
      </c>
      <c r="BU711" s="259" t="str">
        <v/>
      </c>
      <c r="BV711" s="259" t="str">
        <v/>
      </c>
      <c r="BW711" s="260" t="str">
        <v/>
      </c>
      <c r="BX711" s="288"/>
      <c r="CM711" s="96"/>
    </row>
    <row r="712" spans="2:91">
      <c r="B712" s="80">
        <v>45</v>
      </c>
      <c r="C712" s="259">
        <v>10.5</v>
      </c>
      <c r="D712" s="259">
        <v>606</v>
      </c>
      <c r="E712" s="260">
        <v>18</v>
      </c>
      <c r="G712" s="80">
        <v>45</v>
      </c>
      <c r="H712" s="259">
        <v>10.5</v>
      </c>
      <c r="I712" s="259">
        <v>606</v>
      </c>
      <c r="J712" s="260">
        <v>18</v>
      </c>
      <c r="L712" s="80">
        <v>45</v>
      </c>
      <c r="M712" s="259">
        <v>96.5</v>
      </c>
      <c r="N712" s="259">
        <v>643</v>
      </c>
      <c r="O712" s="260">
        <v>18</v>
      </c>
      <c r="Q712" s="80">
        <v>45</v>
      </c>
      <c r="R712" s="259">
        <v>96.5</v>
      </c>
      <c r="S712" s="259">
        <v>640</v>
      </c>
      <c r="T712" s="260">
        <v>18</v>
      </c>
      <c r="V712" s="80" t="str">
        <v/>
      </c>
      <c r="W712" s="259" t="str">
        <v/>
      </c>
      <c r="X712" s="259" t="str">
        <v/>
      </c>
      <c r="Y712" s="260" t="str">
        <v/>
      </c>
      <c r="AA712" s="80" t="str">
        <v/>
      </c>
      <c r="AB712" s="259" t="str">
        <v/>
      </c>
      <c r="AC712" s="259" t="str">
        <v/>
      </c>
      <c r="AD712" s="260" t="str">
        <v/>
      </c>
      <c r="AF712" s="80" t="str">
        <v/>
      </c>
      <c r="AG712" s="259" t="str">
        <v/>
      </c>
      <c r="AH712" s="259" t="str">
        <v/>
      </c>
      <c r="AI712" s="260" t="str">
        <v/>
      </c>
      <c r="AK712" s="80" t="str">
        <v/>
      </c>
      <c r="AL712" s="259" t="str">
        <v/>
      </c>
      <c r="AM712" s="259" t="str">
        <v/>
      </c>
      <c r="AN712" s="260" t="str">
        <v/>
      </c>
      <c r="AP712" s="80">
        <v>45</v>
      </c>
      <c r="AQ712" s="259">
        <v>96.5</v>
      </c>
      <c r="AR712" s="259">
        <v>676</v>
      </c>
      <c r="AS712" s="260">
        <v>18</v>
      </c>
      <c r="AT712" s="288"/>
      <c r="AU712" s="80" t="str">
        <v/>
      </c>
      <c r="AV712" s="259" t="str">
        <v/>
      </c>
      <c r="AW712" s="259" t="str">
        <v/>
      </c>
      <c r="AX712" s="260" t="str">
        <v/>
      </c>
      <c r="AZ712" s="80" t="str">
        <v/>
      </c>
      <c r="BA712" s="259" t="str">
        <v/>
      </c>
      <c r="BB712" s="259" t="str">
        <v/>
      </c>
      <c r="BC712" s="260" t="str">
        <v/>
      </c>
      <c r="BE712" s="80" t="str">
        <v/>
      </c>
      <c r="BF712" s="259" t="str">
        <v/>
      </c>
      <c r="BG712" s="259" t="str">
        <v/>
      </c>
      <c r="BH712" s="260" t="str">
        <v/>
      </c>
      <c r="BI712" s="288"/>
      <c r="BJ712" s="80" t="str">
        <v/>
      </c>
      <c r="BK712" s="259" t="str">
        <v/>
      </c>
      <c r="BL712" s="259" t="str">
        <v/>
      </c>
      <c r="BM712" s="260" t="str">
        <v/>
      </c>
      <c r="BO712" s="80" t="str">
        <v/>
      </c>
      <c r="BP712" s="259" t="str">
        <v/>
      </c>
      <c r="BQ712" s="259" t="str">
        <v/>
      </c>
      <c r="BR712" s="260" t="str">
        <v/>
      </c>
      <c r="BT712" s="80" t="str">
        <v/>
      </c>
      <c r="BU712" s="259" t="str">
        <v/>
      </c>
      <c r="BV712" s="259" t="str">
        <v/>
      </c>
      <c r="BW712" s="260" t="str">
        <v/>
      </c>
      <c r="BX712" s="288"/>
      <c r="CM712" s="96"/>
    </row>
    <row r="713" spans="2:91">
      <c r="B713" s="80">
        <v>45</v>
      </c>
      <c r="C713" s="259">
        <v>139.5</v>
      </c>
      <c r="D713" s="259">
        <v>606</v>
      </c>
      <c r="E713" s="260">
        <v>18</v>
      </c>
      <c r="G713" s="80">
        <v>45</v>
      </c>
      <c r="H713" s="259">
        <v>139.5</v>
      </c>
      <c r="I713" s="259">
        <v>606</v>
      </c>
      <c r="J713" s="260">
        <v>18</v>
      </c>
      <c r="L713" s="80">
        <v>45</v>
      </c>
      <c r="M713" s="259">
        <v>10.5</v>
      </c>
      <c r="N713" s="259">
        <v>672</v>
      </c>
      <c r="O713" s="260">
        <v>18</v>
      </c>
      <c r="Q713" s="80">
        <v>90</v>
      </c>
      <c r="R713" s="259">
        <v>32</v>
      </c>
      <c r="S713" s="259">
        <v>655</v>
      </c>
      <c r="T713" s="260">
        <v>14</v>
      </c>
      <c r="V713" s="80" t="str">
        <v/>
      </c>
      <c r="W713" s="259" t="str">
        <v/>
      </c>
      <c r="X713" s="259" t="str">
        <v/>
      </c>
      <c r="Y713" s="260" t="str">
        <v/>
      </c>
      <c r="AA713" s="80" t="str">
        <v/>
      </c>
      <c r="AB713" s="259" t="str">
        <v/>
      </c>
      <c r="AC713" s="259" t="str">
        <v/>
      </c>
      <c r="AD713" s="260" t="str">
        <v/>
      </c>
      <c r="AF713" s="80" t="str">
        <v/>
      </c>
      <c r="AG713" s="259" t="str">
        <v/>
      </c>
      <c r="AH713" s="259" t="str">
        <v/>
      </c>
      <c r="AI713" s="260" t="str">
        <v/>
      </c>
      <c r="AK713" s="80" t="str">
        <v/>
      </c>
      <c r="AL713" s="259" t="str">
        <v/>
      </c>
      <c r="AM713" s="259" t="str">
        <v/>
      </c>
      <c r="AN713" s="260" t="str">
        <v/>
      </c>
      <c r="AP713" s="80">
        <v>45</v>
      </c>
      <c r="AQ713" s="259">
        <v>10.5</v>
      </c>
      <c r="AR713" s="259">
        <v>705</v>
      </c>
      <c r="AS713" s="260">
        <v>18</v>
      </c>
      <c r="AT713" s="288"/>
      <c r="AU713" s="80" t="str">
        <v/>
      </c>
      <c r="AV713" s="259" t="str">
        <v/>
      </c>
      <c r="AW713" s="259" t="str">
        <v/>
      </c>
      <c r="AX713" s="260" t="str">
        <v/>
      </c>
      <c r="AZ713" s="80" t="str">
        <v/>
      </c>
      <c r="BA713" s="259" t="str">
        <v/>
      </c>
      <c r="BB713" s="259" t="str">
        <v/>
      </c>
      <c r="BC713" s="260" t="str">
        <v/>
      </c>
      <c r="BE713" s="80" t="str">
        <v/>
      </c>
      <c r="BF713" s="259" t="str">
        <v/>
      </c>
      <c r="BG713" s="259" t="str">
        <v/>
      </c>
      <c r="BH713" s="260" t="str">
        <v/>
      </c>
      <c r="BI713" s="288"/>
      <c r="BJ713" s="80" t="str">
        <v/>
      </c>
      <c r="BK713" s="259" t="str">
        <v/>
      </c>
      <c r="BL713" s="259" t="str">
        <v/>
      </c>
      <c r="BM713" s="260" t="str">
        <v/>
      </c>
      <c r="BO713" s="80" t="str">
        <v/>
      </c>
      <c r="BP713" s="259" t="str">
        <v/>
      </c>
      <c r="BQ713" s="259" t="str">
        <v/>
      </c>
      <c r="BR713" s="260" t="str">
        <v/>
      </c>
      <c r="BT713" s="80" t="str">
        <v/>
      </c>
      <c r="BU713" s="259" t="str">
        <v/>
      </c>
      <c r="BV713" s="259" t="str">
        <v/>
      </c>
      <c r="BW713" s="260" t="str">
        <v/>
      </c>
      <c r="BX713" s="288"/>
      <c r="CM713" s="96"/>
    </row>
    <row r="714" spans="2:91">
      <c r="B714" s="80">
        <v>45</v>
      </c>
      <c r="C714" s="259">
        <v>53.5</v>
      </c>
      <c r="D714" s="259">
        <v>634</v>
      </c>
      <c r="E714" s="260">
        <v>18</v>
      </c>
      <c r="G714" s="80">
        <v>45</v>
      </c>
      <c r="H714" s="259">
        <v>53.5</v>
      </c>
      <c r="I714" s="259">
        <v>634</v>
      </c>
      <c r="J714" s="260">
        <v>18</v>
      </c>
      <c r="L714" s="80">
        <v>45</v>
      </c>
      <c r="M714" s="259">
        <v>139.5</v>
      </c>
      <c r="N714" s="259">
        <v>672</v>
      </c>
      <c r="O714" s="260">
        <v>18</v>
      </c>
      <c r="Q714" s="80">
        <v>90</v>
      </c>
      <c r="R714" s="259">
        <v>118</v>
      </c>
      <c r="S714" s="259">
        <v>655</v>
      </c>
      <c r="T714" s="260">
        <v>14</v>
      </c>
      <c r="V714" s="80" t="str">
        <v/>
      </c>
      <c r="W714" s="259" t="str">
        <v/>
      </c>
      <c r="X714" s="259" t="str">
        <v/>
      </c>
      <c r="Y714" s="260" t="str">
        <v/>
      </c>
      <c r="AA714" s="80" t="str">
        <v/>
      </c>
      <c r="AB714" s="259" t="str">
        <v/>
      </c>
      <c r="AC714" s="259" t="str">
        <v/>
      </c>
      <c r="AD714" s="260" t="str">
        <v/>
      </c>
      <c r="AF714" s="80" t="str">
        <v/>
      </c>
      <c r="AG714" s="259" t="str">
        <v/>
      </c>
      <c r="AH714" s="259" t="str">
        <v/>
      </c>
      <c r="AI714" s="260" t="str">
        <v/>
      </c>
      <c r="AK714" s="80" t="str">
        <v/>
      </c>
      <c r="AL714" s="259" t="str">
        <v/>
      </c>
      <c r="AM714" s="259" t="str">
        <v/>
      </c>
      <c r="AN714" s="260" t="str">
        <v/>
      </c>
      <c r="AP714" s="80">
        <v>45</v>
      </c>
      <c r="AQ714" s="259">
        <v>139.5</v>
      </c>
      <c r="AR714" s="259">
        <v>705</v>
      </c>
      <c r="AS714" s="260">
        <v>18</v>
      </c>
      <c r="AT714" s="288"/>
      <c r="AU714" s="80" t="str">
        <v/>
      </c>
      <c r="AV714" s="259" t="str">
        <v/>
      </c>
      <c r="AW714" s="259" t="str">
        <v/>
      </c>
      <c r="AX714" s="260" t="str">
        <v/>
      </c>
      <c r="AZ714" s="80" t="str">
        <v/>
      </c>
      <c r="BA714" s="259" t="str">
        <v/>
      </c>
      <c r="BB714" s="259" t="str">
        <v/>
      </c>
      <c r="BC714" s="260" t="str">
        <v/>
      </c>
      <c r="BE714" s="80" t="str">
        <v/>
      </c>
      <c r="BF714" s="259" t="str">
        <v/>
      </c>
      <c r="BG714" s="259" t="str">
        <v/>
      </c>
      <c r="BH714" s="260" t="str">
        <v/>
      </c>
      <c r="BI714" s="288"/>
      <c r="BJ714" s="80" t="str">
        <v/>
      </c>
      <c r="BK714" s="259" t="str">
        <v/>
      </c>
      <c r="BL714" s="259" t="str">
        <v/>
      </c>
      <c r="BM714" s="260" t="str">
        <v/>
      </c>
      <c r="BO714" s="80" t="str">
        <v/>
      </c>
      <c r="BP714" s="259" t="str">
        <v/>
      </c>
      <c r="BQ714" s="259" t="str">
        <v/>
      </c>
      <c r="BR714" s="260" t="str">
        <v/>
      </c>
      <c r="BT714" s="80" t="str">
        <v/>
      </c>
      <c r="BU714" s="259" t="str">
        <v/>
      </c>
      <c r="BV714" s="259" t="str">
        <v/>
      </c>
      <c r="BW714" s="260" t="str">
        <v/>
      </c>
      <c r="BX714" s="288"/>
      <c r="CM714" s="96"/>
    </row>
    <row r="715" spans="2:91">
      <c r="B715" s="80">
        <v>45</v>
      </c>
      <c r="C715" s="259">
        <v>96.5</v>
      </c>
      <c r="D715" s="259">
        <v>634</v>
      </c>
      <c r="E715" s="260">
        <v>18</v>
      </c>
      <c r="G715" s="80">
        <v>45</v>
      </c>
      <c r="H715" s="259">
        <v>96.5</v>
      </c>
      <c r="I715" s="259">
        <v>634</v>
      </c>
      <c r="J715" s="260">
        <v>18</v>
      </c>
      <c r="L715" s="80">
        <v>45</v>
      </c>
      <c r="M715" s="259">
        <v>53.5</v>
      </c>
      <c r="N715" s="259">
        <v>700</v>
      </c>
      <c r="O715" s="260">
        <v>18</v>
      </c>
      <c r="Q715" s="80">
        <v>90</v>
      </c>
      <c r="R715" s="259">
        <v>75</v>
      </c>
      <c r="S715" s="259">
        <v>665</v>
      </c>
      <c r="T715" s="260">
        <v>14</v>
      </c>
      <c r="V715" s="80" t="str">
        <v/>
      </c>
      <c r="W715" s="259" t="str">
        <v/>
      </c>
      <c r="X715" s="259" t="str">
        <v/>
      </c>
      <c r="Y715" s="260" t="str">
        <v/>
      </c>
      <c r="AA715" s="80" t="str">
        <v/>
      </c>
      <c r="AB715" s="259" t="str">
        <v/>
      </c>
      <c r="AC715" s="259" t="str">
        <v/>
      </c>
      <c r="AD715" s="260" t="str">
        <v/>
      </c>
      <c r="AF715" s="80" t="str">
        <v/>
      </c>
      <c r="AG715" s="259" t="str">
        <v/>
      </c>
      <c r="AH715" s="259" t="str">
        <v/>
      </c>
      <c r="AI715" s="260" t="str">
        <v/>
      </c>
      <c r="AK715" s="80" t="str">
        <v/>
      </c>
      <c r="AL715" s="259" t="str">
        <v/>
      </c>
      <c r="AM715" s="259" t="str">
        <v/>
      </c>
      <c r="AN715" s="260" t="str">
        <v/>
      </c>
      <c r="AP715" s="80">
        <v>45</v>
      </c>
      <c r="AQ715" s="259">
        <v>53.5</v>
      </c>
      <c r="AR715" s="259">
        <v>733</v>
      </c>
      <c r="AS715" s="260">
        <v>18</v>
      </c>
      <c r="AT715" s="288"/>
      <c r="AU715" s="80" t="str">
        <v/>
      </c>
      <c r="AV715" s="259" t="str">
        <v/>
      </c>
      <c r="AW715" s="259" t="str">
        <v/>
      </c>
      <c r="AX715" s="260" t="str">
        <v/>
      </c>
      <c r="AZ715" s="80" t="str">
        <v/>
      </c>
      <c r="BA715" s="259" t="str">
        <v/>
      </c>
      <c r="BB715" s="259" t="str">
        <v/>
      </c>
      <c r="BC715" s="260" t="str">
        <v/>
      </c>
      <c r="BE715" s="80" t="str">
        <v/>
      </c>
      <c r="BF715" s="259" t="str">
        <v/>
      </c>
      <c r="BG715" s="259" t="str">
        <v/>
      </c>
      <c r="BH715" s="260" t="str">
        <v/>
      </c>
      <c r="BI715" s="288"/>
      <c r="BJ715" s="80" t="str">
        <v/>
      </c>
      <c r="BK715" s="259" t="str">
        <v/>
      </c>
      <c r="BL715" s="259" t="str">
        <v/>
      </c>
      <c r="BM715" s="260" t="str">
        <v/>
      </c>
      <c r="BO715" s="80" t="str">
        <v/>
      </c>
      <c r="BP715" s="259" t="str">
        <v/>
      </c>
      <c r="BQ715" s="259" t="str">
        <v/>
      </c>
      <c r="BR715" s="260" t="str">
        <v/>
      </c>
      <c r="BT715" s="80" t="str">
        <v/>
      </c>
      <c r="BU715" s="259" t="str">
        <v/>
      </c>
      <c r="BV715" s="259" t="str">
        <v/>
      </c>
      <c r="BW715" s="260" t="str">
        <v/>
      </c>
      <c r="BX715" s="288"/>
      <c r="CM715" s="96"/>
    </row>
    <row r="716" spans="2:91">
      <c r="B716" s="80">
        <v>45</v>
      </c>
      <c r="C716" s="259">
        <v>10.5</v>
      </c>
      <c r="D716" s="259">
        <v>663</v>
      </c>
      <c r="E716" s="260">
        <v>18</v>
      </c>
      <c r="G716" s="80">
        <v>45</v>
      </c>
      <c r="H716" s="259">
        <v>10.5</v>
      </c>
      <c r="I716" s="259">
        <v>663</v>
      </c>
      <c r="J716" s="260">
        <v>18</v>
      </c>
      <c r="L716" s="80">
        <v>45</v>
      </c>
      <c r="M716" s="259">
        <v>96.5</v>
      </c>
      <c r="N716" s="259">
        <v>700</v>
      </c>
      <c r="O716" s="260">
        <v>18</v>
      </c>
      <c r="Q716" s="80">
        <v>45</v>
      </c>
      <c r="R716" s="259">
        <v>10.5</v>
      </c>
      <c r="S716" s="259">
        <v>669</v>
      </c>
      <c r="T716" s="260">
        <v>18</v>
      </c>
      <c r="V716" s="80" t="str">
        <v/>
      </c>
      <c r="W716" s="259" t="str">
        <v/>
      </c>
      <c r="X716" s="259" t="str">
        <v/>
      </c>
      <c r="Y716" s="260" t="str">
        <v/>
      </c>
      <c r="AA716" s="80" t="str">
        <v/>
      </c>
      <c r="AB716" s="259" t="str">
        <v/>
      </c>
      <c r="AC716" s="259" t="str">
        <v/>
      </c>
      <c r="AD716" s="260" t="str">
        <v/>
      </c>
      <c r="AF716" s="80" t="str">
        <v/>
      </c>
      <c r="AG716" s="259" t="str">
        <v/>
      </c>
      <c r="AH716" s="259" t="str">
        <v/>
      </c>
      <c r="AI716" s="260" t="str">
        <v/>
      </c>
      <c r="AK716" s="80" t="str">
        <v/>
      </c>
      <c r="AL716" s="259" t="str">
        <v/>
      </c>
      <c r="AM716" s="259" t="str">
        <v/>
      </c>
      <c r="AN716" s="260" t="str">
        <v/>
      </c>
      <c r="AP716" s="80">
        <v>45</v>
      </c>
      <c r="AQ716" s="259">
        <v>96.5</v>
      </c>
      <c r="AR716" s="259">
        <v>733</v>
      </c>
      <c r="AS716" s="260">
        <v>18</v>
      </c>
      <c r="AT716" s="288"/>
      <c r="AU716" s="80" t="str">
        <v/>
      </c>
      <c r="AV716" s="259" t="str">
        <v/>
      </c>
      <c r="AW716" s="259" t="str">
        <v/>
      </c>
      <c r="AX716" s="260" t="str">
        <v/>
      </c>
      <c r="AZ716" s="80" t="str">
        <v/>
      </c>
      <c r="BA716" s="259" t="str">
        <v/>
      </c>
      <c r="BB716" s="259" t="str">
        <v/>
      </c>
      <c r="BC716" s="260" t="str">
        <v/>
      </c>
      <c r="BE716" s="80" t="str">
        <v/>
      </c>
      <c r="BF716" s="259" t="str">
        <v/>
      </c>
      <c r="BG716" s="259" t="str">
        <v/>
      </c>
      <c r="BH716" s="260" t="str">
        <v/>
      </c>
      <c r="BI716" s="288"/>
      <c r="BJ716" s="80" t="str">
        <v/>
      </c>
      <c r="BK716" s="259" t="str">
        <v/>
      </c>
      <c r="BL716" s="259" t="str">
        <v/>
      </c>
      <c r="BM716" s="260" t="str">
        <v/>
      </c>
      <c r="BO716" s="80" t="str">
        <v/>
      </c>
      <c r="BP716" s="259" t="str">
        <v/>
      </c>
      <c r="BQ716" s="259" t="str">
        <v/>
      </c>
      <c r="BR716" s="260" t="str">
        <v/>
      </c>
      <c r="BT716" s="80" t="str">
        <v/>
      </c>
      <c r="BU716" s="259" t="str">
        <v/>
      </c>
      <c r="BV716" s="259" t="str">
        <v/>
      </c>
      <c r="BW716" s="260" t="str">
        <v/>
      </c>
      <c r="BX716" s="288"/>
      <c r="CM716" s="96"/>
    </row>
    <row r="717" spans="2:91">
      <c r="B717" s="80">
        <v>45</v>
      </c>
      <c r="C717" s="259">
        <v>139.5</v>
      </c>
      <c r="D717" s="259">
        <v>663</v>
      </c>
      <c r="E717" s="260">
        <v>18</v>
      </c>
      <c r="G717" s="80">
        <v>45</v>
      </c>
      <c r="H717" s="259">
        <v>139.5</v>
      </c>
      <c r="I717" s="259">
        <v>663</v>
      </c>
      <c r="J717" s="260">
        <v>18</v>
      </c>
      <c r="L717" s="80">
        <v>90</v>
      </c>
      <c r="M717" s="259">
        <v>32</v>
      </c>
      <c r="N717" s="259">
        <v>715</v>
      </c>
      <c r="O717" s="260">
        <v>14</v>
      </c>
      <c r="Q717" s="80">
        <v>45</v>
      </c>
      <c r="R717" s="259">
        <v>139.5</v>
      </c>
      <c r="S717" s="259">
        <v>669</v>
      </c>
      <c r="T717" s="260">
        <v>18</v>
      </c>
      <c r="V717" s="80" t="str">
        <v/>
      </c>
      <c r="W717" s="259" t="str">
        <v/>
      </c>
      <c r="X717" s="259" t="str">
        <v/>
      </c>
      <c r="Y717" s="260" t="str">
        <v/>
      </c>
      <c r="AA717" s="80" t="str">
        <v/>
      </c>
      <c r="AB717" s="259" t="str">
        <v/>
      </c>
      <c r="AC717" s="259" t="str">
        <v/>
      </c>
      <c r="AD717" s="260" t="str">
        <v/>
      </c>
      <c r="AF717" s="80" t="str">
        <v/>
      </c>
      <c r="AG717" s="259" t="str">
        <v/>
      </c>
      <c r="AH717" s="259" t="str">
        <v/>
      </c>
      <c r="AI717" s="260" t="str">
        <v/>
      </c>
      <c r="AK717" s="80" t="str">
        <v/>
      </c>
      <c r="AL717" s="259" t="str">
        <v/>
      </c>
      <c r="AM717" s="259" t="str">
        <v/>
      </c>
      <c r="AN717" s="260" t="str">
        <v/>
      </c>
      <c r="AP717" s="80">
        <v>45</v>
      </c>
      <c r="AQ717" s="259">
        <v>10.5</v>
      </c>
      <c r="AR717" s="259">
        <v>762</v>
      </c>
      <c r="AS717" s="260">
        <v>18</v>
      </c>
      <c r="AT717" s="288"/>
      <c r="AU717" s="80" t="str">
        <v/>
      </c>
      <c r="AV717" s="259" t="str">
        <v/>
      </c>
      <c r="AW717" s="259" t="str">
        <v/>
      </c>
      <c r="AX717" s="260" t="str">
        <v/>
      </c>
      <c r="AZ717" s="80" t="str">
        <v/>
      </c>
      <c r="BA717" s="259" t="str">
        <v/>
      </c>
      <c r="BB717" s="259" t="str">
        <v/>
      </c>
      <c r="BC717" s="260" t="str">
        <v/>
      </c>
      <c r="BE717" s="80" t="str">
        <v/>
      </c>
      <c r="BF717" s="259" t="str">
        <v/>
      </c>
      <c r="BG717" s="259" t="str">
        <v/>
      </c>
      <c r="BH717" s="260" t="str">
        <v/>
      </c>
      <c r="BI717" s="288"/>
      <c r="BJ717" s="80" t="str">
        <v/>
      </c>
      <c r="BK717" s="259" t="str">
        <v/>
      </c>
      <c r="BL717" s="259" t="str">
        <v/>
      </c>
      <c r="BM717" s="260" t="str">
        <v/>
      </c>
      <c r="BO717" s="80" t="str">
        <v/>
      </c>
      <c r="BP717" s="259" t="str">
        <v/>
      </c>
      <c r="BQ717" s="259" t="str">
        <v/>
      </c>
      <c r="BR717" s="260" t="str">
        <v/>
      </c>
      <c r="BT717" s="80" t="str">
        <v/>
      </c>
      <c r="BU717" s="259" t="str">
        <v/>
      </c>
      <c r="BV717" s="259" t="str">
        <v/>
      </c>
      <c r="BW717" s="260" t="str">
        <v/>
      </c>
      <c r="BX717" s="288"/>
      <c r="CM717" s="96"/>
    </row>
    <row r="718" spans="2:91">
      <c r="B718" s="80">
        <v>45</v>
      </c>
      <c r="C718" s="259">
        <v>53.5</v>
      </c>
      <c r="D718" s="259">
        <v>691</v>
      </c>
      <c r="E718" s="260">
        <v>18</v>
      </c>
      <c r="G718" s="80">
        <v>45</v>
      </c>
      <c r="H718" s="259">
        <v>53.5</v>
      </c>
      <c r="I718" s="259">
        <v>691</v>
      </c>
      <c r="J718" s="260">
        <v>18</v>
      </c>
      <c r="L718" s="80">
        <v>90</v>
      </c>
      <c r="M718" s="259">
        <v>118</v>
      </c>
      <c r="N718" s="259">
        <v>715</v>
      </c>
      <c r="O718" s="260">
        <v>14</v>
      </c>
      <c r="Q718" s="80" t="str">
        <v/>
      </c>
      <c r="R718" s="259" t="str">
        <v/>
      </c>
      <c r="S718" s="259" t="str">
        <v/>
      </c>
      <c r="T718" s="260" t="str">
        <v/>
      </c>
      <c r="V718" s="80" t="str">
        <v/>
      </c>
      <c r="W718" s="259" t="str">
        <v/>
      </c>
      <c r="X718" s="259" t="str">
        <v/>
      </c>
      <c r="Y718" s="260" t="str">
        <v/>
      </c>
      <c r="AA718" s="80" t="str">
        <v/>
      </c>
      <c r="AB718" s="259" t="str">
        <v/>
      </c>
      <c r="AC718" s="259" t="str">
        <v/>
      </c>
      <c r="AD718" s="260" t="str">
        <v/>
      </c>
      <c r="AF718" s="80" t="str">
        <v/>
      </c>
      <c r="AG718" s="259" t="str">
        <v/>
      </c>
      <c r="AH718" s="259" t="str">
        <v/>
      </c>
      <c r="AI718" s="260" t="str">
        <v/>
      </c>
      <c r="AK718" s="80" t="str">
        <v/>
      </c>
      <c r="AL718" s="259" t="str">
        <v/>
      </c>
      <c r="AM718" s="259" t="str">
        <v/>
      </c>
      <c r="AN718" s="260" t="str">
        <v/>
      </c>
      <c r="AP718" s="80">
        <v>45</v>
      </c>
      <c r="AQ718" s="259">
        <v>139.5</v>
      </c>
      <c r="AR718" s="259">
        <v>762</v>
      </c>
      <c r="AS718" s="260">
        <v>18</v>
      </c>
      <c r="AT718" s="288"/>
      <c r="AU718" s="80" t="str">
        <v/>
      </c>
      <c r="AV718" s="259" t="str">
        <v/>
      </c>
      <c r="AW718" s="259" t="str">
        <v/>
      </c>
      <c r="AX718" s="260" t="str">
        <v/>
      </c>
      <c r="AZ718" s="80" t="str">
        <v/>
      </c>
      <c r="BA718" s="259" t="str">
        <v/>
      </c>
      <c r="BB718" s="259" t="str">
        <v/>
      </c>
      <c r="BC718" s="260" t="str">
        <v/>
      </c>
      <c r="BE718" s="80" t="str">
        <v/>
      </c>
      <c r="BF718" s="259" t="str">
        <v/>
      </c>
      <c r="BG718" s="259" t="str">
        <v/>
      </c>
      <c r="BH718" s="260" t="str">
        <v/>
      </c>
      <c r="BI718" s="288"/>
      <c r="BJ718" s="80" t="str">
        <v/>
      </c>
      <c r="BK718" s="259" t="str">
        <v/>
      </c>
      <c r="BL718" s="259" t="str">
        <v/>
      </c>
      <c r="BM718" s="260" t="str">
        <v/>
      </c>
      <c r="BO718" s="80" t="str">
        <v/>
      </c>
      <c r="BP718" s="259" t="str">
        <v/>
      </c>
      <c r="BQ718" s="259" t="str">
        <v/>
      </c>
      <c r="BR718" s="260" t="str">
        <v/>
      </c>
      <c r="BT718" s="80" t="str">
        <v/>
      </c>
      <c r="BU718" s="259" t="str">
        <v/>
      </c>
      <c r="BV718" s="259" t="str">
        <v/>
      </c>
      <c r="BW718" s="260" t="str">
        <v/>
      </c>
      <c r="BX718" s="288"/>
      <c r="CM718" s="96"/>
    </row>
    <row r="719" spans="2:91">
      <c r="B719" s="80">
        <v>45</v>
      </c>
      <c r="C719" s="259">
        <v>96.5</v>
      </c>
      <c r="D719" s="259">
        <v>691</v>
      </c>
      <c r="E719" s="260">
        <v>18</v>
      </c>
      <c r="G719" s="80">
        <v>45</v>
      </c>
      <c r="H719" s="259">
        <v>96.5</v>
      </c>
      <c r="I719" s="259">
        <v>691</v>
      </c>
      <c r="J719" s="260">
        <v>18</v>
      </c>
      <c r="L719" s="80">
        <v>90</v>
      </c>
      <c r="M719" s="259">
        <v>75</v>
      </c>
      <c r="N719" s="259">
        <v>725</v>
      </c>
      <c r="O719" s="260">
        <v>14</v>
      </c>
      <c r="Q719" s="80" t="str">
        <v/>
      </c>
      <c r="R719" s="259" t="str">
        <v/>
      </c>
      <c r="S719" s="259" t="str">
        <v/>
      </c>
      <c r="T719" s="260" t="str">
        <v/>
      </c>
      <c r="V719" s="80" t="str">
        <v/>
      </c>
      <c r="W719" s="259" t="str">
        <v/>
      </c>
      <c r="X719" s="259" t="str">
        <v/>
      </c>
      <c r="Y719" s="260" t="str">
        <v/>
      </c>
      <c r="AA719" s="80" t="str">
        <v/>
      </c>
      <c r="AB719" s="259" t="str">
        <v/>
      </c>
      <c r="AC719" s="259" t="str">
        <v/>
      </c>
      <c r="AD719" s="260" t="str">
        <v/>
      </c>
      <c r="AF719" s="80" t="str">
        <v/>
      </c>
      <c r="AG719" s="259" t="str">
        <v/>
      </c>
      <c r="AH719" s="259" t="str">
        <v/>
      </c>
      <c r="AI719" s="260" t="str">
        <v/>
      </c>
      <c r="AK719" s="80" t="str">
        <v/>
      </c>
      <c r="AL719" s="259" t="str">
        <v/>
      </c>
      <c r="AM719" s="259" t="str">
        <v/>
      </c>
      <c r="AN719" s="260" t="str">
        <v/>
      </c>
      <c r="AP719" s="80">
        <v>45</v>
      </c>
      <c r="AQ719" s="259">
        <v>53.5</v>
      </c>
      <c r="AR719" s="259">
        <v>790</v>
      </c>
      <c r="AS719" s="260">
        <v>18</v>
      </c>
      <c r="AT719" s="288"/>
      <c r="AU719" s="80" t="str">
        <v/>
      </c>
      <c r="AV719" s="259" t="str">
        <v/>
      </c>
      <c r="AW719" s="259" t="str">
        <v/>
      </c>
      <c r="AX719" s="260" t="str">
        <v/>
      </c>
      <c r="AZ719" s="80" t="str">
        <v/>
      </c>
      <c r="BA719" s="259" t="str">
        <v/>
      </c>
      <c r="BB719" s="259" t="str">
        <v/>
      </c>
      <c r="BC719" s="260" t="str">
        <v/>
      </c>
      <c r="BE719" s="80" t="str">
        <v/>
      </c>
      <c r="BF719" s="259" t="str">
        <v/>
      </c>
      <c r="BG719" s="259" t="str">
        <v/>
      </c>
      <c r="BH719" s="260" t="str">
        <v/>
      </c>
      <c r="BI719" s="288"/>
      <c r="BJ719" s="80" t="str">
        <v/>
      </c>
      <c r="BK719" s="259" t="str">
        <v/>
      </c>
      <c r="BL719" s="259" t="str">
        <v/>
      </c>
      <c r="BM719" s="260" t="str">
        <v/>
      </c>
      <c r="BO719" s="80" t="str">
        <v/>
      </c>
      <c r="BP719" s="259" t="str">
        <v/>
      </c>
      <c r="BQ719" s="259" t="str">
        <v/>
      </c>
      <c r="BR719" s="260" t="str">
        <v/>
      </c>
      <c r="BT719" s="80" t="str">
        <v/>
      </c>
      <c r="BU719" s="259" t="str">
        <v/>
      </c>
      <c r="BV719" s="259" t="str">
        <v/>
      </c>
      <c r="BW719" s="260" t="str">
        <v/>
      </c>
      <c r="BX719" s="288"/>
      <c r="CM719" s="96"/>
    </row>
    <row r="720" spans="2:91">
      <c r="B720" s="80">
        <v>45</v>
      </c>
      <c r="C720" s="259">
        <v>10.5</v>
      </c>
      <c r="D720" s="259">
        <v>720</v>
      </c>
      <c r="E720" s="260">
        <v>18</v>
      </c>
      <c r="G720" s="80">
        <v>45</v>
      </c>
      <c r="H720" s="259">
        <v>10.5</v>
      </c>
      <c r="I720" s="259">
        <v>720</v>
      </c>
      <c r="J720" s="260">
        <v>18</v>
      </c>
      <c r="L720" s="80">
        <v>45</v>
      </c>
      <c r="M720" s="259">
        <v>10.5</v>
      </c>
      <c r="N720" s="259">
        <v>729</v>
      </c>
      <c r="O720" s="260">
        <v>18</v>
      </c>
      <c r="Q720" s="80" t="str">
        <v/>
      </c>
      <c r="R720" s="259" t="str">
        <v/>
      </c>
      <c r="S720" s="259" t="str">
        <v/>
      </c>
      <c r="T720" s="260" t="str">
        <v/>
      </c>
      <c r="V720" s="80" t="str">
        <v/>
      </c>
      <c r="W720" s="259" t="str">
        <v/>
      </c>
      <c r="X720" s="259" t="str">
        <v/>
      </c>
      <c r="Y720" s="260" t="str">
        <v/>
      </c>
      <c r="AA720" s="80" t="str">
        <v/>
      </c>
      <c r="AB720" s="259" t="str">
        <v/>
      </c>
      <c r="AC720" s="259" t="str">
        <v/>
      </c>
      <c r="AD720" s="260" t="str">
        <v/>
      </c>
      <c r="AF720" s="80" t="str">
        <v/>
      </c>
      <c r="AG720" s="259" t="str">
        <v/>
      </c>
      <c r="AH720" s="259" t="str">
        <v/>
      </c>
      <c r="AI720" s="260" t="str">
        <v/>
      </c>
      <c r="AK720" s="80" t="str">
        <v/>
      </c>
      <c r="AL720" s="259" t="str">
        <v/>
      </c>
      <c r="AM720" s="259" t="str">
        <v/>
      </c>
      <c r="AN720" s="260" t="str">
        <v/>
      </c>
      <c r="AP720" s="80">
        <v>45</v>
      </c>
      <c r="AQ720" s="259">
        <v>96.5</v>
      </c>
      <c r="AR720" s="259">
        <v>790</v>
      </c>
      <c r="AS720" s="260">
        <v>18</v>
      </c>
      <c r="AT720" s="288"/>
      <c r="AU720" s="80" t="str">
        <v/>
      </c>
      <c r="AV720" s="259" t="str">
        <v/>
      </c>
      <c r="AW720" s="259" t="str">
        <v/>
      </c>
      <c r="AX720" s="260" t="str">
        <v/>
      </c>
      <c r="AZ720" s="80" t="str">
        <v/>
      </c>
      <c r="BA720" s="259" t="str">
        <v/>
      </c>
      <c r="BB720" s="259" t="str">
        <v/>
      </c>
      <c r="BC720" s="260" t="str">
        <v/>
      </c>
      <c r="BE720" s="80" t="str">
        <v/>
      </c>
      <c r="BF720" s="259" t="str">
        <v/>
      </c>
      <c r="BG720" s="259" t="str">
        <v/>
      </c>
      <c r="BH720" s="260" t="str">
        <v/>
      </c>
      <c r="BI720" s="288"/>
      <c r="BJ720" s="80" t="str">
        <v/>
      </c>
      <c r="BK720" s="259" t="str">
        <v/>
      </c>
      <c r="BL720" s="259" t="str">
        <v/>
      </c>
      <c r="BM720" s="260" t="str">
        <v/>
      </c>
      <c r="BO720" s="80" t="str">
        <v/>
      </c>
      <c r="BP720" s="259" t="str">
        <v/>
      </c>
      <c r="BQ720" s="259" t="str">
        <v/>
      </c>
      <c r="BR720" s="260" t="str">
        <v/>
      </c>
      <c r="BT720" s="80" t="str">
        <v/>
      </c>
      <c r="BU720" s="259" t="str">
        <v/>
      </c>
      <c r="BV720" s="259" t="str">
        <v/>
      </c>
      <c r="BW720" s="260" t="str">
        <v/>
      </c>
      <c r="BX720" s="288"/>
      <c r="CM720" s="96"/>
    </row>
    <row r="721" spans="2:91">
      <c r="B721" s="80">
        <v>45</v>
      </c>
      <c r="C721" s="259">
        <v>139.5</v>
      </c>
      <c r="D721" s="259">
        <v>720</v>
      </c>
      <c r="E721" s="260">
        <v>18</v>
      </c>
      <c r="G721" s="80">
        <v>45</v>
      </c>
      <c r="H721" s="259">
        <v>139.5</v>
      </c>
      <c r="I721" s="259">
        <v>720</v>
      </c>
      <c r="J721" s="260">
        <v>18</v>
      </c>
      <c r="L721" s="80">
        <v>45</v>
      </c>
      <c r="M721" s="259">
        <v>139.5</v>
      </c>
      <c r="N721" s="259">
        <v>729</v>
      </c>
      <c r="O721" s="260">
        <v>18</v>
      </c>
      <c r="Q721" s="80" t="str">
        <v/>
      </c>
      <c r="R721" s="259" t="str">
        <v/>
      </c>
      <c r="S721" s="259" t="str">
        <v/>
      </c>
      <c r="T721" s="260" t="str">
        <v/>
      </c>
      <c r="V721" s="80" t="str">
        <v/>
      </c>
      <c r="W721" s="259" t="str">
        <v/>
      </c>
      <c r="X721" s="259" t="str">
        <v/>
      </c>
      <c r="Y721" s="260" t="str">
        <v/>
      </c>
      <c r="AA721" s="80" t="str">
        <v/>
      </c>
      <c r="AB721" s="259" t="str">
        <v/>
      </c>
      <c r="AC721" s="259" t="str">
        <v/>
      </c>
      <c r="AD721" s="260" t="str">
        <v/>
      </c>
      <c r="AF721" s="80" t="str">
        <v/>
      </c>
      <c r="AG721" s="259" t="str">
        <v/>
      </c>
      <c r="AH721" s="259" t="str">
        <v/>
      </c>
      <c r="AI721" s="260" t="str">
        <v/>
      </c>
      <c r="AK721" s="80" t="str">
        <v/>
      </c>
      <c r="AL721" s="259" t="str">
        <v/>
      </c>
      <c r="AM721" s="259" t="str">
        <v/>
      </c>
      <c r="AN721" s="260" t="str">
        <v/>
      </c>
      <c r="AP721" s="80">
        <v>90</v>
      </c>
      <c r="AQ721" s="259">
        <v>32</v>
      </c>
      <c r="AR721" s="259">
        <v>805</v>
      </c>
      <c r="AS721" s="260">
        <v>14</v>
      </c>
      <c r="AT721" s="288"/>
      <c r="AU721" s="80" t="str">
        <v/>
      </c>
      <c r="AV721" s="259" t="str">
        <v/>
      </c>
      <c r="AW721" s="259" t="str">
        <v/>
      </c>
      <c r="AX721" s="260" t="str">
        <v/>
      </c>
      <c r="AZ721" s="80" t="str">
        <v/>
      </c>
      <c r="BA721" s="259" t="str">
        <v/>
      </c>
      <c r="BB721" s="259" t="str">
        <v/>
      </c>
      <c r="BC721" s="260" t="str">
        <v/>
      </c>
      <c r="BE721" s="80" t="str">
        <v/>
      </c>
      <c r="BF721" s="259" t="str">
        <v/>
      </c>
      <c r="BG721" s="259" t="str">
        <v/>
      </c>
      <c r="BH721" s="260" t="str">
        <v/>
      </c>
      <c r="BI721" s="288"/>
      <c r="BJ721" s="80" t="str">
        <v/>
      </c>
      <c r="BK721" s="259" t="str">
        <v/>
      </c>
      <c r="BL721" s="259" t="str">
        <v/>
      </c>
      <c r="BM721" s="260" t="str">
        <v/>
      </c>
      <c r="BO721" s="80" t="str">
        <v/>
      </c>
      <c r="BP721" s="259" t="str">
        <v/>
      </c>
      <c r="BQ721" s="259" t="str">
        <v/>
      </c>
      <c r="BR721" s="260" t="str">
        <v/>
      </c>
      <c r="BT721" s="80" t="str">
        <v/>
      </c>
      <c r="BU721" s="259" t="str">
        <v/>
      </c>
      <c r="BV721" s="259" t="str">
        <v/>
      </c>
      <c r="BW721" s="260" t="str">
        <v/>
      </c>
      <c r="BX721" s="288"/>
      <c r="CM721" s="96"/>
    </row>
    <row r="722" spans="2:91">
      <c r="B722" s="80">
        <v>45</v>
      </c>
      <c r="C722" s="259">
        <v>53.5</v>
      </c>
      <c r="D722" s="259">
        <v>748</v>
      </c>
      <c r="E722" s="260">
        <v>18</v>
      </c>
      <c r="G722" s="80">
        <v>45</v>
      </c>
      <c r="H722" s="259">
        <v>53.5</v>
      </c>
      <c r="I722" s="259">
        <v>748</v>
      </c>
      <c r="J722" s="260">
        <v>18</v>
      </c>
      <c r="L722" s="80" t="str">
        <v/>
      </c>
      <c r="M722" s="259" t="str">
        <v/>
      </c>
      <c r="N722" s="259" t="str">
        <v/>
      </c>
      <c r="O722" s="260" t="str">
        <v/>
      </c>
      <c r="Q722" s="80" t="str">
        <v/>
      </c>
      <c r="R722" s="259" t="str">
        <v/>
      </c>
      <c r="S722" s="259" t="str">
        <v/>
      </c>
      <c r="T722" s="260" t="str">
        <v/>
      </c>
      <c r="V722" s="80" t="str">
        <v/>
      </c>
      <c r="W722" s="259" t="str">
        <v/>
      </c>
      <c r="X722" s="259" t="str">
        <v/>
      </c>
      <c r="Y722" s="260" t="str">
        <v/>
      </c>
      <c r="AA722" s="80" t="str">
        <v/>
      </c>
      <c r="AB722" s="259" t="str">
        <v/>
      </c>
      <c r="AC722" s="259" t="str">
        <v/>
      </c>
      <c r="AD722" s="260" t="str">
        <v/>
      </c>
      <c r="AF722" s="80" t="str">
        <v/>
      </c>
      <c r="AG722" s="259" t="str">
        <v/>
      </c>
      <c r="AH722" s="259" t="str">
        <v/>
      </c>
      <c r="AI722" s="260" t="str">
        <v/>
      </c>
      <c r="AK722" s="80" t="str">
        <v/>
      </c>
      <c r="AL722" s="259" t="str">
        <v/>
      </c>
      <c r="AM722" s="259" t="str">
        <v/>
      </c>
      <c r="AN722" s="260" t="str">
        <v/>
      </c>
      <c r="AP722" s="80">
        <v>90</v>
      </c>
      <c r="AQ722" s="259">
        <v>118</v>
      </c>
      <c r="AR722" s="259">
        <v>805</v>
      </c>
      <c r="AS722" s="260">
        <v>14</v>
      </c>
      <c r="AT722" s="288"/>
      <c r="AU722" s="80" t="str">
        <v/>
      </c>
      <c r="AV722" s="259" t="str">
        <v/>
      </c>
      <c r="AW722" s="259" t="str">
        <v/>
      </c>
      <c r="AX722" s="260" t="str">
        <v/>
      </c>
      <c r="AZ722" s="80" t="str">
        <v/>
      </c>
      <c r="BA722" s="259" t="str">
        <v/>
      </c>
      <c r="BB722" s="259" t="str">
        <v/>
      </c>
      <c r="BC722" s="260" t="str">
        <v/>
      </c>
      <c r="BE722" s="80" t="str">
        <v/>
      </c>
      <c r="BF722" s="259" t="str">
        <v/>
      </c>
      <c r="BG722" s="259" t="str">
        <v/>
      </c>
      <c r="BH722" s="260" t="str">
        <v/>
      </c>
      <c r="BI722" s="288"/>
      <c r="BJ722" s="80" t="str">
        <v/>
      </c>
      <c r="BK722" s="259" t="str">
        <v/>
      </c>
      <c r="BL722" s="259" t="str">
        <v/>
      </c>
      <c r="BM722" s="260" t="str">
        <v/>
      </c>
      <c r="BO722" s="80" t="str">
        <v/>
      </c>
      <c r="BP722" s="259" t="str">
        <v/>
      </c>
      <c r="BQ722" s="259" t="str">
        <v/>
      </c>
      <c r="BR722" s="260" t="str">
        <v/>
      </c>
      <c r="BT722" s="80" t="str">
        <v/>
      </c>
      <c r="BU722" s="259" t="str">
        <v/>
      </c>
      <c r="BV722" s="259" t="str">
        <v/>
      </c>
      <c r="BW722" s="260" t="str">
        <v/>
      </c>
      <c r="BX722" s="288"/>
      <c r="CM722" s="96"/>
    </row>
    <row r="723" spans="2:91">
      <c r="B723" s="80">
        <v>45</v>
      </c>
      <c r="C723" s="259">
        <v>96.5</v>
      </c>
      <c r="D723" s="259">
        <v>748</v>
      </c>
      <c r="E723" s="260">
        <v>18</v>
      </c>
      <c r="G723" s="80">
        <v>45</v>
      </c>
      <c r="H723" s="259">
        <v>96.5</v>
      </c>
      <c r="I723" s="259">
        <v>748</v>
      </c>
      <c r="J723" s="260">
        <v>18</v>
      </c>
      <c r="L723" s="80" t="str">
        <v/>
      </c>
      <c r="M723" s="259" t="str">
        <v/>
      </c>
      <c r="N723" s="259" t="str">
        <v/>
      </c>
      <c r="O723" s="260" t="str">
        <v/>
      </c>
      <c r="Q723" s="80" t="str">
        <v/>
      </c>
      <c r="R723" s="259" t="str">
        <v/>
      </c>
      <c r="S723" s="259" t="str">
        <v/>
      </c>
      <c r="T723" s="260" t="str">
        <v/>
      </c>
      <c r="V723" s="80" t="str">
        <v/>
      </c>
      <c r="W723" s="259" t="str">
        <v/>
      </c>
      <c r="X723" s="259" t="str">
        <v/>
      </c>
      <c r="Y723" s="260" t="str">
        <v/>
      </c>
      <c r="AA723" s="80" t="str">
        <v/>
      </c>
      <c r="AB723" s="259" t="str">
        <v/>
      </c>
      <c r="AC723" s="259" t="str">
        <v/>
      </c>
      <c r="AD723" s="260" t="str">
        <v/>
      </c>
      <c r="AF723" s="80" t="str">
        <v/>
      </c>
      <c r="AG723" s="259" t="str">
        <v/>
      </c>
      <c r="AH723" s="259" t="str">
        <v/>
      </c>
      <c r="AI723" s="260" t="str">
        <v/>
      </c>
      <c r="AK723" s="80" t="str">
        <v/>
      </c>
      <c r="AL723" s="259" t="str">
        <v/>
      </c>
      <c r="AM723" s="259" t="str">
        <v/>
      </c>
      <c r="AN723" s="260" t="str">
        <v/>
      </c>
      <c r="AP723" s="80">
        <v>90</v>
      </c>
      <c r="AQ723" s="259">
        <v>75</v>
      </c>
      <c r="AR723" s="259">
        <v>815</v>
      </c>
      <c r="AS723" s="260">
        <v>14</v>
      </c>
      <c r="AT723" s="288"/>
      <c r="AU723" s="80" t="str">
        <v/>
      </c>
      <c r="AV723" s="259" t="str">
        <v/>
      </c>
      <c r="AW723" s="259" t="str">
        <v/>
      </c>
      <c r="AX723" s="260" t="str">
        <v/>
      </c>
      <c r="AZ723" s="80" t="str">
        <v/>
      </c>
      <c r="BA723" s="259" t="str">
        <v/>
      </c>
      <c r="BB723" s="259" t="str">
        <v/>
      </c>
      <c r="BC723" s="260" t="str">
        <v/>
      </c>
      <c r="BE723" s="80" t="str">
        <v/>
      </c>
      <c r="BF723" s="259" t="str">
        <v/>
      </c>
      <c r="BG723" s="259" t="str">
        <v/>
      </c>
      <c r="BH723" s="260" t="str">
        <v/>
      </c>
      <c r="BI723" s="288"/>
      <c r="BJ723" s="80" t="str">
        <v/>
      </c>
      <c r="BK723" s="259" t="str">
        <v/>
      </c>
      <c r="BL723" s="259" t="str">
        <v/>
      </c>
      <c r="BM723" s="260" t="str">
        <v/>
      </c>
      <c r="BO723" s="80" t="str">
        <v/>
      </c>
      <c r="BP723" s="259" t="str">
        <v/>
      </c>
      <c r="BQ723" s="259" t="str">
        <v/>
      </c>
      <c r="BR723" s="260" t="str">
        <v/>
      </c>
      <c r="BT723" s="80" t="str">
        <v/>
      </c>
      <c r="BU723" s="259" t="str">
        <v/>
      </c>
      <c r="BV723" s="259" t="str">
        <v/>
      </c>
      <c r="BW723" s="260" t="str">
        <v/>
      </c>
      <c r="BX723" s="288"/>
      <c r="CM723" s="96"/>
    </row>
    <row r="724" spans="2:91">
      <c r="B724" s="80">
        <v>45</v>
      </c>
      <c r="C724" s="259">
        <v>10.5</v>
      </c>
      <c r="D724" s="259">
        <v>777</v>
      </c>
      <c r="E724" s="260">
        <v>18</v>
      </c>
      <c r="G724" s="80">
        <v>90</v>
      </c>
      <c r="H724" s="259">
        <v>32</v>
      </c>
      <c r="I724" s="259">
        <v>775</v>
      </c>
      <c r="J724" s="260">
        <v>14</v>
      </c>
      <c r="L724" s="80" t="str">
        <v/>
      </c>
      <c r="M724" s="259" t="str">
        <v/>
      </c>
      <c r="N724" s="259" t="str">
        <v/>
      </c>
      <c r="O724" s="260" t="str">
        <v/>
      </c>
      <c r="Q724" s="80" t="str">
        <v/>
      </c>
      <c r="R724" s="259" t="str">
        <v/>
      </c>
      <c r="S724" s="259" t="str">
        <v/>
      </c>
      <c r="T724" s="260" t="str">
        <v/>
      </c>
      <c r="V724" s="80" t="str">
        <v/>
      </c>
      <c r="W724" s="259" t="str">
        <v/>
      </c>
      <c r="X724" s="259" t="str">
        <v/>
      </c>
      <c r="Y724" s="260" t="str">
        <v/>
      </c>
      <c r="AA724" s="80" t="str">
        <v/>
      </c>
      <c r="AB724" s="259" t="str">
        <v/>
      </c>
      <c r="AC724" s="259" t="str">
        <v/>
      </c>
      <c r="AD724" s="260" t="str">
        <v/>
      </c>
      <c r="AF724" s="80" t="str">
        <v/>
      </c>
      <c r="AG724" s="259" t="str">
        <v/>
      </c>
      <c r="AH724" s="259" t="str">
        <v/>
      </c>
      <c r="AI724" s="260" t="str">
        <v/>
      </c>
      <c r="AK724" s="80" t="str">
        <v/>
      </c>
      <c r="AL724" s="259" t="str">
        <v/>
      </c>
      <c r="AM724" s="259" t="str">
        <v/>
      </c>
      <c r="AN724" s="260" t="str">
        <v/>
      </c>
      <c r="AP724" s="80">
        <v>45</v>
      </c>
      <c r="AQ724" s="259">
        <v>10.5</v>
      </c>
      <c r="AR724" s="259">
        <v>819</v>
      </c>
      <c r="AS724" s="260">
        <v>18</v>
      </c>
      <c r="AT724" s="288"/>
      <c r="AU724" s="80" t="str">
        <v/>
      </c>
      <c r="AV724" s="259" t="str">
        <v/>
      </c>
      <c r="AW724" s="259" t="str">
        <v/>
      </c>
      <c r="AX724" s="260" t="str">
        <v/>
      </c>
      <c r="AZ724" s="80" t="str">
        <v/>
      </c>
      <c r="BA724" s="259" t="str">
        <v/>
      </c>
      <c r="BB724" s="259" t="str">
        <v/>
      </c>
      <c r="BC724" s="260" t="str">
        <v/>
      </c>
      <c r="BE724" s="80" t="str">
        <v/>
      </c>
      <c r="BF724" s="259" t="str">
        <v/>
      </c>
      <c r="BG724" s="259" t="str">
        <v/>
      </c>
      <c r="BH724" s="260" t="str">
        <v/>
      </c>
      <c r="BI724" s="288"/>
      <c r="BJ724" s="80" t="str">
        <v/>
      </c>
      <c r="BK724" s="259" t="str">
        <v/>
      </c>
      <c r="BL724" s="259" t="str">
        <v/>
      </c>
      <c r="BM724" s="260" t="str">
        <v/>
      </c>
      <c r="BO724" s="80" t="str">
        <v/>
      </c>
      <c r="BP724" s="259" t="str">
        <v/>
      </c>
      <c r="BQ724" s="259" t="str">
        <v/>
      </c>
      <c r="BR724" s="260" t="str">
        <v/>
      </c>
      <c r="BT724" s="80" t="str">
        <v/>
      </c>
      <c r="BU724" s="259" t="str">
        <v/>
      </c>
      <c r="BV724" s="259" t="str">
        <v/>
      </c>
      <c r="BW724" s="260" t="str">
        <v/>
      </c>
      <c r="BX724" s="288"/>
      <c r="CM724" s="96"/>
    </row>
    <row r="725" spans="2:91">
      <c r="B725" s="80">
        <v>45</v>
      </c>
      <c r="C725" s="259">
        <v>139.5</v>
      </c>
      <c r="D725" s="259">
        <v>777</v>
      </c>
      <c r="E725" s="260">
        <v>18</v>
      </c>
      <c r="G725" s="80">
        <v>90</v>
      </c>
      <c r="H725" s="259">
        <v>118</v>
      </c>
      <c r="I725" s="259">
        <v>775</v>
      </c>
      <c r="J725" s="260">
        <v>14</v>
      </c>
      <c r="L725" s="80" t="str">
        <v/>
      </c>
      <c r="M725" s="259" t="str">
        <v/>
      </c>
      <c r="N725" s="259" t="str">
        <v/>
      </c>
      <c r="O725" s="260" t="str">
        <v/>
      </c>
      <c r="Q725" s="80" t="str">
        <v/>
      </c>
      <c r="R725" s="259" t="str">
        <v/>
      </c>
      <c r="S725" s="259" t="str">
        <v/>
      </c>
      <c r="T725" s="260" t="str">
        <v/>
      </c>
      <c r="V725" s="80" t="str">
        <v/>
      </c>
      <c r="W725" s="259" t="str">
        <v/>
      </c>
      <c r="X725" s="259" t="str">
        <v/>
      </c>
      <c r="Y725" s="260" t="str">
        <v/>
      </c>
      <c r="AA725" s="80" t="str">
        <v/>
      </c>
      <c r="AB725" s="259" t="str">
        <v/>
      </c>
      <c r="AC725" s="259" t="str">
        <v/>
      </c>
      <c r="AD725" s="260" t="str">
        <v/>
      </c>
      <c r="AF725" s="80" t="str">
        <v/>
      </c>
      <c r="AG725" s="259" t="str">
        <v/>
      </c>
      <c r="AH725" s="259" t="str">
        <v/>
      </c>
      <c r="AI725" s="260" t="str">
        <v/>
      </c>
      <c r="AK725" s="80" t="str">
        <v/>
      </c>
      <c r="AL725" s="259" t="str">
        <v/>
      </c>
      <c r="AM725" s="259" t="str">
        <v/>
      </c>
      <c r="AN725" s="260" t="str">
        <v/>
      </c>
      <c r="AP725" s="80">
        <v>45</v>
      </c>
      <c r="AQ725" s="259">
        <v>139.5</v>
      </c>
      <c r="AR725" s="259">
        <v>819</v>
      </c>
      <c r="AS725" s="260">
        <v>18</v>
      </c>
      <c r="AT725" s="288"/>
      <c r="AU725" s="80" t="str">
        <v/>
      </c>
      <c r="AV725" s="259" t="str">
        <v/>
      </c>
      <c r="AW725" s="259" t="str">
        <v/>
      </c>
      <c r="AX725" s="260" t="str">
        <v/>
      </c>
      <c r="AZ725" s="80" t="str">
        <v/>
      </c>
      <c r="BA725" s="259" t="str">
        <v/>
      </c>
      <c r="BB725" s="259" t="str">
        <v/>
      </c>
      <c r="BC725" s="260" t="str">
        <v/>
      </c>
      <c r="BE725" s="80" t="str">
        <v/>
      </c>
      <c r="BF725" s="259" t="str">
        <v/>
      </c>
      <c r="BG725" s="259" t="str">
        <v/>
      </c>
      <c r="BH725" s="260" t="str">
        <v/>
      </c>
      <c r="BI725" s="288"/>
      <c r="BJ725" s="80" t="str">
        <v/>
      </c>
      <c r="BK725" s="259" t="str">
        <v/>
      </c>
      <c r="BL725" s="259" t="str">
        <v/>
      </c>
      <c r="BM725" s="260" t="str">
        <v/>
      </c>
      <c r="BO725" s="80" t="str">
        <v/>
      </c>
      <c r="BP725" s="259" t="str">
        <v/>
      </c>
      <c r="BQ725" s="259" t="str">
        <v/>
      </c>
      <c r="BR725" s="260" t="str">
        <v/>
      </c>
      <c r="BT725" s="80" t="str">
        <v/>
      </c>
      <c r="BU725" s="259" t="str">
        <v/>
      </c>
      <c r="BV725" s="259" t="str">
        <v/>
      </c>
      <c r="BW725" s="260" t="str">
        <v/>
      </c>
      <c r="BX725" s="288"/>
      <c r="CM725" s="96"/>
    </row>
    <row r="726" spans="2:91">
      <c r="B726" s="80">
        <v>90</v>
      </c>
      <c r="C726" s="259">
        <v>32</v>
      </c>
      <c r="D726" s="259">
        <v>1015</v>
      </c>
      <c r="E726" s="260">
        <v>14</v>
      </c>
      <c r="G726" s="80">
        <v>45</v>
      </c>
      <c r="H726" s="259">
        <v>10.5</v>
      </c>
      <c r="I726" s="259">
        <v>777</v>
      </c>
      <c r="J726" s="260">
        <v>18</v>
      </c>
      <c r="L726" s="80" t="str">
        <v/>
      </c>
      <c r="M726" s="259" t="str">
        <v/>
      </c>
      <c r="N726" s="259" t="str">
        <v/>
      </c>
      <c r="O726" s="260" t="str">
        <v/>
      </c>
      <c r="Q726" s="80" t="str">
        <v/>
      </c>
      <c r="R726" s="259" t="str">
        <v/>
      </c>
      <c r="S726" s="259" t="str">
        <v/>
      </c>
      <c r="T726" s="260" t="str">
        <v/>
      </c>
      <c r="V726" s="80" t="str">
        <v/>
      </c>
      <c r="W726" s="259" t="str">
        <v/>
      </c>
      <c r="X726" s="259" t="str">
        <v/>
      </c>
      <c r="Y726" s="260" t="str">
        <v/>
      </c>
      <c r="AA726" s="80" t="str">
        <v/>
      </c>
      <c r="AB726" s="259" t="str">
        <v/>
      </c>
      <c r="AC726" s="259" t="str">
        <v/>
      </c>
      <c r="AD726" s="260" t="str">
        <v/>
      </c>
      <c r="AF726" s="80" t="str">
        <v/>
      </c>
      <c r="AG726" s="259" t="str">
        <v/>
      </c>
      <c r="AH726" s="259" t="str">
        <v/>
      </c>
      <c r="AI726" s="260" t="str">
        <v/>
      </c>
      <c r="AK726" s="80" t="str">
        <v/>
      </c>
      <c r="AL726" s="259" t="str">
        <v/>
      </c>
      <c r="AM726" s="259" t="str">
        <v/>
      </c>
      <c r="AN726" s="260" t="str">
        <v/>
      </c>
      <c r="AP726" s="80" t="str">
        <v/>
      </c>
      <c r="AQ726" s="259" t="str">
        <v/>
      </c>
      <c r="AR726" s="259" t="str">
        <v/>
      </c>
      <c r="AS726" s="260" t="str">
        <v/>
      </c>
      <c r="AT726" s="288"/>
      <c r="AU726" s="80" t="str">
        <v/>
      </c>
      <c r="AV726" s="259" t="str">
        <v/>
      </c>
      <c r="AW726" s="259" t="str">
        <v/>
      </c>
      <c r="AX726" s="260" t="str">
        <v/>
      </c>
      <c r="AZ726" s="80" t="str">
        <v/>
      </c>
      <c r="BA726" s="259" t="str">
        <v/>
      </c>
      <c r="BB726" s="259" t="str">
        <v/>
      </c>
      <c r="BC726" s="260" t="str">
        <v/>
      </c>
      <c r="BE726" s="80" t="str">
        <v/>
      </c>
      <c r="BF726" s="259" t="str">
        <v/>
      </c>
      <c r="BG726" s="259" t="str">
        <v/>
      </c>
      <c r="BH726" s="260" t="str">
        <v/>
      </c>
      <c r="BI726" s="288"/>
      <c r="BJ726" s="80" t="str">
        <v/>
      </c>
      <c r="BK726" s="259" t="str">
        <v/>
      </c>
      <c r="BL726" s="259" t="str">
        <v/>
      </c>
      <c r="BM726" s="260" t="str">
        <v/>
      </c>
      <c r="BO726" s="80" t="str">
        <v/>
      </c>
      <c r="BP726" s="259" t="str">
        <v/>
      </c>
      <c r="BQ726" s="259" t="str">
        <v/>
      </c>
      <c r="BR726" s="260" t="str">
        <v/>
      </c>
      <c r="BT726" s="80" t="str">
        <v/>
      </c>
      <c r="BU726" s="259" t="str">
        <v/>
      </c>
      <c r="BV726" s="259" t="str">
        <v/>
      </c>
      <c r="BW726" s="260" t="str">
        <v/>
      </c>
      <c r="BX726" s="288"/>
      <c r="CM726" s="96"/>
    </row>
    <row r="727" spans="2:91">
      <c r="B727" s="80">
        <v>90</v>
      </c>
      <c r="C727" s="259">
        <v>118</v>
      </c>
      <c r="D727" s="259">
        <v>1015</v>
      </c>
      <c r="E727" s="260">
        <v>14</v>
      </c>
      <c r="G727" s="80">
        <v>45</v>
      </c>
      <c r="H727" s="259">
        <v>139.5</v>
      </c>
      <c r="I727" s="259">
        <v>777</v>
      </c>
      <c r="J727" s="260">
        <v>18</v>
      </c>
      <c r="L727" s="80" t="str">
        <v/>
      </c>
      <c r="M727" s="259" t="str">
        <v/>
      </c>
      <c r="N727" s="259" t="str">
        <v/>
      </c>
      <c r="O727" s="260" t="str">
        <v/>
      </c>
      <c r="Q727" s="80" t="str">
        <v/>
      </c>
      <c r="R727" s="259" t="str">
        <v/>
      </c>
      <c r="S727" s="259" t="str">
        <v/>
      </c>
      <c r="T727" s="260" t="str">
        <v/>
      </c>
      <c r="V727" s="80" t="str">
        <v/>
      </c>
      <c r="W727" s="259" t="str">
        <v/>
      </c>
      <c r="X727" s="259" t="str">
        <v/>
      </c>
      <c r="Y727" s="260" t="str">
        <v/>
      </c>
      <c r="AA727" s="80" t="str">
        <v/>
      </c>
      <c r="AB727" s="259" t="str">
        <v/>
      </c>
      <c r="AC727" s="259" t="str">
        <v/>
      </c>
      <c r="AD727" s="260" t="str">
        <v/>
      </c>
      <c r="AF727" s="80" t="str">
        <v/>
      </c>
      <c r="AG727" s="259" t="str">
        <v/>
      </c>
      <c r="AH727" s="259" t="str">
        <v/>
      </c>
      <c r="AI727" s="260" t="str">
        <v/>
      </c>
      <c r="AK727" s="80" t="str">
        <v/>
      </c>
      <c r="AL727" s="259" t="str">
        <v/>
      </c>
      <c r="AM727" s="259" t="str">
        <v/>
      </c>
      <c r="AN727" s="260" t="str">
        <v/>
      </c>
      <c r="AP727" s="80" t="str">
        <v/>
      </c>
      <c r="AQ727" s="259" t="str">
        <v/>
      </c>
      <c r="AR727" s="259" t="str">
        <v/>
      </c>
      <c r="AS727" s="260" t="str">
        <v/>
      </c>
      <c r="AT727" s="288"/>
      <c r="AU727" s="80" t="str">
        <v/>
      </c>
      <c r="AV727" s="259" t="str">
        <v/>
      </c>
      <c r="AW727" s="259" t="str">
        <v/>
      </c>
      <c r="AX727" s="260" t="str">
        <v/>
      </c>
      <c r="AZ727" s="80" t="str">
        <v/>
      </c>
      <c r="BA727" s="259" t="str">
        <v/>
      </c>
      <c r="BB727" s="259" t="str">
        <v/>
      </c>
      <c r="BC727" s="260" t="str">
        <v/>
      </c>
      <c r="BE727" s="80" t="str">
        <v/>
      </c>
      <c r="BF727" s="259" t="str">
        <v/>
      </c>
      <c r="BG727" s="259" t="str">
        <v/>
      </c>
      <c r="BH727" s="260" t="str">
        <v/>
      </c>
      <c r="BI727" s="288"/>
      <c r="BJ727" s="80" t="str">
        <v/>
      </c>
      <c r="BK727" s="259" t="str">
        <v/>
      </c>
      <c r="BL727" s="259" t="str">
        <v/>
      </c>
      <c r="BM727" s="260" t="str">
        <v/>
      </c>
      <c r="BO727" s="80" t="str">
        <v/>
      </c>
      <c r="BP727" s="259" t="str">
        <v/>
      </c>
      <c r="BQ727" s="259" t="str">
        <v/>
      </c>
      <c r="BR727" s="260" t="str">
        <v/>
      </c>
      <c r="BT727" s="80" t="str">
        <v/>
      </c>
      <c r="BU727" s="259" t="str">
        <v/>
      </c>
      <c r="BV727" s="259" t="str">
        <v/>
      </c>
      <c r="BW727" s="260" t="str">
        <v/>
      </c>
      <c r="BX727" s="288"/>
      <c r="CM727" s="96"/>
    </row>
    <row r="728" spans="2:91">
      <c r="B728" s="80">
        <v>90</v>
      </c>
      <c r="C728" s="259">
        <v>75</v>
      </c>
      <c r="D728" s="259">
        <v>1025</v>
      </c>
      <c r="E728" s="260">
        <v>14</v>
      </c>
      <c r="G728" s="80">
        <v>90</v>
      </c>
      <c r="H728" s="259">
        <v>75</v>
      </c>
      <c r="I728" s="259">
        <v>785</v>
      </c>
      <c r="J728" s="260">
        <v>14</v>
      </c>
      <c r="L728" s="80" t="str">
        <v/>
      </c>
      <c r="M728" s="259" t="str">
        <v/>
      </c>
      <c r="N728" s="259" t="str">
        <v/>
      </c>
      <c r="O728" s="260" t="str">
        <v/>
      </c>
      <c r="Q728" s="80" t="str">
        <v/>
      </c>
      <c r="R728" s="259" t="str">
        <v/>
      </c>
      <c r="S728" s="259" t="str">
        <v/>
      </c>
      <c r="T728" s="260" t="str">
        <v/>
      </c>
      <c r="V728" s="80" t="str">
        <v/>
      </c>
      <c r="W728" s="259" t="str">
        <v/>
      </c>
      <c r="X728" s="259" t="str">
        <v/>
      </c>
      <c r="Y728" s="260" t="str">
        <v/>
      </c>
      <c r="AA728" s="80" t="str">
        <v/>
      </c>
      <c r="AB728" s="259" t="str">
        <v/>
      </c>
      <c r="AC728" s="259" t="str">
        <v/>
      </c>
      <c r="AD728" s="260" t="str">
        <v/>
      </c>
      <c r="AF728" s="80" t="str">
        <v/>
      </c>
      <c r="AG728" s="259" t="str">
        <v/>
      </c>
      <c r="AH728" s="259" t="str">
        <v/>
      </c>
      <c r="AI728" s="260" t="str">
        <v/>
      </c>
      <c r="AK728" s="80" t="str">
        <v/>
      </c>
      <c r="AL728" s="259" t="str">
        <v/>
      </c>
      <c r="AM728" s="259" t="str">
        <v/>
      </c>
      <c r="AN728" s="260" t="str">
        <v/>
      </c>
      <c r="AP728" s="80" t="str">
        <v/>
      </c>
      <c r="AQ728" s="259" t="str">
        <v/>
      </c>
      <c r="AR728" s="259" t="str">
        <v/>
      </c>
      <c r="AS728" s="260" t="str">
        <v/>
      </c>
      <c r="AT728" s="288"/>
      <c r="AU728" s="80" t="str">
        <v/>
      </c>
      <c r="AV728" s="259" t="str">
        <v/>
      </c>
      <c r="AW728" s="259" t="str">
        <v/>
      </c>
      <c r="AX728" s="260" t="str">
        <v/>
      </c>
      <c r="AZ728" s="80" t="str">
        <v/>
      </c>
      <c r="BA728" s="259" t="str">
        <v/>
      </c>
      <c r="BB728" s="259" t="str">
        <v/>
      </c>
      <c r="BC728" s="260" t="str">
        <v/>
      </c>
      <c r="BE728" s="80" t="str">
        <v/>
      </c>
      <c r="BF728" s="259" t="str">
        <v/>
      </c>
      <c r="BG728" s="259" t="str">
        <v/>
      </c>
      <c r="BH728" s="260" t="str">
        <v/>
      </c>
      <c r="BI728" s="288"/>
      <c r="BJ728" s="80" t="str">
        <v/>
      </c>
      <c r="BK728" s="259" t="str">
        <v/>
      </c>
      <c r="BL728" s="259" t="str">
        <v/>
      </c>
      <c r="BM728" s="260" t="str">
        <v/>
      </c>
      <c r="BO728" s="80" t="str">
        <v/>
      </c>
      <c r="BP728" s="259" t="str">
        <v/>
      </c>
      <c r="BQ728" s="259" t="str">
        <v/>
      </c>
      <c r="BR728" s="260" t="str">
        <v/>
      </c>
      <c r="BT728" s="80" t="str">
        <v/>
      </c>
      <c r="BU728" s="259" t="str">
        <v/>
      </c>
      <c r="BV728" s="259" t="str">
        <v/>
      </c>
      <c r="BW728" s="260" t="str">
        <v/>
      </c>
      <c r="BX728" s="288"/>
      <c r="CM728" s="96"/>
    </row>
    <row r="729" spans="2:91">
      <c r="B729" s="80" t="str">
        <v/>
      </c>
      <c r="C729" s="259" t="str">
        <v/>
      </c>
      <c r="D729" s="259" t="str">
        <v/>
      </c>
      <c r="E729" s="260" t="str">
        <v/>
      </c>
      <c r="G729" s="80" t="str">
        <v/>
      </c>
      <c r="H729" s="259" t="str">
        <v/>
      </c>
      <c r="I729" s="259" t="str">
        <v/>
      </c>
      <c r="J729" s="260" t="str">
        <v/>
      </c>
      <c r="L729" s="80" t="str">
        <v/>
      </c>
      <c r="M729" s="259" t="str">
        <v/>
      </c>
      <c r="N729" s="259" t="str">
        <v/>
      </c>
      <c r="O729" s="260" t="str">
        <v/>
      </c>
      <c r="Q729" s="80" t="str">
        <v/>
      </c>
      <c r="R729" s="259" t="str">
        <v/>
      </c>
      <c r="S729" s="259" t="str">
        <v/>
      </c>
      <c r="T729" s="260" t="str">
        <v/>
      </c>
      <c r="V729" s="80" t="str">
        <v/>
      </c>
      <c r="W729" s="259" t="str">
        <v/>
      </c>
      <c r="X729" s="259" t="str">
        <v/>
      </c>
      <c r="Y729" s="260" t="str">
        <v/>
      </c>
      <c r="AA729" s="80" t="str">
        <v/>
      </c>
      <c r="AB729" s="259" t="str">
        <v/>
      </c>
      <c r="AC729" s="259" t="str">
        <v/>
      </c>
      <c r="AD729" s="260" t="str">
        <v/>
      </c>
      <c r="AF729" s="80" t="str">
        <v/>
      </c>
      <c r="AG729" s="259" t="str">
        <v/>
      </c>
      <c r="AH729" s="259" t="str">
        <v/>
      </c>
      <c r="AI729" s="260" t="str">
        <v/>
      </c>
      <c r="AK729" s="80" t="str">
        <v/>
      </c>
      <c r="AL729" s="259" t="str">
        <v/>
      </c>
      <c r="AM729" s="259" t="str">
        <v/>
      </c>
      <c r="AN729" s="260" t="str">
        <v/>
      </c>
      <c r="AP729" s="80" t="str">
        <v/>
      </c>
      <c r="AQ729" s="259" t="str">
        <v/>
      </c>
      <c r="AR729" s="259" t="str">
        <v/>
      </c>
      <c r="AS729" s="260" t="str">
        <v/>
      </c>
      <c r="AT729" s="288"/>
      <c r="AU729" s="80" t="str">
        <v/>
      </c>
      <c r="AV729" s="259" t="str">
        <v/>
      </c>
      <c r="AW729" s="259" t="str">
        <v/>
      </c>
      <c r="AX729" s="260" t="str">
        <v/>
      </c>
      <c r="AZ729" s="80" t="str">
        <v/>
      </c>
      <c r="BA729" s="259" t="str">
        <v/>
      </c>
      <c r="BB729" s="259" t="str">
        <v/>
      </c>
      <c r="BC729" s="260" t="str">
        <v/>
      </c>
      <c r="BE729" s="80" t="str">
        <v/>
      </c>
      <c r="BF729" s="259" t="str">
        <v/>
      </c>
      <c r="BG729" s="259" t="str">
        <v/>
      </c>
      <c r="BH729" s="260" t="str">
        <v/>
      </c>
      <c r="BI729" s="288"/>
      <c r="BJ729" s="80" t="str">
        <v/>
      </c>
      <c r="BK729" s="259" t="str">
        <v/>
      </c>
      <c r="BL729" s="259" t="str">
        <v/>
      </c>
      <c r="BM729" s="260" t="str">
        <v/>
      </c>
      <c r="BO729" s="80" t="str">
        <v/>
      </c>
      <c r="BP729" s="259" t="str">
        <v/>
      </c>
      <c r="BQ729" s="259" t="str">
        <v/>
      </c>
      <c r="BR729" s="260" t="str">
        <v/>
      </c>
      <c r="BT729" s="80" t="str">
        <v/>
      </c>
      <c r="BU729" s="259" t="str">
        <v/>
      </c>
      <c r="BV729" s="259" t="str">
        <v/>
      </c>
      <c r="BW729" s="260" t="str">
        <v/>
      </c>
      <c r="BX729" s="288"/>
      <c r="CM729" s="96"/>
    </row>
    <row r="730" spans="2:91">
      <c r="B730" s="80" t="str">
        <v/>
      </c>
      <c r="C730" s="259" t="str">
        <v/>
      </c>
      <c r="D730" s="259" t="str">
        <v/>
      </c>
      <c r="E730" s="260" t="str">
        <v/>
      </c>
      <c r="G730" s="80" t="str">
        <v/>
      </c>
      <c r="H730" s="259" t="str">
        <v/>
      </c>
      <c r="I730" s="259" t="str">
        <v/>
      </c>
      <c r="J730" s="260" t="str">
        <v/>
      </c>
      <c r="L730" s="80" t="str">
        <v/>
      </c>
      <c r="M730" s="259" t="str">
        <v/>
      </c>
      <c r="N730" s="259" t="str">
        <v/>
      </c>
      <c r="O730" s="260" t="str">
        <v/>
      </c>
      <c r="Q730" s="80" t="str">
        <v/>
      </c>
      <c r="R730" s="259" t="str">
        <v/>
      </c>
      <c r="S730" s="259" t="str">
        <v/>
      </c>
      <c r="T730" s="260" t="str">
        <v/>
      </c>
      <c r="V730" s="80" t="str">
        <v/>
      </c>
      <c r="W730" s="259" t="str">
        <v/>
      </c>
      <c r="X730" s="259" t="str">
        <v/>
      </c>
      <c r="Y730" s="260" t="str">
        <v/>
      </c>
      <c r="AA730" s="80" t="str">
        <v/>
      </c>
      <c r="AB730" s="259" t="str">
        <v/>
      </c>
      <c r="AC730" s="259" t="str">
        <v/>
      </c>
      <c r="AD730" s="260" t="str">
        <v/>
      </c>
      <c r="AF730" s="80" t="str">
        <v/>
      </c>
      <c r="AG730" s="259" t="str">
        <v/>
      </c>
      <c r="AH730" s="259" t="str">
        <v/>
      </c>
      <c r="AI730" s="260" t="str">
        <v/>
      </c>
      <c r="AK730" s="80" t="str">
        <v/>
      </c>
      <c r="AL730" s="259" t="str">
        <v/>
      </c>
      <c r="AM730" s="259" t="str">
        <v/>
      </c>
      <c r="AN730" s="260" t="str">
        <v/>
      </c>
      <c r="AP730" s="80" t="str">
        <v/>
      </c>
      <c r="AQ730" s="259" t="str">
        <v/>
      </c>
      <c r="AR730" s="259" t="str">
        <v/>
      </c>
      <c r="AS730" s="260" t="str">
        <v/>
      </c>
      <c r="AT730" s="288"/>
      <c r="AU730" s="80" t="str">
        <v/>
      </c>
      <c r="AV730" s="259" t="str">
        <v/>
      </c>
      <c r="AW730" s="259" t="str">
        <v/>
      </c>
      <c r="AX730" s="260" t="str">
        <v/>
      </c>
      <c r="AZ730" s="80" t="str">
        <v/>
      </c>
      <c r="BA730" s="259" t="str">
        <v/>
      </c>
      <c r="BB730" s="259" t="str">
        <v/>
      </c>
      <c r="BC730" s="260" t="str">
        <v/>
      </c>
      <c r="BE730" s="80" t="str">
        <v/>
      </c>
      <c r="BF730" s="259" t="str">
        <v/>
      </c>
      <c r="BG730" s="259" t="str">
        <v/>
      </c>
      <c r="BH730" s="260" t="str">
        <v/>
      </c>
      <c r="BI730" s="288"/>
      <c r="BJ730" s="80" t="str">
        <v/>
      </c>
      <c r="BK730" s="259" t="str">
        <v/>
      </c>
      <c r="BL730" s="259" t="str">
        <v/>
      </c>
      <c r="BM730" s="260" t="str">
        <v/>
      </c>
      <c r="BO730" s="80" t="str">
        <v/>
      </c>
      <c r="BP730" s="259" t="str">
        <v/>
      </c>
      <c r="BQ730" s="259" t="str">
        <v/>
      </c>
      <c r="BR730" s="260" t="str">
        <v/>
      </c>
      <c r="BT730" s="80" t="str">
        <v/>
      </c>
      <c r="BU730" s="259" t="str">
        <v/>
      </c>
      <c r="BV730" s="259" t="str">
        <v/>
      </c>
      <c r="BW730" s="260" t="str">
        <v/>
      </c>
      <c r="BX730" s="288"/>
      <c r="CM730" s="96"/>
    </row>
    <row r="731" spans="2:91">
      <c r="B731" s="80" t="str">
        <v/>
      </c>
      <c r="C731" s="259" t="str">
        <v/>
      </c>
      <c r="D731" s="259" t="str">
        <v/>
      </c>
      <c r="E731" s="260" t="str">
        <v/>
      </c>
      <c r="G731" s="80" t="str">
        <v/>
      </c>
      <c r="H731" s="259" t="str">
        <v/>
      </c>
      <c r="I731" s="259" t="str">
        <v/>
      </c>
      <c r="J731" s="260" t="str">
        <v/>
      </c>
      <c r="L731" s="80" t="str">
        <v/>
      </c>
      <c r="M731" s="259" t="str">
        <v/>
      </c>
      <c r="N731" s="259" t="str">
        <v/>
      </c>
      <c r="O731" s="260" t="str">
        <v/>
      </c>
      <c r="Q731" s="80" t="str">
        <v/>
      </c>
      <c r="R731" s="259" t="str">
        <v/>
      </c>
      <c r="S731" s="259" t="str">
        <v/>
      </c>
      <c r="T731" s="260" t="str">
        <v/>
      </c>
      <c r="V731" s="80" t="str">
        <v/>
      </c>
      <c r="W731" s="259" t="str">
        <v/>
      </c>
      <c r="X731" s="259" t="str">
        <v/>
      </c>
      <c r="Y731" s="260" t="str">
        <v/>
      </c>
      <c r="AA731" s="80" t="str">
        <v/>
      </c>
      <c r="AB731" s="259" t="str">
        <v/>
      </c>
      <c r="AC731" s="259" t="str">
        <v/>
      </c>
      <c r="AD731" s="260" t="str">
        <v/>
      </c>
      <c r="AF731" s="80" t="str">
        <v/>
      </c>
      <c r="AG731" s="259" t="str">
        <v/>
      </c>
      <c r="AH731" s="259" t="str">
        <v/>
      </c>
      <c r="AI731" s="260" t="str">
        <v/>
      </c>
      <c r="AK731" s="80" t="str">
        <v/>
      </c>
      <c r="AL731" s="259" t="str">
        <v/>
      </c>
      <c r="AM731" s="259" t="str">
        <v/>
      </c>
      <c r="AN731" s="260" t="str">
        <v/>
      </c>
      <c r="AP731" s="80" t="str">
        <v/>
      </c>
      <c r="AQ731" s="259" t="str">
        <v/>
      </c>
      <c r="AR731" s="259" t="str">
        <v/>
      </c>
      <c r="AS731" s="260" t="str">
        <v/>
      </c>
      <c r="AT731" s="288"/>
      <c r="AU731" s="80" t="str">
        <v/>
      </c>
      <c r="AV731" s="259" t="str">
        <v/>
      </c>
      <c r="AW731" s="259" t="str">
        <v/>
      </c>
      <c r="AX731" s="260" t="str">
        <v/>
      </c>
      <c r="AZ731" s="80" t="str">
        <v/>
      </c>
      <c r="BA731" s="259" t="str">
        <v/>
      </c>
      <c r="BB731" s="259" t="str">
        <v/>
      </c>
      <c r="BC731" s="260" t="str">
        <v/>
      </c>
      <c r="BE731" s="80" t="str">
        <v/>
      </c>
      <c r="BF731" s="259" t="str">
        <v/>
      </c>
      <c r="BG731" s="259" t="str">
        <v/>
      </c>
      <c r="BH731" s="260" t="str">
        <v/>
      </c>
      <c r="BI731" s="288"/>
      <c r="BJ731" s="80" t="str">
        <v/>
      </c>
      <c r="BK731" s="259" t="str">
        <v/>
      </c>
      <c r="BL731" s="259" t="str">
        <v/>
      </c>
      <c r="BM731" s="260" t="str">
        <v/>
      </c>
      <c r="BO731" s="80" t="str">
        <v/>
      </c>
      <c r="BP731" s="259" t="str">
        <v/>
      </c>
      <c r="BQ731" s="259" t="str">
        <v/>
      </c>
      <c r="BR731" s="260" t="str">
        <v/>
      </c>
      <c r="BT731" s="80" t="str">
        <v/>
      </c>
      <c r="BU731" s="259" t="str">
        <v/>
      </c>
      <c r="BV731" s="259" t="str">
        <v/>
      </c>
      <c r="BW731" s="260" t="str">
        <v/>
      </c>
      <c r="BX731" s="288"/>
      <c r="CM731" s="96"/>
    </row>
    <row r="732" spans="2:91">
      <c r="B732" s="80" t="str">
        <v/>
      </c>
      <c r="C732" s="259" t="str">
        <v/>
      </c>
      <c r="D732" s="259" t="str">
        <v/>
      </c>
      <c r="E732" s="260" t="str">
        <v/>
      </c>
      <c r="G732" s="80" t="str">
        <v/>
      </c>
      <c r="H732" s="259" t="str">
        <v/>
      </c>
      <c r="I732" s="259" t="str">
        <v/>
      </c>
      <c r="J732" s="260" t="str">
        <v/>
      </c>
      <c r="L732" s="80" t="str">
        <v/>
      </c>
      <c r="M732" s="259" t="str">
        <v/>
      </c>
      <c r="N732" s="259" t="str">
        <v/>
      </c>
      <c r="O732" s="260" t="str">
        <v/>
      </c>
      <c r="Q732" s="80" t="str">
        <v/>
      </c>
      <c r="R732" s="259" t="str">
        <v/>
      </c>
      <c r="S732" s="259" t="str">
        <v/>
      </c>
      <c r="T732" s="260" t="str">
        <v/>
      </c>
      <c r="V732" s="80" t="str">
        <v/>
      </c>
      <c r="W732" s="259" t="str">
        <v/>
      </c>
      <c r="X732" s="259" t="str">
        <v/>
      </c>
      <c r="Y732" s="260" t="str">
        <v/>
      </c>
      <c r="AA732" s="80" t="str">
        <v/>
      </c>
      <c r="AB732" s="259" t="str">
        <v/>
      </c>
      <c r="AC732" s="259" t="str">
        <v/>
      </c>
      <c r="AD732" s="260" t="str">
        <v/>
      </c>
      <c r="AF732" s="80" t="str">
        <v/>
      </c>
      <c r="AG732" s="259" t="str">
        <v/>
      </c>
      <c r="AH732" s="259" t="str">
        <v/>
      </c>
      <c r="AI732" s="260" t="str">
        <v/>
      </c>
      <c r="AK732" s="80" t="str">
        <v/>
      </c>
      <c r="AL732" s="259" t="str">
        <v/>
      </c>
      <c r="AM732" s="259" t="str">
        <v/>
      </c>
      <c r="AN732" s="260" t="str">
        <v/>
      </c>
      <c r="AP732" s="80" t="str">
        <v/>
      </c>
      <c r="AQ732" s="259" t="str">
        <v/>
      </c>
      <c r="AR732" s="259" t="str">
        <v/>
      </c>
      <c r="AS732" s="260" t="str">
        <v/>
      </c>
      <c r="AT732" s="288"/>
      <c r="AU732" s="80" t="str">
        <v/>
      </c>
      <c r="AV732" s="259" t="str">
        <v/>
      </c>
      <c r="AW732" s="259" t="str">
        <v/>
      </c>
      <c r="AX732" s="260" t="str">
        <v/>
      </c>
      <c r="AZ732" s="80" t="str">
        <v/>
      </c>
      <c r="BA732" s="259" t="str">
        <v/>
      </c>
      <c r="BB732" s="259" t="str">
        <v/>
      </c>
      <c r="BC732" s="260" t="str">
        <v/>
      </c>
      <c r="BE732" s="80" t="str">
        <v/>
      </c>
      <c r="BF732" s="259" t="str">
        <v/>
      </c>
      <c r="BG732" s="259" t="str">
        <v/>
      </c>
      <c r="BH732" s="260" t="str">
        <v/>
      </c>
      <c r="BI732" s="288"/>
      <c r="BJ732" s="80" t="str">
        <v/>
      </c>
      <c r="BK732" s="259" t="str">
        <v/>
      </c>
      <c r="BL732" s="259" t="str">
        <v/>
      </c>
      <c r="BM732" s="260" t="str">
        <v/>
      </c>
      <c r="BO732" s="80" t="str">
        <v/>
      </c>
      <c r="BP732" s="259" t="str">
        <v/>
      </c>
      <c r="BQ732" s="259" t="str">
        <v/>
      </c>
      <c r="BR732" s="260" t="str">
        <v/>
      </c>
      <c r="BT732" s="80" t="str">
        <v/>
      </c>
      <c r="BU732" s="259" t="str">
        <v/>
      </c>
      <c r="BV732" s="259" t="str">
        <v/>
      </c>
      <c r="BW732" s="260" t="str">
        <v/>
      </c>
      <c r="BX732" s="288"/>
      <c r="CM732" s="96"/>
    </row>
    <row r="733" spans="2:91">
      <c r="B733" s="80" t="str">
        <v/>
      </c>
      <c r="C733" s="259" t="str">
        <v/>
      </c>
      <c r="D733" s="259" t="str">
        <v/>
      </c>
      <c r="E733" s="260" t="str">
        <v/>
      </c>
      <c r="G733" s="80" t="str">
        <v/>
      </c>
      <c r="H733" s="259" t="str">
        <v/>
      </c>
      <c r="I733" s="259" t="str">
        <v/>
      </c>
      <c r="J733" s="260" t="str">
        <v/>
      </c>
      <c r="L733" s="80" t="str">
        <v/>
      </c>
      <c r="M733" s="259" t="str">
        <v/>
      </c>
      <c r="N733" s="259" t="str">
        <v/>
      </c>
      <c r="O733" s="260" t="str">
        <v/>
      </c>
      <c r="Q733" s="80" t="str">
        <v/>
      </c>
      <c r="R733" s="259" t="str">
        <v/>
      </c>
      <c r="S733" s="259" t="str">
        <v/>
      </c>
      <c r="T733" s="260" t="str">
        <v/>
      </c>
      <c r="V733" s="80" t="str">
        <v/>
      </c>
      <c r="W733" s="259" t="str">
        <v/>
      </c>
      <c r="X733" s="259" t="str">
        <v/>
      </c>
      <c r="Y733" s="260" t="str">
        <v/>
      </c>
      <c r="AA733" s="80" t="str">
        <v/>
      </c>
      <c r="AB733" s="259" t="str">
        <v/>
      </c>
      <c r="AC733" s="259" t="str">
        <v/>
      </c>
      <c r="AD733" s="260" t="str">
        <v/>
      </c>
      <c r="AF733" s="80" t="str">
        <v/>
      </c>
      <c r="AG733" s="259" t="str">
        <v/>
      </c>
      <c r="AH733" s="259" t="str">
        <v/>
      </c>
      <c r="AI733" s="260" t="str">
        <v/>
      </c>
      <c r="AK733" s="80" t="str">
        <v/>
      </c>
      <c r="AL733" s="259" t="str">
        <v/>
      </c>
      <c r="AM733" s="259" t="str">
        <v/>
      </c>
      <c r="AN733" s="260" t="str">
        <v/>
      </c>
      <c r="AP733" s="80" t="str">
        <v/>
      </c>
      <c r="AQ733" s="259" t="str">
        <v/>
      </c>
      <c r="AR733" s="259" t="str">
        <v/>
      </c>
      <c r="AS733" s="260" t="str">
        <v/>
      </c>
      <c r="AT733" s="288"/>
      <c r="AU733" s="80" t="str">
        <v/>
      </c>
      <c r="AV733" s="259" t="str">
        <v/>
      </c>
      <c r="AW733" s="259" t="str">
        <v/>
      </c>
      <c r="AX733" s="260" t="str">
        <v/>
      </c>
      <c r="AZ733" s="80" t="str">
        <v/>
      </c>
      <c r="BA733" s="259" t="str">
        <v/>
      </c>
      <c r="BB733" s="259" t="str">
        <v/>
      </c>
      <c r="BC733" s="260" t="str">
        <v/>
      </c>
      <c r="BE733" s="80" t="str">
        <v/>
      </c>
      <c r="BF733" s="259" t="str">
        <v/>
      </c>
      <c r="BG733" s="259" t="str">
        <v/>
      </c>
      <c r="BH733" s="260" t="str">
        <v/>
      </c>
      <c r="BI733" s="288"/>
      <c r="BJ733" s="80" t="str">
        <v/>
      </c>
      <c r="BK733" s="259" t="str">
        <v/>
      </c>
      <c r="BL733" s="259" t="str">
        <v/>
      </c>
      <c r="BM733" s="260" t="str">
        <v/>
      </c>
      <c r="BO733" s="80" t="str">
        <v/>
      </c>
      <c r="BP733" s="259" t="str">
        <v/>
      </c>
      <c r="BQ733" s="259" t="str">
        <v/>
      </c>
      <c r="BR733" s="260" t="str">
        <v/>
      </c>
      <c r="BT733" s="80" t="str">
        <v/>
      </c>
      <c r="BU733" s="259" t="str">
        <v/>
      </c>
      <c r="BV733" s="259" t="str">
        <v/>
      </c>
      <c r="BW733" s="260" t="str">
        <v/>
      </c>
      <c r="BX733" s="288"/>
      <c r="CM733" s="96"/>
    </row>
    <row r="734" spans="2:91">
      <c r="B734" s="80" t="str">
        <v/>
      </c>
      <c r="C734" s="259" t="str">
        <v/>
      </c>
      <c r="D734" s="259" t="str">
        <v/>
      </c>
      <c r="E734" s="260" t="str">
        <v/>
      </c>
      <c r="G734" s="80" t="str">
        <v/>
      </c>
      <c r="H734" s="259" t="str">
        <v/>
      </c>
      <c r="I734" s="259" t="str">
        <v/>
      </c>
      <c r="J734" s="260" t="str">
        <v/>
      </c>
      <c r="L734" s="80" t="str">
        <v/>
      </c>
      <c r="M734" s="259" t="str">
        <v/>
      </c>
      <c r="N734" s="259" t="str">
        <v/>
      </c>
      <c r="O734" s="260" t="str">
        <v/>
      </c>
      <c r="Q734" s="80" t="str">
        <v/>
      </c>
      <c r="R734" s="259" t="str">
        <v/>
      </c>
      <c r="S734" s="259" t="str">
        <v/>
      </c>
      <c r="T734" s="260" t="str">
        <v/>
      </c>
      <c r="V734" s="80" t="str">
        <v/>
      </c>
      <c r="W734" s="259" t="str">
        <v/>
      </c>
      <c r="X734" s="259" t="str">
        <v/>
      </c>
      <c r="Y734" s="260" t="str">
        <v/>
      </c>
      <c r="AA734" s="80" t="str">
        <v/>
      </c>
      <c r="AB734" s="259" t="str">
        <v/>
      </c>
      <c r="AC734" s="259" t="str">
        <v/>
      </c>
      <c r="AD734" s="260" t="str">
        <v/>
      </c>
      <c r="AF734" s="80" t="str">
        <v/>
      </c>
      <c r="AG734" s="259" t="str">
        <v/>
      </c>
      <c r="AH734" s="259" t="str">
        <v/>
      </c>
      <c r="AI734" s="260" t="str">
        <v/>
      </c>
      <c r="AK734" s="80" t="str">
        <v/>
      </c>
      <c r="AL734" s="259" t="str">
        <v/>
      </c>
      <c r="AM734" s="259" t="str">
        <v/>
      </c>
      <c r="AN734" s="260" t="str">
        <v/>
      </c>
      <c r="AP734" s="80" t="str">
        <v/>
      </c>
      <c r="AQ734" s="259" t="str">
        <v/>
      </c>
      <c r="AR734" s="259" t="str">
        <v/>
      </c>
      <c r="AS734" s="260" t="str">
        <v/>
      </c>
      <c r="AT734" s="288"/>
      <c r="AU734" s="80" t="str">
        <v/>
      </c>
      <c r="AV734" s="259" t="str">
        <v/>
      </c>
      <c r="AW734" s="259" t="str">
        <v/>
      </c>
      <c r="AX734" s="260" t="str">
        <v/>
      </c>
      <c r="AZ734" s="80" t="str">
        <v/>
      </c>
      <c r="BA734" s="259" t="str">
        <v/>
      </c>
      <c r="BB734" s="259" t="str">
        <v/>
      </c>
      <c r="BC734" s="260" t="str">
        <v/>
      </c>
      <c r="BE734" s="80" t="str">
        <v/>
      </c>
      <c r="BF734" s="259" t="str">
        <v/>
      </c>
      <c r="BG734" s="259" t="str">
        <v/>
      </c>
      <c r="BH734" s="260" t="str">
        <v/>
      </c>
      <c r="BI734" s="288"/>
      <c r="BJ734" s="80" t="str">
        <v/>
      </c>
      <c r="BK734" s="259" t="str">
        <v/>
      </c>
      <c r="BL734" s="259" t="str">
        <v/>
      </c>
      <c r="BM734" s="260" t="str">
        <v/>
      </c>
      <c r="BO734" s="80" t="str">
        <v/>
      </c>
      <c r="BP734" s="259" t="str">
        <v/>
      </c>
      <c r="BQ734" s="259" t="str">
        <v/>
      </c>
      <c r="BR734" s="260" t="str">
        <v/>
      </c>
      <c r="BT734" s="80" t="str">
        <v/>
      </c>
      <c r="BU734" s="259" t="str">
        <v/>
      </c>
      <c r="BV734" s="259" t="str">
        <v/>
      </c>
      <c r="BW734" s="260" t="str">
        <v/>
      </c>
      <c r="BX734" s="288"/>
      <c r="CM734" s="96"/>
    </row>
    <row r="735" spans="2:91">
      <c r="B735" s="80" t="str">
        <v/>
      </c>
      <c r="C735" s="259" t="str">
        <v/>
      </c>
      <c r="D735" s="259" t="str">
        <v/>
      </c>
      <c r="E735" s="260" t="str">
        <v/>
      </c>
      <c r="G735" s="80" t="str">
        <v/>
      </c>
      <c r="H735" s="259" t="str">
        <v/>
      </c>
      <c r="I735" s="259" t="str">
        <v/>
      </c>
      <c r="J735" s="260" t="str">
        <v/>
      </c>
      <c r="L735" s="80" t="str">
        <v/>
      </c>
      <c r="M735" s="259" t="str">
        <v/>
      </c>
      <c r="N735" s="259" t="str">
        <v/>
      </c>
      <c r="O735" s="260" t="str">
        <v/>
      </c>
      <c r="Q735" s="80" t="str">
        <v/>
      </c>
      <c r="R735" s="259" t="str">
        <v/>
      </c>
      <c r="S735" s="259" t="str">
        <v/>
      </c>
      <c r="T735" s="260" t="str">
        <v/>
      </c>
      <c r="V735" s="80" t="str">
        <v/>
      </c>
      <c r="W735" s="259" t="str">
        <v/>
      </c>
      <c r="X735" s="259" t="str">
        <v/>
      </c>
      <c r="Y735" s="260" t="str">
        <v/>
      </c>
      <c r="AA735" s="80" t="str">
        <v/>
      </c>
      <c r="AB735" s="259" t="str">
        <v/>
      </c>
      <c r="AC735" s="259" t="str">
        <v/>
      </c>
      <c r="AD735" s="260" t="str">
        <v/>
      </c>
      <c r="AF735" s="80" t="str">
        <v/>
      </c>
      <c r="AG735" s="259" t="str">
        <v/>
      </c>
      <c r="AH735" s="259" t="str">
        <v/>
      </c>
      <c r="AI735" s="260" t="str">
        <v/>
      </c>
      <c r="AK735" s="80" t="str">
        <v/>
      </c>
      <c r="AL735" s="259" t="str">
        <v/>
      </c>
      <c r="AM735" s="259" t="str">
        <v/>
      </c>
      <c r="AN735" s="260" t="str">
        <v/>
      </c>
      <c r="AP735" s="80" t="str">
        <v/>
      </c>
      <c r="AQ735" s="259" t="str">
        <v/>
      </c>
      <c r="AR735" s="259" t="str">
        <v/>
      </c>
      <c r="AS735" s="260" t="str">
        <v/>
      </c>
      <c r="AT735" s="288"/>
      <c r="AU735" s="80" t="str">
        <v/>
      </c>
      <c r="AV735" s="259" t="str">
        <v/>
      </c>
      <c r="AW735" s="259" t="str">
        <v/>
      </c>
      <c r="AX735" s="260" t="str">
        <v/>
      </c>
      <c r="AZ735" s="80" t="str">
        <v/>
      </c>
      <c r="BA735" s="259" t="str">
        <v/>
      </c>
      <c r="BB735" s="259" t="str">
        <v/>
      </c>
      <c r="BC735" s="260" t="str">
        <v/>
      </c>
      <c r="BE735" s="80" t="str">
        <v/>
      </c>
      <c r="BF735" s="259" t="str">
        <v/>
      </c>
      <c r="BG735" s="259" t="str">
        <v/>
      </c>
      <c r="BH735" s="260" t="str">
        <v/>
      </c>
      <c r="BI735" s="288"/>
      <c r="BJ735" s="80" t="str">
        <v/>
      </c>
      <c r="BK735" s="259" t="str">
        <v/>
      </c>
      <c r="BL735" s="259" t="str">
        <v/>
      </c>
      <c r="BM735" s="260" t="str">
        <v/>
      </c>
      <c r="BO735" s="80" t="str">
        <v/>
      </c>
      <c r="BP735" s="259" t="str">
        <v/>
      </c>
      <c r="BQ735" s="259" t="str">
        <v/>
      </c>
      <c r="BR735" s="260" t="str">
        <v/>
      </c>
      <c r="BT735" s="80" t="str">
        <v/>
      </c>
      <c r="BU735" s="259" t="str">
        <v/>
      </c>
      <c r="BV735" s="259" t="str">
        <v/>
      </c>
      <c r="BW735" s="260" t="str">
        <v/>
      </c>
      <c r="BX735" s="288"/>
      <c r="CM735" s="96"/>
    </row>
    <row r="736" spans="2:91">
      <c r="B736" s="80" t="str">
        <v/>
      </c>
      <c r="C736" s="259" t="str">
        <v/>
      </c>
      <c r="D736" s="259" t="str">
        <v/>
      </c>
      <c r="E736" s="260" t="str">
        <v/>
      </c>
      <c r="G736" s="80" t="str">
        <v/>
      </c>
      <c r="H736" s="259" t="str">
        <v/>
      </c>
      <c r="I736" s="259" t="str">
        <v/>
      </c>
      <c r="J736" s="260" t="str">
        <v/>
      </c>
      <c r="L736" s="80" t="str">
        <v/>
      </c>
      <c r="M736" s="259" t="str">
        <v/>
      </c>
      <c r="N736" s="259" t="str">
        <v/>
      </c>
      <c r="O736" s="260" t="str">
        <v/>
      </c>
      <c r="Q736" s="80" t="str">
        <v/>
      </c>
      <c r="R736" s="259" t="str">
        <v/>
      </c>
      <c r="S736" s="259" t="str">
        <v/>
      </c>
      <c r="T736" s="260" t="str">
        <v/>
      </c>
      <c r="V736" s="80" t="str">
        <v/>
      </c>
      <c r="W736" s="259" t="str">
        <v/>
      </c>
      <c r="X736" s="259" t="str">
        <v/>
      </c>
      <c r="Y736" s="260" t="str">
        <v/>
      </c>
      <c r="AA736" s="80" t="str">
        <v/>
      </c>
      <c r="AB736" s="259" t="str">
        <v/>
      </c>
      <c r="AC736" s="259" t="str">
        <v/>
      </c>
      <c r="AD736" s="260" t="str">
        <v/>
      </c>
      <c r="AF736" s="80" t="str">
        <v/>
      </c>
      <c r="AG736" s="259" t="str">
        <v/>
      </c>
      <c r="AH736" s="259" t="str">
        <v/>
      </c>
      <c r="AI736" s="260" t="str">
        <v/>
      </c>
      <c r="AK736" s="80" t="str">
        <v/>
      </c>
      <c r="AL736" s="259" t="str">
        <v/>
      </c>
      <c r="AM736" s="259" t="str">
        <v/>
      </c>
      <c r="AN736" s="260" t="str">
        <v/>
      </c>
      <c r="AP736" s="80" t="str">
        <v/>
      </c>
      <c r="AQ736" s="259" t="str">
        <v/>
      </c>
      <c r="AR736" s="259" t="str">
        <v/>
      </c>
      <c r="AS736" s="260" t="str">
        <v/>
      </c>
      <c r="AT736" s="288"/>
      <c r="AU736" s="80" t="str">
        <v/>
      </c>
      <c r="AV736" s="259" t="str">
        <v/>
      </c>
      <c r="AW736" s="259" t="str">
        <v/>
      </c>
      <c r="AX736" s="260" t="str">
        <v/>
      </c>
      <c r="AZ736" s="80" t="str">
        <v/>
      </c>
      <c r="BA736" s="259" t="str">
        <v/>
      </c>
      <c r="BB736" s="259" t="str">
        <v/>
      </c>
      <c r="BC736" s="260" t="str">
        <v/>
      </c>
      <c r="BE736" s="80" t="str">
        <v/>
      </c>
      <c r="BF736" s="259" t="str">
        <v/>
      </c>
      <c r="BG736" s="259" t="str">
        <v/>
      </c>
      <c r="BH736" s="260" t="str">
        <v/>
      </c>
      <c r="BI736" s="288"/>
      <c r="BJ736" s="80" t="str">
        <v/>
      </c>
      <c r="BK736" s="259" t="str">
        <v/>
      </c>
      <c r="BL736" s="259" t="str">
        <v/>
      </c>
      <c r="BM736" s="260" t="str">
        <v/>
      </c>
      <c r="BO736" s="80" t="str">
        <v/>
      </c>
      <c r="BP736" s="259" t="str">
        <v/>
      </c>
      <c r="BQ736" s="259" t="str">
        <v/>
      </c>
      <c r="BR736" s="260" t="str">
        <v/>
      </c>
      <c r="BT736" s="80" t="str">
        <v/>
      </c>
      <c r="BU736" s="259" t="str">
        <v/>
      </c>
      <c r="BV736" s="259" t="str">
        <v/>
      </c>
      <c r="BW736" s="260" t="str">
        <v/>
      </c>
      <c r="BX736" s="288"/>
      <c r="CM736" s="96"/>
    </row>
    <row r="737" spans="1:91">
      <c r="B737" s="80" t="str">
        <v/>
      </c>
      <c r="C737" s="259" t="str">
        <v/>
      </c>
      <c r="D737" s="259" t="str">
        <v/>
      </c>
      <c r="E737" s="260" t="str">
        <v/>
      </c>
      <c r="G737" s="80" t="str">
        <v/>
      </c>
      <c r="H737" s="259" t="str">
        <v/>
      </c>
      <c r="I737" s="259" t="str">
        <v/>
      </c>
      <c r="J737" s="260" t="str">
        <v/>
      </c>
      <c r="L737" s="80" t="str">
        <v/>
      </c>
      <c r="M737" s="259" t="str">
        <v/>
      </c>
      <c r="N737" s="259" t="str">
        <v/>
      </c>
      <c r="O737" s="260" t="str">
        <v/>
      </c>
      <c r="Q737" s="80" t="str">
        <v/>
      </c>
      <c r="R737" s="259" t="str">
        <v/>
      </c>
      <c r="S737" s="259" t="str">
        <v/>
      </c>
      <c r="T737" s="260" t="str">
        <v/>
      </c>
      <c r="V737" s="80" t="str">
        <v/>
      </c>
      <c r="W737" s="259" t="str">
        <v/>
      </c>
      <c r="X737" s="259" t="str">
        <v/>
      </c>
      <c r="Y737" s="260" t="str">
        <v/>
      </c>
      <c r="AA737" s="80" t="str">
        <v/>
      </c>
      <c r="AB737" s="259" t="str">
        <v/>
      </c>
      <c r="AC737" s="259" t="str">
        <v/>
      </c>
      <c r="AD737" s="260" t="str">
        <v/>
      </c>
      <c r="AF737" s="80" t="str">
        <v/>
      </c>
      <c r="AG737" s="259" t="str">
        <v/>
      </c>
      <c r="AH737" s="259" t="str">
        <v/>
      </c>
      <c r="AI737" s="260" t="str">
        <v/>
      </c>
      <c r="AK737" s="80" t="str">
        <v/>
      </c>
      <c r="AL737" s="259" t="str">
        <v/>
      </c>
      <c r="AM737" s="259" t="str">
        <v/>
      </c>
      <c r="AN737" s="260" t="str">
        <v/>
      </c>
      <c r="AP737" s="80" t="str">
        <v/>
      </c>
      <c r="AQ737" s="259" t="str">
        <v/>
      </c>
      <c r="AR737" s="259" t="str">
        <v/>
      </c>
      <c r="AS737" s="260" t="str">
        <v/>
      </c>
      <c r="AT737" s="288"/>
      <c r="AU737" s="80" t="str">
        <v/>
      </c>
      <c r="AV737" s="259" t="str">
        <v/>
      </c>
      <c r="AW737" s="259" t="str">
        <v/>
      </c>
      <c r="AX737" s="260" t="str">
        <v/>
      </c>
      <c r="AZ737" s="80" t="str">
        <v/>
      </c>
      <c r="BA737" s="259" t="str">
        <v/>
      </c>
      <c r="BB737" s="259" t="str">
        <v/>
      </c>
      <c r="BC737" s="260" t="str">
        <v/>
      </c>
      <c r="BE737" s="80" t="str">
        <v/>
      </c>
      <c r="BF737" s="259" t="str">
        <v/>
      </c>
      <c r="BG737" s="259" t="str">
        <v/>
      </c>
      <c r="BH737" s="260" t="str">
        <v/>
      </c>
      <c r="BI737" s="288"/>
      <c r="BJ737" s="80" t="str">
        <v/>
      </c>
      <c r="BK737" s="259" t="str">
        <v/>
      </c>
      <c r="BL737" s="259" t="str">
        <v/>
      </c>
      <c r="BM737" s="260" t="str">
        <v/>
      </c>
      <c r="BO737" s="80" t="str">
        <v/>
      </c>
      <c r="BP737" s="259" t="str">
        <v/>
      </c>
      <c r="BQ737" s="259" t="str">
        <v/>
      </c>
      <c r="BR737" s="260" t="str">
        <v/>
      </c>
      <c r="BT737" s="80" t="str">
        <v/>
      </c>
      <c r="BU737" s="259" t="str">
        <v/>
      </c>
      <c r="BV737" s="259" t="str">
        <v/>
      </c>
      <c r="BW737" s="260" t="str">
        <v/>
      </c>
      <c r="BX737" s="288"/>
      <c r="CM737" s="96"/>
    </row>
    <row r="738" spans="1:91">
      <c r="B738" s="80" t="str">
        <v/>
      </c>
      <c r="C738" s="259" t="str">
        <v/>
      </c>
      <c r="D738" s="259" t="str">
        <v/>
      </c>
      <c r="E738" s="260" t="str">
        <v/>
      </c>
      <c r="G738" s="80" t="str">
        <v/>
      </c>
      <c r="H738" s="259" t="str">
        <v/>
      </c>
      <c r="I738" s="259" t="str">
        <v/>
      </c>
      <c r="J738" s="260" t="str">
        <v/>
      </c>
      <c r="L738" s="80" t="str">
        <v/>
      </c>
      <c r="M738" s="259" t="str">
        <v/>
      </c>
      <c r="N738" s="259" t="str">
        <v/>
      </c>
      <c r="O738" s="260" t="str">
        <v/>
      </c>
      <c r="Q738" s="80" t="str">
        <v/>
      </c>
      <c r="R738" s="259" t="str">
        <v/>
      </c>
      <c r="S738" s="259" t="str">
        <v/>
      </c>
      <c r="T738" s="260" t="str">
        <v/>
      </c>
      <c r="V738" s="80" t="str">
        <v/>
      </c>
      <c r="W738" s="259" t="str">
        <v/>
      </c>
      <c r="X738" s="259" t="str">
        <v/>
      </c>
      <c r="Y738" s="260" t="str">
        <v/>
      </c>
      <c r="AA738" s="80" t="str">
        <v/>
      </c>
      <c r="AB738" s="259" t="str">
        <v/>
      </c>
      <c r="AC738" s="259" t="str">
        <v/>
      </c>
      <c r="AD738" s="260" t="str">
        <v/>
      </c>
      <c r="AF738" s="80" t="str">
        <v/>
      </c>
      <c r="AG738" s="259" t="str">
        <v/>
      </c>
      <c r="AH738" s="259" t="str">
        <v/>
      </c>
      <c r="AI738" s="260" t="str">
        <v/>
      </c>
      <c r="AK738" s="80" t="str">
        <v/>
      </c>
      <c r="AL738" s="259" t="str">
        <v/>
      </c>
      <c r="AM738" s="259" t="str">
        <v/>
      </c>
      <c r="AN738" s="260" t="str">
        <v/>
      </c>
      <c r="AP738" s="80" t="str">
        <v/>
      </c>
      <c r="AQ738" s="259" t="str">
        <v/>
      </c>
      <c r="AR738" s="259" t="str">
        <v/>
      </c>
      <c r="AS738" s="260" t="str">
        <v/>
      </c>
      <c r="AT738" s="288"/>
      <c r="AU738" s="80" t="str">
        <v/>
      </c>
      <c r="AV738" s="259" t="str">
        <v/>
      </c>
      <c r="AW738" s="259" t="str">
        <v/>
      </c>
      <c r="AX738" s="260" t="str">
        <v/>
      </c>
      <c r="AZ738" s="80" t="str">
        <v/>
      </c>
      <c r="BA738" s="259" t="str">
        <v/>
      </c>
      <c r="BB738" s="259" t="str">
        <v/>
      </c>
      <c r="BC738" s="260" t="str">
        <v/>
      </c>
      <c r="BE738" s="80" t="str">
        <v/>
      </c>
      <c r="BF738" s="259" t="str">
        <v/>
      </c>
      <c r="BG738" s="259" t="str">
        <v/>
      </c>
      <c r="BH738" s="260" t="str">
        <v/>
      </c>
      <c r="BI738" s="288"/>
      <c r="BJ738" s="80" t="str">
        <v/>
      </c>
      <c r="BK738" s="259" t="str">
        <v/>
      </c>
      <c r="BL738" s="259" t="str">
        <v/>
      </c>
      <c r="BM738" s="260" t="str">
        <v/>
      </c>
      <c r="BO738" s="80" t="str">
        <v/>
      </c>
      <c r="BP738" s="259" t="str">
        <v/>
      </c>
      <c r="BQ738" s="259" t="str">
        <v/>
      </c>
      <c r="BR738" s="260" t="str">
        <v/>
      </c>
      <c r="BT738" s="80" t="str">
        <v/>
      </c>
      <c r="BU738" s="259" t="str">
        <v/>
      </c>
      <c r="BV738" s="259" t="str">
        <v/>
      </c>
      <c r="BW738" s="260" t="str">
        <v/>
      </c>
      <c r="BX738" s="288"/>
      <c r="CM738" s="96"/>
    </row>
    <row r="739" spans="1:91">
      <c r="B739" s="100" t="str">
        <v/>
      </c>
      <c r="C739" s="264" t="str">
        <v/>
      </c>
      <c r="D739" s="264" t="str">
        <v/>
      </c>
      <c r="E739" s="265" t="str">
        <v/>
      </c>
      <c r="G739" s="100" t="str">
        <v/>
      </c>
      <c r="H739" s="264" t="str">
        <v/>
      </c>
      <c r="I739" s="264" t="str">
        <v/>
      </c>
      <c r="J739" s="265" t="str">
        <v/>
      </c>
      <c r="L739" s="100" t="str">
        <v/>
      </c>
      <c r="M739" s="264" t="str">
        <v/>
      </c>
      <c r="N739" s="264" t="str">
        <v/>
      </c>
      <c r="O739" s="265" t="str">
        <v/>
      </c>
      <c r="Q739" s="100" t="str">
        <v/>
      </c>
      <c r="R739" s="264" t="str">
        <v/>
      </c>
      <c r="S739" s="264" t="str">
        <v/>
      </c>
      <c r="T739" s="265" t="str">
        <v/>
      </c>
      <c r="V739" s="100" t="str">
        <v/>
      </c>
      <c r="W739" s="264" t="str">
        <v/>
      </c>
      <c r="X739" s="264" t="str">
        <v/>
      </c>
      <c r="Y739" s="265" t="str">
        <v/>
      </c>
      <c r="AA739" s="100" t="str">
        <v/>
      </c>
      <c r="AB739" s="264" t="str">
        <v/>
      </c>
      <c r="AC739" s="264" t="str">
        <v/>
      </c>
      <c r="AD739" s="265" t="str">
        <v/>
      </c>
      <c r="AF739" s="100" t="str">
        <v/>
      </c>
      <c r="AG739" s="264" t="str">
        <v/>
      </c>
      <c r="AH739" s="264" t="str">
        <v/>
      </c>
      <c r="AI739" s="265" t="str">
        <v/>
      </c>
      <c r="AK739" s="100" t="str">
        <v/>
      </c>
      <c r="AL739" s="264" t="str">
        <v/>
      </c>
      <c r="AM739" s="264" t="str">
        <v/>
      </c>
      <c r="AN739" s="265" t="str">
        <v/>
      </c>
      <c r="AP739" s="100" t="str">
        <v/>
      </c>
      <c r="AQ739" s="264" t="str">
        <v/>
      </c>
      <c r="AR739" s="264" t="str">
        <v/>
      </c>
      <c r="AS739" s="265" t="str">
        <v/>
      </c>
      <c r="AT739" s="288"/>
      <c r="AU739" s="100" t="str">
        <v/>
      </c>
      <c r="AV739" s="264" t="str">
        <v/>
      </c>
      <c r="AW739" s="264" t="str">
        <v/>
      </c>
      <c r="AX739" s="265" t="str">
        <v/>
      </c>
      <c r="AZ739" s="100" t="str">
        <v/>
      </c>
      <c r="BA739" s="264" t="str">
        <v/>
      </c>
      <c r="BB739" s="264" t="str">
        <v/>
      </c>
      <c r="BC739" s="265" t="str">
        <v/>
      </c>
      <c r="BE739" s="100" t="str">
        <v/>
      </c>
      <c r="BF739" s="264" t="str">
        <v/>
      </c>
      <c r="BG739" s="264" t="str">
        <v/>
      </c>
      <c r="BH739" s="265" t="str">
        <v/>
      </c>
      <c r="BI739" s="288"/>
      <c r="BJ739" s="100" t="str">
        <v/>
      </c>
      <c r="BK739" s="264" t="str">
        <v/>
      </c>
      <c r="BL739" s="264" t="str">
        <v/>
      </c>
      <c r="BM739" s="265" t="str">
        <v/>
      </c>
      <c r="BO739" s="100" t="str">
        <v/>
      </c>
      <c r="BP739" s="264" t="str">
        <v/>
      </c>
      <c r="BQ739" s="264" t="str">
        <v/>
      </c>
      <c r="BR739" s="265" t="str">
        <v/>
      </c>
      <c r="BT739" s="100" t="str">
        <v/>
      </c>
      <c r="BU739" s="264" t="str">
        <v/>
      </c>
      <c r="BV739" s="264" t="str">
        <v/>
      </c>
      <c r="BW739" s="265" t="str">
        <v/>
      </c>
      <c r="BX739" s="288"/>
      <c r="CM739" s="96"/>
    </row>
    <row r="740" spans="1:91">
      <c r="A740" s="47"/>
      <c r="B740" s="47">
        <f>COUNT(B666:B739)</f>
        <v>63</v>
      </c>
      <c r="C740" s="47"/>
      <c r="D740" s="47"/>
      <c r="E740" s="47"/>
      <c r="F740" s="47"/>
      <c r="G740" s="47">
        <f>COUNT(G666:G739)</f>
        <v>63</v>
      </c>
      <c r="H740" s="47"/>
      <c r="I740" s="47"/>
      <c r="J740" s="47"/>
      <c r="K740" s="47"/>
      <c r="L740" s="47">
        <f>COUNT(L666:L739)</f>
        <v>56</v>
      </c>
      <c r="M740" s="47"/>
      <c r="N740" s="47"/>
      <c r="O740" s="47"/>
      <c r="P740" s="47"/>
      <c r="Q740" s="47">
        <f>COUNT(Q666:Q739)</f>
        <v>52</v>
      </c>
      <c r="R740" s="47"/>
      <c r="S740" s="47"/>
      <c r="T740" s="47"/>
      <c r="U740" s="47"/>
      <c r="V740" s="47">
        <f>COUNT(V666:V739)</f>
        <v>44</v>
      </c>
      <c r="W740" s="47"/>
      <c r="X740" s="47"/>
      <c r="Y740" s="47"/>
      <c r="Z740" s="47"/>
      <c r="AA740" s="47">
        <f>COUNT(AA666:AA739)</f>
        <v>40</v>
      </c>
      <c r="AB740" s="47"/>
      <c r="AC740" s="47"/>
      <c r="AD740" s="47"/>
      <c r="AE740" s="47"/>
      <c r="AF740" s="47">
        <f>COUNT(AF666:AF739)</f>
        <v>32</v>
      </c>
      <c r="AG740" s="47"/>
      <c r="AH740" s="47"/>
      <c r="AI740" s="47"/>
      <c r="AJ740" s="47"/>
      <c r="AK740" s="47">
        <f>COUNT(AK666:AK739)</f>
        <v>24</v>
      </c>
      <c r="AL740" s="47"/>
      <c r="AM740" s="47"/>
      <c r="AN740" s="47"/>
      <c r="AO740" s="47"/>
      <c r="AP740" s="47">
        <f>COUNT(AP666:AP739)</f>
        <v>60</v>
      </c>
      <c r="AQ740" s="47"/>
      <c r="AR740" s="47"/>
      <c r="AS740" s="47"/>
      <c r="AT740" s="292"/>
      <c r="AU740" s="47">
        <f>COUNT(AU666:AU739)</f>
        <v>29</v>
      </c>
      <c r="AV740" s="47"/>
      <c r="AW740" s="47"/>
      <c r="AX740" s="47"/>
      <c r="AY740" s="47"/>
      <c r="AZ740" s="47">
        <f>COUNT(AZ666:AZ739)</f>
        <v>23</v>
      </c>
      <c r="BA740" s="47"/>
      <c r="BB740" s="47"/>
      <c r="BC740" s="47"/>
      <c r="BD740" s="47"/>
      <c r="BE740" s="47">
        <f>COUNT(BE666:BE739)</f>
        <v>17</v>
      </c>
      <c r="BF740" s="47"/>
      <c r="BG740" s="47"/>
      <c r="BH740" s="47"/>
      <c r="BI740" s="292"/>
      <c r="BJ740" s="47">
        <f>COUNT(BJ666:BJ739)</f>
        <v>20</v>
      </c>
      <c r="BK740" s="47"/>
      <c r="BL740" s="47"/>
      <c r="BM740" s="47"/>
      <c r="BN740" s="47"/>
      <c r="BO740" s="47">
        <f>COUNT(BO666:BO739)</f>
        <v>16</v>
      </c>
      <c r="BP740" s="47"/>
      <c r="BQ740" s="47"/>
      <c r="BR740" s="47"/>
      <c r="BS740" s="47"/>
      <c r="BT740" s="47">
        <f>COUNT(BT666:BT739)</f>
        <v>12</v>
      </c>
      <c r="BU740" s="47"/>
      <c r="BV740" s="47"/>
      <c r="BW740" s="47"/>
      <c r="BX740" s="288"/>
      <c r="CM740" s="47"/>
    </row>
    <row r="741" spans="1:91">
      <c r="B741" s="96"/>
      <c r="C741" s="96"/>
      <c r="D741" s="96"/>
      <c r="E741" s="96"/>
      <c r="G741" s="96"/>
      <c r="H741" s="96"/>
      <c r="I741" s="96"/>
      <c r="J741" s="96"/>
      <c r="L741" s="96"/>
      <c r="M741" s="96"/>
      <c r="N741" s="96"/>
      <c r="O741" s="96"/>
      <c r="Q741" s="96"/>
      <c r="R741" s="96"/>
      <c r="S741" s="96"/>
      <c r="T741" s="96"/>
      <c r="V741" s="96"/>
      <c r="W741" s="96"/>
      <c r="X741" s="96"/>
      <c r="Y741" s="96"/>
      <c r="AA741" s="96"/>
      <c r="AB741" s="96"/>
      <c r="AC741" s="96"/>
      <c r="AD741" s="96"/>
      <c r="AF741" s="96"/>
      <c r="AG741" s="96"/>
      <c r="AH741" s="96"/>
      <c r="AI741" s="96"/>
      <c r="AK741" s="96"/>
      <c r="AL741" s="96"/>
      <c r="AM741" s="96"/>
      <c r="AN741" s="96"/>
      <c r="AP741" s="96"/>
      <c r="AQ741" s="96"/>
      <c r="AR741" s="96"/>
      <c r="AS741" s="96"/>
      <c r="AT741" s="288"/>
      <c r="AU741" s="96"/>
      <c r="AV741" s="96"/>
      <c r="AW741" s="96"/>
      <c r="AX741" s="96"/>
      <c r="AZ741" s="96"/>
      <c r="BA741" s="96"/>
      <c r="BB741" s="96"/>
      <c r="BC741" s="96"/>
      <c r="BE741" s="96"/>
      <c r="BF741" s="96"/>
      <c r="BG741" s="96"/>
      <c r="BH741" s="96"/>
      <c r="BI741" s="288"/>
      <c r="BJ741" s="96"/>
      <c r="BK741" s="96"/>
      <c r="BL741" s="96"/>
      <c r="BM741" s="96"/>
      <c r="BO741" s="96"/>
      <c r="BP741" s="96"/>
      <c r="BQ741" s="96"/>
      <c r="BR741" s="96"/>
      <c r="BT741" s="96"/>
      <c r="BU741" s="96"/>
      <c r="BV741" s="96"/>
      <c r="BW741" s="96"/>
      <c r="BX741" s="288"/>
      <c r="CM741" s="96"/>
    </row>
    <row r="742" spans="1:91">
      <c r="B742" s="96"/>
      <c r="C742" s="96"/>
      <c r="D742" s="96"/>
      <c r="E742" s="96"/>
      <c r="G742" s="96"/>
      <c r="H742" s="96"/>
      <c r="I742" s="96"/>
      <c r="J742" s="96"/>
      <c r="L742" s="96"/>
      <c r="M742" s="96"/>
      <c r="N742" s="96"/>
      <c r="O742" s="96"/>
      <c r="Q742" s="96"/>
      <c r="R742" s="96"/>
      <c r="S742" s="96"/>
      <c r="T742" s="96"/>
      <c r="V742" s="96"/>
      <c r="W742" s="96"/>
      <c r="X742" s="96"/>
      <c r="Y742" s="96"/>
      <c r="AA742" s="96"/>
      <c r="AB742" s="96"/>
      <c r="AC742" s="96"/>
      <c r="AD742" s="96"/>
      <c r="AF742" s="96"/>
      <c r="AG742" s="96"/>
      <c r="AH742" s="96"/>
      <c r="AI742" s="96"/>
      <c r="AK742" s="96"/>
      <c r="AL742" s="96"/>
      <c r="AM742" s="96"/>
      <c r="AN742" s="96"/>
      <c r="AP742" s="96"/>
      <c r="AQ742" s="96"/>
      <c r="AR742" s="96"/>
      <c r="AS742" s="96"/>
      <c r="AT742" s="288"/>
      <c r="AU742" s="96"/>
      <c r="AV742" s="96"/>
      <c r="AW742" s="96"/>
      <c r="AX742" s="96"/>
      <c r="AZ742" s="96"/>
      <c r="BA742" s="96"/>
      <c r="BB742" s="96"/>
      <c r="BC742" s="96"/>
      <c r="BE742" s="96"/>
      <c r="BF742" s="96"/>
      <c r="BG742" s="96"/>
      <c r="BH742" s="96"/>
      <c r="BI742" s="288"/>
      <c r="BJ742" s="96"/>
      <c r="BK742" s="96"/>
      <c r="BL742" s="96"/>
      <c r="BM742" s="96"/>
      <c r="BO742" s="96"/>
      <c r="BP742" s="96"/>
      <c r="BQ742" s="96"/>
      <c r="BR742" s="96"/>
      <c r="BT742" s="96"/>
      <c r="BU742" s="96"/>
      <c r="BV742" s="96"/>
      <c r="BW742" s="96"/>
      <c r="BX742" s="288"/>
      <c r="CM742" s="96"/>
    </row>
    <row r="743" spans="1:91">
      <c r="A743" s="50" t="s">
        <v>216</v>
      </c>
      <c r="B743" s="114" cm="1">
        <f t="array" ref="B743:E816">_xlfn._xlws.SORT(B589:E662,3,1)</f>
        <v>90</v>
      </c>
      <c r="C743" s="266">
        <v>75</v>
      </c>
      <c r="D743" s="266">
        <v>65</v>
      </c>
      <c r="E743" s="267">
        <v>14</v>
      </c>
      <c r="G743" s="114" cm="1">
        <f t="array" ref="G743:J816">_xlfn._xlws.SORT(G589:J662,3,1)</f>
        <v>90</v>
      </c>
      <c r="H743" s="266">
        <v>75</v>
      </c>
      <c r="I743" s="266">
        <v>65</v>
      </c>
      <c r="J743" s="267">
        <v>14</v>
      </c>
      <c r="L743" s="114" cm="1">
        <f t="array" ref="L743:O816">_xlfn._xlws.SORT(L589:O662,3,1)</f>
        <v>45</v>
      </c>
      <c r="M743" s="266">
        <v>139.5</v>
      </c>
      <c r="N743" s="266">
        <v>61</v>
      </c>
      <c r="O743" s="267">
        <v>18</v>
      </c>
      <c r="Q743" s="114" cm="1">
        <f t="array" ref="Q743:T816">_xlfn._xlws.SORT(Q589:T662,3,1)</f>
        <v>45</v>
      </c>
      <c r="R743" s="266">
        <v>139.5</v>
      </c>
      <c r="S743" s="266">
        <v>61</v>
      </c>
      <c r="T743" s="267">
        <v>18</v>
      </c>
      <c r="V743" s="114" cm="1">
        <f t="array" ref="V743:Y816">_xlfn._xlws.SORT(V589:Y662,3,1)</f>
        <v>45</v>
      </c>
      <c r="W743" s="266">
        <v>139.5</v>
      </c>
      <c r="X743" s="266">
        <v>61</v>
      </c>
      <c r="Y743" s="267">
        <v>18</v>
      </c>
      <c r="AA743" s="114" cm="1">
        <f t="array" ref="AA743:AD816">_xlfn._xlws.SORT(AA589:AD662,3,1)</f>
        <v>45</v>
      </c>
      <c r="AB743" s="266">
        <v>139.5</v>
      </c>
      <c r="AC743" s="266">
        <v>64</v>
      </c>
      <c r="AD743" s="267">
        <v>18</v>
      </c>
      <c r="AF743" s="114" cm="1">
        <f t="array" ref="AF743:AI816">_xlfn._xlws.SORT(AF589:AI662,3,1)</f>
        <v>45</v>
      </c>
      <c r="AG743" s="266">
        <v>139.5</v>
      </c>
      <c r="AH743" s="266">
        <v>60</v>
      </c>
      <c r="AI743" s="267">
        <v>18</v>
      </c>
      <c r="AK743" s="114" cm="1">
        <f t="array" ref="AK743:AN816">_xlfn._xlws.SORT(AK589:AN662,3,1)</f>
        <v>45</v>
      </c>
      <c r="AL743" s="266">
        <v>139.5</v>
      </c>
      <c r="AM743" s="266">
        <v>60</v>
      </c>
      <c r="AN743" s="267">
        <v>18</v>
      </c>
      <c r="AP743" s="114" cm="1">
        <f t="array" ref="AP743:AS816">_xlfn._xlws.SORT(AP589:AS662,3,1)</f>
        <v>45</v>
      </c>
      <c r="AQ743" s="266">
        <v>139.5</v>
      </c>
      <c r="AR743" s="266">
        <v>211</v>
      </c>
      <c r="AS743" s="267">
        <v>18</v>
      </c>
      <c r="AT743" s="288"/>
      <c r="AU743" s="114" cm="1">
        <f t="array" ref="AU743:AX816">_xlfn._xlws.SORT(AU589:AX662,3,1)</f>
        <v>45</v>
      </c>
      <c r="AV743" s="266">
        <v>89.2</v>
      </c>
      <c r="AW743" s="266">
        <v>64</v>
      </c>
      <c r="AX743" s="267">
        <v>17.5</v>
      </c>
      <c r="AZ743" s="114" cm="1">
        <f t="array" ref="AZ743:BC816">_xlfn._xlws.SORT(AZ589:BC662,3,1)</f>
        <v>45</v>
      </c>
      <c r="BA743" s="266">
        <v>89.2</v>
      </c>
      <c r="BB743" s="266">
        <v>60</v>
      </c>
      <c r="BC743" s="267">
        <v>17.5</v>
      </c>
      <c r="BE743" s="114" cm="1">
        <f t="array" ref="BE743:BH816">_xlfn._xlws.SORT(BE589:BH662,3,1)</f>
        <v>45</v>
      </c>
      <c r="BF743" s="266">
        <v>89.2</v>
      </c>
      <c r="BG743" s="266">
        <v>56</v>
      </c>
      <c r="BH743" s="267">
        <v>17.5</v>
      </c>
      <c r="BI743" s="288"/>
      <c r="BJ743" s="114" cm="1">
        <f t="array" ref="BJ743:BM816">_xlfn._xlws.SORT(BJ589:BM662,3,1)</f>
        <v>45</v>
      </c>
      <c r="BK743" s="266">
        <v>9.75</v>
      </c>
      <c r="BL743" s="266">
        <v>64</v>
      </c>
      <c r="BM743" s="267">
        <v>17.5</v>
      </c>
      <c r="BO743" s="114" cm="1">
        <f t="array" ref="BO743:BR816">_xlfn._xlws.SORT(BO589:BR662,3,1)</f>
        <v>45</v>
      </c>
      <c r="BP743" s="266">
        <v>9.75</v>
      </c>
      <c r="BQ743" s="266">
        <v>60</v>
      </c>
      <c r="BR743" s="267">
        <v>17.5</v>
      </c>
      <c r="BT743" s="114" cm="1">
        <f t="array" ref="BT743:BW816">_xlfn._xlws.SORT(BT589:BW662,3,1)</f>
        <v>45</v>
      </c>
      <c r="BU743" s="266">
        <v>9.75</v>
      </c>
      <c r="BV743" s="266">
        <v>56</v>
      </c>
      <c r="BW743" s="267">
        <v>17.5</v>
      </c>
      <c r="BX743" s="288"/>
      <c r="CM743" s="96"/>
    </row>
    <row r="744" spans="1:91">
      <c r="B744" s="92">
        <v>90</v>
      </c>
      <c r="C744" s="268">
        <v>118</v>
      </c>
      <c r="D744" s="268">
        <v>75</v>
      </c>
      <c r="E744" s="269">
        <v>14</v>
      </c>
      <c r="G744" s="92">
        <v>45</v>
      </c>
      <c r="H744" s="268">
        <v>139.5</v>
      </c>
      <c r="I744" s="268">
        <v>73</v>
      </c>
      <c r="J744" s="269">
        <v>18</v>
      </c>
      <c r="L744" s="92">
        <v>45</v>
      </c>
      <c r="M744" s="268">
        <v>10.5</v>
      </c>
      <c r="N744" s="268">
        <v>61</v>
      </c>
      <c r="O744" s="269">
        <v>18</v>
      </c>
      <c r="Q744" s="92">
        <v>45</v>
      </c>
      <c r="R744" s="268">
        <v>10.5</v>
      </c>
      <c r="S744" s="268">
        <v>61</v>
      </c>
      <c r="T744" s="269">
        <v>18</v>
      </c>
      <c r="V744" s="92">
        <v>45</v>
      </c>
      <c r="W744" s="268">
        <v>10.5</v>
      </c>
      <c r="X744" s="268">
        <v>61</v>
      </c>
      <c r="Y744" s="269">
        <v>18</v>
      </c>
      <c r="AA744" s="92">
        <v>45</v>
      </c>
      <c r="AB744" s="268">
        <v>10.5</v>
      </c>
      <c r="AC744" s="268">
        <v>64</v>
      </c>
      <c r="AD744" s="269">
        <v>18</v>
      </c>
      <c r="AF744" s="92">
        <v>45</v>
      </c>
      <c r="AG744" s="268">
        <v>10.5</v>
      </c>
      <c r="AH744" s="268">
        <v>60</v>
      </c>
      <c r="AI744" s="269">
        <v>18</v>
      </c>
      <c r="AK744" s="92">
        <v>45</v>
      </c>
      <c r="AL744" s="268">
        <v>10.5</v>
      </c>
      <c r="AM744" s="268">
        <v>60</v>
      </c>
      <c r="AN744" s="269">
        <v>18</v>
      </c>
      <c r="AP744" s="92">
        <v>45</v>
      </c>
      <c r="AQ744" s="268">
        <v>10.5</v>
      </c>
      <c r="AR744" s="268">
        <v>211</v>
      </c>
      <c r="AS744" s="269">
        <v>18</v>
      </c>
      <c r="AT744" s="288"/>
      <c r="AU744" s="92">
        <v>45</v>
      </c>
      <c r="AV744" s="268">
        <v>10.799999999999997</v>
      </c>
      <c r="AW744" s="268">
        <v>64</v>
      </c>
      <c r="AX744" s="269">
        <v>17.5</v>
      </c>
      <c r="AZ744" s="92">
        <v>45</v>
      </c>
      <c r="BA744" s="268">
        <v>10.799999999999997</v>
      </c>
      <c r="BB744" s="268">
        <v>60</v>
      </c>
      <c r="BC744" s="269">
        <v>17.5</v>
      </c>
      <c r="BE744" s="92">
        <v>45</v>
      </c>
      <c r="BF744" s="268">
        <v>10.799999999999997</v>
      </c>
      <c r="BG744" s="268">
        <v>56</v>
      </c>
      <c r="BH744" s="269">
        <v>17.5</v>
      </c>
      <c r="BI744" s="288"/>
      <c r="BJ744" s="92">
        <v>90</v>
      </c>
      <c r="BK744" s="268">
        <v>30</v>
      </c>
      <c r="BL744" s="268">
        <v>70</v>
      </c>
      <c r="BM744" s="269">
        <v>14</v>
      </c>
      <c r="BO744" s="92">
        <v>90</v>
      </c>
      <c r="BP744" s="268">
        <v>30</v>
      </c>
      <c r="BQ744" s="268">
        <v>70</v>
      </c>
      <c r="BR744" s="269">
        <v>14</v>
      </c>
      <c r="BT744" s="92">
        <v>90</v>
      </c>
      <c r="BU744" s="268">
        <v>30</v>
      </c>
      <c r="BV744" s="268">
        <v>70</v>
      </c>
      <c r="BW744" s="269">
        <v>14</v>
      </c>
      <c r="BX744" s="288"/>
      <c r="CM744" s="96"/>
    </row>
    <row r="745" spans="1:91">
      <c r="B745" s="92">
        <v>90</v>
      </c>
      <c r="C745" s="268">
        <v>32</v>
      </c>
      <c r="D745" s="268">
        <v>75</v>
      </c>
      <c r="E745" s="269">
        <v>14</v>
      </c>
      <c r="G745" s="92">
        <v>45</v>
      </c>
      <c r="H745" s="268">
        <v>10.5</v>
      </c>
      <c r="I745" s="268">
        <v>73</v>
      </c>
      <c r="J745" s="269">
        <v>18</v>
      </c>
      <c r="L745" s="92">
        <v>90</v>
      </c>
      <c r="M745" s="268">
        <v>75</v>
      </c>
      <c r="N745" s="268">
        <v>65</v>
      </c>
      <c r="O745" s="269">
        <v>14</v>
      </c>
      <c r="Q745" s="92">
        <v>90</v>
      </c>
      <c r="R745" s="268">
        <v>75</v>
      </c>
      <c r="S745" s="268">
        <v>65</v>
      </c>
      <c r="T745" s="269">
        <v>14</v>
      </c>
      <c r="V745" s="92">
        <v>90</v>
      </c>
      <c r="W745" s="268">
        <v>75</v>
      </c>
      <c r="X745" s="268">
        <v>65</v>
      </c>
      <c r="Y745" s="269">
        <v>14</v>
      </c>
      <c r="AA745" s="92">
        <v>90</v>
      </c>
      <c r="AB745" s="268">
        <v>75</v>
      </c>
      <c r="AC745" s="268">
        <v>65</v>
      </c>
      <c r="AD745" s="269">
        <v>14</v>
      </c>
      <c r="AF745" s="92">
        <v>90</v>
      </c>
      <c r="AG745" s="268">
        <v>75</v>
      </c>
      <c r="AH745" s="268">
        <v>65</v>
      </c>
      <c r="AI745" s="269">
        <v>14</v>
      </c>
      <c r="AK745" s="92">
        <v>90</v>
      </c>
      <c r="AL745" s="268">
        <v>75</v>
      </c>
      <c r="AM745" s="268">
        <v>65</v>
      </c>
      <c r="AN745" s="269">
        <v>14</v>
      </c>
      <c r="AP745" s="92">
        <v>90</v>
      </c>
      <c r="AQ745" s="268">
        <v>75</v>
      </c>
      <c r="AR745" s="268">
        <v>215</v>
      </c>
      <c r="AS745" s="269">
        <v>14</v>
      </c>
      <c r="AT745" s="288"/>
      <c r="AU745" s="92">
        <v>90</v>
      </c>
      <c r="AV745" s="268">
        <v>70</v>
      </c>
      <c r="AW745" s="268">
        <v>75</v>
      </c>
      <c r="AX745" s="269">
        <v>14</v>
      </c>
      <c r="AZ745" s="92">
        <v>90</v>
      </c>
      <c r="BA745" s="268">
        <v>70</v>
      </c>
      <c r="BB745" s="268">
        <v>75</v>
      </c>
      <c r="BC745" s="269">
        <v>14</v>
      </c>
      <c r="BE745" s="92">
        <v>90</v>
      </c>
      <c r="BF745" s="268">
        <v>70</v>
      </c>
      <c r="BG745" s="268">
        <v>75</v>
      </c>
      <c r="BH745" s="269">
        <v>14</v>
      </c>
      <c r="BI745" s="288"/>
      <c r="BJ745" s="92">
        <v>45</v>
      </c>
      <c r="BK745" s="268">
        <v>50.25</v>
      </c>
      <c r="BL745" s="268">
        <v>84</v>
      </c>
      <c r="BM745" s="269">
        <v>17.5</v>
      </c>
      <c r="BO745" s="92">
        <v>45</v>
      </c>
      <c r="BP745" s="268">
        <v>50.25</v>
      </c>
      <c r="BQ745" s="268">
        <v>80</v>
      </c>
      <c r="BR745" s="269">
        <v>17.5</v>
      </c>
      <c r="BT745" s="92">
        <v>45</v>
      </c>
      <c r="BU745" s="268">
        <v>50.25</v>
      </c>
      <c r="BV745" s="268">
        <v>76</v>
      </c>
      <c r="BW745" s="269">
        <v>17.5</v>
      </c>
      <c r="BX745" s="288"/>
      <c r="CM745" s="96"/>
    </row>
    <row r="746" spans="1:91">
      <c r="B746" s="92">
        <v>45</v>
      </c>
      <c r="C746" s="268">
        <v>139.5</v>
      </c>
      <c r="D746" s="268">
        <v>313</v>
      </c>
      <c r="E746" s="269">
        <v>18</v>
      </c>
      <c r="G746" s="92">
        <v>90</v>
      </c>
      <c r="H746" s="268">
        <v>118</v>
      </c>
      <c r="I746" s="268">
        <v>75</v>
      </c>
      <c r="J746" s="269">
        <v>14</v>
      </c>
      <c r="L746" s="92">
        <v>90</v>
      </c>
      <c r="M746" s="268">
        <v>118</v>
      </c>
      <c r="N746" s="268">
        <v>75</v>
      </c>
      <c r="O746" s="269">
        <v>14</v>
      </c>
      <c r="Q746" s="92">
        <v>90</v>
      </c>
      <c r="R746" s="268">
        <v>118</v>
      </c>
      <c r="S746" s="268">
        <v>75</v>
      </c>
      <c r="T746" s="269">
        <v>14</v>
      </c>
      <c r="V746" s="92">
        <v>90</v>
      </c>
      <c r="W746" s="268">
        <v>118</v>
      </c>
      <c r="X746" s="268">
        <v>75</v>
      </c>
      <c r="Y746" s="269">
        <v>14</v>
      </c>
      <c r="AA746" s="92">
        <v>90</v>
      </c>
      <c r="AB746" s="268">
        <v>118</v>
      </c>
      <c r="AC746" s="268">
        <v>75</v>
      </c>
      <c r="AD746" s="269">
        <v>14</v>
      </c>
      <c r="AF746" s="92">
        <v>90</v>
      </c>
      <c r="AG746" s="268">
        <v>118</v>
      </c>
      <c r="AH746" s="268">
        <v>75</v>
      </c>
      <c r="AI746" s="269">
        <v>14</v>
      </c>
      <c r="AK746" s="92">
        <v>90</v>
      </c>
      <c r="AL746" s="268">
        <v>118</v>
      </c>
      <c r="AM746" s="268">
        <v>75</v>
      </c>
      <c r="AN746" s="269">
        <v>14</v>
      </c>
      <c r="AP746" s="92">
        <v>90</v>
      </c>
      <c r="AQ746" s="268">
        <v>118</v>
      </c>
      <c r="AR746" s="268">
        <v>225</v>
      </c>
      <c r="AS746" s="269">
        <v>14</v>
      </c>
      <c r="AT746" s="288"/>
      <c r="AU746" s="92">
        <v>90</v>
      </c>
      <c r="AV746" s="268">
        <v>30</v>
      </c>
      <c r="AW746" s="268">
        <v>75</v>
      </c>
      <c r="AX746" s="269">
        <v>14</v>
      </c>
      <c r="AZ746" s="92">
        <v>90</v>
      </c>
      <c r="BA746" s="268">
        <v>30</v>
      </c>
      <c r="BB746" s="268">
        <v>75</v>
      </c>
      <c r="BC746" s="269">
        <v>14</v>
      </c>
      <c r="BE746" s="92">
        <v>90</v>
      </c>
      <c r="BF746" s="268">
        <v>30</v>
      </c>
      <c r="BG746" s="268">
        <v>75</v>
      </c>
      <c r="BH746" s="269">
        <v>14</v>
      </c>
      <c r="BI746" s="288"/>
      <c r="BJ746" s="92">
        <v>45</v>
      </c>
      <c r="BK746" s="268">
        <v>9.75</v>
      </c>
      <c r="BL746" s="268">
        <v>122</v>
      </c>
      <c r="BM746" s="269">
        <v>17.5</v>
      </c>
      <c r="BO746" s="92">
        <v>45</v>
      </c>
      <c r="BP746" s="268">
        <v>9.75</v>
      </c>
      <c r="BQ746" s="268">
        <v>118</v>
      </c>
      <c r="BR746" s="269">
        <v>17.5</v>
      </c>
      <c r="BT746" s="92">
        <v>45</v>
      </c>
      <c r="BU746" s="268">
        <v>9.75</v>
      </c>
      <c r="BV746" s="268">
        <v>114</v>
      </c>
      <c r="BW746" s="269">
        <v>17.5</v>
      </c>
      <c r="BX746" s="288"/>
      <c r="CM746" s="96"/>
    </row>
    <row r="747" spans="1:91">
      <c r="B747" s="92">
        <v>45</v>
      </c>
      <c r="C747" s="268">
        <v>10.5</v>
      </c>
      <c r="D747" s="268">
        <v>313</v>
      </c>
      <c r="E747" s="269">
        <v>18</v>
      </c>
      <c r="G747" s="92">
        <v>90</v>
      </c>
      <c r="H747" s="268">
        <v>32</v>
      </c>
      <c r="I747" s="268">
        <v>75</v>
      </c>
      <c r="J747" s="269">
        <v>14</v>
      </c>
      <c r="L747" s="92">
        <v>90</v>
      </c>
      <c r="M747" s="268">
        <v>32</v>
      </c>
      <c r="N747" s="268">
        <v>75</v>
      </c>
      <c r="O747" s="269">
        <v>14</v>
      </c>
      <c r="Q747" s="92">
        <v>90</v>
      </c>
      <c r="R747" s="268">
        <v>32</v>
      </c>
      <c r="S747" s="268">
        <v>75</v>
      </c>
      <c r="T747" s="269">
        <v>14</v>
      </c>
      <c r="V747" s="92">
        <v>90</v>
      </c>
      <c r="W747" s="268">
        <v>32</v>
      </c>
      <c r="X747" s="268">
        <v>75</v>
      </c>
      <c r="Y747" s="269">
        <v>14</v>
      </c>
      <c r="AA747" s="92">
        <v>90</v>
      </c>
      <c r="AB747" s="268">
        <v>32</v>
      </c>
      <c r="AC747" s="268">
        <v>75</v>
      </c>
      <c r="AD747" s="269">
        <v>14</v>
      </c>
      <c r="AF747" s="92">
        <v>90</v>
      </c>
      <c r="AG747" s="268">
        <v>32</v>
      </c>
      <c r="AH747" s="268">
        <v>75</v>
      </c>
      <c r="AI747" s="269">
        <v>14</v>
      </c>
      <c r="AK747" s="92">
        <v>90</v>
      </c>
      <c r="AL747" s="268">
        <v>32</v>
      </c>
      <c r="AM747" s="268">
        <v>75</v>
      </c>
      <c r="AN747" s="269">
        <v>14</v>
      </c>
      <c r="AP747" s="92">
        <v>90</v>
      </c>
      <c r="AQ747" s="268">
        <v>32</v>
      </c>
      <c r="AR747" s="268">
        <v>225</v>
      </c>
      <c r="AS747" s="269">
        <v>14</v>
      </c>
      <c r="AT747" s="288"/>
      <c r="AU747" s="92">
        <v>45</v>
      </c>
      <c r="AV747" s="268">
        <v>50</v>
      </c>
      <c r="AW747" s="268">
        <v>92</v>
      </c>
      <c r="AX747" s="269">
        <v>17.5</v>
      </c>
      <c r="AZ747" s="92">
        <v>45</v>
      </c>
      <c r="BA747" s="268">
        <v>50</v>
      </c>
      <c r="BB747" s="268">
        <v>88</v>
      </c>
      <c r="BC747" s="269">
        <v>17.5</v>
      </c>
      <c r="BE747" s="92">
        <v>45</v>
      </c>
      <c r="BF747" s="268">
        <v>50</v>
      </c>
      <c r="BG747" s="268">
        <v>84</v>
      </c>
      <c r="BH747" s="269">
        <v>17.5</v>
      </c>
      <c r="BI747" s="288"/>
      <c r="BJ747" s="92">
        <v>45</v>
      </c>
      <c r="BK747" s="268">
        <v>50.25</v>
      </c>
      <c r="BL747" s="268">
        <v>142</v>
      </c>
      <c r="BM747" s="269">
        <v>17.5</v>
      </c>
      <c r="BO747" s="92">
        <v>45</v>
      </c>
      <c r="BP747" s="268">
        <v>50.25</v>
      </c>
      <c r="BQ747" s="268">
        <v>138</v>
      </c>
      <c r="BR747" s="269">
        <v>17.5</v>
      </c>
      <c r="BT747" s="92">
        <v>45</v>
      </c>
      <c r="BU747" s="268">
        <v>50.25</v>
      </c>
      <c r="BV747" s="268">
        <v>134</v>
      </c>
      <c r="BW747" s="269">
        <v>17.5</v>
      </c>
      <c r="BX747" s="288"/>
      <c r="CM747" s="96"/>
    </row>
    <row r="748" spans="1:91">
      <c r="B748" s="92">
        <v>45</v>
      </c>
      <c r="C748" s="268">
        <v>96.5</v>
      </c>
      <c r="D748" s="268">
        <v>342</v>
      </c>
      <c r="E748" s="269">
        <v>18</v>
      </c>
      <c r="G748" s="92">
        <v>45</v>
      </c>
      <c r="H748" s="268">
        <v>96.5</v>
      </c>
      <c r="I748" s="268">
        <v>102</v>
      </c>
      <c r="J748" s="269">
        <v>18</v>
      </c>
      <c r="L748" s="92">
        <v>45</v>
      </c>
      <c r="M748" s="268">
        <v>96.5</v>
      </c>
      <c r="N748" s="268">
        <v>90</v>
      </c>
      <c r="O748" s="269">
        <v>18</v>
      </c>
      <c r="Q748" s="92">
        <v>45</v>
      </c>
      <c r="R748" s="268">
        <v>96.5</v>
      </c>
      <c r="S748" s="268">
        <v>90</v>
      </c>
      <c r="T748" s="269">
        <v>18</v>
      </c>
      <c r="V748" s="92">
        <v>45</v>
      </c>
      <c r="W748" s="268">
        <v>96.5</v>
      </c>
      <c r="X748" s="268">
        <v>89.5</v>
      </c>
      <c r="Y748" s="269">
        <v>18</v>
      </c>
      <c r="AA748" s="92">
        <v>45</v>
      </c>
      <c r="AB748" s="268">
        <v>96.5</v>
      </c>
      <c r="AC748" s="268">
        <v>92</v>
      </c>
      <c r="AD748" s="269">
        <v>18</v>
      </c>
      <c r="AF748" s="92">
        <v>45</v>
      </c>
      <c r="AG748" s="268">
        <v>96.5</v>
      </c>
      <c r="AH748" s="268">
        <v>88</v>
      </c>
      <c r="AI748" s="269">
        <v>18</v>
      </c>
      <c r="AK748" s="92">
        <v>45</v>
      </c>
      <c r="AL748" s="268">
        <v>96.5</v>
      </c>
      <c r="AM748" s="268">
        <v>84</v>
      </c>
      <c r="AN748" s="269">
        <v>18</v>
      </c>
      <c r="AP748" s="92">
        <v>45</v>
      </c>
      <c r="AQ748" s="268">
        <v>96.5</v>
      </c>
      <c r="AR748" s="268">
        <v>240</v>
      </c>
      <c r="AS748" s="269">
        <v>18</v>
      </c>
      <c r="AT748" s="288"/>
      <c r="AU748" s="92">
        <v>45</v>
      </c>
      <c r="AV748" s="268">
        <v>89.2</v>
      </c>
      <c r="AW748" s="268">
        <v>122</v>
      </c>
      <c r="AX748" s="269">
        <v>17.5</v>
      </c>
      <c r="AZ748" s="92">
        <v>45</v>
      </c>
      <c r="BA748" s="268">
        <v>89.2</v>
      </c>
      <c r="BB748" s="268">
        <v>118</v>
      </c>
      <c r="BC748" s="269">
        <v>17.5</v>
      </c>
      <c r="BE748" s="92">
        <v>45</v>
      </c>
      <c r="BF748" s="268">
        <v>89.2</v>
      </c>
      <c r="BG748" s="268">
        <v>114</v>
      </c>
      <c r="BH748" s="269">
        <v>17.5</v>
      </c>
      <c r="BI748" s="288"/>
      <c r="BJ748" s="92">
        <v>45</v>
      </c>
      <c r="BK748" s="268">
        <v>9.75</v>
      </c>
      <c r="BL748" s="268">
        <v>180</v>
      </c>
      <c r="BM748" s="269">
        <v>17.5</v>
      </c>
      <c r="BO748" s="92">
        <v>45</v>
      </c>
      <c r="BP748" s="268">
        <v>9.75</v>
      </c>
      <c r="BQ748" s="268">
        <v>176</v>
      </c>
      <c r="BR748" s="269">
        <v>17.5</v>
      </c>
      <c r="BT748" s="92">
        <v>45</v>
      </c>
      <c r="BU748" s="268">
        <v>9.75</v>
      </c>
      <c r="BV748" s="268">
        <v>172</v>
      </c>
      <c r="BW748" s="269">
        <v>17.5</v>
      </c>
      <c r="BX748" s="288"/>
      <c r="CM748" s="96"/>
    </row>
    <row r="749" spans="1:91">
      <c r="B749" s="92">
        <v>45</v>
      </c>
      <c r="C749" s="268">
        <v>53.5</v>
      </c>
      <c r="D749" s="268">
        <v>342</v>
      </c>
      <c r="E749" s="269">
        <v>18</v>
      </c>
      <c r="G749" s="92">
        <v>45</v>
      </c>
      <c r="H749" s="268">
        <v>53.5</v>
      </c>
      <c r="I749" s="268">
        <v>102</v>
      </c>
      <c r="J749" s="269">
        <v>18</v>
      </c>
      <c r="L749" s="92">
        <v>45</v>
      </c>
      <c r="M749" s="268">
        <v>53.5</v>
      </c>
      <c r="N749" s="268">
        <v>90</v>
      </c>
      <c r="O749" s="269">
        <v>18</v>
      </c>
      <c r="Q749" s="92">
        <v>45</v>
      </c>
      <c r="R749" s="268">
        <v>53.5</v>
      </c>
      <c r="S749" s="268">
        <v>90</v>
      </c>
      <c r="T749" s="269">
        <v>18</v>
      </c>
      <c r="V749" s="92">
        <v>45</v>
      </c>
      <c r="W749" s="268">
        <v>53.5</v>
      </c>
      <c r="X749" s="268">
        <v>89.5</v>
      </c>
      <c r="Y749" s="269">
        <v>18</v>
      </c>
      <c r="AA749" s="92">
        <v>45</v>
      </c>
      <c r="AB749" s="268">
        <v>53.5</v>
      </c>
      <c r="AC749" s="268">
        <v>92</v>
      </c>
      <c r="AD749" s="269">
        <v>18</v>
      </c>
      <c r="AF749" s="92">
        <v>45</v>
      </c>
      <c r="AG749" s="268">
        <v>53.5</v>
      </c>
      <c r="AH749" s="268">
        <v>88</v>
      </c>
      <c r="AI749" s="269">
        <v>18</v>
      </c>
      <c r="AK749" s="92">
        <v>45</v>
      </c>
      <c r="AL749" s="268">
        <v>53.5</v>
      </c>
      <c r="AM749" s="268">
        <v>84</v>
      </c>
      <c r="AN749" s="269">
        <v>18</v>
      </c>
      <c r="AP749" s="92">
        <v>45</v>
      </c>
      <c r="AQ749" s="268">
        <v>53.5</v>
      </c>
      <c r="AR749" s="268">
        <v>240</v>
      </c>
      <c r="AS749" s="269">
        <v>18</v>
      </c>
      <c r="AT749" s="288"/>
      <c r="AU749" s="92">
        <v>45</v>
      </c>
      <c r="AV749" s="268">
        <v>10.799999999999997</v>
      </c>
      <c r="AW749" s="268">
        <v>122</v>
      </c>
      <c r="AX749" s="269">
        <v>17.5</v>
      </c>
      <c r="AZ749" s="92">
        <v>45</v>
      </c>
      <c r="BA749" s="268">
        <v>10.799999999999997</v>
      </c>
      <c r="BB749" s="268">
        <v>118</v>
      </c>
      <c r="BC749" s="269">
        <v>17.5</v>
      </c>
      <c r="BE749" s="92">
        <v>45</v>
      </c>
      <c r="BF749" s="268">
        <v>10.799999999999997</v>
      </c>
      <c r="BG749" s="268">
        <v>114</v>
      </c>
      <c r="BH749" s="269">
        <v>17.5</v>
      </c>
      <c r="BI749" s="288"/>
      <c r="BJ749" s="92">
        <v>45</v>
      </c>
      <c r="BK749" s="268">
        <v>50.25</v>
      </c>
      <c r="BL749" s="268">
        <v>200</v>
      </c>
      <c r="BM749" s="269">
        <v>17.5</v>
      </c>
      <c r="BO749" s="92">
        <v>45</v>
      </c>
      <c r="BP749" s="268">
        <v>50.25</v>
      </c>
      <c r="BQ749" s="268">
        <v>196</v>
      </c>
      <c r="BR749" s="269">
        <v>17.5</v>
      </c>
      <c r="BT749" s="92">
        <v>45</v>
      </c>
      <c r="BU749" s="268">
        <v>50.25</v>
      </c>
      <c r="BV749" s="268">
        <v>192</v>
      </c>
      <c r="BW749" s="269">
        <v>17.5</v>
      </c>
      <c r="BX749" s="288"/>
      <c r="CM749" s="96"/>
    </row>
    <row r="750" spans="1:91">
      <c r="B750" s="92">
        <v>45</v>
      </c>
      <c r="C750" s="268">
        <v>139.5</v>
      </c>
      <c r="D750" s="268">
        <v>370</v>
      </c>
      <c r="E750" s="269">
        <v>18</v>
      </c>
      <c r="G750" s="92">
        <v>45</v>
      </c>
      <c r="H750" s="268">
        <v>139.5</v>
      </c>
      <c r="I750" s="268">
        <v>130</v>
      </c>
      <c r="J750" s="269">
        <v>18</v>
      </c>
      <c r="L750" s="92">
        <v>45</v>
      </c>
      <c r="M750" s="268">
        <v>139.5</v>
      </c>
      <c r="N750" s="268">
        <v>118</v>
      </c>
      <c r="O750" s="269">
        <v>18</v>
      </c>
      <c r="Q750" s="92">
        <v>45</v>
      </c>
      <c r="R750" s="268">
        <v>139.5</v>
      </c>
      <c r="S750" s="268">
        <v>118</v>
      </c>
      <c r="T750" s="269">
        <v>18</v>
      </c>
      <c r="V750" s="92">
        <v>45</v>
      </c>
      <c r="W750" s="268">
        <v>139.5</v>
      </c>
      <c r="X750" s="268">
        <v>118</v>
      </c>
      <c r="Y750" s="269">
        <v>18</v>
      </c>
      <c r="AA750" s="92">
        <v>45</v>
      </c>
      <c r="AB750" s="268">
        <v>139.5</v>
      </c>
      <c r="AC750" s="268">
        <v>122</v>
      </c>
      <c r="AD750" s="269">
        <v>18</v>
      </c>
      <c r="AF750" s="92">
        <v>45</v>
      </c>
      <c r="AG750" s="268">
        <v>139.5</v>
      </c>
      <c r="AH750" s="268">
        <v>118</v>
      </c>
      <c r="AI750" s="269">
        <v>18</v>
      </c>
      <c r="AK750" s="92">
        <v>45</v>
      </c>
      <c r="AL750" s="268">
        <v>139.5</v>
      </c>
      <c r="AM750" s="268">
        <v>118</v>
      </c>
      <c r="AN750" s="269">
        <v>18</v>
      </c>
      <c r="AP750" s="92">
        <v>45</v>
      </c>
      <c r="AQ750" s="268">
        <v>139.5</v>
      </c>
      <c r="AR750" s="268">
        <v>268</v>
      </c>
      <c r="AS750" s="269">
        <v>18</v>
      </c>
      <c r="AT750" s="288"/>
      <c r="AU750" s="92">
        <v>45</v>
      </c>
      <c r="AV750" s="268">
        <v>50</v>
      </c>
      <c r="AW750" s="268">
        <v>150</v>
      </c>
      <c r="AX750" s="269">
        <v>17.5</v>
      </c>
      <c r="AZ750" s="92">
        <v>45</v>
      </c>
      <c r="BA750" s="268">
        <v>50</v>
      </c>
      <c r="BB750" s="268">
        <v>146</v>
      </c>
      <c r="BC750" s="269">
        <v>17.5</v>
      </c>
      <c r="BE750" s="92">
        <v>45</v>
      </c>
      <c r="BF750" s="268">
        <v>50</v>
      </c>
      <c r="BG750" s="268">
        <v>142</v>
      </c>
      <c r="BH750" s="269">
        <v>17.5</v>
      </c>
      <c r="BI750" s="288"/>
      <c r="BJ750" s="92">
        <v>45</v>
      </c>
      <c r="BK750" s="268">
        <v>9.75</v>
      </c>
      <c r="BL750" s="268">
        <v>238</v>
      </c>
      <c r="BM750" s="269">
        <v>17.5</v>
      </c>
      <c r="BO750" s="92">
        <v>45</v>
      </c>
      <c r="BP750" s="268">
        <v>9.75</v>
      </c>
      <c r="BQ750" s="268">
        <v>234</v>
      </c>
      <c r="BR750" s="269">
        <v>17.5</v>
      </c>
      <c r="BT750" s="92">
        <v>45</v>
      </c>
      <c r="BU750" s="268">
        <v>9.75</v>
      </c>
      <c r="BV750" s="268">
        <v>230</v>
      </c>
      <c r="BW750" s="269">
        <v>17.5</v>
      </c>
      <c r="BX750" s="288"/>
      <c r="CM750" s="96"/>
    </row>
    <row r="751" spans="1:91">
      <c r="B751" s="92">
        <v>45</v>
      </c>
      <c r="C751" s="268">
        <v>10.5</v>
      </c>
      <c r="D751" s="268">
        <v>370</v>
      </c>
      <c r="E751" s="269">
        <v>18</v>
      </c>
      <c r="G751" s="92">
        <v>45</v>
      </c>
      <c r="H751" s="268">
        <v>10.5</v>
      </c>
      <c r="I751" s="268">
        <v>130</v>
      </c>
      <c r="J751" s="269">
        <v>18</v>
      </c>
      <c r="L751" s="92">
        <v>45</v>
      </c>
      <c r="M751" s="268">
        <v>10.5</v>
      </c>
      <c r="N751" s="268">
        <v>118</v>
      </c>
      <c r="O751" s="269">
        <v>18</v>
      </c>
      <c r="Q751" s="92">
        <v>45</v>
      </c>
      <c r="R751" s="268">
        <v>10.5</v>
      </c>
      <c r="S751" s="268">
        <v>118</v>
      </c>
      <c r="T751" s="269">
        <v>18</v>
      </c>
      <c r="V751" s="92">
        <v>45</v>
      </c>
      <c r="W751" s="268">
        <v>10.5</v>
      </c>
      <c r="X751" s="268">
        <v>118</v>
      </c>
      <c r="Y751" s="269">
        <v>18</v>
      </c>
      <c r="AA751" s="92">
        <v>45</v>
      </c>
      <c r="AB751" s="268">
        <v>10.5</v>
      </c>
      <c r="AC751" s="268">
        <v>122</v>
      </c>
      <c r="AD751" s="269">
        <v>18</v>
      </c>
      <c r="AF751" s="92">
        <v>45</v>
      </c>
      <c r="AG751" s="268">
        <v>10.5</v>
      </c>
      <c r="AH751" s="268">
        <v>118</v>
      </c>
      <c r="AI751" s="269">
        <v>18</v>
      </c>
      <c r="AK751" s="92">
        <v>45</v>
      </c>
      <c r="AL751" s="268">
        <v>10.5</v>
      </c>
      <c r="AM751" s="268">
        <v>118</v>
      </c>
      <c r="AN751" s="269">
        <v>18</v>
      </c>
      <c r="AP751" s="92">
        <v>45</v>
      </c>
      <c r="AQ751" s="268">
        <v>10.5</v>
      </c>
      <c r="AR751" s="268">
        <v>268</v>
      </c>
      <c r="AS751" s="269">
        <v>18</v>
      </c>
      <c r="AT751" s="288"/>
      <c r="AU751" s="92">
        <v>45</v>
      </c>
      <c r="AV751" s="268">
        <v>89.2</v>
      </c>
      <c r="AW751" s="268">
        <v>180</v>
      </c>
      <c r="AX751" s="269">
        <v>17.5</v>
      </c>
      <c r="AZ751" s="92">
        <v>45</v>
      </c>
      <c r="BA751" s="268">
        <v>89.2</v>
      </c>
      <c r="BB751" s="268">
        <v>176</v>
      </c>
      <c r="BC751" s="269">
        <v>17.5</v>
      </c>
      <c r="BE751" s="92">
        <v>45</v>
      </c>
      <c r="BF751" s="268">
        <v>89.2</v>
      </c>
      <c r="BG751" s="268">
        <v>172</v>
      </c>
      <c r="BH751" s="269">
        <v>17.5</v>
      </c>
      <c r="BI751" s="288"/>
      <c r="BJ751" s="92">
        <v>45</v>
      </c>
      <c r="BK751" s="268">
        <v>50.25</v>
      </c>
      <c r="BL751" s="268">
        <v>258</v>
      </c>
      <c r="BM751" s="269">
        <v>17.5</v>
      </c>
      <c r="BO751" s="92">
        <v>45</v>
      </c>
      <c r="BP751" s="268">
        <v>50.25</v>
      </c>
      <c r="BQ751" s="268">
        <v>254</v>
      </c>
      <c r="BR751" s="269">
        <v>17.5</v>
      </c>
      <c r="BT751" s="92">
        <v>90</v>
      </c>
      <c r="BU751" s="268">
        <v>30</v>
      </c>
      <c r="BV751" s="268">
        <v>240</v>
      </c>
      <c r="BW751" s="269">
        <v>14</v>
      </c>
      <c r="BX751" s="288"/>
      <c r="CM751" s="96"/>
    </row>
    <row r="752" spans="1:91">
      <c r="B752" s="270">
        <v>45</v>
      </c>
      <c r="C752" s="271">
        <v>96.5</v>
      </c>
      <c r="D752" s="271">
        <v>399</v>
      </c>
      <c r="E752" s="272">
        <v>18</v>
      </c>
      <c r="G752" s="270">
        <v>45</v>
      </c>
      <c r="H752" s="271">
        <v>96.5</v>
      </c>
      <c r="I752" s="271">
        <v>159</v>
      </c>
      <c r="J752" s="272">
        <v>18</v>
      </c>
      <c r="L752" s="270">
        <v>45</v>
      </c>
      <c r="M752" s="271">
        <v>96.5</v>
      </c>
      <c r="N752" s="271">
        <v>147</v>
      </c>
      <c r="O752" s="272">
        <v>18</v>
      </c>
      <c r="Q752" s="270">
        <v>45</v>
      </c>
      <c r="R752" s="271">
        <v>96.5</v>
      </c>
      <c r="S752" s="271">
        <v>147</v>
      </c>
      <c r="T752" s="272">
        <v>18</v>
      </c>
      <c r="V752" s="270">
        <v>45</v>
      </c>
      <c r="W752" s="271">
        <v>96.5</v>
      </c>
      <c r="X752" s="271">
        <v>146.5</v>
      </c>
      <c r="Y752" s="272">
        <v>18</v>
      </c>
      <c r="AA752" s="270">
        <v>45</v>
      </c>
      <c r="AB752" s="271">
        <v>96.5</v>
      </c>
      <c r="AC752" s="271">
        <v>150</v>
      </c>
      <c r="AD752" s="272">
        <v>18</v>
      </c>
      <c r="AF752" s="270">
        <v>45</v>
      </c>
      <c r="AG752" s="271">
        <v>96.5</v>
      </c>
      <c r="AH752" s="271">
        <v>146</v>
      </c>
      <c r="AI752" s="272">
        <v>18</v>
      </c>
      <c r="AK752" s="270">
        <v>45</v>
      </c>
      <c r="AL752" s="271">
        <v>96.5</v>
      </c>
      <c r="AM752" s="271">
        <v>142</v>
      </c>
      <c r="AN752" s="272">
        <v>18</v>
      </c>
      <c r="AP752" s="270">
        <v>45</v>
      </c>
      <c r="AQ752" s="271">
        <v>96.5</v>
      </c>
      <c r="AR752" s="271">
        <v>297</v>
      </c>
      <c r="AS752" s="272">
        <v>18</v>
      </c>
      <c r="AT752" s="288"/>
      <c r="AU752" s="270">
        <v>45</v>
      </c>
      <c r="AV752" s="271">
        <v>10.799999999999997</v>
      </c>
      <c r="AW752" s="271">
        <v>180</v>
      </c>
      <c r="AX752" s="272">
        <v>17.5</v>
      </c>
      <c r="AZ752" s="270">
        <v>45</v>
      </c>
      <c r="BA752" s="271">
        <v>10.799999999999997</v>
      </c>
      <c r="BB752" s="271">
        <v>176</v>
      </c>
      <c r="BC752" s="272">
        <v>17.5</v>
      </c>
      <c r="BE752" s="270">
        <v>45</v>
      </c>
      <c r="BF752" s="271">
        <v>10.799999999999997</v>
      </c>
      <c r="BG752" s="271">
        <v>172</v>
      </c>
      <c r="BH752" s="272">
        <v>17.5</v>
      </c>
      <c r="BI752" s="288"/>
      <c r="BJ752" s="270">
        <v>45</v>
      </c>
      <c r="BK752" s="271">
        <v>9.75</v>
      </c>
      <c r="BL752" s="271">
        <v>296</v>
      </c>
      <c r="BM752" s="272">
        <v>17.5</v>
      </c>
      <c r="BO752" s="270">
        <v>45</v>
      </c>
      <c r="BP752" s="271">
        <v>9.75</v>
      </c>
      <c r="BQ752" s="271">
        <v>292</v>
      </c>
      <c r="BR752" s="272">
        <v>17.5</v>
      </c>
      <c r="BT752" s="270">
        <v>90</v>
      </c>
      <c r="BU752" s="271">
        <v>50.25</v>
      </c>
      <c r="BV752" s="271">
        <v>250</v>
      </c>
      <c r="BW752" s="272">
        <v>16.5</v>
      </c>
      <c r="BX752" s="288"/>
      <c r="CM752" s="96"/>
    </row>
    <row r="753" spans="2:91">
      <c r="B753" s="270">
        <v>45</v>
      </c>
      <c r="C753" s="271">
        <v>53.5</v>
      </c>
      <c r="D753" s="271">
        <v>399</v>
      </c>
      <c r="E753" s="272">
        <v>18</v>
      </c>
      <c r="G753" s="270">
        <v>45</v>
      </c>
      <c r="H753" s="271">
        <v>53.5</v>
      </c>
      <c r="I753" s="271">
        <v>159</v>
      </c>
      <c r="J753" s="272">
        <v>18</v>
      </c>
      <c r="L753" s="270">
        <v>45</v>
      </c>
      <c r="M753" s="271">
        <v>53.5</v>
      </c>
      <c r="N753" s="271">
        <v>147</v>
      </c>
      <c r="O753" s="272">
        <v>18</v>
      </c>
      <c r="Q753" s="270">
        <v>45</v>
      </c>
      <c r="R753" s="271">
        <v>53.5</v>
      </c>
      <c r="S753" s="271">
        <v>147</v>
      </c>
      <c r="T753" s="272">
        <v>18</v>
      </c>
      <c r="V753" s="270">
        <v>45</v>
      </c>
      <c r="W753" s="271">
        <v>53.5</v>
      </c>
      <c r="X753" s="271">
        <v>146.5</v>
      </c>
      <c r="Y753" s="272">
        <v>18</v>
      </c>
      <c r="AA753" s="270">
        <v>45</v>
      </c>
      <c r="AB753" s="271">
        <v>53.5</v>
      </c>
      <c r="AC753" s="271">
        <v>150</v>
      </c>
      <c r="AD753" s="272">
        <v>18</v>
      </c>
      <c r="AF753" s="270">
        <v>45</v>
      </c>
      <c r="AG753" s="271">
        <v>53.5</v>
      </c>
      <c r="AH753" s="271">
        <v>146</v>
      </c>
      <c r="AI753" s="272">
        <v>18</v>
      </c>
      <c r="AK753" s="270">
        <v>45</v>
      </c>
      <c r="AL753" s="271">
        <v>53.5</v>
      </c>
      <c r="AM753" s="271">
        <v>142</v>
      </c>
      <c r="AN753" s="272">
        <v>18</v>
      </c>
      <c r="AP753" s="270">
        <v>45</v>
      </c>
      <c r="AQ753" s="271">
        <v>53.5</v>
      </c>
      <c r="AR753" s="271">
        <v>297</v>
      </c>
      <c r="AS753" s="272">
        <v>18</v>
      </c>
      <c r="AT753" s="288"/>
      <c r="AU753" s="270">
        <v>45</v>
      </c>
      <c r="AV753" s="271">
        <v>50</v>
      </c>
      <c r="AW753" s="271">
        <v>208</v>
      </c>
      <c r="AX753" s="272">
        <v>17.5</v>
      </c>
      <c r="AZ753" s="270">
        <v>45</v>
      </c>
      <c r="BA753" s="271">
        <v>50</v>
      </c>
      <c r="BB753" s="271">
        <v>204</v>
      </c>
      <c r="BC753" s="272">
        <v>17.5</v>
      </c>
      <c r="BE753" s="270">
        <v>45</v>
      </c>
      <c r="BF753" s="271">
        <v>50</v>
      </c>
      <c r="BG753" s="271">
        <v>200</v>
      </c>
      <c r="BH753" s="272">
        <v>17.5</v>
      </c>
      <c r="BI753" s="288"/>
      <c r="BJ753" s="270">
        <v>45</v>
      </c>
      <c r="BK753" s="271">
        <v>50.25</v>
      </c>
      <c r="BL753" s="271">
        <v>316</v>
      </c>
      <c r="BM753" s="272">
        <v>17.5</v>
      </c>
      <c r="BO753" s="270">
        <v>45</v>
      </c>
      <c r="BP753" s="271">
        <v>50.25</v>
      </c>
      <c r="BQ753" s="271">
        <v>312</v>
      </c>
      <c r="BR753" s="272">
        <v>17.5</v>
      </c>
      <c r="BT753" s="270">
        <v>90</v>
      </c>
      <c r="BU753" s="271">
        <v>50</v>
      </c>
      <c r="BV753" s="271">
        <v>300</v>
      </c>
      <c r="BW753" s="272">
        <v>40</v>
      </c>
      <c r="BX753" s="288"/>
      <c r="CM753" s="96"/>
    </row>
    <row r="754" spans="2:91">
      <c r="B754" s="270">
        <v>45</v>
      </c>
      <c r="C754" s="271">
        <v>139.5</v>
      </c>
      <c r="D754" s="271">
        <v>427</v>
      </c>
      <c r="E754" s="272">
        <v>18</v>
      </c>
      <c r="G754" s="270">
        <v>45</v>
      </c>
      <c r="H754" s="271">
        <v>139.5</v>
      </c>
      <c r="I754" s="271">
        <v>187</v>
      </c>
      <c r="J754" s="272">
        <v>18</v>
      </c>
      <c r="L754" s="270">
        <v>45</v>
      </c>
      <c r="M754" s="271">
        <v>139.5</v>
      </c>
      <c r="N754" s="271">
        <v>175</v>
      </c>
      <c r="O754" s="272">
        <v>18</v>
      </c>
      <c r="Q754" s="270">
        <v>45</v>
      </c>
      <c r="R754" s="271">
        <v>139.5</v>
      </c>
      <c r="S754" s="271">
        <v>175</v>
      </c>
      <c r="T754" s="272">
        <v>18</v>
      </c>
      <c r="V754" s="270">
        <v>45</v>
      </c>
      <c r="W754" s="271">
        <v>139.5</v>
      </c>
      <c r="X754" s="271">
        <v>175</v>
      </c>
      <c r="Y754" s="272">
        <v>18</v>
      </c>
      <c r="AA754" s="270">
        <v>45</v>
      </c>
      <c r="AB754" s="271">
        <v>139.5</v>
      </c>
      <c r="AC754" s="271">
        <v>180</v>
      </c>
      <c r="AD754" s="272">
        <v>18</v>
      </c>
      <c r="AF754" s="270">
        <v>45</v>
      </c>
      <c r="AG754" s="271">
        <v>139.5</v>
      </c>
      <c r="AH754" s="271">
        <v>176</v>
      </c>
      <c r="AI754" s="272">
        <v>18</v>
      </c>
      <c r="AK754" s="270">
        <v>45</v>
      </c>
      <c r="AL754" s="271">
        <v>139.5</v>
      </c>
      <c r="AM754" s="271">
        <v>176</v>
      </c>
      <c r="AN754" s="272">
        <v>18</v>
      </c>
      <c r="AP754" s="270">
        <v>45</v>
      </c>
      <c r="AQ754" s="271">
        <v>139.5</v>
      </c>
      <c r="AR754" s="271">
        <v>325</v>
      </c>
      <c r="AS754" s="272">
        <v>18</v>
      </c>
      <c r="AT754" s="288"/>
      <c r="AU754" s="270">
        <v>45</v>
      </c>
      <c r="AV754" s="271">
        <v>89.2</v>
      </c>
      <c r="AW754" s="271">
        <v>238</v>
      </c>
      <c r="AX754" s="272">
        <v>17.5</v>
      </c>
      <c r="AZ754" s="270">
        <v>45</v>
      </c>
      <c r="BA754" s="271">
        <v>89.2</v>
      </c>
      <c r="BB754" s="271">
        <v>234</v>
      </c>
      <c r="BC754" s="272">
        <v>17.5</v>
      </c>
      <c r="BE754" s="270">
        <v>90</v>
      </c>
      <c r="BF754" s="271">
        <v>89.2</v>
      </c>
      <c r="BG754" s="271">
        <v>230</v>
      </c>
      <c r="BH754" s="272">
        <v>16.5</v>
      </c>
      <c r="BI754" s="288"/>
      <c r="BJ754" s="270">
        <v>45</v>
      </c>
      <c r="BK754" s="271">
        <v>9.75</v>
      </c>
      <c r="BL754" s="271">
        <v>354</v>
      </c>
      <c r="BM754" s="272">
        <v>17.5</v>
      </c>
      <c r="BO754" s="270">
        <v>45</v>
      </c>
      <c r="BP754" s="271">
        <v>9.75</v>
      </c>
      <c r="BQ754" s="271">
        <v>350</v>
      </c>
      <c r="BR754" s="272">
        <v>17.5</v>
      </c>
      <c r="BT754" s="270">
        <v>90</v>
      </c>
      <c r="BU754" s="271">
        <v>10</v>
      </c>
      <c r="BV754" s="271">
        <v>300</v>
      </c>
      <c r="BW754" s="272">
        <v>40</v>
      </c>
      <c r="BX754" s="288"/>
      <c r="CM754" s="96"/>
    </row>
    <row r="755" spans="2:91">
      <c r="B755" s="270">
        <v>45</v>
      </c>
      <c r="C755" s="271">
        <v>10.5</v>
      </c>
      <c r="D755" s="271">
        <v>427</v>
      </c>
      <c r="E755" s="272">
        <v>18</v>
      </c>
      <c r="G755" s="270">
        <v>45</v>
      </c>
      <c r="H755" s="271">
        <v>10.5</v>
      </c>
      <c r="I755" s="271">
        <v>187</v>
      </c>
      <c r="J755" s="272">
        <v>18</v>
      </c>
      <c r="L755" s="270">
        <v>45</v>
      </c>
      <c r="M755" s="271">
        <v>10.5</v>
      </c>
      <c r="N755" s="271">
        <v>175</v>
      </c>
      <c r="O755" s="272">
        <v>18</v>
      </c>
      <c r="Q755" s="270">
        <v>45</v>
      </c>
      <c r="R755" s="271">
        <v>10.5</v>
      </c>
      <c r="S755" s="271">
        <v>175</v>
      </c>
      <c r="T755" s="272">
        <v>18</v>
      </c>
      <c r="V755" s="270">
        <v>45</v>
      </c>
      <c r="W755" s="271">
        <v>10.5</v>
      </c>
      <c r="X755" s="271">
        <v>175</v>
      </c>
      <c r="Y755" s="272">
        <v>18</v>
      </c>
      <c r="AA755" s="270">
        <v>45</v>
      </c>
      <c r="AB755" s="271">
        <v>10.5</v>
      </c>
      <c r="AC755" s="271">
        <v>180</v>
      </c>
      <c r="AD755" s="272">
        <v>18</v>
      </c>
      <c r="AF755" s="270">
        <v>45</v>
      </c>
      <c r="AG755" s="271">
        <v>10.5</v>
      </c>
      <c r="AH755" s="271">
        <v>176</v>
      </c>
      <c r="AI755" s="272">
        <v>18</v>
      </c>
      <c r="AK755" s="270">
        <v>45</v>
      </c>
      <c r="AL755" s="271">
        <v>10.5</v>
      </c>
      <c r="AM755" s="271">
        <v>176</v>
      </c>
      <c r="AN755" s="272">
        <v>18</v>
      </c>
      <c r="AP755" s="270">
        <v>45</v>
      </c>
      <c r="AQ755" s="271">
        <v>10.5</v>
      </c>
      <c r="AR755" s="271">
        <v>325</v>
      </c>
      <c r="AS755" s="272">
        <v>18</v>
      </c>
      <c r="AT755" s="288"/>
      <c r="AU755" s="270">
        <v>45</v>
      </c>
      <c r="AV755" s="271">
        <v>10.799999999999997</v>
      </c>
      <c r="AW755" s="271">
        <v>238</v>
      </c>
      <c r="AX755" s="272">
        <v>17.5</v>
      </c>
      <c r="AZ755" s="270">
        <v>45</v>
      </c>
      <c r="BA755" s="271">
        <v>10.799999999999997</v>
      </c>
      <c r="BB755" s="271">
        <v>234</v>
      </c>
      <c r="BC755" s="272">
        <v>17.5</v>
      </c>
      <c r="BE755" s="270">
        <v>90</v>
      </c>
      <c r="BF755" s="271">
        <v>10.799999999999997</v>
      </c>
      <c r="BG755" s="271">
        <v>230</v>
      </c>
      <c r="BH755" s="272">
        <v>14</v>
      </c>
      <c r="BI755" s="288"/>
      <c r="BJ755" s="270">
        <v>45</v>
      </c>
      <c r="BK755" s="271">
        <v>50.25</v>
      </c>
      <c r="BL755" s="271">
        <v>374</v>
      </c>
      <c r="BM755" s="272">
        <v>17.5</v>
      </c>
      <c r="BO755" s="270">
        <v>90</v>
      </c>
      <c r="BP755" s="271">
        <v>30</v>
      </c>
      <c r="BQ755" s="271">
        <v>360</v>
      </c>
      <c r="BR755" s="272">
        <v>14</v>
      </c>
      <c r="BT755" s="270" t="str">
        <v/>
      </c>
      <c r="BU755" s="271" t="str">
        <v/>
      </c>
      <c r="BV755" s="271" t="str">
        <v/>
      </c>
      <c r="BW755" s="272" t="str">
        <v/>
      </c>
      <c r="BX755" s="288"/>
      <c r="CM755" s="96"/>
    </row>
    <row r="756" spans="2:91">
      <c r="B756" s="270">
        <v>45</v>
      </c>
      <c r="C756" s="271">
        <v>96.5</v>
      </c>
      <c r="D756" s="271">
        <v>456</v>
      </c>
      <c r="E756" s="272">
        <v>18</v>
      </c>
      <c r="G756" s="270">
        <v>45</v>
      </c>
      <c r="H756" s="271">
        <v>96.5</v>
      </c>
      <c r="I756" s="271">
        <v>216</v>
      </c>
      <c r="J756" s="272">
        <v>18</v>
      </c>
      <c r="L756" s="270">
        <v>45</v>
      </c>
      <c r="M756" s="271">
        <v>96.5</v>
      </c>
      <c r="N756" s="271">
        <v>204</v>
      </c>
      <c r="O756" s="272">
        <v>18</v>
      </c>
      <c r="Q756" s="270">
        <v>45</v>
      </c>
      <c r="R756" s="271">
        <v>96.5</v>
      </c>
      <c r="S756" s="271">
        <v>204</v>
      </c>
      <c r="T756" s="272">
        <v>18</v>
      </c>
      <c r="V756" s="270">
        <v>45</v>
      </c>
      <c r="W756" s="271">
        <v>96.5</v>
      </c>
      <c r="X756" s="271">
        <v>203.5</v>
      </c>
      <c r="Y756" s="272">
        <v>18</v>
      </c>
      <c r="AA756" s="270">
        <v>45</v>
      </c>
      <c r="AB756" s="271">
        <v>96.5</v>
      </c>
      <c r="AC756" s="271">
        <v>208</v>
      </c>
      <c r="AD756" s="272">
        <v>18</v>
      </c>
      <c r="AF756" s="270">
        <v>45</v>
      </c>
      <c r="AG756" s="271">
        <v>96.5</v>
      </c>
      <c r="AH756" s="271">
        <v>204</v>
      </c>
      <c r="AI756" s="272">
        <v>18</v>
      </c>
      <c r="AK756" s="270">
        <v>45</v>
      </c>
      <c r="AL756" s="271">
        <v>96.5</v>
      </c>
      <c r="AM756" s="271">
        <v>200</v>
      </c>
      <c r="AN756" s="272">
        <v>18</v>
      </c>
      <c r="AP756" s="270">
        <v>45</v>
      </c>
      <c r="AQ756" s="271">
        <v>96.5</v>
      </c>
      <c r="AR756" s="271">
        <v>354</v>
      </c>
      <c r="AS756" s="272">
        <v>18</v>
      </c>
      <c r="AT756" s="288"/>
      <c r="AU756" s="270">
        <v>45</v>
      </c>
      <c r="AV756" s="271">
        <v>50</v>
      </c>
      <c r="AW756" s="271">
        <v>266</v>
      </c>
      <c r="AX756" s="272">
        <v>17.5</v>
      </c>
      <c r="AZ756" s="270">
        <v>45</v>
      </c>
      <c r="BA756" s="271">
        <v>50</v>
      </c>
      <c r="BB756" s="271">
        <v>262</v>
      </c>
      <c r="BC756" s="272">
        <v>17.5</v>
      </c>
      <c r="BE756" s="270">
        <v>90</v>
      </c>
      <c r="BF756" s="271">
        <v>70</v>
      </c>
      <c r="BG756" s="271">
        <v>245</v>
      </c>
      <c r="BH756" s="272">
        <v>14</v>
      </c>
      <c r="BI756" s="288"/>
      <c r="BJ756" s="270">
        <v>45</v>
      </c>
      <c r="BK756" s="271">
        <v>9.75</v>
      </c>
      <c r="BL756" s="271">
        <v>412</v>
      </c>
      <c r="BM756" s="272">
        <v>17.5</v>
      </c>
      <c r="BO756" s="270">
        <v>90</v>
      </c>
      <c r="BP756" s="271">
        <v>50.25</v>
      </c>
      <c r="BQ756" s="271">
        <v>370</v>
      </c>
      <c r="BR756" s="272">
        <v>16.5</v>
      </c>
      <c r="BT756" s="270" t="str">
        <v/>
      </c>
      <c r="BU756" s="271" t="str">
        <v/>
      </c>
      <c r="BV756" s="271" t="str">
        <v/>
      </c>
      <c r="BW756" s="272" t="str">
        <v/>
      </c>
      <c r="BX756" s="288"/>
      <c r="CM756" s="96"/>
    </row>
    <row r="757" spans="2:91">
      <c r="B757" s="270">
        <v>45</v>
      </c>
      <c r="C757" s="271">
        <v>53.5</v>
      </c>
      <c r="D757" s="271">
        <v>456</v>
      </c>
      <c r="E757" s="272">
        <v>18</v>
      </c>
      <c r="G757" s="270">
        <v>45</v>
      </c>
      <c r="H757" s="271">
        <v>53.5</v>
      </c>
      <c r="I757" s="271">
        <v>216</v>
      </c>
      <c r="J757" s="272">
        <v>18</v>
      </c>
      <c r="L757" s="270">
        <v>45</v>
      </c>
      <c r="M757" s="271">
        <v>53.5</v>
      </c>
      <c r="N757" s="271">
        <v>204</v>
      </c>
      <c r="O757" s="272">
        <v>18</v>
      </c>
      <c r="Q757" s="270">
        <v>45</v>
      </c>
      <c r="R757" s="271">
        <v>53.5</v>
      </c>
      <c r="S757" s="271">
        <v>204</v>
      </c>
      <c r="T757" s="272">
        <v>18</v>
      </c>
      <c r="V757" s="270">
        <v>45</v>
      </c>
      <c r="W757" s="271">
        <v>53.5</v>
      </c>
      <c r="X757" s="271">
        <v>203.5</v>
      </c>
      <c r="Y757" s="272">
        <v>18</v>
      </c>
      <c r="AA757" s="270">
        <v>45</v>
      </c>
      <c r="AB757" s="271">
        <v>53.5</v>
      </c>
      <c r="AC757" s="271">
        <v>208</v>
      </c>
      <c r="AD757" s="272">
        <v>18</v>
      </c>
      <c r="AF757" s="270">
        <v>45</v>
      </c>
      <c r="AG757" s="271">
        <v>53.5</v>
      </c>
      <c r="AH757" s="271">
        <v>204</v>
      </c>
      <c r="AI757" s="272">
        <v>18</v>
      </c>
      <c r="AK757" s="270">
        <v>45</v>
      </c>
      <c r="AL757" s="271">
        <v>53.5</v>
      </c>
      <c r="AM757" s="271">
        <v>200</v>
      </c>
      <c r="AN757" s="272">
        <v>18</v>
      </c>
      <c r="AP757" s="270">
        <v>45</v>
      </c>
      <c r="AQ757" s="271">
        <v>53.5</v>
      </c>
      <c r="AR757" s="271">
        <v>354</v>
      </c>
      <c r="AS757" s="272">
        <v>18</v>
      </c>
      <c r="AT757" s="288"/>
      <c r="AU757" s="270">
        <v>45</v>
      </c>
      <c r="AV757" s="271">
        <v>89.2</v>
      </c>
      <c r="AW757" s="271">
        <v>296</v>
      </c>
      <c r="AX757" s="272">
        <v>17.5</v>
      </c>
      <c r="AZ757" s="270">
        <v>45</v>
      </c>
      <c r="BA757" s="271">
        <v>89.2</v>
      </c>
      <c r="BB757" s="271">
        <v>292</v>
      </c>
      <c r="BC757" s="272">
        <v>17.5</v>
      </c>
      <c r="BE757" s="270">
        <v>90</v>
      </c>
      <c r="BF757" s="271">
        <v>30</v>
      </c>
      <c r="BG757" s="271">
        <v>245</v>
      </c>
      <c r="BH757" s="272">
        <v>14</v>
      </c>
      <c r="BI757" s="288"/>
      <c r="BJ757" s="270">
        <v>45</v>
      </c>
      <c r="BK757" s="271">
        <v>50.25</v>
      </c>
      <c r="BL757" s="271">
        <v>432</v>
      </c>
      <c r="BM757" s="272">
        <v>17.5</v>
      </c>
      <c r="BO757" s="270">
        <v>90</v>
      </c>
      <c r="BP757" s="271">
        <v>50</v>
      </c>
      <c r="BQ757" s="271">
        <v>420</v>
      </c>
      <c r="BR757" s="272">
        <v>40</v>
      </c>
      <c r="BT757" s="270" t="str">
        <v/>
      </c>
      <c r="BU757" s="271" t="str">
        <v/>
      </c>
      <c r="BV757" s="271" t="str">
        <v/>
      </c>
      <c r="BW757" s="272" t="str">
        <v/>
      </c>
      <c r="BX757" s="288"/>
      <c r="CM757" s="96"/>
    </row>
    <row r="758" spans="2:91">
      <c r="B758" s="92">
        <v>45</v>
      </c>
      <c r="C758" s="268">
        <v>139.5</v>
      </c>
      <c r="D758" s="268">
        <v>484</v>
      </c>
      <c r="E758" s="269">
        <v>18</v>
      </c>
      <c r="G758" s="92">
        <v>45</v>
      </c>
      <c r="H758" s="268">
        <v>139.5</v>
      </c>
      <c r="I758" s="268">
        <v>244</v>
      </c>
      <c r="J758" s="269">
        <v>18</v>
      </c>
      <c r="L758" s="92">
        <v>45</v>
      </c>
      <c r="M758" s="268">
        <v>139.5</v>
      </c>
      <c r="N758" s="268">
        <v>232</v>
      </c>
      <c r="O758" s="269">
        <v>18</v>
      </c>
      <c r="Q758" s="92">
        <v>45</v>
      </c>
      <c r="R758" s="268">
        <v>139.5</v>
      </c>
      <c r="S758" s="268">
        <v>232</v>
      </c>
      <c r="T758" s="269">
        <v>18</v>
      </c>
      <c r="V758" s="92">
        <v>45</v>
      </c>
      <c r="W758" s="268">
        <v>139.5</v>
      </c>
      <c r="X758" s="268">
        <v>232</v>
      </c>
      <c r="Y758" s="269">
        <v>18</v>
      </c>
      <c r="AA758" s="92">
        <v>45</v>
      </c>
      <c r="AB758" s="268">
        <v>139.5</v>
      </c>
      <c r="AC758" s="268">
        <v>238</v>
      </c>
      <c r="AD758" s="269">
        <v>18</v>
      </c>
      <c r="AF758" s="92">
        <v>45</v>
      </c>
      <c r="AG758" s="268">
        <v>139.5</v>
      </c>
      <c r="AH758" s="268">
        <v>234</v>
      </c>
      <c r="AI758" s="269">
        <v>18</v>
      </c>
      <c r="AK758" s="92">
        <v>90</v>
      </c>
      <c r="AL758" s="268">
        <v>139.5</v>
      </c>
      <c r="AM758" s="268">
        <v>230</v>
      </c>
      <c r="AN758" s="269">
        <v>20</v>
      </c>
      <c r="AP758" s="92">
        <v>45</v>
      </c>
      <c r="AQ758" s="268">
        <v>139.5</v>
      </c>
      <c r="AR758" s="268">
        <v>382</v>
      </c>
      <c r="AS758" s="269">
        <v>18</v>
      </c>
      <c r="AT758" s="288"/>
      <c r="AU758" s="92">
        <v>45</v>
      </c>
      <c r="AV758" s="268">
        <v>10.799999999999997</v>
      </c>
      <c r="AW758" s="268">
        <v>296</v>
      </c>
      <c r="AX758" s="269">
        <v>17.5</v>
      </c>
      <c r="AZ758" s="92">
        <v>45</v>
      </c>
      <c r="BA758" s="268">
        <v>10.799999999999997</v>
      </c>
      <c r="BB758" s="268">
        <v>292</v>
      </c>
      <c r="BC758" s="269">
        <v>17.5</v>
      </c>
      <c r="BE758" s="92">
        <v>90</v>
      </c>
      <c r="BF758" s="268">
        <v>90</v>
      </c>
      <c r="BG758" s="268">
        <v>300</v>
      </c>
      <c r="BH758" s="269">
        <v>40</v>
      </c>
      <c r="BI758" s="288"/>
      <c r="BJ758" s="92">
        <v>45</v>
      </c>
      <c r="BK758" s="268">
        <v>9.75</v>
      </c>
      <c r="BL758" s="268">
        <v>470</v>
      </c>
      <c r="BM758" s="269">
        <v>17.5</v>
      </c>
      <c r="BO758" s="92">
        <v>90</v>
      </c>
      <c r="BP758" s="268">
        <v>10</v>
      </c>
      <c r="BQ758" s="268">
        <v>420</v>
      </c>
      <c r="BR758" s="269">
        <v>40</v>
      </c>
      <c r="BT758" s="92" t="str">
        <v/>
      </c>
      <c r="BU758" s="268" t="str">
        <v/>
      </c>
      <c r="BV758" s="268" t="str">
        <v/>
      </c>
      <c r="BW758" s="269" t="str">
        <v/>
      </c>
      <c r="BX758" s="288"/>
      <c r="CM758" s="96"/>
    </row>
    <row r="759" spans="2:91">
      <c r="B759" s="92">
        <v>45</v>
      </c>
      <c r="C759" s="268">
        <v>10.5</v>
      </c>
      <c r="D759" s="268">
        <v>484</v>
      </c>
      <c r="E759" s="269">
        <v>18</v>
      </c>
      <c r="G759" s="92">
        <v>45</v>
      </c>
      <c r="H759" s="268">
        <v>10.5</v>
      </c>
      <c r="I759" s="268">
        <v>244</v>
      </c>
      <c r="J759" s="269">
        <v>18</v>
      </c>
      <c r="L759" s="92">
        <v>45</v>
      </c>
      <c r="M759" s="268">
        <v>10.5</v>
      </c>
      <c r="N759" s="268">
        <v>232</v>
      </c>
      <c r="O759" s="269">
        <v>18</v>
      </c>
      <c r="Q759" s="92">
        <v>45</v>
      </c>
      <c r="R759" s="268">
        <v>10.5</v>
      </c>
      <c r="S759" s="268">
        <v>232</v>
      </c>
      <c r="T759" s="269">
        <v>18</v>
      </c>
      <c r="V759" s="92">
        <v>45</v>
      </c>
      <c r="W759" s="268">
        <v>10.5</v>
      </c>
      <c r="X759" s="268">
        <v>232</v>
      </c>
      <c r="Y759" s="269">
        <v>18</v>
      </c>
      <c r="AA759" s="92">
        <v>45</v>
      </c>
      <c r="AB759" s="268">
        <v>10.5</v>
      </c>
      <c r="AC759" s="268">
        <v>238</v>
      </c>
      <c r="AD759" s="269">
        <v>18</v>
      </c>
      <c r="AF759" s="92">
        <v>45</v>
      </c>
      <c r="AG759" s="268">
        <v>10.5</v>
      </c>
      <c r="AH759" s="268">
        <v>234</v>
      </c>
      <c r="AI759" s="269">
        <v>18</v>
      </c>
      <c r="AK759" s="92">
        <v>90</v>
      </c>
      <c r="AL759" s="268">
        <v>10.5</v>
      </c>
      <c r="AM759" s="268">
        <v>230</v>
      </c>
      <c r="AN759" s="269">
        <v>20</v>
      </c>
      <c r="AP759" s="92">
        <v>45</v>
      </c>
      <c r="AQ759" s="268">
        <v>10.5</v>
      </c>
      <c r="AR759" s="268">
        <v>382</v>
      </c>
      <c r="AS759" s="269">
        <v>18</v>
      </c>
      <c r="AT759" s="288"/>
      <c r="AU759" s="92">
        <v>45</v>
      </c>
      <c r="AV759" s="268">
        <v>50</v>
      </c>
      <c r="AW759" s="268">
        <v>324</v>
      </c>
      <c r="AX759" s="269">
        <v>17.5</v>
      </c>
      <c r="AZ759" s="92">
        <v>45</v>
      </c>
      <c r="BA759" s="268">
        <v>50</v>
      </c>
      <c r="BB759" s="268">
        <v>320</v>
      </c>
      <c r="BC759" s="269">
        <v>17.5</v>
      </c>
      <c r="BE759" s="92">
        <v>90</v>
      </c>
      <c r="BF759" s="268">
        <v>10</v>
      </c>
      <c r="BG759" s="268">
        <v>300</v>
      </c>
      <c r="BH759" s="269">
        <v>40</v>
      </c>
      <c r="BI759" s="288"/>
      <c r="BJ759" s="92">
        <v>90</v>
      </c>
      <c r="BK759" s="268">
        <v>30</v>
      </c>
      <c r="BL759" s="268">
        <v>480</v>
      </c>
      <c r="BM759" s="269">
        <v>14</v>
      </c>
      <c r="BO759" s="92" t="str">
        <v/>
      </c>
      <c r="BP759" s="268" t="str">
        <v/>
      </c>
      <c r="BQ759" s="268" t="str">
        <v/>
      </c>
      <c r="BR759" s="269" t="str">
        <v/>
      </c>
      <c r="BT759" s="92" t="str">
        <v/>
      </c>
      <c r="BU759" s="268" t="str">
        <v/>
      </c>
      <c r="BV759" s="268" t="str">
        <v/>
      </c>
      <c r="BW759" s="269" t="str">
        <v/>
      </c>
      <c r="BX759" s="288"/>
      <c r="CM759" s="96"/>
    </row>
    <row r="760" spans="2:91">
      <c r="B760" s="92">
        <v>45</v>
      </c>
      <c r="C760" s="268">
        <v>96.5</v>
      </c>
      <c r="D760" s="268">
        <v>513</v>
      </c>
      <c r="E760" s="269">
        <v>18</v>
      </c>
      <c r="G760" s="92">
        <v>45</v>
      </c>
      <c r="H760" s="268">
        <v>96.5</v>
      </c>
      <c r="I760" s="268">
        <v>273</v>
      </c>
      <c r="J760" s="269">
        <v>18</v>
      </c>
      <c r="L760" s="92">
        <v>45</v>
      </c>
      <c r="M760" s="268">
        <v>96.5</v>
      </c>
      <c r="N760" s="268">
        <v>261</v>
      </c>
      <c r="O760" s="269">
        <v>18</v>
      </c>
      <c r="Q760" s="92">
        <v>45</v>
      </c>
      <c r="R760" s="268">
        <v>96.5</v>
      </c>
      <c r="S760" s="268">
        <v>261</v>
      </c>
      <c r="T760" s="269">
        <v>18</v>
      </c>
      <c r="V760" s="92">
        <v>45</v>
      </c>
      <c r="W760" s="268">
        <v>96.5</v>
      </c>
      <c r="X760" s="268">
        <v>260.5</v>
      </c>
      <c r="Y760" s="269">
        <v>18</v>
      </c>
      <c r="AA760" s="92">
        <v>45</v>
      </c>
      <c r="AB760" s="268">
        <v>96.5</v>
      </c>
      <c r="AC760" s="268">
        <v>266</v>
      </c>
      <c r="AD760" s="269">
        <v>18</v>
      </c>
      <c r="AF760" s="92">
        <v>45</v>
      </c>
      <c r="AG760" s="268">
        <v>96.5</v>
      </c>
      <c r="AH760" s="268">
        <v>262</v>
      </c>
      <c r="AI760" s="269">
        <v>18</v>
      </c>
      <c r="AK760" s="92">
        <v>90</v>
      </c>
      <c r="AL760" s="268">
        <v>75</v>
      </c>
      <c r="AM760" s="268">
        <v>235</v>
      </c>
      <c r="AN760" s="269">
        <v>14</v>
      </c>
      <c r="AP760" s="92">
        <v>45</v>
      </c>
      <c r="AQ760" s="268">
        <v>96.5</v>
      </c>
      <c r="AR760" s="268">
        <v>411</v>
      </c>
      <c r="AS760" s="269">
        <v>18</v>
      </c>
      <c r="AT760" s="288"/>
      <c r="AU760" s="92">
        <v>45</v>
      </c>
      <c r="AV760" s="268">
        <v>89.2</v>
      </c>
      <c r="AW760" s="268">
        <v>354</v>
      </c>
      <c r="AX760" s="269">
        <v>17.5</v>
      </c>
      <c r="AZ760" s="92">
        <v>90</v>
      </c>
      <c r="BA760" s="268">
        <v>89.2</v>
      </c>
      <c r="BB760" s="268">
        <v>350</v>
      </c>
      <c r="BC760" s="269">
        <v>16.5</v>
      </c>
      <c r="BE760" s="92" t="str">
        <v/>
      </c>
      <c r="BF760" s="268" t="str">
        <v/>
      </c>
      <c r="BG760" s="268" t="str">
        <v/>
      </c>
      <c r="BH760" s="269" t="str">
        <v/>
      </c>
      <c r="BI760" s="288"/>
      <c r="BJ760" s="92">
        <v>90</v>
      </c>
      <c r="BK760" s="268">
        <v>50.25</v>
      </c>
      <c r="BL760" s="268">
        <v>490</v>
      </c>
      <c r="BM760" s="269">
        <v>16.5</v>
      </c>
      <c r="BO760" s="92" t="str">
        <v/>
      </c>
      <c r="BP760" s="268" t="str">
        <v/>
      </c>
      <c r="BQ760" s="268" t="str">
        <v/>
      </c>
      <c r="BR760" s="269" t="str">
        <v/>
      </c>
      <c r="BT760" s="92" t="str">
        <v/>
      </c>
      <c r="BU760" s="268" t="str">
        <v/>
      </c>
      <c r="BV760" s="268" t="str">
        <v/>
      </c>
      <c r="BW760" s="269" t="str">
        <v/>
      </c>
      <c r="BX760" s="288"/>
      <c r="CM760" s="96"/>
    </row>
    <row r="761" spans="2:91">
      <c r="B761" s="92">
        <v>45</v>
      </c>
      <c r="C761" s="268">
        <v>53.5</v>
      </c>
      <c r="D761" s="268">
        <v>513</v>
      </c>
      <c r="E761" s="269">
        <v>18</v>
      </c>
      <c r="G761" s="92">
        <v>45</v>
      </c>
      <c r="H761" s="268">
        <v>53.5</v>
      </c>
      <c r="I761" s="268">
        <v>273</v>
      </c>
      <c r="J761" s="269">
        <v>18</v>
      </c>
      <c r="L761" s="92">
        <v>45</v>
      </c>
      <c r="M761" s="268">
        <v>53.5</v>
      </c>
      <c r="N761" s="268">
        <v>261</v>
      </c>
      <c r="O761" s="269">
        <v>18</v>
      </c>
      <c r="Q761" s="92">
        <v>45</v>
      </c>
      <c r="R761" s="268">
        <v>53.5</v>
      </c>
      <c r="S761" s="268">
        <v>261</v>
      </c>
      <c r="T761" s="269">
        <v>18</v>
      </c>
      <c r="V761" s="92">
        <v>45</v>
      </c>
      <c r="W761" s="268">
        <v>53.5</v>
      </c>
      <c r="X761" s="268">
        <v>260.5</v>
      </c>
      <c r="Y761" s="269">
        <v>18</v>
      </c>
      <c r="AA761" s="92">
        <v>45</v>
      </c>
      <c r="AB761" s="268">
        <v>53.5</v>
      </c>
      <c r="AC761" s="268">
        <v>266</v>
      </c>
      <c r="AD761" s="269">
        <v>18</v>
      </c>
      <c r="AF761" s="92">
        <v>45</v>
      </c>
      <c r="AG761" s="268">
        <v>53.5</v>
      </c>
      <c r="AH761" s="268">
        <v>262</v>
      </c>
      <c r="AI761" s="269">
        <v>18</v>
      </c>
      <c r="AK761" s="92">
        <v>90</v>
      </c>
      <c r="AL761" s="268">
        <v>118</v>
      </c>
      <c r="AM761" s="268">
        <v>245</v>
      </c>
      <c r="AN761" s="269">
        <v>14</v>
      </c>
      <c r="AP761" s="92">
        <v>45</v>
      </c>
      <c r="AQ761" s="268">
        <v>53.5</v>
      </c>
      <c r="AR761" s="268">
        <v>411</v>
      </c>
      <c r="AS761" s="269">
        <v>18</v>
      </c>
      <c r="AT761" s="288"/>
      <c r="AU761" s="92">
        <v>45</v>
      </c>
      <c r="AV761" s="268">
        <v>10.799999999999997</v>
      </c>
      <c r="AW761" s="268">
        <v>354</v>
      </c>
      <c r="AX761" s="269">
        <v>17.5</v>
      </c>
      <c r="AZ761" s="92">
        <v>90</v>
      </c>
      <c r="BA761" s="268">
        <v>10.799999999999997</v>
      </c>
      <c r="BB761" s="268">
        <v>350</v>
      </c>
      <c r="BC761" s="269">
        <v>14</v>
      </c>
      <c r="BE761" s="92" t="str">
        <v/>
      </c>
      <c r="BF761" s="268" t="str">
        <v/>
      </c>
      <c r="BG761" s="268" t="str">
        <v/>
      </c>
      <c r="BH761" s="269" t="str">
        <v/>
      </c>
      <c r="BI761" s="288"/>
      <c r="BJ761" s="92">
        <v>90</v>
      </c>
      <c r="BK761" s="268">
        <v>50</v>
      </c>
      <c r="BL761" s="268">
        <v>540</v>
      </c>
      <c r="BM761" s="269">
        <v>40</v>
      </c>
      <c r="BO761" s="92" t="str">
        <v/>
      </c>
      <c r="BP761" s="268" t="str">
        <v/>
      </c>
      <c r="BQ761" s="268" t="str">
        <v/>
      </c>
      <c r="BR761" s="269" t="str">
        <v/>
      </c>
      <c r="BT761" s="92" t="str">
        <v/>
      </c>
      <c r="BU761" s="268" t="str">
        <v/>
      </c>
      <c r="BV761" s="268" t="str">
        <v/>
      </c>
      <c r="BW761" s="269" t="str">
        <v/>
      </c>
      <c r="BX761" s="288"/>
      <c r="CM761" s="96"/>
    </row>
    <row r="762" spans="2:91">
      <c r="B762" s="92">
        <v>45</v>
      </c>
      <c r="C762" s="268">
        <v>139.5</v>
      </c>
      <c r="D762" s="268">
        <v>541</v>
      </c>
      <c r="E762" s="269">
        <v>18</v>
      </c>
      <c r="G762" s="92">
        <v>45</v>
      </c>
      <c r="H762" s="268">
        <v>139.5</v>
      </c>
      <c r="I762" s="268">
        <v>301</v>
      </c>
      <c r="J762" s="269">
        <v>18</v>
      </c>
      <c r="L762" s="92">
        <v>45</v>
      </c>
      <c r="M762" s="268">
        <v>139.5</v>
      </c>
      <c r="N762" s="268">
        <v>289</v>
      </c>
      <c r="O762" s="269">
        <v>18</v>
      </c>
      <c r="Q762" s="92">
        <v>45</v>
      </c>
      <c r="R762" s="268">
        <v>139.5</v>
      </c>
      <c r="S762" s="268">
        <v>289</v>
      </c>
      <c r="T762" s="269">
        <v>18</v>
      </c>
      <c r="V762" s="92">
        <v>45</v>
      </c>
      <c r="W762" s="268">
        <v>139.5</v>
      </c>
      <c r="X762" s="268">
        <v>289</v>
      </c>
      <c r="Y762" s="269">
        <v>18</v>
      </c>
      <c r="AA762" s="92">
        <v>45</v>
      </c>
      <c r="AB762" s="268">
        <v>139.5</v>
      </c>
      <c r="AC762" s="268">
        <v>296</v>
      </c>
      <c r="AD762" s="269">
        <v>18</v>
      </c>
      <c r="AF762" s="92">
        <v>45</v>
      </c>
      <c r="AG762" s="268">
        <v>139.5</v>
      </c>
      <c r="AH762" s="268">
        <v>292</v>
      </c>
      <c r="AI762" s="269">
        <v>18</v>
      </c>
      <c r="AK762" s="92">
        <v>90</v>
      </c>
      <c r="AL762" s="268">
        <v>32</v>
      </c>
      <c r="AM762" s="268">
        <v>245</v>
      </c>
      <c r="AN762" s="269">
        <v>14</v>
      </c>
      <c r="AP762" s="92">
        <v>45</v>
      </c>
      <c r="AQ762" s="268">
        <v>139.5</v>
      </c>
      <c r="AR762" s="268">
        <v>439</v>
      </c>
      <c r="AS762" s="269">
        <v>18</v>
      </c>
      <c r="AT762" s="288"/>
      <c r="AU762" s="92">
        <v>45</v>
      </c>
      <c r="AV762" s="268">
        <v>50</v>
      </c>
      <c r="AW762" s="268">
        <v>382</v>
      </c>
      <c r="AX762" s="269">
        <v>17.5</v>
      </c>
      <c r="AZ762" s="92">
        <v>90</v>
      </c>
      <c r="BA762" s="268">
        <v>70</v>
      </c>
      <c r="BB762" s="268">
        <v>365</v>
      </c>
      <c r="BC762" s="269">
        <v>14</v>
      </c>
      <c r="BE762" s="92" t="str">
        <v/>
      </c>
      <c r="BF762" s="268" t="str">
        <v/>
      </c>
      <c r="BG762" s="268" t="str">
        <v/>
      </c>
      <c r="BH762" s="269" t="str">
        <v/>
      </c>
      <c r="BI762" s="288"/>
      <c r="BJ762" s="92">
        <v>90</v>
      </c>
      <c r="BK762" s="268">
        <v>10</v>
      </c>
      <c r="BL762" s="268">
        <v>540</v>
      </c>
      <c r="BM762" s="269">
        <v>40</v>
      </c>
      <c r="BO762" s="92" t="str">
        <v/>
      </c>
      <c r="BP762" s="268" t="str">
        <v/>
      </c>
      <c r="BQ762" s="268" t="str">
        <v/>
      </c>
      <c r="BR762" s="269" t="str">
        <v/>
      </c>
      <c r="BT762" s="92" t="str">
        <v/>
      </c>
      <c r="BU762" s="268" t="str">
        <v/>
      </c>
      <c r="BV762" s="268" t="str">
        <v/>
      </c>
      <c r="BW762" s="269" t="str">
        <v/>
      </c>
      <c r="BX762" s="288"/>
      <c r="CM762" s="96"/>
    </row>
    <row r="763" spans="2:91">
      <c r="B763" s="92">
        <v>45</v>
      </c>
      <c r="C763" s="268">
        <v>10.5</v>
      </c>
      <c r="D763" s="268">
        <v>541</v>
      </c>
      <c r="E763" s="269">
        <v>18</v>
      </c>
      <c r="G763" s="92">
        <v>45</v>
      </c>
      <c r="H763" s="268">
        <v>10.5</v>
      </c>
      <c r="I763" s="268">
        <v>301</v>
      </c>
      <c r="J763" s="269">
        <v>18</v>
      </c>
      <c r="L763" s="92">
        <v>45</v>
      </c>
      <c r="M763" s="268">
        <v>10.5</v>
      </c>
      <c r="N763" s="268">
        <v>289</v>
      </c>
      <c r="O763" s="269">
        <v>18</v>
      </c>
      <c r="Q763" s="92">
        <v>45</v>
      </c>
      <c r="R763" s="268">
        <v>10.5</v>
      </c>
      <c r="S763" s="268">
        <v>289</v>
      </c>
      <c r="T763" s="269">
        <v>18</v>
      </c>
      <c r="V763" s="92">
        <v>45</v>
      </c>
      <c r="W763" s="268">
        <v>10.5</v>
      </c>
      <c r="X763" s="268">
        <v>289</v>
      </c>
      <c r="Y763" s="269">
        <v>18</v>
      </c>
      <c r="AA763" s="92">
        <v>45</v>
      </c>
      <c r="AB763" s="268">
        <v>10.5</v>
      </c>
      <c r="AC763" s="268">
        <v>296</v>
      </c>
      <c r="AD763" s="269">
        <v>18</v>
      </c>
      <c r="AF763" s="92">
        <v>45</v>
      </c>
      <c r="AG763" s="268">
        <v>10.5</v>
      </c>
      <c r="AH763" s="268">
        <v>292</v>
      </c>
      <c r="AI763" s="269">
        <v>18</v>
      </c>
      <c r="AK763" s="92">
        <v>90</v>
      </c>
      <c r="AL763" s="268">
        <v>96</v>
      </c>
      <c r="AM763" s="268">
        <v>290</v>
      </c>
      <c r="AN763" s="269">
        <v>50</v>
      </c>
      <c r="AP763" s="92">
        <v>45</v>
      </c>
      <c r="AQ763" s="268">
        <v>10.5</v>
      </c>
      <c r="AR763" s="268">
        <v>439</v>
      </c>
      <c r="AS763" s="269">
        <v>18</v>
      </c>
      <c r="AT763" s="288"/>
      <c r="AU763" s="92">
        <v>45</v>
      </c>
      <c r="AV763" s="268">
        <v>89.2</v>
      </c>
      <c r="AW763" s="268">
        <v>412</v>
      </c>
      <c r="AX763" s="269">
        <v>17.5</v>
      </c>
      <c r="AZ763" s="92">
        <v>90</v>
      </c>
      <c r="BA763" s="268">
        <v>30</v>
      </c>
      <c r="BB763" s="268">
        <v>365</v>
      </c>
      <c r="BC763" s="269">
        <v>14</v>
      </c>
      <c r="BE763" s="92" t="str">
        <v/>
      </c>
      <c r="BF763" s="268" t="str">
        <v/>
      </c>
      <c r="BG763" s="268" t="str">
        <v/>
      </c>
      <c r="BH763" s="269" t="str">
        <v/>
      </c>
      <c r="BI763" s="288"/>
      <c r="BJ763" s="92" t="str">
        <v/>
      </c>
      <c r="BK763" s="268" t="str">
        <v/>
      </c>
      <c r="BL763" s="268" t="str">
        <v/>
      </c>
      <c r="BM763" s="269" t="str">
        <v/>
      </c>
      <c r="BO763" s="92" t="str">
        <v/>
      </c>
      <c r="BP763" s="268" t="str">
        <v/>
      </c>
      <c r="BQ763" s="268" t="str">
        <v/>
      </c>
      <c r="BR763" s="269" t="str">
        <v/>
      </c>
      <c r="BT763" s="92" t="str">
        <v/>
      </c>
      <c r="BU763" s="268" t="str">
        <v/>
      </c>
      <c r="BV763" s="268" t="str">
        <v/>
      </c>
      <c r="BW763" s="269" t="str">
        <v/>
      </c>
      <c r="BX763" s="288"/>
      <c r="CM763" s="96"/>
    </row>
    <row r="764" spans="2:91">
      <c r="B764" s="92">
        <v>90</v>
      </c>
      <c r="C764" s="268">
        <v>75</v>
      </c>
      <c r="D764" s="268">
        <v>550</v>
      </c>
      <c r="E764" s="269">
        <v>14</v>
      </c>
      <c r="G764" s="92">
        <v>45</v>
      </c>
      <c r="H764" s="268">
        <v>96.5</v>
      </c>
      <c r="I764" s="268">
        <v>330</v>
      </c>
      <c r="J764" s="269">
        <v>18</v>
      </c>
      <c r="L764" s="92">
        <v>45</v>
      </c>
      <c r="M764" s="268">
        <v>96.5</v>
      </c>
      <c r="N764" s="268">
        <v>318</v>
      </c>
      <c r="O764" s="269">
        <v>18</v>
      </c>
      <c r="Q764" s="92">
        <v>45</v>
      </c>
      <c r="R764" s="268">
        <v>96.5</v>
      </c>
      <c r="S764" s="268">
        <v>318</v>
      </c>
      <c r="T764" s="269">
        <v>18</v>
      </c>
      <c r="V764" s="92">
        <v>45</v>
      </c>
      <c r="W764" s="268">
        <v>96.5</v>
      </c>
      <c r="X764" s="268">
        <v>317.5</v>
      </c>
      <c r="Y764" s="269">
        <v>18</v>
      </c>
      <c r="AA764" s="92">
        <v>45</v>
      </c>
      <c r="AB764" s="268">
        <v>96.5</v>
      </c>
      <c r="AC764" s="268">
        <v>324</v>
      </c>
      <c r="AD764" s="269">
        <v>18</v>
      </c>
      <c r="AF764" s="92">
        <v>45</v>
      </c>
      <c r="AG764" s="268">
        <v>96.5</v>
      </c>
      <c r="AH764" s="268">
        <v>320</v>
      </c>
      <c r="AI764" s="269">
        <v>18</v>
      </c>
      <c r="AK764" s="92">
        <v>90</v>
      </c>
      <c r="AL764" s="268">
        <v>54</v>
      </c>
      <c r="AM764" s="268">
        <v>290</v>
      </c>
      <c r="AN764" s="269">
        <v>50</v>
      </c>
      <c r="AP764" s="92">
        <v>45</v>
      </c>
      <c r="AQ764" s="268">
        <v>96.5</v>
      </c>
      <c r="AR764" s="268">
        <v>468</v>
      </c>
      <c r="AS764" s="269">
        <v>18</v>
      </c>
      <c r="AT764" s="288"/>
      <c r="AU764" s="92">
        <v>45</v>
      </c>
      <c r="AV764" s="268">
        <v>10.799999999999997</v>
      </c>
      <c r="AW764" s="268">
        <v>412</v>
      </c>
      <c r="AX764" s="269">
        <v>17.5</v>
      </c>
      <c r="AZ764" s="92">
        <v>90</v>
      </c>
      <c r="BA764" s="268">
        <v>90</v>
      </c>
      <c r="BB764" s="268">
        <v>420</v>
      </c>
      <c r="BC764" s="269">
        <v>40</v>
      </c>
      <c r="BE764" s="92" t="str">
        <v/>
      </c>
      <c r="BF764" s="268" t="str">
        <v/>
      </c>
      <c r="BG764" s="268" t="str">
        <v/>
      </c>
      <c r="BH764" s="269" t="str">
        <v/>
      </c>
      <c r="BI764" s="288"/>
      <c r="BJ764" s="92" t="str">
        <v/>
      </c>
      <c r="BK764" s="268" t="str">
        <v/>
      </c>
      <c r="BL764" s="268" t="str">
        <v/>
      </c>
      <c r="BM764" s="269" t="str">
        <v/>
      </c>
      <c r="BO764" s="92" t="str">
        <v/>
      </c>
      <c r="BP764" s="268" t="str">
        <v/>
      </c>
      <c r="BQ764" s="268" t="str">
        <v/>
      </c>
      <c r="BR764" s="269" t="str">
        <v/>
      </c>
      <c r="BT764" s="92" t="str">
        <v/>
      </c>
      <c r="BU764" s="268" t="str">
        <v/>
      </c>
      <c r="BV764" s="268" t="str">
        <v/>
      </c>
      <c r="BW764" s="269" t="str">
        <v/>
      </c>
      <c r="BX764" s="288"/>
      <c r="CM764" s="96"/>
    </row>
    <row r="765" spans="2:91">
      <c r="B765" s="92">
        <v>90</v>
      </c>
      <c r="C765" s="268">
        <v>118</v>
      </c>
      <c r="D765" s="268">
        <v>560</v>
      </c>
      <c r="E765" s="269">
        <v>14</v>
      </c>
      <c r="G765" s="92">
        <v>45</v>
      </c>
      <c r="H765" s="268">
        <v>53.5</v>
      </c>
      <c r="I765" s="268">
        <v>330</v>
      </c>
      <c r="J765" s="269">
        <v>18</v>
      </c>
      <c r="L765" s="92">
        <v>45</v>
      </c>
      <c r="M765" s="268">
        <v>53.5</v>
      </c>
      <c r="N765" s="268">
        <v>318</v>
      </c>
      <c r="O765" s="269">
        <v>18</v>
      </c>
      <c r="Q765" s="92">
        <v>45</v>
      </c>
      <c r="R765" s="268">
        <v>53.5</v>
      </c>
      <c r="S765" s="268">
        <v>318</v>
      </c>
      <c r="T765" s="269">
        <v>18</v>
      </c>
      <c r="V765" s="92">
        <v>45</v>
      </c>
      <c r="W765" s="268">
        <v>53.5</v>
      </c>
      <c r="X765" s="268">
        <v>317.5</v>
      </c>
      <c r="Y765" s="269">
        <v>18</v>
      </c>
      <c r="AA765" s="92">
        <v>45</v>
      </c>
      <c r="AB765" s="268">
        <v>53.5</v>
      </c>
      <c r="AC765" s="268">
        <v>324</v>
      </c>
      <c r="AD765" s="269">
        <v>18</v>
      </c>
      <c r="AF765" s="92">
        <v>45</v>
      </c>
      <c r="AG765" s="268">
        <v>53.5</v>
      </c>
      <c r="AH765" s="268">
        <v>320</v>
      </c>
      <c r="AI765" s="269">
        <v>18</v>
      </c>
      <c r="AK765" s="92">
        <v>90</v>
      </c>
      <c r="AL765" s="268">
        <v>140</v>
      </c>
      <c r="AM765" s="268">
        <v>300</v>
      </c>
      <c r="AN765" s="269">
        <v>50</v>
      </c>
      <c r="AP765" s="92">
        <v>45</v>
      </c>
      <c r="AQ765" s="268">
        <v>53.5</v>
      </c>
      <c r="AR765" s="268">
        <v>468</v>
      </c>
      <c r="AS765" s="269">
        <v>18</v>
      </c>
      <c r="AT765" s="288"/>
      <c r="AU765" s="92">
        <v>45</v>
      </c>
      <c r="AV765" s="268">
        <v>50</v>
      </c>
      <c r="AW765" s="268">
        <v>440</v>
      </c>
      <c r="AX765" s="269">
        <v>17.5</v>
      </c>
      <c r="AZ765" s="92">
        <v>90</v>
      </c>
      <c r="BA765" s="268">
        <v>10</v>
      </c>
      <c r="BB765" s="268">
        <v>420</v>
      </c>
      <c r="BC765" s="269">
        <v>40</v>
      </c>
      <c r="BE765" s="92" t="str">
        <v/>
      </c>
      <c r="BF765" s="268" t="str">
        <v/>
      </c>
      <c r="BG765" s="268" t="str">
        <v/>
      </c>
      <c r="BH765" s="269" t="str">
        <v/>
      </c>
      <c r="BI765" s="288"/>
      <c r="BJ765" s="92" t="str">
        <v/>
      </c>
      <c r="BK765" s="268" t="str">
        <v/>
      </c>
      <c r="BL765" s="268" t="str">
        <v/>
      </c>
      <c r="BM765" s="269" t="str">
        <v/>
      </c>
      <c r="BO765" s="92" t="str">
        <v/>
      </c>
      <c r="BP765" s="268" t="str">
        <v/>
      </c>
      <c r="BQ765" s="268" t="str">
        <v/>
      </c>
      <c r="BR765" s="269" t="str">
        <v/>
      </c>
      <c r="BT765" s="92" t="str">
        <v/>
      </c>
      <c r="BU765" s="268" t="str">
        <v/>
      </c>
      <c r="BV765" s="268" t="str">
        <v/>
      </c>
      <c r="BW765" s="269" t="str">
        <v/>
      </c>
      <c r="BX765" s="288"/>
      <c r="CM765" s="96"/>
    </row>
    <row r="766" spans="2:91">
      <c r="B766" s="92">
        <v>90</v>
      </c>
      <c r="C766" s="268">
        <v>32</v>
      </c>
      <c r="D766" s="268">
        <v>560</v>
      </c>
      <c r="E766" s="269">
        <v>14</v>
      </c>
      <c r="G766" s="92">
        <v>45</v>
      </c>
      <c r="H766" s="268">
        <v>139.5</v>
      </c>
      <c r="I766" s="268">
        <v>358</v>
      </c>
      <c r="J766" s="269">
        <v>18</v>
      </c>
      <c r="L766" s="92">
        <v>45</v>
      </c>
      <c r="M766" s="268">
        <v>139.5</v>
      </c>
      <c r="N766" s="268">
        <v>346</v>
      </c>
      <c r="O766" s="269">
        <v>18</v>
      </c>
      <c r="Q766" s="92">
        <v>45</v>
      </c>
      <c r="R766" s="268">
        <v>139.5</v>
      </c>
      <c r="S766" s="268">
        <v>346</v>
      </c>
      <c r="T766" s="269">
        <v>18</v>
      </c>
      <c r="V766" s="92">
        <v>45</v>
      </c>
      <c r="W766" s="268">
        <v>139.5</v>
      </c>
      <c r="X766" s="268">
        <v>346</v>
      </c>
      <c r="Y766" s="269">
        <v>18</v>
      </c>
      <c r="AA766" s="92">
        <v>45</v>
      </c>
      <c r="AB766" s="268">
        <v>139.5</v>
      </c>
      <c r="AC766" s="268">
        <v>354</v>
      </c>
      <c r="AD766" s="269">
        <v>18</v>
      </c>
      <c r="AF766" s="92">
        <v>90</v>
      </c>
      <c r="AG766" s="268">
        <v>139.5</v>
      </c>
      <c r="AH766" s="268">
        <v>350</v>
      </c>
      <c r="AI766" s="269">
        <v>20</v>
      </c>
      <c r="AK766" s="92">
        <v>90</v>
      </c>
      <c r="AL766" s="268">
        <v>10</v>
      </c>
      <c r="AM766" s="268">
        <v>300</v>
      </c>
      <c r="AN766" s="269">
        <v>50</v>
      </c>
      <c r="AP766" s="92">
        <v>45</v>
      </c>
      <c r="AQ766" s="268">
        <v>139.5</v>
      </c>
      <c r="AR766" s="268">
        <v>496</v>
      </c>
      <c r="AS766" s="269">
        <v>18</v>
      </c>
      <c r="AT766" s="288"/>
      <c r="AU766" s="92">
        <v>90</v>
      </c>
      <c r="AV766" s="268">
        <v>89.2</v>
      </c>
      <c r="AW766" s="268">
        <v>470</v>
      </c>
      <c r="AX766" s="269">
        <v>16.5</v>
      </c>
      <c r="AZ766" s="92" t="str">
        <v/>
      </c>
      <c r="BA766" s="268" t="str">
        <v/>
      </c>
      <c r="BB766" s="268" t="str">
        <v/>
      </c>
      <c r="BC766" s="269" t="str">
        <v/>
      </c>
      <c r="BE766" s="92" t="str">
        <v/>
      </c>
      <c r="BF766" s="268" t="str">
        <v/>
      </c>
      <c r="BG766" s="268" t="str">
        <v/>
      </c>
      <c r="BH766" s="269" t="str">
        <v/>
      </c>
      <c r="BI766" s="288"/>
      <c r="BJ766" s="92" t="str">
        <v/>
      </c>
      <c r="BK766" s="268" t="str">
        <v/>
      </c>
      <c r="BL766" s="268" t="str">
        <v/>
      </c>
      <c r="BM766" s="269" t="str">
        <v/>
      </c>
      <c r="BO766" s="92" t="str">
        <v/>
      </c>
      <c r="BP766" s="268" t="str">
        <v/>
      </c>
      <c r="BQ766" s="268" t="str">
        <v/>
      </c>
      <c r="BR766" s="269" t="str">
        <v/>
      </c>
      <c r="BT766" s="92" t="str">
        <v/>
      </c>
      <c r="BU766" s="268" t="str">
        <v/>
      </c>
      <c r="BV766" s="268" t="str">
        <v/>
      </c>
      <c r="BW766" s="269" t="str">
        <v/>
      </c>
      <c r="BX766" s="288"/>
      <c r="CM766" s="96"/>
    </row>
    <row r="767" spans="2:91">
      <c r="B767" s="92">
        <v>45</v>
      </c>
      <c r="C767" s="268">
        <v>96.5</v>
      </c>
      <c r="D767" s="268">
        <v>570</v>
      </c>
      <c r="E767" s="269">
        <v>18</v>
      </c>
      <c r="G767" s="92">
        <v>45</v>
      </c>
      <c r="H767" s="268">
        <v>10.5</v>
      </c>
      <c r="I767" s="268">
        <v>358</v>
      </c>
      <c r="J767" s="269">
        <v>18</v>
      </c>
      <c r="L767" s="92">
        <v>45</v>
      </c>
      <c r="M767" s="268">
        <v>10.5</v>
      </c>
      <c r="N767" s="268">
        <v>346</v>
      </c>
      <c r="O767" s="269">
        <v>18</v>
      </c>
      <c r="Q767" s="92">
        <v>45</v>
      </c>
      <c r="R767" s="268">
        <v>10.5</v>
      </c>
      <c r="S767" s="268">
        <v>346</v>
      </c>
      <c r="T767" s="269">
        <v>18</v>
      </c>
      <c r="V767" s="92">
        <v>45</v>
      </c>
      <c r="W767" s="268">
        <v>10.5</v>
      </c>
      <c r="X767" s="268">
        <v>346</v>
      </c>
      <c r="Y767" s="269">
        <v>18</v>
      </c>
      <c r="AA767" s="92">
        <v>45</v>
      </c>
      <c r="AB767" s="268">
        <v>10.5</v>
      </c>
      <c r="AC767" s="268">
        <v>354</v>
      </c>
      <c r="AD767" s="269">
        <v>18</v>
      </c>
      <c r="AF767" s="92">
        <v>90</v>
      </c>
      <c r="AG767" s="268">
        <v>10.5</v>
      </c>
      <c r="AH767" s="268">
        <v>350</v>
      </c>
      <c r="AI767" s="269">
        <v>20</v>
      </c>
      <c r="AK767" s="92" t="str">
        <v/>
      </c>
      <c r="AL767" s="268" t="str">
        <v/>
      </c>
      <c r="AM767" s="268" t="str">
        <v/>
      </c>
      <c r="AN767" s="269" t="str">
        <v/>
      </c>
      <c r="AP767" s="92">
        <v>45</v>
      </c>
      <c r="AQ767" s="268">
        <v>10.5</v>
      </c>
      <c r="AR767" s="268">
        <v>496</v>
      </c>
      <c r="AS767" s="269">
        <v>18</v>
      </c>
      <c r="AT767" s="288"/>
      <c r="AU767" s="92">
        <v>90</v>
      </c>
      <c r="AV767" s="268">
        <v>10.799999999999997</v>
      </c>
      <c r="AW767" s="268">
        <v>470</v>
      </c>
      <c r="AX767" s="269">
        <v>14</v>
      </c>
      <c r="AZ767" s="92" t="str">
        <v/>
      </c>
      <c r="BA767" s="268" t="str">
        <v/>
      </c>
      <c r="BB767" s="268" t="str">
        <v/>
      </c>
      <c r="BC767" s="269" t="str">
        <v/>
      </c>
      <c r="BE767" s="92" t="str">
        <v/>
      </c>
      <c r="BF767" s="268" t="str">
        <v/>
      </c>
      <c r="BG767" s="268" t="str">
        <v/>
      </c>
      <c r="BH767" s="269" t="str">
        <v/>
      </c>
      <c r="BI767" s="288"/>
      <c r="BJ767" s="92" t="str">
        <v/>
      </c>
      <c r="BK767" s="268" t="str">
        <v/>
      </c>
      <c r="BL767" s="268" t="str">
        <v/>
      </c>
      <c r="BM767" s="269" t="str">
        <v/>
      </c>
      <c r="BO767" s="92" t="str">
        <v/>
      </c>
      <c r="BP767" s="268" t="str">
        <v/>
      </c>
      <c r="BQ767" s="268" t="str">
        <v/>
      </c>
      <c r="BR767" s="269" t="str">
        <v/>
      </c>
      <c r="BT767" s="92" t="str">
        <v/>
      </c>
      <c r="BU767" s="268" t="str">
        <v/>
      </c>
      <c r="BV767" s="268" t="str">
        <v/>
      </c>
      <c r="BW767" s="269" t="str">
        <v/>
      </c>
      <c r="BX767" s="288"/>
      <c r="CM767" s="96"/>
    </row>
    <row r="768" spans="2:91">
      <c r="B768" s="92">
        <v>45</v>
      </c>
      <c r="C768" s="268">
        <v>53.5</v>
      </c>
      <c r="D768" s="268">
        <v>570</v>
      </c>
      <c r="E768" s="269">
        <v>18</v>
      </c>
      <c r="G768" s="92">
        <v>45</v>
      </c>
      <c r="H768" s="268">
        <v>96.5</v>
      </c>
      <c r="I768" s="268">
        <v>387</v>
      </c>
      <c r="J768" s="269">
        <v>18</v>
      </c>
      <c r="L768" s="92">
        <v>45</v>
      </c>
      <c r="M768" s="268">
        <v>96.5</v>
      </c>
      <c r="N768" s="268">
        <v>375</v>
      </c>
      <c r="O768" s="269">
        <v>18</v>
      </c>
      <c r="Q768" s="92">
        <v>45</v>
      </c>
      <c r="R768" s="268">
        <v>96.5</v>
      </c>
      <c r="S768" s="268">
        <v>375</v>
      </c>
      <c r="T768" s="269">
        <v>18</v>
      </c>
      <c r="V768" s="92">
        <v>45</v>
      </c>
      <c r="W768" s="268">
        <v>96.5</v>
      </c>
      <c r="X768" s="268">
        <v>374.5</v>
      </c>
      <c r="Y768" s="269">
        <v>18</v>
      </c>
      <c r="AA768" s="92">
        <v>45</v>
      </c>
      <c r="AB768" s="268">
        <v>96.5</v>
      </c>
      <c r="AC768" s="268">
        <v>382</v>
      </c>
      <c r="AD768" s="269">
        <v>18</v>
      </c>
      <c r="AF768" s="92">
        <v>90</v>
      </c>
      <c r="AG768" s="268">
        <v>75</v>
      </c>
      <c r="AH768" s="268">
        <v>355</v>
      </c>
      <c r="AI768" s="269">
        <v>14</v>
      </c>
      <c r="AK768" s="92" t="str">
        <v/>
      </c>
      <c r="AL768" s="268" t="str">
        <v/>
      </c>
      <c r="AM768" s="268" t="str">
        <v/>
      </c>
      <c r="AN768" s="269" t="str">
        <v/>
      </c>
      <c r="AP768" s="92">
        <v>45</v>
      </c>
      <c r="AQ768" s="268">
        <v>96.5</v>
      </c>
      <c r="AR768" s="268">
        <v>525</v>
      </c>
      <c r="AS768" s="269">
        <v>18</v>
      </c>
      <c r="AT768" s="288"/>
      <c r="AU768" s="92">
        <v>90</v>
      </c>
      <c r="AV768" s="268">
        <v>70</v>
      </c>
      <c r="AW768" s="268">
        <v>485</v>
      </c>
      <c r="AX768" s="269">
        <v>14</v>
      </c>
      <c r="AZ768" s="92" t="str">
        <v/>
      </c>
      <c r="BA768" s="268" t="str">
        <v/>
      </c>
      <c r="BB768" s="268" t="str">
        <v/>
      </c>
      <c r="BC768" s="269" t="str">
        <v/>
      </c>
      <c r="BE768" s="92" t="str">
        <v/>
      </c>
      <c r="BF768" s="268" t="str">
        <v/>
      </c>
      <c r="BG768" s="268" t="str">
        <v/>
      </c>
      <c r="BH768" s="269" t="str">
        <v/>
      </c>
      <c r="BI768" s="288"/>
      <c r="BJ768" s="92" t="str">
        <v/>
      </c>
      <c r="BK768" s="268" t="str">
        <v/>
      </c>
      <c r="BL768" s="268" t="str">
        <v/>
      </c>
      <c r="BM768" s="269" t="str">
        <v/>
      </c>
      <c r="BO768" s="92" t="str">
        <v/>
      </c>
      <c r="BP768" s="268" t="str">
        <v/>
      </c>
      <c r="BQ768" s="268" t="str">
        <v/>
      </c>
      <c r="BR768" s="269" t="str">
        <v/>
      </c>
      <c r="BT768" s="92" t="str">
        <v/>
      </c>
      <c r="BU768" s="268" t="str">
        <v/>
      </c>
      <c r="BV768" s="268" t="str">
        <v/>
      </c>
      <c r="BW768" s="269" t="str">
        <v/>
      </c>
      <c r="BX768" s="288"/>
      <c r="CM768" s="96"/>
    </row>
    <row r="769" spans="2:91">
      <c r="B769" s="92">
        <v>45</v>
      </c>
      <c r="C769" s="268">
        <v>139.5</v>
      </c>
      <c r="D769" s="268">
        <v>598</v>
      </c>
      <c r="E769" s="269">
        <v>18</v>
      </c>
      <c r="G769" s="92">
        <v>45</v>
      </c>
      <c r="H769" s="268">
        <v>53.5</v>
      </c>
      <c r="I769" s="268">
        <v>387</v>
      </c>
      <c r="J769" s="269">
        <v>18</v>
      </c>
      <c r="L769" s="92">
        <v>45</v>
      </c>
      <c r="M769" s="268">
        <v>53.5</v>
      </c>
      <c r="N769" s="268">
        <v>375</v>
      </c>
      <c r="O769" s="269">
        <v>18</v>
      </c>
      <c r="Q769" s="92">
        <v>45</v>
      </c>
      <c r="R769" s="268">
        <v>53.5</v>
      </c>
      <c r="S769" s="268">
        <v>375</v>
      </c>
      <c r="T769" s="269">
        <v>18</v>
      </c>
      <c r="V769" s="92">
        <v>45</v>
      </c>
      <c r="W769" s="268">
        <v>53.5</v>
      </c>
      <c r="X769" s="268">
        <v>374.5</v>
      </c>
      <c r="Y769" s="269">
        <v>18</v>
      </c>
      <c r="AA769" s="92">
        <v>45</v>
      </c>
      <c r="AB769" s="268">
        <v>53.5</v>
      </c>
      <c r="AC769" s="268">
        <v>382</v>
      </c>
      <c r="AD769" s="269">
        <v>18</v>
      </c>
      <c r="AF769" s="92">
        <v>90</v>
      </c>
      <c r="AG769" s="268">
        <v>118</v>
      </c>
      <c r="AH769" s="268">
        <v>365</v>
      </c>
      <c r="AI769" s="269">
        <v>14</v>
      </c>
      <c r="AK769" s="92" t="str">
        <v/>
      </c>
      <c r="AL769" s="268" t="str">
        <v/>
      </c>
      <c r="AM769" s="268" t="str">
        <v/>
      </c>
      <c r="AN769" s="269" t="str">
        <v/>
      </c>
      <c r="AP769" s="92">
        <v>45</v>
      </c>
      <c r="AQ769" s="268">
        <v>53.5</v>
      </c>
      <c r="AR769" s="268">
        <v>525</v>
      </c>
      <c r="AS769" s="269">
        <v>18</v>
      </c>
      <c r="AT769" s="288"/>
      <c r="AU769" s="92">
        <v>90</v>
      </c>
      <c r="AV769" s="268">
        <v>30</v>
      </c>
      <c r="AW769" s="268">
        <v>485</v>
      </c>
      <c r="AX769" s="269">
        <v>14</v>
      </c>
      <c r="AZ769" s="92" t="str">
        <v/>
      </c>
      <c r="BA769" s="268" t="str">
        <v/>
      </c>
      <c r="BB769" s="268" t="str">
        <v/>
      </c>
      <c r="BC769" s="269" t="str">
        <v/>
      </c>
      <c r="BE769" s="92" t="str">
        <v/>
      </c>
      <c r="BF769" s="268" t="str">
        <v/>
      </c>
      <c r="BG769" s="268" t="str">
        <v/>
      </c>
      <c r="BH769" s="269" t="str">
        <v/>
      </c>
      <c r="BI769" s="288"/>
      <c r="BJ769" s="92" t="str">
        <v/>
      </c>
      <c r="BK769" s="268" t="str">
        <v/>
      </c>
      <c r="BL769" s="268" t="str">
        <v/>
      </c>
      <c r="BM769" s="269" t="str">
        <v/>
      </c>
      <c r="BO769" s="92" t="str">
        <v/>
      </c>
      <c r="BP769" s="268" t="str">
        <v/>
      </c>
      <c r="BQ769" s="268" t="str">
        <v/>
      </c>
      <c r="BR769" s="269" t="str">
        <v/>
      </c>
      <c r="BT769" s="92" t="str">
        <v/>
      </c>
      <c r="BU769" s="268" t="str">
        <v/>
      </c>
      <c r="BV769" s="268" t="str">
        <v/>
      </c>
      <c r="BW769" s="269" t="str">
        <v/>
      </c>
      <c r="BX769" s="288"/>
      <c r="CM769" s="96"/>
    </row>
    <row r="770" spans="2:91">
      <c r="B770" s="92">
        <v>45</v>
      </c>
      <c r="C770" s="268">
        <v>10.5</v>
      </c>
      <c r="D770" s="268">
        <v>598</v>
      </c>
      <c r="E770" s="269">
        <v>18</v>
      </c>
      <c r="G770" s="92">
        <v>45</v>
      </c>
      <c r="H770" s="268">
        <v>139.5</v>
      </c>
      <c r="I770" s="268">
        <v>415</v>
      </c>
      <c r="J770" s="269">
        <v>18</v>
      </c>
      <c r="L770" s="92">
        <v>45</v>
      </c>
      <c r="M770" s="268">
        <v>139.5</v>
      </c>
      <c r="N770" s="268">
        <v>403</v>
      </c>
      <c r="O770" s="269">
        <v>18</v>
      </c>
      <c r="Q770" s="92">
        <v>45</v>
      </c>
      <c r="R770" s="268">
        <v>139.5</v>
      </c>
      <c r="S770" s="268">
        <v>403</v>
      </c>
      <c r="T770" s="269">
        <v>18</v>
      </c>
      <c r="V770" s="92">
        <v>45</v>
      </c>
      <c r="W770" s="268">
        <v>139.5</v>
      </c>
      <c r="X770" s="268">
        <v>403</v>
      </c>
      <c r="Y770" s="269">
        <v>18</v>
      </c>
      <c r="AA770" s="92">
        <v>45</v>
      </c>
      <c r="AB770" s="268">
        <v>139.5</v>
      </c>
      <c r="AC770" s="268">
        <v>412</v>
      </c>
      <c r="AD770" s="269">
        <v>18</v>
      </c>
      <c r="AF770" s="92">
        <v>90</v>
      </c>
      <c r="AG770" s="268">
        <v>32</v>
      </c>
      <c r="AH770" s="268">
        <v>365</v>
      </c>
      <c r="AI770" s="269">
        <v>14</v>
      </c>
      <c r="AK770" s="92" t="str">
        <v/>
      </c>
      <c r="AL770" s="268" t="str">
        <v/>
      </c>
      <c r="AM770" s="268" t="str">
        <v/>
      </c>
      <c r="AN770" s="269" t="str">
        <v/>
      </c>
      <c r="AP770" s="92">
        <v>45</v>
      </c>
      <c r="AQ770" s="268">
        <v>139.5</v>
      </c>
      <c r="AR770" s="268">
        <v>553</v>
      </c>
      <c r="AS770" s="269">
        <v>18</v>
      </c>
      <c r="AT770" s="288"/>
      <c r="AU770" s="92">
        <v>90</v>
      </c>
      <c r="AV770" s="268">
        <v>90</v>
      </c>
      <c r="AW770" s="268">
        <v>540</v>
      </c>
      <c r="AX770" s="269">
        <v>40</v>
      </c>
      <c r="AZ770" s="92" t="str">
        <v/>
      </c>
      <c r="BA770" s="268" t="str">
        <v/>
      </c>
      <c r="BB770" s="268" t="str">
        <v/>
      </c>
      <c r="BC770" s="269" t="str">
        <v/>
      </c>
      <c r="BE770" s="92" t="str">
        <v/>
      </c>
      <c r="BF770" s="268" t="str">
        <v/>
      </c>
      <c r="BG770" s="268" t="str">
        <v/>
      </c>
      <c r="BH770" s="269" t="str">
        <v/>
      </c>
      <c r="BI770" s="288"/>
      <c r="BJ770" s="92" t="str">
        <v/>
      </c>
      <c r="BK770" s="268" t="str">
        <v/>
      </c>
      <c r="BL770" s="268" t="str">
        <v/>
      </c>
      <c r="BM770" s="269" t="str">
        <v/>
      </c>
      <c r="BO770" s="92" t="str">
        <v/>
      </c>
      <c r="BP770" s="268" t="str">
        <v/>
      </c>
      <c r="BQ770" s="268" t="str">
        <v/>
      </c>
      <c r="BR770" s="269" t="str">
        <v/>
      </c>
      <c r="BT770" s="92" t="str">
        <v/>
      </c>
      <c r="BU770" s="268" t="str">
        <v/>
      </c>
      <c r="BV770" s="268" t="str">
        <v/>
      </c>
      <c r="BW770" s="269" t="str">
        <v/>
      </c>
      <c r="BX770" s="288"/>
      <c r="CM770" s="96"/>
    </row>
    <row r="771" spans="2:91">
      <c r="B771" s="92">
        <v>45</v>
      </c>
      <c r="C771" s="268">
        <v>96.5</v>
      </c>
      <c r="D771" s="268">
        <v>627</v>
      </c>
      <c r="E771" s="269">
        <v>18</v>
      </c>
      <c r="G771" s="92">
        <v>45</v>
      </c>
      <c r="H771" s="268">
        <v>10.5</v>
      </c>
      <c r="I771" s="268">
        <v>415</v>
      </c>
      <c r="J771" s="269">
        <v>18</v>
      </c>
      <c r="L771" s="92">
        <v>45</v>
      </c>
      <c r="M771" s="268">
        <v>10.5</v>
      </c>
      <c r="N771" s="268">
        <v>403</v>
      </c>
      <c r="O771" s="269">
        <v>18</v>
      </c>
      <c r="Q771" s="92">
        <v>45</v>
      </c>
      <c r="R771" s="268">
        <v>10.5</v>
      </c>
      <c r="S771" s="268">
        <v>403</v>
      </c>
      <c r="T771" s="269">
        <v>18</v>
      </c>
      <c r="V771" s="92">
        <v>45</v>
      </c>
      <c r="W771" s="268">
        <v>10.5</v>
      </c>
      <c r="X771" s="268">
        <v>403</v>
      </c>
      <c r="Y771" s="269">
        <v>18</v>
      </c>
      <c r="AA771" s="92">
        <v>45</v>
      </c>
      <c r="AB771" s="268">
        <v>10.5</v>
      </c>
      <c r="AC771" s="268">
        <v>412</v>
      </c>
      <c r="AD771" s="269">
        <v>18</v>
      </c>
      <c r="AF771" s="92">
        <v>90</v>
      </c>
      <c r="AG771" s="268">
        <v>96</v>
      </c>
      <c r="AH771" s="268">
        <v>410</v>
      </c>
      <c r="AI771" s="269">
        <v>50</v>
      </c>
      <c r="AK771" s="92" t="str">
        <v/>
      </c>
      <c r="AL771" s="268" t="str">
        <v/>
      </c>
      <c r="AM771" s="268" t="str">
        <v/>
      </c>
      <c r="AN771" s="269" t="str">
        <v/>
      </c>
      <c r="AP771" s="92">
        <v>45</v>
      </c>
      <c r="AQ771" s="268">
        <v>10.5</v>
      </c>
      <c r="AR771" s="268">
        <v>553</v>
      </c>
      <c r="AS771" s="269">
        <v>18</v>
      </c>
      <c r="AT771" s="288"/>
      <c r="AU771" s="92">
        <v>90</v>
      </c>
      <c r="AV771" s="268">
        <v>10</v>
      </c>
      <c r="AW771" s="268">
        <v>540</v>
      </c>
      <c r="AX771" s="269">
        <v>40</v>
      </c>
      <c r="AZ771" s="92" t="str">
        <v/>
      </c>
      <c r="BA771" s="268" t="str">
        <v/>
      </c>
      <c r="BB771" s="268" t="str">
        <v/>
      </c>
      <c r="BC771" s="269" t="str">
        <v/>
      </c>
      <c r="BE771" s="92" t="str">
        <v/>
      </c>
      <c r="BF771" s="268" t="str">
        <v/>
      </c>
      <c r="BG771" s="268" t="str">
        <v/>
      </c>
      <c r="BH771" s="269" t="str">
        <v/>
      </c>
      <c r="BI771" s="288"/>
      <c r="BJ771" s="92" t="str">
        <v/>
      </c>
      <c r="BK771" s="268" t="str">
        <v/>
      </c>
      <c r="BL771" s="268" t="str">
        <v/>
      </c>
      <c r="BM771" s="269" t="str">
        <v/>
      </c>
      <c r="BO771" s="92" t="str">
        <v/>
      </c>
      <c r="BP771" s="268" t="str">
        <v/>
      </c>
      <c r="BQ771" s="268" t="str">
        <v/>
      </c>
      <c r="BR771" s="269" t="str">
        <v/>
      </c>
      <c r="BT771" s="92" t="str">
        <v/>
      </c>
      <c r="BU771" s="268" t="str">
        <v/>
      </c>
      <c r="BV771" s="268" t="str">
        <v/>
      </c>
      <c r="BW771" s="269" t="str">
        <v/>
      </c>
      <c r="BX771" s="288"/>
      <c r="CM771" s="96"/>
    </row>
    <row r="772" spans="2:91">
      <c r="B772" s="92">
        <v>45</v>
      </c>
      <c r="C772" s="268">
        <v>53.5</v>
      </c>
      <c r="D772" s="268">
        <v>627</v>
      </c>
      <c r="E772" s="269">
        <v>18</v>
      </c>
      <c r="G772" s="92">
        <v>90</v>
      </c>
      <c r="H772" s="268">
        <v>75</v>
      </c>
      <c r="I772" s="268">
        <v>420</v>
      </c>
      <c r="J772" s="269">
        <v>14</v>
      </c>
      <c r="L772" s="92">
        <v>45</v>
      </c>
      <c r="M772" s="268">
        <v>96.5</v>
      </c>
      <c r="N772" s="268">
        <v>432</v>
      </c>
      <c r="O772" s="269">
        <v>18</v>
      </c>
      <c r="Q772" s="92">
        <v>45</v>
      </c>
      <c r="R772" s="268">
        <v>96.5</v>
      </c>
      <c r="S772" s="268">
        <v>432</v>
      </c>
      <c r="T772" s="269">
        <v>18</v>
      </c>
      <c r="V772" s="92">
        <v>45</v>
      </c>
      <c r="W772" s="268">
        <v>96.5</v>
      </c>
      <c r="X772" s="268">
        <v>431.5</v>
      </c>
      <c r="Y772" s="269">
        <v>18</v>
      </c>
      <c r="AA772" s="92">
        <v>45</v>
      </c>
      <c r="AB772" s="268">
        <v>96.5</v>
      </c>
      <c r="AC772" s="268">
        <v>440</v>
      </c>
      <c r="AD772" s="269">
        <v>18</v>
      </c>
      <c r="AF772" s="92">
        <v>90</v>
      </c>
      <c r="AG772" s="268">
        <v>54</v>
      </c>
      <c r="AH772" s="268">
        <v>410</v>
      </c>
      <c r="AI772" s="269">
        <v>50</v>
      </c>
      <c r="AK772" s="92" t="str">
        <v/>
      </c>
      <c r="AL772" s="268" t="str">
        <v/>
      </c>
      <c r="AM772" s="268" t="str">
        <v/>
      </c>
      <c r="AN772" s="269" t="str">
        <v/>
      </c>
      <c r="AP772" s="92">
        <v>45</v>
      </c>
      <c r="AQ772" s="268">
        <v>96.5</v>
      </c>
      <c r="AR772" s="268">
        <v>582</v>
      </c>
      <c r="AS772" s="269">
        <v>18</v>
      </c>
      <c r="AT772" s="288"/>
      <c r="AU772" s="92" t="str">
        <v/>
      </c>
      <c r="AV772" s="268" t="str">
        <v/>
      </c>
      <c r="AW772" s="268" t="str">
        <v/>
      </c>
      <c r="AX772" s="269" t="str">
        <v/>
      </c>
      <c r="AZ772" s="92" t="str">
        <v/>
      </c>
      <c r="BA772" s="268" t="str">
        <v/>
      </c>
      <c r="BB772" s="268" t="str">
        <v/>
      </c>
      <c r="BC772" s="269" t="str">
        <v/>
      </c>
      <c r="BE772" s="92" t="str">
        <v/>
      </c>
      <c r="BF772" s="268" t="str">
        <v/>
      </c>
      <c r="BG772" s="268" t="str">
        <v/>
      </c>
      <c r="BH772" s="269" t="str">
        <v/>
      </c>
      <c r="BI772" s="288"/>
      <c r="BJ772" s="92" t="str">
        <v/>
      </c>
      <c r="BK772" s="268" t="str">
        <v/>
      </c>
      <c r="BL772" s="268" t="str">
        <v/>
      </c>
      <c r="BM772" s="269" t="str">
        <v/>
      </c>
      <c r="BO772" s="92" t="str">
        <v/>
      </c>
      <c r="BP772" s="268" t="str">
        <v/>
      </c>
      <c r="BQ772" s="268" t="str">
        <v/>
      </c>
      <c r="BR772" s="269" t="str">
        <v/>
      </c>
      <c r="BT772" s="92" t="str">
        <v/>
      </c>
      <c r="BU772" s="268" t="str">
        <v/>
      </c>
      <c r="BV772" s="268" t="str">
        <v/>
      </c>
      <c r="BW772" s="269" t="str">
        <v/>
      </c>
      <c r="BX772" s="288"/>
      <c r="CM772" s="96"/>
    </row>
    <row r="773" spans="2:91">
      <c r="B773" s="92">
        <v>45</v>
      </c>
      <c r="C773" s="268">
        <v>139.5</v>
      </c>
      <c r="D773" s="268">
        <v>655</v>
      </c>
      <c r="E773" s="269">
        <v>18</v>
      </c>
      <c r="G773" s="92">
        <v>90</v>
      </c>
      <c r="H773" s="268">
        <v>118</v>
      </c>
      <c r="I773" s="268">
        <v>430</v>
      </c>
      <c r="J773" s="269">
        <v>14</v>
      </c>
      <c r="L773" s="92">
        <v>45</v>
      </c>
      <c r="M773" s="268">
        <v>53.5</v>
      </c>
      <c r="N773" s="268">
        <v>432</v>
      </c>
      <c r="O773" s="269">
        <v>18</v>
      </c>
      <c r="Q773" s="92">
        <v>45</v>
      </c>
      <c r="R773" s="268">
        <v>53.5</v>
      </c>
      <c r="S773" s="268">
        <v>432</v>
      </c>
      <c r="T773" s="269">
        <v>18</v>
      </c>
      <c r="V773" s="92">
        <v>45</v>
      </c>
      <c r="W773" s="268">
        <v>53.5</v>
      </c>
      <c r="X773" s="268">
        <v>431.5</v>
      </c>
      <c r="Y773" s="269">
        <v>18</v>
      </c>
      <c r="AA773" s="92">
        <v>45</v>
      </c>
      <c r="AB773" s="268">
        <v>53.5</v>
      </c>
      <c r="AC773" s="268">
        <v>440</v>
      </c>
      <c r="AD773" s="269">
        <v>18</v>
      </c>
      <c r="AF773" s="92">
        <v>90</v>
      </c>
      <c r="AG773" s="268">
        <v>140</v>
      </c>
      <c r="AH773" s="268">
        <v>420</v>
      </c>
      <c r="AI773" s="269">
        <v>50</v>
      </c>
      <c r="AK773" s="92" t="str">
        <v/>
      </c>
      <c r="AL773" s="268" t="str">
        <v/>
      </c>
      <c r="AM773" s="268" t="str">
        <v/>
      </c>
      <c r="AN773" s="269" t="str">
        <v/>
      </c>
      <c r="AP773" s="92">
        <v>45</v>
      </c>
      <c r="AQ773" s="268">
        <v>53.5</v>
      </c>
      <c r="AR773" s="268">
        <v>582</v>
      </c>
      <c r="AS773" s="269">
        <v>18</v>
      </c>
      <c r="AT773" s="288"/>
      <c r="AU773" s="92" t="str">
        <v/>
      </c>
      <c r="AV773" s="268" t="str">
        <v/>
      </c>
      <c r="AW773" s="268" t="str">
        <v/>
      </c>
      <c r="AX773" s="269" t="str">
        <v/>
      </c>
      <c r="AZ773" s="92" t="str">
        <v/>
      </c>
      <c r="BA773" s="268" t="str">
        <v/>
      </c>
      <c r="BB773" s="268" t="str">
        <v/>
      </c>
      <c r="BC773" s="269" t="str">
        <v/>
      </c>
      <c r="BE773" s="92" t="str">
        <v/>
      </c>
      <c r="BF773" s="268" t="str">
        <v/>
      </c>
      <c r="BG773" s="268" t="str">
        <v/>
      </c>
      <c r="BH773" s="269" t="str">
        <v/>
      </c>
      <c r="BI773" s="288"/>
      <c r="BJ773" s="92" t="str">
        <v/>
      </c>
      <c r="BK773" s="268" t="str">
        <v/>
      </c>
      <c r="BL773" s="268" t="str">
        <v/>
      </c>
      <c r="BM773" s="269" t="str">
        <v/>
      </c>
      <c r="BO773" s="92" t="str">
        <v/>
      </c>
      <c r="BP773" s="268" t="str">
        <v/>
      </c>
      <c r="BQ773" s="268" t="str">
        <v/>
      </c>
      <c r="BR773" s="269" t="str">
        <v/>
      </c>
      <c r="BT773" s="92" t="str">
        <v/>
      </c>
      <c r="BU773" s="268" t="str">
        <v/>
      </c>
      <c r="BV773" s="268" t="str">
        <v/>
      </c>
      <c r="BW773" s="269" t="str">
        <v/>
      </c>
      <c r="BX773" s="288"/>
      <c r="CM773" s="96"/>
    </row>
    <row r="774" spans="2:91">
      <c r="B774" s="92">
        <v>45</v>
      </c>
      <c r="C774" s="268">
        <v>10.5</v>
      </c>
      <c r="D774" s="268">
        <v>655</v>
      </c>
      <c r="E774" s="269">
        <v>18</v>
      </c>
      <c r="G774" s="92">
        <v>90</v>
      </c>
      <c r="H774" s="268">
        <v>32</v>
      </c>
      <c r="I774" s="268">
        <v>430</v>
      </c>
      <c r="J774" s="269">
        <v>14</v>
      </c>
      <c r="L774" s="92">
        <v>45</v>
      </c>
      <c r="M774" s="268">
        <v>139.5</v>
      </c>
      <c r="N774" s="268">
        <v>460</v>
      </c>
      <c r="O774" s="269">
        <v>18</v>
      </c>
      <c r="Q774" s="92">
        <v>45</v>
      </c>
      <c r="R774" s="268">
        <v>139.5</v>
      </c>
      <c r="S774" s="268">
        <v>460</v>
      </c>
      <c r="T774" s="269">
        <v>18</v>
      </c>
      <c r="V774" s="92">
        <v>45</v>
      </c>
      <c r="W774" s="268">
        <v>139.5</v>
      </c>
      <c r="X774" s="268">
        <v>460</v>
      </c>
      <c r="Y774" s="269">
        <v>18</v>
      </c>
      <c r="AA774" s="92">
        <v>90</v>
      </c>
      <c r="AB774" s="268">
        <v>139.5</v>
      </c>
      <c r="AC774" s="268">
        <v>470</v>
      </c>
      <c r="AD774" s="269">
        <v>20</v>
      </c>
      <c r="AF774" s="92">
        <v>90</v>
      </c>
      <c r="AG774" s="268">
        <v>10</v>
      </c>
      <c r="AH774" s="268">
        <v>420</v>
      </c>
      <c r="AI774" s="269">
        <v>50</v>
      </c>
      <c r="AK774" s="92" t="str">
        <v/>
      </c>
      <c r="AL774" s="268" t="str">
        <v/>
      </c>
      <c r="AM774" s="268" t="str">
        <v/>
      </c>
      <c r="AN774" s="269" t="str">
        <v/>
      </c>
      <c r="AP774" s="92">
        <v>45</v>
      </c>
      <c r="AQ774" s="268">
        <v>139.5</v>
      </c>
      <c r="AR774" s="268">
        <v>610</v>
      </c>
      <c r="AS774" s="269">
        <v>18</v>
      </c>
      <c r="AT774" s="288"/>
      <c r="AU774" s="92" t="str">
        <v/>
      </c>
      <c r="AV774" s="268" t="str">
        <v/>
      </c>
      <c r="AW774" s="268" t="str">
        <v/>
      </c>
      <c r="AX774" s="269" t="str">
        <v/>
      </c>
      <c r="AZ774" s="92" t="str">
        <v/>
      </c>
      <c r="BA774" s="268" t="str">
        <v/>
      </c>
      <c r="BB774" s="268" t="str">
        <v/>
      </c>
      <c r="BC774" s="269" t="str">
        <v/>
      </c>
      <c r="BE774" s="92" t="str">
        <v/>
      </c>
      <c r="BF774" s="268" t="str">
        <v/>
      </c>
      <c r="BG774" s="268" t="str">
        <v/>
      </c>
      <c r="BH774" s="269" t="str">
        <v/>
      </c>
      <c r="BI774" s="288"/>
      <c r="BJ774" s="92" t="str">
        <v/>
      </c>
      <c r="BK774" s="268" t="str">
        <v/>
      </c>
      <c r="BL774" s="268" t="str">
        <v/>
      </c>
      <c r="BM774" s="269" t="str">
        <v/>
      </c>
      <c r="BO774" s="92" t="str">
        <v/>
      </c>
      <c r="BP774" s="268" t="str">
        <v/>
      </c>
      <c r="BQ774" s="268" t="str">
        <v/>
      </c>
      <c r="BR774" s="269" t="str">
        <v/>
      </c>
      <c r="BT774" s="92" t="str">
        <v/>
      </c>
      <c r="BU774" s="268" t="str">
        <v/>
      </c>
      <c r="BV774" s="268" t="str">
        <v/>
      </c>
      <c r="BW774" s="269" t="str">
        <v/>
      </c>
      <c r="BX774" s="288"/>
      <c r="CM774" s="96"/>
    </row>
    <row r="775" spans="2:91">
      <c r="B775" s="92">
        <v>45</v>
      </c>
      <c r="C775" s="268">
        <v>96.5</v>
      </c>
      <c r="D775" s="268">
        <v>684</v>
      </c>
      <c r="E775" s="269">
        <v>18</v>
      </c>
      <c r="G775" s="92">
        <v>45</v>
      </c>
      <c r="H775" s="268">
        <v>96.5</v>
      </c>
      <c r="I775" s="268">
        <v>444</v>
      </c>
      <c r="J775" s="269">
        <v>18</v>
      </c>
      <c r="L775" s="92">
        <v>45</v>
      </c>
      <c r="M775" s="268">
        <v>10.5</v>
      </c>
      <c r="N775" s="268">
        <v>460</v>
      </c>
      <c r="O775" s="269">
        <v>18</v>
      </c>
      <c r="Q775" s="92">
        <v>45</v>
      </c>
      <c r="R775" s="268">
        <v>10.5</v>
      </c>
      <c r="S775" s="268">
        <v>460</v>
      </c>
      <c r="T775" s="269">
        <v>18</v>
      </c>
      <c r="V775" s="92">
        <v>45</v>
      </c>
      <c r="W775" s="268">
        <v>10.5</v>
      </c>
      <c r="X775" s="268">
        <v>460</v>
      </c>
      <c r="Y775" s="269">
        <v>18</v>
      </c>
      <c r="AA775" s="92">
        <v>90</v>
      </c>
      <c r="AB775" s="268">
        <v>10.5</v>
      </c>
      <c r="AC775" s="268">
        <v>470</v>
      </c>
      <c r="AD775" s="269">
        <v>20</v>
      </c>
      <c r="AF775" s="92" t="str">
        <v/>
      </c>
      <c r="AG775" s="268" t="str">
        <v/>
      </c>
      <c r="AH775" s="268" t="str">
        <v/>
      </c>
      <c r="AI775" s="269" t="str">
        <v/>
      </c>
      <c r="AK775" s="92" t="str">
        <v/>
      </c>
      <c r="AL775" s="268" t="str">
        <v/>
      </c>
      <c r="AM775" s="268" t="str">
        <v/>
      </c>
      <c r="AN775" s="269" t="str">
        <v/>
      </c>
      <c r="AP775" s="92">
        <v>45</v>
      </c>
      <c r="AQ775" s="268">
        <v>10.5</v>
      </c>
      <c r="AR775" s="268">
        <v>610</v>
      </c>
      <c r="AS775" s="269">
        <v>18</v>
      </c>
      <c r="AT775" s="288"/>
      <c r="AU775" s="92" t="str">
        <v/>
      </c>
      <c r="AV775" s="268" t="str">
        <v/>
      </c>
      <c r="AW775" s="268" t="str">
        <v/>
      </c>
      <c r="AX775" s="269" t="str">
        <v/>
      </c>
      <c r="AZ775" s="92" t="str">
        <v/>
      </c>
      <c r="BA775" s="268" t="str">
        <v/>
      </c>
      <c r="BB775" s="268" t="str">
        <v/>
      </c>
      <c r="BC775" s="269" t="str">
        <v/>
      </c>
      <c r="BE775" s="92" t="str">
        <v/>
      </c>
      <c r="BF775" s="268" t="str">
        <v/>
      </c>
      <c r="BG775" s="268" t="str">
        <v/>
      </c>
      <c r="BH775" s="269" t="str">
        <v/>
      </c>
      <c r="BI775" s="288"/>
      <c r="BJ775" s="92" t="str">
        <v/>
      </c>
      <c r="BK775" s="268" t="str">
        <v/>
      </c>
      <c r="BL775" s="268" t="str">
        <v/>
      </c>
      <c r="BM775" s="269" t="str">
        <v/>
      </c>
      <c r="BO775" s="92" t="str">
        <v/>
      </c>
      <c r="BP775" s="268" t="str">
        <v/>
      </c>
      <c r="BQ775" s="268" t="str">
        <v/>
      </c>
      <c r="BR775" s="269" t="str">
        <v/>
      </c>
      <c r="BT775" s="92" t="str">
        <v/>
      </c>
      <c r="BU775" s="268" t="str">
        <v/>
      </c>
      <c r="BV775" s="268" t="str">
        <v/>
      </c>
      <c r="BW775" s="269" t="str">
        <v/>
      </c>
      <c r="BX775" s="288"/>
      <c r="CM775" s="96"/>
    </row>
    <row r="776" spans="2:91">
      <c r="B776" s="92">
        <v>45</v>
      </c>
      <c r="C776" s="268">
        <v>53.5</v>
      </c>
      <c r="D776" s="268">
        <v>684</v>
      </c>
      <c r="E776" s="269">
        <v>18</v>
      </c>
      <c r="G776" s="92">
        <v>45</v>
      </c>
      <c r="H776" s="268">
        <v>53.5</v>
      </c>
      <c r="I776" s="268">
        <v>444</v>
      </c>
      <c r="J776" s="269">
        <v>18</v>
      </c>
      <c r="L776" s="92">
        <v>45</v>
      </c>
      <c r="M776" s="268">
        <v>96.5</v>
      </c>
      <c r="N776" s="268">
        <v>489</v>
      </c>
      <c r="O776" s="269">
        <v>18</v>
      </c>
      <c r="Q776" s="92">
        <v>45</v>
      </c>
      <c r="R776" s="268">
        <v>96.5</v>
      </c>
      <c r="S776" s="268">
        <v>489</v>
      </c>
      <c r="T776" s="269">
        <v>18</v>
      </c>
      <c r="V776" s="92">
        <v>45</v>
      </c>
      <c r="W776" s="268">
        <v>96.5</v>
      </c>
      <c r="X776" s="268">
        <v>488.5</v>
      </c>
      <c r="Y776" s="269">
        <v>18</v>
      </c>
      <c r="AA776" s="92">
        <v>90</v>
      </c>
      <c r="AB776" s="268">
        <v>75</v>
      </c>
      <c r="AC776" s="268">
        <v>475</v>
      </c>
      <c r="AD776" s="269">
        <v>14</v>
      </c>
      <c r="AF776" s="92" t="str">
        <v/>
      </c>
      <c r="AG776" s="268" t="str">
        <v/>
      </c>
      <c r="AH776" s="268" t="str">
        <v/>
      </c>
      <c r="AI776" s="269" t="str">
        <v/>
      </c>
      <c r="AK776" s="92" t="str">
        <v/>
      </c>
      <c r="AL776" s="268" t="str">
        <v/>
      </c>
      <c r="AM776" s="268" t="str">
        <v/>
      </c>
      <c r="AN776" s="269" t="str">
        <v/>
      </c>
      <c r="AP776" s="92">
        <v>45</v>
      </c>
      <c r="AQ776" s="268">
        <v>96.5</v>
      </c>
      <c r="AR776" s="268">
        <v>639</v>
      </c>
      <c r="AS776" s="269">
        <v>18</v>
      </c>
      <c r="AT776" s="288"/>
      <c r="AU776" s="92" t="str">
        <v/>
      </c>
      <c r="AV776" s="268" t="str">
        <v/>
      </c>
      <c r="AW776" s="268" t="str">
        <v/>
      </c>
      <c r="AX776" s="269" t="str">
        <v/>
      </c>
      <c r="AZ776" s="92" t="str">
        <v/>
      </c>
      <c r="BA776" s="268" t="str">
        <v/>
      </c>
      <c r="BB776" s="268" t="str">
        <v/>
      </c>
      <c r="BC776" s="269" t="str">
        <v/>
      </c>
      <c r="BE776" s="92" t="str">
        <v/>
      </c>
      <c r="BF776" s="268" t="str">
        <v/>
      </c>
      <c r="BG776" s="268" t="str">
        <v/>
      </c>
      <c r="BH776" s="269" t="str">
        <v/>
      </c>
      <c r="BI776" s="288"/>
      <c r="BJ776" s="92" t="str">
        <v/>
      </c>
      <c r="BK776" s="268" t="str">
        <v/>
      </c>
      <c r="BL776" s="268" t="str">
        <v/>
      </c>
      <c r="BM776" s="269" t="str">
        <v/>
      </c>
      <c r="BO776" s="92" t="str">
        <v/>
      </c>
      <c r="BP776" s="268" t="str">
        <v/>
      </c>
      <c r="BQ776" s="268" t="str">
        <v/>
      </c>
      <c r="BR776" s="269" t="str">
        <v/>
      </c>
      <c r="BT776" s="92" t="str">
        <v/>
      </c>
      <c r="BU776" s="268" t="str">
        <v/>
      </c>
      <c r="BV776" s="268" t="str">
        <v/>
      </c>
      <c r="BW776" s="269" t="str">
        <v/>
      </c>
      <c r="BX776" s="288"/>
      <c r="CM776" s="96"/>
    </row>
    <row r="777" spans="2:91">
      <c r="B777" s="92">
        <v>45</v>
      </c>
      <c r="C777" s="268">
        <v>139.5</v>
      </c>
      <c r="D777" s="268">
        <v>712</v>
      </c>
      <c r="E777" s="269">
        <v>18</v>
      </c>
      <c r="G777" s="92">
        <v>45</v>
      </c>
      <c r="H777" s="268">
        <v>139.5</v>
      </c>
      <c r="I777" s="268">
        <v>472</v>
      </c>
      <c r="J777" s="269">
        <v>18</v>
      </c>
      <c r="L777" s="92">
        <v>45</v>
      </c>
      <c r="M777" s="268">
        <v>53.5</v>
      </c>
      <c r="N777" s="268">
        <v>489</v>
      </c>
      <c r="O777" s="269">
        <v>18</v>
      </c>
      <c r="Q777" s="92">
        <v>45</v>
      </c>
      <c r="R777" s="268">
        <v>53.5</v>
      </c>
      <c r="S777" s="268">
        <v>489</v>
      </c>
      <c r="T777" s="269">
        <v>18</v>
      </c>
      <c r="V777" s="92">
        <v>45</v>
      </c>
      <c r="W777" s="268">
        <v>53.5</v>
      </c>
      <c r="X777" s="268">
        <v>488.5</v>
      </c>
      <c r="Y777" s="269">
        <v>18</v>
      </c>
      <c r="AA777" s="92">
        <v>90</v>
      </c>
      <c r="AB777" s="268">
        <v>118</v>
      </c>
      <c r="AC777" s="268">
        <v>485</v>
      </c>
      <c r="AD777" s="269">
        <v>14</v>
      </c>
      <c r="AF777" s="92" t="str">
        <v/>
      </c>
      <c r="AG777" s="268" t="str">
        <v/>
      </c>
      <c r="AH777" s="268" t="str">
        <v/>
      </c>
      <c r="AI777" s="269" t="str">
        <v/>
      </c>
      <c r="AK777" s="92" t="str">
        <v/>
      </c>
      <c r="AL777" s="268" t="str">
        <v/>
      </c>
      <c r="AM777" s="268" t="str">
        <v/>
      </c>
      <c r="AN777" s="269" t="str">
        <v/>
      </c>
      <c r="AP777" s="92">
        <v>45</v>
      </c>
      <c r="AQ777" s="268">
        <v>53.5</v>
      </c>
      <c r="AR777" s="268">
        <v>639</v>
      </c>
      <c r="AS777" s="269">
        <v>18</v>
      </c>
      <c r="AT777" s="288"/>
      <c r="AU777" s="92" t="str">
        <v/>
      </c>
      <c r="AV777" s="268" t="str">
        <v/>
      </c>
      <c r="AW777" s="268" t="str">
        <v/>
      </c>
      <c r="AX777" s="269" t="str">
        <v/>
      </c>
      <c r="AZ777" s="92" t="str">
        <v/>
      </c>
      <c r="BA777" s="268" t="str">
        <v/>
      </c>
      <c r="BB777" s="268" t="str">
        <v/>
      </c>
      <c r="BC777" s="269" t="str">
        <v/>
      </c>
      <c r="BE777" s="92" t="str">
        <v/>
      </c>
      <c r="BF777" s="268" t="str">
        <v/>
      </c>
      <c r="BG777" s="268" t="str">
        <v/>
      </c>
      <c r="BH777" s="269" t="str">
        <v/>
      </c>
      <c r="BI777" s="288"/>
      <c r="BJ777" s="92" t="str">
        <v/>
      </c>
      <c r="BK777" s="268" t="str">
        <v/>
      </c>
      <c r="BL777" s="268" t="str">
        <v/>
      </c>
      <c r="BM777" s="269" t="str">
        <v/>
      </c>
      <c r="BO777" s="92" t="str">
        <v/>
      </c>
      <c r="BP777" s="268" t="str">
        <v/>
      </c>
      <c r="BQ777" s="268" t="str">
        <v/>
      </c>
      <c r="BR777" s="269" t="str">
        <v/>
      </c>
      <c r="BT777" s="92" t="str">
        <v/>
      </c>
      <c r="BU777" s="268" t="str">
        <v/>
      </c>
      <c r="BV777" s="268" t="str">
        <v/>
      </c>
      <c r="BW777" s="269" t="str">
        <v/>
      </c>
      <c r="BX777" s="288"/>
      <c r="CM777" s="96"/>
    </row>
    <row r="778" spans="2:91">
      <c r="B778" s="92">
        <v>45</v>
      </c>
      <c r="C778" s="268">
        <v>10.5</v>
      </c>
      <c r="D778" s="268">
        <v>712</v>
      </c>
      <c r="E778" s="269">
        <v>18</v>
      </c>
      <c r="G778" s="92">
        <v>45</v>
      </c>
      <c r="H778" s="268">
        <v>10.5</v>
      </c>
      <c r="I778" s="268">
        <v>472</v>
      </c>
      <c r="J778" s="269">
        <v>18</v>
      </c>
      <c r="L778" s="92">
        <v>45</v>
      </c>
      <c r="M778" s="268">
        <v>139.5</v>
      </c>
      <c r="N778" s="268">
        <v>517</v>
      </c>
      <c r="O778" s="269">
        <v>18</v>
      </c>
      <c r="Q778" s="92">
        <v>45</v>
      </c>
      <c r="R778" s="268">
        <v>139.5</v>
      </c>
      <c r="S778" s="268">
        <v>517</v>
      </c>
      <c r="T778" s="269">
        <v>18</v>
      </c>
      <c r="V778" s="92">
        <v>90</v>
      </c>
      <c r="W778" s="268">
        <v>139.5</v>
      </c>
      <c r="X778" s="268">
        <v>530</v>
      </c>
      <c r="Y778" s="269">
        <v>20</v>
      </c>
      <c r="AA778" s="92">
        <v>90</v>
      </c>
      <c r="AB778" s="268">
        <v>32</v>
      </c>
      <c r="AC778" s="268">
        <v>485</v>
      </c>
      <c r="AD778" s="269">
        <v>14</v>
      </c>
      <c r="AF778" s="92" t="str">
        <v/>
      </c>
      <c r="AG778" s="268" t="str">
        <v/>
      </c>
      <c r="AH778" s="268" t="str">
        <v/>
      </c>
      <c r="AI778" s="269" t="str">
        <v/>
      </c>
      <c r="AK778" s="92" t="str">
        <v/>
      </c>
      <c r="AL778" s="268" t="str">
        <v/>
      </c>
      <c r="AM778" s="268" t="str">
        <v/>
      </c>
      <c r="AN778" s="269" t="str">
        <v/>
      </c>
      <c r="AP778" s="92">
        <v>45</v>
      </c>
      <c r="AQ778" s="268">
        <v>139.5</v>
      </c>
      <c r="AR778" s="268">
        <v>667</v>
      </c>
      <c r="AS778" s="269">
        <v>18</v>
      </c>
      <c r="AT778" s="288"/>
      <c r="AU778" s="92" t="str">
        <v/>
      </c>
      <c r="AV778" s="268" t="str">
        <v/>
      </c>
      <c r="AW778" s="268" t="str">
        <v/>
      </c>
      <c r="AX778" s="269" t="str">
        <v/>
      </c>
      <c r="AZ778" s="92" t="str">
        <v/>
      </c>
      <c r="BA778" s="268" t="str">
        <v/>
      </c>
      <c r="BB778" s="268" t="str">
        <v/>
      </c>
      <c r="BC778" s="269" t="str">
        <v/>
      </c>
      <c r="BE778" s="92" t="str">
        <v/>
      </c>
      <c r="BF778" s="268" t="str">
        <v/>
      </c>
      <c r="BG778" s="268" t="str">
        <v/>
      </c>
      <c r="BH778" s="269" t="str">
        <v/>
      </c>
      <c r="BI778" s="288"/>
      <c r="BJ778" s="92" t="str">
        <v/>
      </c>
      <c r="BK778" s="268" t="str">
        <v/>
      </c>
      <c r="BL778" s="268" t="str">
        <v/>
      </c>
      <c r="BM778" s="269" t="str">
        <v/>
      </c>
      <c r="BO778" s="92" t="str">
        <v/>
      </c>
      <c r="BP778" s="268" t="str">
        <v/>
      </c>
      <c r="BQ778" s="268" t="str">
        <v/>
      </c>
      <c r="BR778" s="269" t="str">
        <v/>
      </c>
      <c r="BT778" s="92" t="str">
        <v/>
      </c>
      <c r="BU778" s="268" t="str">
        <v/>
      </c>
      <c r="BV778" s="268" t="str">
        <v/>
      </c>
      <c r="BW778" s="269" t="str">
        <v/>
      </c>
      <c r="BX778" s="288"/>
      <c r="CM778" s="96"/>
    </row>
    <row r="779" spans="2:91">
      <c r="B779" s="92">
        <v>45</v>
      </c>
      <c r="C779" s="268">
        <v>96.5</v>
      </c>
      <c r="D779" s="268">
        <v>741</v>
      </c>
      <c r="E779" s="269">
        <v>18</v>
      </c>
      <c r="G779" s="92">
        <v>45</v>
      </c>
      <c r="H779" s="268">
        <v>96.5</v>
      </c>
      <c r="I779" s="268">
        <v>501</v>
      </c>
      <c r="J779" s="269">
        <v>18</v>
      </c>
      <c r="L779" s="92">
        <v>45</v>
      </c>
      <c r="M779" s="268">
        <v>10.5</v>
      </c>
      <c r="N779" s="268">
        <v>517</v>
      </c>
      <c r="O779" s="269">
        <v>18</v>
      </c>
      <c r="Q779" s="92">
        <v>45</v>
      </c>
      <c r="R779" s="268">
        <v>10.5</v>
      </c>
      <c r="S779" s="268">
        <v>517</v>
      </c>
      <c r="T779" s="269">
        <v>18</v>
      </c>
      <c r="V779" s="92">
        <v>90</v>
      </c>
      <c r="W779" s="268">
        <v>10.5</v>
      </c>
      <c r="X779" s="268">
        <v>530</v>
      </c>
      <c r="Y779" s="269">
        <v>20</v>
      </c>
      <c r="AA779" s="92">
        <v>90</v>
      </c>
      <c r="AB779" s="268">
        <v>96</v>
      </c>
      <c r="AC779" s="268">
        <v>530</v>
      </c>
      <c r="AD779" s="269">
        <v>50</v>
      </c>
      <c r="AF779" s="92" t="str">
        <v/>
      </c>
      <c r="AG779" s="268" t="str">
        <v/>
      </c>
      <c r="AH779" s="268" t="str">
        <v/>
      </c>
      <c r="AI779" s="269" t="str">
        <v/>
      </c>
      <c r="AK779" s="92" t="str">
        <v/>
      </c>
      <c r="AL779" s="268" t="str">
        <v/>
      </c>
      <c r="AM779" s="268" t="str">
        <v/>
      </c>
      <c r="AN779" s="269" t="str">
        <v/>
      </c>
      <c r="AP779" s="92">
        <v>45</v>
      </c>
      <c r="AQ779" s="268">
        <v>10.5</v>
      </c>
      <c r="AR779" s="268">
        <v>667</v>
      </c>
      <c r="AS779" s="269">
        <v>18</v>
      </c>
      <c r="AT779" s="288"/>
      <c r="AU779" s="92" t="str">
        <v/>
      </c>
      <c r="AV779" s="268" t="str">
        <v/>
      </c>
      <c r="AW779" s="268" t="str">
        <v/>
      </c>
      <c r="AX779" s="269" t="str">
        <v/>
      </c>
      <c r="AZ779" s="92" t="str">
        <v/>
      </c>
      <c r="BA779" s="268" t="str">
        <v/>
      </c>
      <c r="BB779" s="268" t="str">
        <v/>
      </c>
      <c r="BC779" s="269" t="str">
        <v/>
      </c>
      <c r="BE779" s="92" t="str">
        <v/>
      </c>
      <c r="BF779" s="268" t="str">
        <v/>
      </c>
      <c r="BG779" s="268" t="str">
        <v/>
      </c>
      <c r="BH779" s="269" t="str">
        <v/>
      </c>
      <c r="BI779" s="288"/>
      <c r="BJ779" s="92" t="str">
        <v/>
      </c>
      <c r="BK779" s="268" t="str">
        <v/>
      </c>
      <c r="BL779" s="268" t="str">
        <v/>
      </c>
      <c r="BM779" s="269" t="str">
        <v/>
      </c>
      <c r="BO779" s="92" t="str">
        <v/>
      </c>
      <c r="BP779" s="268" t="str">
        <v/>
      </c>
      <c r="BQ779" s="268" t="str">
        <v/>
      </c>
      <c r="BR779" s="269" t="str">
        <v/>
      </c>
      <c r="BT779" s="92" t="str">
        <v/>
      </c>
      <c r="BU779" s="268" t="str">
        <v/>
      </c>
      <c r="BV779" s="268" t="str">
        <v/>
      </c>
      <c r="BW779" s="269" t="str">
        <v/>
      </c>
      <c r="BX779" s="288"/>
      <c r="CM779" s="96"/>
    </row>
    <row r="780" spans="2:91">
      <c r="B780" s="92">
        <v>45</v>
      </c>
      <c r="C780" s="268">
        <v>53.5</v>
      </c>
      <c r="D780" s="268">
        <v>741</v>
      </c>
      <c r="E780" s="269">
        <v>18</v>
      </c>
      <c r="G780" s="92">
        <v>45</v>
      </c>
      <c r="H780" s="268">
        <v>53.5</v>
      </c>
      <c r="I780" s="268">
        <v>501</v>
      </c>
      <c r="J780" s="269">
        <v>18</v>
      </c>
      <c r="L780" s="92">
        <v>45</v>
      </c>
      <c r="M780" s="268">
        <v>96.5</v>
      </c>
      <c r="N780" s="268">
        <v>546</v>
      </c>
      <c r="O780" s="269">
        <v>18</v>
      </c>
      <c r="Q780" s="92">
        <v>45</v>
      </c>
      <c r="R780" s="268">
        <v>96.5</v>
      </c>
      <c r="S780" s="268">
        <v>546</v>
      </c>
      <c r="T780" s="269">
        <v>18</v>
      </c>
      <c r="V780" s="92">
        <v>90</v>
      </c>
      <c r="W780" s="268">
        <v>75</v>
      </c>
      <c r="X780" s="268">
        <v>535</v>
      </c>
      <c r="Y780" s="269">
        <v>14</v>
      </c>
      <c r="AA780" s="92">
        <v>90</v>
      </c>
      <c r="AB780" s="268">
        <v>54</v>
      </c>
      <c r="AC780" s="268">
        <v>530</v>
      </c>
      <c r="AD780" s="269">
        <v>50</v>
      </c>
      <c r="AF780" s="92" t="str">
        <v/>
      </c>
      <c r="AG780" s="268" t="str">
        <v/>
      </c>
      <c r="AH780" s="268" t="str">
        <v/>
      </c>
      <c r="AI780" s="269" t="str">
        <v/>
      </c>
      <c r="AK780" s="92" t="str">
        <v/>
      </c>
      <c r="AL780" s="268" t="str">
        <v/>
      </c>
      <c r="AM780" s="268" t="str">
        <v/>
      </c>
      <c r="AN780" s="269" t="str">
        <v/>
      </c>
      <c r="AP780" s="92">
        <v>45</v>
      </c>
      <c r="AQ780" s="268">
        <v>96.5</v>
      </c>
      <c r="AR780" s="268">
        <v>696</v>
      </c>
      <c r="AS780" s="269">
        <v>18</v>
      </c>
      <c r="AT780" s="288"/>
      <c r="AU780" s="92" t="str">
        <v/>
      </c>
      <c r="AV780" s="268" t="str">
        <v/>
      </c>
      <c r="AW780" s="268" t="str">
        <v/>
      </c>
      <c r="AX780" s="269" t="str">
        <v/>
      </c>
      <c r="AZ780" s="92" t="str">
        <v/>
      </c>
      <c r="BA780" s="268" t="str">
        <v/>
      </c>
      <c r="BB780" s="268" t="str">
        <v/>
      </c>
      <c r="BC780" s="269" t="str">
        <v/>
      </c>
      <c r="BE780" s="92" t="str">
        <v/>
      </c>
      <c r="BF780" s="268" t="str">
        <v/>
      </c>
      <c r="BG780" s="268" t="str">
        <v/>
      </c>
      <c r="BH780" s="269" t="str">
        <v/>
      </c>
      <c r="BI780" s="288"/>
      <c r="BJ780" s="92" t="str">
        <v/>
      </c>
      <c r="BK780" s="268" t="str">
        <v/>
      </c>
      <c r="BL780" s="268" t="str">
        <v/>
      </c>
      <c r="BM780" s="269" t="str">
        <v/>
      </c>
      <c r="BO780" s="92" t="str">
        <v/>
      </c>
      <c r="BP780" s="268" t="str">
        <v/>
      </c>
      <c r="BQ780" s="268" t="str">
        <v/>
      </c>
      <c r="BR780" s="269" t="str">
        <v/>
      </c>
      <c r="BT780" s="92" t="str">
        <v/>
      </c>
      <c r="BU780" s="268" t="str">
        <v/>
      </c>
      <c r="BV780" s="268" t="str">
        <v/>
      </c>
      <c r="BW780" s="269" t="str">
        <v/>
      </c>
      <c r="BX780" s="288"/>
      <c r="CM780" s="96"/>
    </row>
    <row r="781" spans="2:91">
      <c r="B781" s="92">
        <v>45</v>
      </c>
      <c r="C781" s="268">
        <v>139.5</v>
      </c>
      <c r="D781" s="268">
        <v>769</v>
      </c>
      <c r="E781" s="269">
        <v>18</v>
      </c>
      <c r="G781" s="92">
        <v>45</v>
      </c>
      <c r="H781" s="268">
        <v>139.5</v>
      </c>
      <c r="I781" s="268">
        <v>529</v>
      </c>
      <c r="J781" s="269">
        <v>18</v>
      </c>
      <c r="L781" s="92">
        <v>45</v>
      </c>
      <c r="M781" s="268">
        <v>53.5</v>
      </c>
      <c r="N781" s="268">
        <v>546</v>
      </c>
      <c r="O781" s="269">
        <v>18</v>
      </c>
      <c r="Q781" s="92">
        <v>45</v>
      </c>
      <c r="R781" s="268">
        <v>53.5</v>
      </c>
      <c r="S781" s="268">
        <v>546</v>
      </c>
      <c r="T781" s="269">
        <v>18</v>
      </c>
      <c r="V781" s="92">
        <v>90</v>
      </c>
      <c r="W781" s="268">
        <v>118</v>
      </c>
      <c r="X781" s="268">
        <v>545</v>
      </c>
      <c r="Y781" s="269">
        <v>14</v>
      </c>
      <c r="AA781" s="92">
        <v>90</v>
      </c>
      <c r="AB781" s="268">
        <v>140</v>
      </c>
      <c r="AC781" s="268">
        <v>540</v>
      </c>
      <c r="AD781" s="269">
        <v>50</v>
      </c>
      <c r="AF781" s="92" t="str">
        <v/>
      </c>
      <c r="AG781" s="268" t="str">
        <v/>
      </c>
      <c r="AH781" s="268" t="str">
        <v/>
      </c>
      <c r="AI781" s="269" t="str">
        <v/>
      </c>
      <c r="AK781" s="92" t="str">
        <v/>
      </c>
      <c r="AL781" s="268" t="str">
        <v/>
      </c>
      <c r="AM781" s="268" t="str">
        <v/>
      </c>
      <c r="AN781" s="269" t="str">
        <v/>
      </c>
      <c r="AP781" s="92">
        <v>45</v>
      </c>
      <c r="AQ781" s="268">
        <v>53.5</v>
      </c>
      <c r="AR781" s="268">
        <v>696</v>
      </c>
      <c r="AS781" s="269">
        <v>18</v>
      </c>
      <c r="AT781" s="288"/>
      <c r="AU781" s="92" t="str">
        <v/>
      </c>
      <c r="AV781" s="268" t="str">
        <v/>
      </c>
      <c r="AW781" s="268" t="str">
        <v/>
      </c>
      <c r="AX781" s="269" t="str">
        <v/>
      </c>
      <c r="AZ781" s="92" t="str">
        <v/>
      </c>
      <c r="BA781" s="268" t="str">
        <v/>
      </c>
      <c r="BB781" s="268" t="str">
        <v/>
      </c>
      <c r="BC781" s="269" t="str">
        <v/>
      </c>
      <c r="BE781" s="92" t="str">
        <v/>
      </c>
      <c r="BF781" s="268" t="str">
        <v/>
      </c>
      <c r="BG781" s="268" t="str">
        <v/>
      </c>
      <c r="BH781" s="269" t="str">
        <v/>
      </c>
      <c r="BI781" s="288"/>
      <c r="BJ781" s="92" t="str">
        <v/>
      </c>
      <c r="BK781" s="268" t="str">
        <v/>
      </c>
      <c r="BL781" s="268" t="str">
        <v/>
      </c>
      <c r="BM781" s="269" t="str">
        <v/>
      </c>
      <c r="BO781" s="92" t="str">
        <v/>
      </c>
      <c r="BP781" s="268" t="str">
        <v/>
      </c>
      <c r="BQ781" s="268" t="str">
        <v/>
      </c>
      <c r="BR781" s="269" t="str">
        <v/>
      </c>
      <c r="BT781" s="92" t="str">
        <v/>
      </c>
      <c r="BU781" s="268" t="str">
        <v/>
      </c>
      <c r="BV781" s="268" t="str">
        <v/>
      </c>
      <c r="BW781" s="269" t="str">
        <v/>
      </c>
      <c r="BX781" s="288"/>
      <c r="CM781" s="96"/>
    </row>
    <row r="782" spans="2:91">
      <c r="B782" s="92">
        <v>45</v>
      </c>
      <c r="C782" s="268">
        <v>10.5</v>
      </c>
      <c r="D782" s="268">
        <v>769</v>
      </c>
      <c r="E782" s="269">
        <v>18</v>
      </c>
      <c r="G782" s="92">
        <v>45</v>
      </c>
      <c r="H782" s="268">
        <v>10.5</v>
      </c>
      <c r="I782" s="268">
        <v>529</v>
      </c>
      <c r="J782" s="269">
        <v>18</v>
      </c>
      <c r="L782" s="92">
        <v>45</v>
      </c>
      <c r="M782" s="268">
        <v>139.5</v>
      </c>
      <c r="N782" s="268">
        <v>574</v>
      </c>
      <c r="O782" s="269">
        <v>18</v>
      </c>
      <c r="Q782" s="92">
        <v>45</v>
      </c>
      <c r="R782" s="268">
        <v>139.5</v>
      </c>
      <c r="S782" s="268">
        <v>574</v>
      </c>
      <c r="T782" s="269">
        <v>18</v>
      </c>
      <c r="V782" s="92">
        <v>90</v>
      </c>
      <c r="W782" s="268">
        <v>32</v>
      </c>
      <c r="X782" s="268">
        <v>545</v>
      </c>
      <c r="Y782" s="269">
        <v>14</v>
      </c>
      <c r="AA782" s="92">
        <v>90</v>
      </c>
      <c r="AB782" s="268">
        <v>10</v>
      </c>
      <c r="AC782" s="268">
        <v>540</v>
      </c>
      <c r="AD782" s="269">
        <v>50</v>
      </c>
      <c r="AF782" s="92" t="str">
        <v/>
      </c>
      <c r="AG782" s="268" t="str">
        <v/>
      </c>
      <c r="AH782" s="268" t="str">
        <v/>
      </c>
      <c r="AI782" s="269" t="str">
        <v/>
      </c>
      <c r="AK782" s="92" t="str">
        <v/>
      </c>
      <c r="AL782" s="268" t="str">
        <v/>
      </c>
      <c r="AM782" s="268" t="str">
        <v/>
      </c>
      <c r="AN782" s="269" t="str">
        <v/>
      </c>
      <c r="AP782" s="92">
        <v>45</v>
      </c>
      <c r="AQ782" s="268">
        <v>139.5</v>
      </c>
      <c r="AR782" s="268">
        <v>724</v>
      </c>
      <c r="AS782" s="269">
        <v>18</v>
      </c>
      <c r="AT782" s="288"/>
      <c r="AU782" s="92" t="str">
        <v/>
      </c>
      <c r="AV782" s="268" t="str">
        <v/>
      </c>
      <c r="AW782" s="268" t="str">
        <v/>
      </c>
      <c r="AX782" s="269" t="str">
        <v/>
      </c>
      <c r="AZ782" s="92" t="str">
        <v/>
      </c>
      <c r="BA782" s="268" t="str">
        <v/>
      </c>
      <c r="BB782" s="268" t="str">
        <v/>
      </c>
      <c r="BC782" s="269" t="str">
        <v/>
      </c>
      <c r="BE782" s="92" t="str">
        <v/>
      </c>
      <c r="BF782" s="268" t="str">
        <v/>
      </c>
      <c r="BG782" s="268" t="str">
        <v/>
      </c>
      <c r="BH782" s="269" t="str">
        <v/>
      </c>
      <c r="BI782" s="288"/>
      <c r="BJ782" s="92" t="str">
        <v/>
      </c>
      <c r="BK782" s="268" t="str">
        <v/>
      </c>
      <c r="BL782" s="268" t="str">
        <v/>
      </c>
      <c r="BM782" s="269" t="str">
        <v/>
      </c>
      <c r="BO782" s="92" t="str">
        <v/>
      </c>
      <c r="BP782" s="268" t="str">
        <v/>
      </c>
      <c r="BQ782" s="268" t="str">
        <v/>
      </c>
      <c r="BR782" s="269" t="str">
        <v/>
      </c>
      <c r="BT782" s="92" t="str">
        <v/>
      </c>
      <c r="BU782" s="268" t="str">
        <v/>
      </c>
      <c r="BV782" s="268" t="str">
        <v/>
      </c>
      <c r="BW782" s="269" t="str">
        <v/>
      </c>
      <c r="BX782" s="288"/>
      <c r="CM782" s="96"/>
    </row>
    <row r="783" spans="2:91">
      <c r="B783" s="92">
        <v>45</v>
      </c>
      <c r="C783" s="268">
        <v>96.5</v>
      </c>
      <c r="D783" s="268">
        <v>798</v>
      </c>
      <c r="E783" s="269">
        <v>18</v>
      </c>
      <c r="G783" s="92">
        <v>45</v>
      </c>
      <c r="H783" s="268">
        <v>96.5</v>
      </c>
      <c r="I783" s="268">
        <v>558</v>
      </c>
      <c r="J783" s="269">
        <v>18</v>
      </c>
      <c r="L783" s="92">
        <v>45</v>
      </c>
      <c r="M783" s="268">
        <v>10.5</v>
      </c>
      <c r="N783" s="268">
        <v>574</v>
      </c>
      <c r="O783" s="269">
        <v>18</v>
      </c>
      <c r="Q783" s="92">
        <v>45</v>
      </c>
      <c r="R783" s="268">
        <v>10.5</v>
      </c>
      <c r="S783" s="268">
        <v>574</v>
      </c>
      <c r="T783" s="269">
        <v>18</v>
      </c>
      <c r="V783" s="92">
        <v>90</v>
      </c>
      <c r="W783" s="268">
        <v>96</v>
      </c>
      <c r="X783" s="268">
        <v>590</v>
      </c>
      <c r="Y783" s="269">
        <v>50</v>
      </c>
      <c r="AA783" s="92" t="str">
        <v/>
      </c>
      <c r="AB783" s="268" t="str">
        <v/>
      </c>
      <c r="AC783" s="268" t="str">
        <v/>
      </c>
      <c r="AD783" s="269" t="str">
        <v/>
      </c>
      <c r="AF783" s="92" t="str">
        <v/>
      </c>
      <c r="AG783" s="268" t="str">
        <v/>
      </c>
      <c r="AH783" s="268" t="str">
        <v/>
      </c>
      <c r="AI783" s="269" t="str">
        <v/>
      </c>
      <c r="AK783" s="92" t="str">
        <v/>
      </c>
      <c r="AL783" s="268" t="str">
        <v/>
      </c>
      <c r="AM783" s="268" t="str">
        <v/>
      </c>
      <c r="AN783" s="269" t="str">
        <v/>
      </c>
      <c r="AP783" s="92">
        <v>45</v>
      </c>
      <c r="AQ783" s="268">
        <v>10.5</v>
      </c>
      <c r="AR783" s="268">
        <v>724</v>
      </c>
      <c r="AS783" s="269">
        <v>18</v>
      </c>
      <c r="AT783" s="288"/>
      <c r="AU783" s="92" t="str">
        <v/>
      </c>
      <c r="AV783" s="268" t="str">
        <v/>
      </c>
      <c r="AW783" s="268" t="str">
        <v/>
      </c>
      <c r="AX783" s="269" t="str">
        <v/>
      </c>
      <c r="AZ783" s="92" t="str">
        <v/>
      </c>
      <c r="BA783" s="268" t="str">
        <v/>
      </c>
      <c r="BB783" s="268" t="str">
        <v/>
      </c>
      <c r="BC783" s="269" t="str">
        <v/>
      </c>
      <c r="BE783" s="92" t="str">
        <v/>
      </c>
      <c r="BF783" s="268" t="str">
        <v/>
      </c>
      <c r="BG783" s="268" t="str">
        <v/>
      </c>
      <c r="BH783" s="269" t="str">
        <v/>
      </c>
      <c r="BI783" s="288"/>
      <c r="BJ783" s="92" t="str">
        <v/>
      </c>
      <c r="BK783" s="268" t="str">
        <v/>
      </c>
      <c r="BL783" s="268" t="str">
        <v/>
      </c>
      <c r="BM783" s="269" t="str">
        <v/>
      </c>
      <c r="BO783" s="92" t="str">
        <v/>
      </c>
      <c r="BP783" s="268" t="str">
        <v/>
      </c>
      <c r="BQ783" s="268" t="str">
        <v/>
      </c>
      <c r="BR783" s="269" t="str">
        <v/>
      </c>
      <c r="BT783" s="92" t="str">
        <v/>
      </c>
      <c r="BU783" s="268" t="str">
        <v/>
      </c>
      <c r="BV783" s="268" t="str">
        <v/>
      </c>
      <c r="BW783" s="269" t="str">
        <v/>
      </c>
      <c r="BX783" s="288"/>
      <c r="CM783" s="96"/>
    </row>
    <row r="784" spans="2:91">
      <c r="B784" s="92">
        <v>45</v>
      </c>
      <c r="C784" s="268">
        <v>53.5</v>
      </c>
      <c r="D784" s="268">
        <v>798</v>
      </c>
      <c r="E784" s="269">
        <v>18</v>
      </c>
      <c r="G784" s="92">
        <v>45</v>
      </c>
      <c r="H784" s="268">
        <v>53.5</v>
      </c>
      <c r="I784" s="268">
        <v>558</v>
      </c>
      <c r="J784" s="269">
        <v>18</v>
      </c>
      <c r="L784" s="92">
        <v>45</v>
      </c>
      <c r="M784" s="268">
        <v>96.5</v>
      </c>
      <c r="N784" s="268">
        <v>603</v>
      </c>
      <c r="O784" s="269">
        <v>18</v>
      </c>
      <c r="Q784" s="92">
        <v>45</v>
      </c>
      <c r="R784" s="268">
        <v>96.5</v>
      </c>
      <c r="S784" s="268">
        <v>603</v>
      </c>
      <c r="T784" s="269">
        <v>18</v>
      </c>
      <c r="V784" s="92">
        <v>90</v>
      </c>
      <c r="W784" s="268">
        <v>54</v>
      </c>
      <c r="X784" s="268">
        <v>590</v>
      </c>
      <c r="Y784" s="269">
        <v>50</v>
      </c>
      <c r="AA784" s="92" t="str">
        <v/>
      </c>
      <c r="AB784" s="268" t="str">
        <v/>
      </c>
      <c r="AC784" s="268" t="str">
        <v/>
      </c>
      <c r="AD784" s="269" t="str">
        <v/>
      </c>
      <c r="AF784" s="92" t="str">
        <v/>
      </c>
      <c r="AG784" s="268" t="str">
        <v/>
      </c>
      <c r="AH784" s="268" t="str">
        <v/>
      </c>
      <c r="AI784" s="269" t="str">
        <v/>
      </c>
      <c r="AK784" s="92" t="str">
        <v/>
      </c>
      <c r="AL784" s="268" t="str">
        <v/>
      </c>
      <c r="AM784" s="268" t="str">
        <v/>
      </c>
      <c r="AN784" s="269" t="str">
        <v/>
      </c>
      <c r="AP784" s="92">
        <v>45</v>
      </c>
      <c r="AQ784" s="268">
        <v>96.5</v>
      </c>
      <c r="AR784" s="268">
        <v>753</v>
      </c>
      <c r="AS784" s="269">
        <v>18</v>
      </c>
      <c r="AT784" s="288"/>
      <c r="AU784" s="92" t="str">
        <v/>
      </c>
      <c r="AV784" s="268" t="str">
        <v/>
      </c>
      <c r="AW784" s="268" t="str">
        <v/>
      </c>
      <c r="AX784" s="269" t="str">
        <v/>
      </c>
      <c r="AZ784" s="92" t="str">
        <v/>
      </c>
      <c r="BA784" s="268" t="str">
        <v/>
      </c>
      <c r="BB784" s="268" t="str">
        <v/>
      </c>
      <c r="BC784" s="269" t="str">
        <v/>
      </c>
      <c r="BE784" s="92" t="str">
        <v/>
      </c>
      <c r="BF784" s="268" t="str">
        <v/>
      </c>
      <c r="BG784" s="268" t="str">
        <v/>
      </c>
      <c r="BH784" s="269" t="str">
        <v/>
      </c>
      <c r="BI784" s="288"/>
      <c r="BJ784" s="92" t="str">
        <v/>
      </c>
      <c r="BK784" s="268" t="str">
        <v/>
      </c>
      <c r="BL784" s="268" t="str">
        <v/>
      </c>
      <c r="BM784" s="269" t="str">
        <v/>
      </c>
      <c r="BO784" s="92" t="str">
        <v/>
      </c>
      <c r="BP784" s="268" t="str">
        <v/>
      </c>
      <c r="BQ784" s="268" t="str">
        <v/>
      </c>
      <c r="BR784" s="269" t="str">
        <v/>
      </c>
      <c r="BT784" s="92" t="str">
        <v/>
      </c>
      <c r="BU784" s="268" t="str">
        <v/>
      </c>
      <c r="BV784" s="268" t="str">
        <v/>
      </c>
      <c r="BW784" s="269" t="str">
        <v/>
      </c>
      <c r="BX784" s="288"/>
      <c r="CM784" s="96"/>
    </row>
    <row r="785" spans="2:91">
      <c r="B785" s="92">
        <v>45</v>
      </c>
      <c r="C785" s="268">
        <v>139.5</v>
      </c>
      <c r="D785" s="268">
        <v>826</v>
      </c>
      <c r="E785" s="269">
        <v>18</v>
      </c>
      <c r="G785" s="92">
        <v>45</v>
      </c>
      <c r="H785" s="268">
        <v>139.5</v>
      </c>
      <c r="I785" s="268">
        <v>586</v>
      </c>
      <c r="J785" s="269">
        <v>18</v>
      </c>
      <c r="L785" s="92">
        <v>45</v>
      </c>
      <c r="M785" s="268">
        <v>53.5</v>
      </c>
      <c r="N785" s="268">
        <v>603</v>
      </c>
      <c r="O785" s="269">
        <v>18</v>
      </c>
      <c r="Q785" s="92">
        <v>45</v>
      </c>
      <c r="R785" s="268">
        <v>53.5</v>
      </c>
      <c r="S785" s="268">
        <v>603</v>
      </c>
      <c r="T785" s="269">
        <v>18</v>
      </c>
      <c r="V785" s="92">
        <v>90</v>
      </c>
      <c r="W785" s="268">
        <v>140</v>
      </c>
      <c r="X785" s="268">
        <v>600</v>
      </c>
      <c r="Y785" s="269">
        <v>50</v>
      </c>
      <c r="AA785" s="92" t="str">
        <v/>
      </c>
      <c r="AB785" s="268" t="str">
        <v/>
      </c>
      <c r="AC785" s="268" t="str">
        <v/>
      </c>
      <c r="AD785" s="269" t="str">
        <v/>
      </c>
      <c r="AF785" s="92" t="str">
        <v/>
      </c>
      <c r="AG785" s="268" t="str">
        <v/>
      </c>
      <c r="AH785" s="268" t="str">
        <v/>
      </c>
      <c r="AI785" s="269" t="str">
        <v/>
      </c>
      <c r="AK785" s="92" t="str">
        <v/>
      </c>
      <c r="AL785" s="268" t="str">
        <v/>
      </c>
      <c r="AM785" s="268" t="str">
        <v/>
      </c>
      <c r="AN785" s="269" t="str">
        <v/>
      </c>
      <c r="AP785" s="92">
        <v>45</v>
      </c>
      <c r="AQ785" s="268">
        <v>53.5</v>
      </c>
      <c r="AR785" s="268">
        <v>753</v>
      </c>
      <c r="AS785" s="269">
        <v>18</v>
      </c>
      <c r="AT785" s="288"/>
      <c r="AU785" s="92" t="str">
        <v/>
      </c>
      <c r="AV785" s="268" t="str">
        <v/>
      </c>
      <c r="AW785" s="268" t="str">
        <v/>
      </c>
      <c r="AX785" s="269" t="str">
        <v/>
      </c>
      <c r="AZ785" s="92" t="str">
        <v/>
      </c>
      <c r="BA785" s="268" t="str">
        <v/>
      </c>
      <c r="BB785" s="268" t="str">
        <v/>
      </c>
      <c r="BC785" s="269" t="str">
        <v/>
      </c>
      <c r="BE785" s="92" t="str">
        <v/>
      </c>
      <c r="BF785" s="268" t="str">
        <v/>
      </c>
      <c r="BG785" s="268" t="str">
        <v/>
      </c>
      <c r="BH785" s="269" t="str">
        <v/>
      </c>
      <c r="BI785" s="288"/>
      <c r="BJ785" s="92" t="str">
        <v/>
      </c>
      <c r="BK785" s="268" t="str">
        <v/>
      </c>
      <c r="BL785" s="268" t="str">
        <v/>
      </c>
      <c r="BM785" s="269" t="str">
        <v/>
      </c>
      <c r="BO785" s="92" t="str">
        <v/>
      </c>
      <c r="BP785" s="268" t="str">
        <v/>
      </c>
      <c r="BQ785" s="268" t="str">
        <v/>
      </c>
      <c r="BR785" s="269" t="str">
        <v/>
      </c>
      <c r="BT785" s="92" t="str">
        <v/>
      </c>
      <c r="BU785" s="268" t="str">
        <v/>
      </c>
      <c r="BV785" s="268" t="str">
        <v/>
      </c>
      <c r="BW785" s="269" t="str">
        <v/>
      </c>
      <c r="BX785" s="288"/>
      <c r="CM785" s="96"/>
    </row>
    <row r="786" spans="2:91">
      <c r="B786" s="92">
        <v>45</v>
      </c>
      <c r="C786" s="268">
        <v>10.5</v>
      </c>
      <c r="D786" s="268">
        <v>826</v>
      </c>
      <c r="E786" s="269">
        <v>18</v>
      </c>
      <c r="G786" s="92">
        <v>45</v>
      </c>
      <c r="H786" s="268">
        <v>10.5</v>
      </c>
      <c r="I786" s="268">
        <v>586</v>
      </c>
      <c r="J786" s="269">
        <v>18</v>
      </c>
      <c r="L786" s="92">
        <v>45</v>
      </c>
      <c r="M786" s="268">
        <v>139.5</v>
      </c>
      <c r="N786" s="268">
        <v>631</v>
      </c>
      <c r="O786" s="269">
        <v>18</v>
      </c>
      <c r="Q786" s="92">
        <v>90</v>
      </c>
      <c r="R786" s="268">
        <v>139.5</v>
      </c>
      <c r="S786" s="268">
        <v>650</v>
      </c>
      <c r="T786" s="269">
        <v>20</v>
      </c>
      <c r="V786" s="92">
        <v>90</v>
      </c>
      <c r="W786" s="268">
        <v>10</v>
      </c>
      <c r="X786" s="268">
        <v>600</v>
      </c>
      <c r="Y786" s="269">
        <v>50</v>
      </c>
      <c r="AA786" s="92" t="str">
        <v/>
      </c>
      <c r="AB786" s="268" t="str">
        <v/>
      </c>
      <c r="AC786" s="268" t="str">
        <v/>
      </c>
      <c r="AD786" s="269" t="str">
        <v/>
      </c>
      <c r="AF786" s="92" t="str">
        <v/>
      </c>
      <c r="AG786" s="268" t="str">
        <v/>
      </c>
      <c r="AH786" s="268" t="str">
        <v/>
      </c>
      <c r="AI786" s="269" t="str">
        <v/>
      </c>
      <c r="AK786" s="92" t="str">
        <v/>
      </c>
      <c r="AL786" s="268" t="str">
        <v/>
      </c>
      <c r="AM786" s="268" t="str">
        <v/>
      </c>
      <c r="AN786" s="269" t="str">
        <v/>
      </c>
      <c r="AP786" s="92">
        <v>90</v>
      </c>
      <c r="AQ786" s="268">
        <v>139.5</v>
      </c>
      <c r="AR786" s="268">
        <v>800</v>
      </c>
      <c r="AS786" s="269">
        <v>20</v>
      </c>
      <c r="AT786" s="288"/>
      <c r="AU786" s="92" t="str">
        <v/>
      </c>
      <c r="AV786" s="268" t="str">
        <v/>
      </c>
      <c r="AW786" s="268" t="str">
        <v/>
      </c>
      <c r="AX786" s="269" t="str">
        <v/>
      </c>
      <c r="AZ786" s="92" t="str">
        <v/>
      </c>
      <c r="BA786" s="268" t="str">
        <v/>
      </c>
      <c r="BB786" s="268" t="str">
        <v/>
      </c>
      <c r="BC786" s="269" t="str">
        <v/>
      </c>
      <c r="BE786" s="92" t="str">
        <v/>
      </c>
      <c r="BF786" s="268" t="str">
        <v/>
      </c>
      <c r="BG786" s="268" t="str">
        <v/>
      </c>
      <c r="BH786" s="269" t="str">
        <v/>
      </c>
      <c r="BI786" s="288"/>
      <c r="BJ786" s="92" t="str">
        <v/>
      </c>
      <c r="BK786" s="268" t="str">
        <v/>
      </c>
      <c r="BL786" s="268" t="str">
        <v/>
      </c>
      <c r="BM786" s="269" t="str">
        <v/>
      </c>
      <c r="BO786" s="92" t="str">
        <v/>
      </c>
      <c r="BP786" s="268" t="str">
        <v/>
      </c>
      <c r="BQ786" s="268" t="str">
        <v/>
      </c>
      <c r="BR786" s="269" t="str">
        <v/>
      </c>
      <c r="BT786" s="92" t="str">
        <v/>
      </c>
      <c r="BU786" s="268" t="str">
        <v/>
      </c>
      <c r="BV786" s="268" t="str">
        <v/>
      </c>
      <c r="BW786" s="269" t="str">
        <v/>
      </c>
      <c r="BX786" s="288"/>
      <c r="CM786" s="96"/>
    </row>
    <row r="787" spans="2:91">
      <c r="B787" s="92">
        <v>45</v>
      </c>
      <c r="C787" s="268">
        <v>96.5</v>
      </c>
      <c r="D787" s="268">
        <v>855</v>
      </c>
      <c r="E787" s="269">
        <v>18</v>
      </c>
      <c r="G787" s="92">
        <v>45</v>
      </c>
      <c r="H787" s="268">
        <v>96.5</v>
      </c>
      <c r="I787" s="268">
        <v>615</v>
      </c>
      <c r="J787" s="269">
        <v>18</v>
      </c>
      <c r="L787" s="92">
        <v>45</v>
      </c>
      <c r="M787" s="268">
        <v>10.5</v>
      </c>
      <c r="N787" s="268">
        <v>631</v>
      </c>
      <c r="O787" s="269">
        <v>18</v>
      </c>
      <c r="Q787" s="92">
        <v>90</v>
      </c>
      <c r="R787" s="268">
        <v>10.5</v>
      </c>
      <c r="S787" s="268">
        <v>650</v>
      </c>
      <c r="T787" s="269">
        <v>20</v>
      </c>
      <c r="V787" s="92" t="str">
        <v/>
      </c>
      <c r="W787" s="268" t="str">
        <v/>
      </c>
      <c r="X787" s="268" t="str">
        <v/>
      </c>
      <c r="Y787" s="269" t="str">
        <v/>
      </c>
      <c r="AA787" s="92" t="str">
        <v/>
      </c>
      <c r="AB787" s="268" t="str">
        <v/>
      </c>
      <c r="AC787" s="268" t="str">
        <v/>
      </c>
      <c r="AD787" s="269" t="str">
        <v/>
      </c>
      <c r="AF787" s="92" t="str">
        <v/>
      </c>
      <c r="AG787" s="268" t="str">
        <v/>
      </c>
      <c r="AH787" s="268" t="str">
        <v/>
      </c>
      <c r="AI787" s="269" t="str">
        <v/>
      </c>
      <c r="AK787" s="92" t="str">
        <v/>
      </c>
      <c r="AL787" s="268" t="str">
        <v/>
      </c>
      <c r="AM787" s="268" t="str">
        <v/>
      </c>
      <c r="AN787" s="269" t="str">
        <v/>
      </c>
      <c r="AP787" s="92">
        <v>90</v>
      </c>
      <c r="AQ787" s="268">
        <v>10.5</v>
      </c>
      <c r="AR787" s="268">
        <v>800</v>
      </c>
      <c r="AS787" s="269">
        <v>20</v>
      </c>
      <c r="AT787" s="288"/>
      <c r="AU787" s="92" t="str">
        <v/>
      </c>
      <c r="AV787" s="268" t="str">
        <v/>
      </c>
      <c r="AW787" s="268" t="str">
        <v/>
      </c>
      <c r="AX787" s="269" t="str">
        <v/>
      </c>
      <c r="AZ787" s="92" t="str">
        <v/>
      </c>
      <c r="BA787" s="268" t="str">
        <v/>
      </c>
      <c r="BB787" s="268" t="str">
        <v/>
      </c>
      <c r="BC787" s="269" t="str">
        <v/>
      </c>
      <c r="BE787" s="92" t="str">
        <v/>
      </c>
      <c r="BF787" s="268" t="str">
        <v/>
      </c>
      <c r="BG787" s="268" t="str">
        <v/>
      </c>
      <c r="BH787" s="269" t="str">
        <v/>
      </c>
      <c r="BI787" s="288"/>
      <c r="BJ787" s="92" t="str">
        <v/>
      </c>
      <c r="BK787" s="268" t="str">
        <v/>
      </c>
      <c r="BL787" s="268" t="str">
        <v/>
      </c>
      <c r="BM787" s="269" t="str">
        <v/>
      </c>
      <c r="BO787" s="92" t="str">
        <v/>
      </c>
      <c r="BP787" s="268" t="str">
        <v/>
      </c>
      <c r="BQ787" s="268" t="str">
        <v/>
      </c>
      <c r="BR787" s="269" t="str">
        <v/>
      </c>
      <c r="BT787" s="92" t="str">
        <v/>
      </c>
      <c r="BU787" s="268" t="str">
        <v/>
      </c>
      <c r="BV787" s="268" t="str">
        <v/>
      </c>
      <c r="BW787" s="269" t="str">
        <v/>
      </c>
      <c r="BX787" s="288"/>
      <c r="CM787" s="96"/>
    </row>
    <row r="788" spans="2:91">
      <c r="B788" s="92">
        <v>45</v>
      </c>
      <c r="C788" s="268">
        <v>53.5</v>
      </c>
      <c r="D788" s="268">
        <v>855</v>
      </c>
      <c r="E788" s="269">
        <v>18</v>
      </c>
      <c r="G788" s="92">
        <v>45</v>
      </c>
      <c r="H788" s="268">
        <v>53.5</v>
      </c>
      <c r="I788" s="268">
        <v>615</v>
      </c>
      <c r="J788" s="269">
        <v>18</v>
      </c>
      <c r="L788" s="92">
        <v>45</v>
      </c>
      <c r="M788" s="268">
        <v>96.5</v>
      </c>
      <c r="N788" s="268">
        <v>660</v>
      </c>
      <c r="O788" s="269">
        <v>18</v>
      </c>
      <c r="Q788" s="92">
        <v>90</v>
      </c>
      <c r="R788" s="268">
        <v>75</v>
      </c>
      <c r="S788" s="268">
        <v>655</v>
      </c>
      <c r="T788" s="269">
        <v>14</v>
      </c>
      <c r="V788" s="92" t="str">
        <v/>
      </c>
      <c r="W788" s="268" t="str">
        <v/>
      </c>
      <c r="X788" s="268" t="str">
        <v/>
      </c>
      <c r="Y788" s="269" t="str">
        <v/>
      </c>
      <c r="AA788" s="92" t="str">
        <v/>
      </c>
      <c r="AB788" s="268" t="str">
        <v/>
      </c>
      <c r="AC788" s="268" t="str">
        <v/>
      </c>
      <c r="AD788" s="269" t="str">
        <v/>
      </c>
      <c r="AF788" s="92" t="str">
        <v/>
      </c>
      <c r="AG788" s="268" t="str">
        <v/>
      </c>
      <c r="AH788" s="268" t="str">
        <v/>
      </c>
      <c r="AI788" s="269" t="str">
        <v/>
      </c>
      <c r="AK788" s="92" t="str">
        <v/>
      </c>
      <c r="AL788" s="268" t="str">
        <v/>
      </c>
      <c r="AM788" s="268" t="str">
        <v/>
      </c>
      <c r="AN788" s="269" t="str">
        <v/>
      </c>
      <c r="AP788" s="92">
        <v>90</v>
      </c>
      <c r="AQ788" s="268">
        <v>75</v>
      </c>
      <c r="AR788" s="268">
        <v>805</v>
      </c>
      <c r="AS788" s="269">
        <v>14</v>
      </c>
      <c r="AT788" s="288"/>
      <c r="AU788" s="92" t="str">
        <v/>
      </c>
      <c r="AV788" s="268" t="str">
        <v/>
      </c>
      <c r="AW788" s="268" t="str">
        <v/>
      </c>
      <c r="AX788" s="269" t="str">
        <v/>
      </c>
      <c r="AZ788" s="92" t="str">
        <v/>
      </c>
      <c r="BA788" s="268" t="str">
        <v/>
      </c>
      <c r="BB788" s="268" t="str">
        <v/>
      </c>
      <c r="BC788" s="269" t="str">
        <v/>
      </c>
      <c r="BE788" s="92" t="str">
        <v/>
      </c>
      <c r="BF788" s="268" t="str">
        <v/>
      </c>
      <c r="BG788" s="268" t="str">
        <v/>
      </c>
      <c r="BH788" s="269" t="str">
        <v/>
      </c>
      <c r="BI788" s="288"/>
      <c r="BJ788" s="92" t="str">
        <v/>
      </c>
      <c r="BK788" s="268" t="str">
        <v/>
      </c>
      <c r="BL788" s="268" t="str">
        <v/>
      </c>
      <c r="BM788" s="269" t="str">
        <v/>
      </c>
      <c r="BO788" s="92" t="str">
        <v/>
      </c>
      <c r="BP788" s="268" t="str">
        <v/>
      </c>
      <c r="BQ788" s="268" t="str">
        <v/>
      </c>
      <c r="BR788" s="269" t="str">
        <v/>
      </c>
      <c r="BT788" s="92" t="str">
        <v/>
      </c>
      <c r="BU788" s="268" t="str">
        <v/>
      </c>
      <c r="BV788" s="268" t="str">
        <v/>
      </c>
      <c r="BW788" s="269" t="str">
        <v/>
      </c>
      <c r="BX788" s="288"/>
      <c r="CM788" s="96"/>
    </row>
    <row r="789" spans="2:91">
      <c r="B789" s="92">
        <v>45</v>
      </c>
      <c r="C789" s="268">
        <v>139.5</v>
      </c>
      <c r="D789" s="268">
        <v>883</v>
      </c>
      <c r="E789" s="269">
        <v>18</v>
      </c>
      <c r="G789" s="92">
        <v>45</v>
      </c>
      <c r="H789" s="268">
        <v>139.5</v>
      </c>
      <c r="I789" s="268">
        <v>643</v>
      </c>
      <c r="J789" s="269">
        <v>18</v>
      </c>
      <c r="L789" s="92">
        <v>45</v>
      </c>
      <c r="M789" s="268">
        <v>53.5</v>
      </c>
      <c r="N789" s="268">
        <v>660</v>
      </c>
      <c r="O789" s="269">
        <v>18</v>
      </c>
      <c r="Q789" s="92">
        <v>90</v>
      </c>
      <c r="R789" s="268">
        <v>118</v>
      </c>
      <c r="S789" s="268">
        <v>665</v>
      </c>
      <c r="T789" s="269">
        <v>14</v>
      </c>
      <c r="V789" s="92" t="str">
        <v/>
      </c>
      <c r="W789" s="268" t="str">
        <v/>
      </c>
      <c r="X789" s="268" t="str">
        <v/>
      </c>
      <c r="Y789" s="269" t="str">
        <v/>
      </c>
      <c r="AA789" s="92" t="str">
        <v/>
      </c>
      <c r="AB789" s="268" t="str">
        <v/>
      </c>
      <c r="AC789" s="268" t="str">
        <v/>
      </c>
      <c r="AD789" s="269" t="str">
        <v/>
      </c>
      <c r="AF789" s="92" t="str">
        <v/>
      </c>
      <c r="AG789" s="268" t="str">
        <v/>
      </c>
      <c r="AH789" s="268" t="str">
        <v/>
      </c>
      <c r="AI789" s="269" t="str">
        <v/>
      </c>
      <c r="AK789" s="92" t="str">
        <v/>
      </c>
      <c r="AL789" s="268" t="str">
        <v/>
      </c>
      <c r="AM789" s="268" t="str">
        <v/>
      </c>
      <c r="AN789" s="269" t="str">
        <v/>
      </c>
      <c r="AP789" s="92">
        <v>90</v>
      </c>
      <c r="AQ789" s="268">
        <v>118</v>
      </c>
      <c r="AR789" s="268">
        <v>815</v>
      </c>
      <c r="AS789" s="269">
        <v>14</v>
      </c>
      <c r="AT789" s="288"/>
      <c r="AU789" s="92" t="str">
        <v/>
      </c>
      <c r="AV789" s="268" t="str">
        <v/>
      </c>
      <c r="AW789" s="268" t="str">
        <v/>
      </c>
      <c r="AX789" s="269" t="str">
        <v/>
      </c>
      <c r="AZ789" s="92" t="str">
        <v/>
      </c>
      <c r="BA789" s="268" t="str">
        <v/>
      </c>
      <c r="BB789" s="268" t="str">
        <v/>
      </c>
      <c r="BC789" s="269" t="str">
        <v/>
      </c>
      <c r="BE789" s="92" t="str">
        <v/>
      </c>
      <c r="BF789" s="268" t="str">
        <v/>
      </c>
      <c r="BG789" s="268" t="str">
        <v/>
      </c>
      <c r="BH789" s="269" t="str">
        <v/>
      </c>
      <c r="BI789" s="288"/>
      <c r="BJ789" s="92" t="str">
        <v/>
      </c>
      <c r="BK789" s="268" t="str">
        <v/>
      </c>
      <c r="BL789" s="268" t="str">
        <v/>
      </c>
      <c r="BM789" s="269" t="str">
        <v/>
      </c>
      <c r="BO789" s="92" t="str">
        <v/>
      </c>
      <c r="BP789" s="268" t="str">
        <v/>
      </c>
      <c r="BQ789" s="268" t="str">
        <v/>
      </c>
      <c r="BR789" s="269" t="str">
        <v/>
      </c>
      <c r="BT789" s="92" t="str">
        <v/>
      </c>
      <c r="BU789" s="268" t="str">
        <v/>
      </c>
      <c r="BV789" s="268" t="str">
        <v/>
      </c>
      <c r="BW789" s="269" t="str">
        <v/>
      </c>
      <c r="BX789" s="288"/>
      <c r="CM789" s="96"/>
    </row>
    <row r="790" spans="2:91">
      <c r="B790" s="92">
        <v>45</v>
      </c>
      <c r="C790" s="268">
        <v>10.5</v>
      </c>
      <c r="D790" s="268">
        <v>883</v>
      </c>
      <c r="E790" s="269">
        <v>18</v>
      </c>
      <c r="G790" s="92">
        <v>45</v>
      </c>
      <c r="H790" s="268">
        <v>10.5</v>
      </c>
      <c r="I790" s="268">
        <v>643</v>
      </c>
      <c r="J790" s="269">
        <v>18</v>
      </c>
      <c r="L790" s="92">
        <v>90</v>
      </c>
      <c r="M790" s="268">
        <v>139.5</v>
      </c>
      <c r="N790" s="268">
        <v>710</v>
      </c>
      <c r="O790" s="269">
        <v>20</v>
      </c>
      <c r="Q790" s="92">
        <v>90</v>
      </c>
      <c r="R790" s="268">
        <v>32</v>
      </c>
      <c r="S790" s="268">
        <v>665</v>
      </c>
      <c r="T790" s="269">
        <v>14</v>
      </c>
      <c r="V790" s="92" t="str">
        <v/>
      </c>
      <c r="W790" s="268" t="str">
        <v/>
      </c>
      <c r="X790" s="268" t="str">
        <v/>
      </c>
      <c r="Y790" s="269" t="str">
        <v/>
      </c>
      <c r="AA790" s="92" t="str">
        <v/>
      </c>
      <c r="AB790" s="268" t="str">
        <v/>
      </c>
      <c r="AC790" s="268" t="str">
        <v/>
      </c>
      <c r="AD790" s="269" t="str">
        <v/>
      </c>
      <c r="AF790" s="92" t="str">
        <v/>
      </c>
      <c r="AG790" s="268" t="str">
        <v/>
      </c>
      <c r="AH790" s="268" t="str">
        <v/>
      </c>
      <c r="AI790" s="269" t="str">
        <v/>
      </c>
      <c r="AK790" s="92" t="str">
        <v/>
      </c>
      <c r="AL790" s="268" t="str">
        <v/>
      </c>
      <c r="AM790" s="268" t="str">
        <v/>
      </c>
      <c r="AN790" s="269" t="str">
        <v/>
      </c>
      <c r="AP790" s="92">
        <v>90</v>
      </c>
      <c r="AQ790" s="268">
        <v>32</v>
      </c>
      <c r="AR790" s="268">
        <v>815</v>
      </c>
      <c r="AS790" s="269">
        <v>14</v>
      </c>
      <c r="AT790" s="288"/>
      <c r="AU790" s="92" t="str">
        <v/>
      </c>
      <c r="AV790" s="268" t="str">
        <v/>
      </c>
      <c r="AW790" s="268" t="str">
        <v/>
      </c>
      <c r="AX790" s="269" t="str">
        <v/>
      </c>
      <c r="AZ790" s="92" t="str">
        <v/>
      </c>
      <c r="BA790" s="268" t="str">
        <v/>
      </c>
      <c r="BB790" s="268" t="str">
        <v/>
      </c>
      <c r="BC790" s="269" t="str">
        <v/>
      </c>
      <c r="BE790" s="92" t="str">
        <v/>
      </c>
      <c r="BF790" s="268" t="str">
        <v/>
      </c>
      <c r="BG790" s="268" t="str">
        <v/>
      </c>
      <c r="BH790" s="269" t="str">
        <v/>
      </c>
      <c r="BI790" s="288"/>
      <c r="BJ790" s="92" t="str">
        <v/>
      </c>
      <c r="BK790" s="268" t="str">
        <v/>
      </c>
      <c r="BL790" s="268" t="str">
        <v/>
      </c>
      <c r="BM790" s="269" t="str">
        <v/>
      </c>
      <c r="BO790" s="92" t="str">
        <v/>
      </c>
      <c r="BP790" s="268" t="str">
        <v/>
      </c>
      <c r="BQ790" s="268" t="str">
        <v/>
      </c>
      <c r="BR790" s="269" t="str">
        <v/>
      </c>
      <c r="BT790" s="92" t="str">
        <v/>
      </c>
      <c r="BU790" s="268" t="str">
        <v/>
      </c>
      <c r="BV790" s="268" t="str">
        <v/>
      </c>
      <c r="BW790" s="269" t="str">
        <v/>
      </c>
      <c r="BX790" s="288"/>
      <c r="CM790" s="96"/>
    </row>
    <row r="791" spans="2:91">
      <c r="B791" s="92">
        <v>45</v>
      </c>
      <c r="C791" s="268">
        <v>96.5</v>
      </c>
      <c r="D791" s="268">
        <v>912</v>
      </c>
      <c r="E791" s="269">
        <v>18</v>
      </c>
      <c r="G791" s="92">
        <v>45</v>
      </c>
      <c r="H791" s="268">
        <v>96.5</v>
      </c>
      <c r="I791" s="268">
        <v>672</v>
      </c>
      <c r="J791" s="269">
        <v>18</v>
      </c>
      <c r="L791" s="92">
        <v>90</v>
      </c>
      <c r="M791" s="268">
        <v>10.5</v>
      </c>
      <c r="N791" s="268">
        <v>710</v>
      </c>
      <c r="O791" s="269">
        <v>20</v>
      </c>
      <c r="Q791" s="92">
        <v>90</v>
      </c>
      <c r="R791" s="268">
        <v>96</v>
      </c>
      <c r="S791" s="268">
        <v>710</v>
      </c>
      <c r="T791" s="269">
        <v>50</v>
      </c>
      <c r="V791" s="92" t="str">
        <v/>
      </c>
      <c r="W791" s="268" t="str">
        <v/>
      </c>
      <c r="X791" s="268" t="str">
        <v/>
      </c>
      <c r="Y791" s="269" t="str">
        <v/>
      </c>
      <c r="AA791" s="92" t="str">
        <v/>
      </c>
      <c r="AB791" s="268" t="str">
        <v/>
      </c>
      <c r="AC791" s="268" t="str">
        <v/>
      </c>
      <c r="AD791" s="269" t="str">
        <v/>
      </c>
      <c r="AF791" s="92" t="str">
        <v/>
      </c>
      <c r="AG791" s="268" t="str">
        <v/>
      </c>
      <c r="AH791" s="268" t="str">
        <v/>
      </c>
      <c r="AI791" s="269" t="str">
        <v/>
      </c>
      <c r="AK791" s="92" t="str">
        <v/>
      </c>
      <c r="AL791" s="268" t="str">
        <v/>
      </c>
      <c r="AM791" s="268" t="str">
        <v/>
      </c>
      <c r="AN791" s="269" t="str">
        <v/>
      </c>
      <c r="AP791" s="92">
        <v>90</v>
      </c>
      <c r="AQ791" s="268">
        <v>118</v>
      </c>
      <c r="AR791" s="268">
        <v>900</v>
      </c>
      <c r="AS791" s="269">
        <v>14</v>
      </c>
      <c r="AT791" s="288"/>
      <c r="AU791" s="92" t="str">
        <v/>
      </c>
      <c r="AV791" s="268" t="str">
        <v/>
      </c>
      <c r="AW791" s="268" t="str">
        <v/>
      </c>
      <c r="AX791" s="269" t="str">
        <v/>
      </c>
      <c r="AZ791" s="92" t="str">
        <v/>
      </c>
      <c r="BA791" s="268" t="str">
        <v/>
      </c>
      <c r="BB791" s="268" t="str">
        <v/>
      </c>
      <c r="BC791" s="269" t="str">
        <v/>
      </c>
      <c r="BE791" s="92" t="str">
        <v/>
      </c>
      <c r="BF791" s="268" t="str">
        <v/>
      </c>
      <c r="BG791" s="268" t="str">
        <v/>
      </c>
      <c r="BH791" s="269" t="str">
        <v/>
      </c>
      <c r="BI791" s="288"/>
      <c r="BJ791" s="92" t="str">
        <v/>
      </c>
      <c r="BK791" s="268" t="str">
        <v/>
      </c>
      <c r="BL791" s="268" t="str">
        <v/>
      </c>
      <c r="BM791" s="269" t="str">
        <v/>
      </c>
      <c r="BO791" s="92" t="str">
        <v/>
      </c>
      <c r="BP791" s="268" t="str">
        <v/>
      </c>
      <c r="BQ791" s="268" t="str">
        <v/>
      </c>
      <c r="BR791" s="269" t="str">
        <v/>
      </c>
      <c r="BT791" s="92" t="str">
        <v/>
      </c>
      <c r="BU791" s="268" t="str">
        <v/>
      </c>
      <c r="BV791" s="268" t="str">
        <v/>
      </c>
      <c r="BW791" s="269" t="str">
        <v/>
      </c>
      <c r="BX791" s="288"/>
      <c r="CM791" s="96"/>
    </row>
    <row r="792" spans="2:91">
      <c r="B792" s="92">
        <v>45</v>
      </c>
      <c r="C792" s="268">
        <v>53.5</v>
      </c>
      <c r="D792" s="268">
        <v>912</v>
      </c>
      <c r="E792" s="269">
        <v>18</v>
      </c>
      <c r="G792" s="92">
        <v>45</v>
      </c>
      <c r="H792" s="268">
        <v>53.5</v>
      </c>
      <c r="I792" s="268">
        <v>672</v>
      </c>
      <c r="J792" s="269">
        <v>18</v>
      </c>
      <c r="L792" s="92">
        <v>90</v>
      </c>
      <c r="M792" s="268">
        <v>75</v>
      </c>
      <c r="N792" s="268">
        <v>715</v>
      </c>
      <c r="O792" s="269">
        <v>14</v>
      </c>
      <c r="Q792" s="92">
        <v>90</v>
      </c>
      <c r="R792" s="268">
        <v>54</v>
      </c>
      <c r="S792" s="268">
        <v>710</v>
      </c>
      <c r="T792" s="269">
        <v>50</v>
      </c>
      <c r="V792" s="92" t="str">
        <v/>
      </c>
      <c r="W792" s="268" t="str">
        <v/>
      </c>
      <c r="X792" s="268" t="str">
        <v/>
      </c>
      <c r="Y792" s="269" t="str">
        <v/>
      </c>
      <c r="AA792" s="92" t="str">
        <v/>
      </c>
      <c r="AB792" s="268" t="str">
        <v/>
      </c>
      <c r="AC792" s="268" t="str">
        <v/>
      </c>
      <c r="AD792" s="269" t="str">
        <v/>
      </c>
      <c r="AF792" s="92" t="str">
        <v/>
      </c>
      <c r="AG792" s="268" t="str">
        <v/>
      </c>
      <c r="AH792" s="268" t="str">
        <v/>
      </c>
      <c r="AI792" s="269" t="str">
        <v/>
      </c>
      <c r="AK792" s="92" t="str">
        <v/>
      </c>
      <c r="AL792" s="268" t="str">
        <v/>
      </c>
      <c r="AM792" s="268" t="str">
        <v/>
      </c>
      <c r="AN792" s="269" t="str">
        <v/>
      </c>
      <c r="AP792" s="92">
        <v>90</v>
      </c>
      <c r="AQ792" s="268">
        <v>75</v>
      </c>
      <c r="AR792" s="268">
        <v>900</v>
      </c>
      <c r="AS792" s="269">
        <v>14</v>
      </c>
      <c r="AT792" s="288"/>
      <c r="AU792" s="92" t="str">
        <v/>
      </c>
      <c r="AV792" s="268" t="str">
        <v/>
      </c>
      <c r="AW792" s="268" t="str">
        <v/>
      </c>
      <c r="AX792" s="269" t="str">
        <v/>
      </c>
      <c r="AZ792" s="92" t="str">
        <v/>
      </c>
      <c r="BA792" s="268" t="str">
        <v/>
      </c>
      <c r="BB792" s="268" t="str">
        <v/>
      </c>
      <c r="BC792" s="269" t="str">
        <v/>
      </c>
      <c r="BE792" s="92" t="str">
        <v/>
      </c>
      <c r="BF792" s="268" t="str">
        <v/>
      </c>
      <c r="BG792" s="268" t="str">
        <v/>
      </c>
      <c r="BH792" s="269" t="str">
        <v/>
      </c>
      <c r="BI792" s="288"/>
      <c r="BJ792" s="92" t="str">
        <v/>
      </c>
      <c r="BK792" s="268" t="str">
        <v/>
      </c>
      <c r="BL792" s="268" t="str">
        <v/>
      </c>
      <c r="BM792" s="269" t="str">
        <v/>
      </c>
      <c r="BO792" s="92" t="str">
        <v/>
      </c>
      <c r="BP792" s="268" t="str">
        <v/>
      </c>
      <c r="BQ792" s="268" t="str">
        <v/>
      </c>
      <c r="BR792" s="269" t="str">
        <v/>
      </c>
      <c r="BT792" s="92" t="str">
        <v/>
      </c>
      <c r="BU792" s="268" t="str">
        <v/>
      </c>
      <c r="BV792" s="268" t="str">
        <v/>
      </c>
      <c r="BW792" s="269" t="str">
        <v/>
      </c>
      <c r="BX792" s="288"/>
      <c r="CM792" s="96"/>
    </row>
    <row r="793" spans="2:91">
      <c r="B793" s="92">
        <v>45</v>
      </c>
      <c r="C793" s="268">
        <v>139.5</v>
      </c>
      <c r="D793" s="268">
        <v>940</v>
      </c>
      <c r="E793" s="269">
        <v>18</v>
      </c>
      <c r="G793" s="92">
        <v>45</v>
      </c>
      <c r="H793" s="268">
        <v>139.5</v>
      </c>
      <c r="I793" s="268">
        <v>700</v>
      </c>
      <c r="J793" s="269">
        <v>18</v>
      </c>
      <c r="L793" s="92">
        <v>90</v>
      </c>
      <c r="M793" s="268">
        <v>118</v>
      </c>
      <c r="N793" s="268">
        <v>725</v>
      </c>
      <c r="O793" s="269">
        <v>14</v>
      </c>
      <c r="Q793" s="92">
        <v>90</v>
      </c>
      <c r="R793" s="268">
        <v>140</v>
      </c>
      <c r="S793" s="268">
        <v>720</v>
      </c>
      <c r="T793" s="269">
        <v>50</v>
      </c>
      <c r="V793" s="92" t="str">
        <v/>
      </c>
      <c r="W793" s="268" t="str">
        <v/>
      </c>
      <c r="X793" s="268" t="str">
        <v/>
      </c>
      <c r="Y793" s="269" t="str">
        <v/>
      </c>
      <c r="AA793" s="92" t="str">
        <v/>
      </c>
      <c r="AB793" s="268" t="str">
        <v/>
      </c>
      <c r="AC793" s="268" t="str">
        <v/>
      </c>
      <c r="AD793" s="269" t="str">
        <v/>
      </c>
      <c r="AF793" s="92" t="str">
        <v/>
      </c>
      <c r="AG793" s="268" t="str">
        <v/>
      </c>
      <c r="AH793" s="268" t="str">
        <v/>
      </c>
      <c r="AI793" s="269" t="str">
        <v/>
      </c>
      <c r="AK793" s="92" t="str">
        <v/>
      </c>
      <c r="AL793" s="268" t="str">
        <v/>
      </c>
      <c r="AM793" s="268" t="str">
        <v/>
      </c>
      <c r="AN793" s="269" t="str">
        <v/>
      </c>
      <c r="AP793" s="92">
        <v>90</v>
      </c>
      <c r="AQ793" s="268">
        <v>32</v>
      </c>
      <c r="AR793" s="268">
        <v>900</v>
      </c>
      <c r="AS793" s="269">
        <v>14</v>
      </c>
      <c r="AT793" s="288"/>
      <c r="AU793" s="92" t="str">
        <v/>
      </c>
      <c r="AV793" s="268" t="str">
        <v/>
      </c>
      <c r="AW793" s="268" t="str">
        <v/>
      </c>
      <c r="AX793" s="269" t="str">
        <v/>
      </c>
      <c r="AZ793" s="92" t="str">
        <v/>
      </c>
      <c r="BA793" s="268" t="str">
        <v/>
      </c>
      <c r="BB793" s="268" t="str">
        <v/>
      </c>
      <c r="BC793" s="269" t="str">
        <v/>
      </c>
      <c r="BE793" s="92" t="str">
        <v/>
      </c>
      <c r="BF793" s="268" t="str">
        <v/>
      </c>
      <c r="BG793" s="268" t="str">
        <v/>
      </c>
      <c r="BH793" s="269" t="str">
        <v/>
      </c>
      <c r="BI793" s="288"/>
      <c r="BJ793" s="92" t="str">
        <v/>
      </c>
      <c r="BK793" s="268" t="str">
        <v/>
      </c>
      <c r="BL793" s="268" t="str">
        <v/>
      </c>
      <c r="BM793" s="269" t="str">
        <v/>
      </c>
      <c r="BO793" s="92" t="str">
        <v/>
      </c>
      <c r="BP793" s="268" t="str">
        <v/>
      </c>
      <c r="BQ793" s="268" t="str">
        <v/>
      </c>
      <c r="BR793" s="269" t="str">
        <v/>
      </c>
      <c r="BT793" s="92" t="str">
        <v/>
      </c>
      <c r="BU793" s="268" t="str">
        <v/>
      </c>
      <c r="BV793" s="268" t="str">
        <v/>
      </c>
      <c r="BW793" s="269" t="str">
        <v/>
      </c>
      <c r="BX793" s="288"/>
      <c r="CM793" s="96"/>
    </row>
    <row r="794" spans="2:91">
      <c r="B794" s="92">
        <v>45</v>
      </c>
      <c r="C794" s="268">
        <v>10.5</v>
      </c>
      <c r="D794" s="268">
        <v>940</v>
      </c>
      <c r="E794" s="269">
        <v>18</v>
      </c>
      <c r="G794" s="92">
        <v>45</v>
      </c>
      <c r="H794" s="268">
        <v>10.5</v>
      </c>
      <c r="I794" s="268">
        <v>700</v>
      </c>
      <c r="J794" s="269">
        <v>18</v>
      </c>
      <c r="L794" s="92">
        <v>90</v>
      </c>
      <c r="M794" s="268">
        <v>32</v>
      </c>
      <c r="N794" s="268">
        <v>725</v>
      </c>
      <c r="O794" s="269">
        <v>14</v>
      </c>
      <c r="Q794" s="92">
        <v>90</v>
      </c>
      <c r="R794" s="268">
        <v>10</v>
      </c>
      <c r="S794" s="268">
        <v>720</v>
      </c>
      <c r="T794" s="269">
        <v>50</v>
      </c>
      <c r="V794" s="92" t="str">
        <v/>
      </c>
      <c r="W794" s="268" t="str">
        <v/>
      </c>
      <c r="X794" s="268" t="str">
        <v/>
      </c>
      <c r="Y794" s="269" t="str">
        <v/>
      </c>
      <c r="AA794" s="92" t="str">
        <v/>
      </c>
      <c r="AB794" s="268" t="str">
        <v/>
      </c>
      <c r="AC794" s="268" t="str">
        <v/>
      </c>
      <c r="AD794" s="269" t="str">
        <v/>
      </c>
      <c r="AF794" s="92" t="str">
        <v/>
      </c>
      <c r="AG794" s="268" t="str">
        <v/>
      </c>
      <c r="AH794" s="268" t="str">
        <v/>
      </c>
      <c r="AI794" s="269" t="str">
        <v/>
      </c>
      <c r="AK794" s="92" t="str">
        <v/>
      </c>
      <c r="AL794" s="268" t="str">
        <v/>
      </c>
      <c r="AM794" s="268" t="str">
        <v/>
      </c>
      <c r="AN794" s="269" t="str">
        <v/>
      </c>
      <c r="AP794" s="92">
        <v>45</v>
      </c>
      <c r="AQ794" s="268">
        <v>140</v>
      </c>
      <c r="AR794" s="268">
        <v>923</v>
      </c>
      <c r="AS794" s="269">
        <v>18</v>
      </c>
      <c r="AT794" s="288"/>
      <c r="AU794" s="92" t="str">
        <v/>
      </c>
      <c r="AV794" s="268" t="str">
        <v/>
      </c>
      <c r="AW794" s="268" t="str">
        <v/>
      </c>
      <c r="AX794" s="269" t="str">
        <v/>
      </c>
      <c r="AZ794" s="92" t="str">
        <v/>
      </c>
      <c r="BA794" s="268" t="str">
        <v/>
      </c>
      <c r="BB794" s="268" t="str">
        <v/>
      </c>
      <c r="BC794" s="269" t="str">
        <v/>
      </c>
      <c r="BE794" s="92" t="str">
        <v/>
      </c>
      <c r="BF794" s="268" t="str">
        <v/>
      </c>
      <c r="BG794" s="268" t="str">
        <v/>
      </c>
      <c r="BH794" s="269" t="str">
        <v/>
      </c>
      <c r="BI794" s="288"/>
      <c r="BJ794" s="92" t="str">
        <v/>
      </c>
      <c r="BK794" s="268" t="str">
        <v/>
      </c>
      <c r="BL794" s="268" t="str">
        <v/>
      </c>
      <c r="BM794" s="269" t="str">
        <v/>
      </c>
      <c r="BO794" s="92" t="str">
        <v/>
      </c>
      <c r="BP794" s="268" t="str">
        <v/>
      </c>
      <c r="BQ794" s="268" t="str">
        <v/>
      </c>
      <c r="BR794" s="269" t="str">
        <v/>
      </c>
      <c r="BT794" s="92" t="str">
        <v/>
      </c>
      <c r="BU794" s="268" t="str">
        <v/>
      </c>
      <c r="BV794" s="268" t="str">
        <v/>
      </c>
      <c r="BW794" s="269" t="str">
        <v/>
      </c>
      <c r="BX794" s="288"/>
      <c r="CM794" s="96"/>
    </row>
    <row r="795" spans="2:91">
      <c r="B795" s="92">
        <v>45</v>
      </c>
      <c r="C795" s="268">
        <v>96.5</v>
      </c>
      <c r="D795" s="268">
        <v>969</v>
      </c>
      <c r="E795" s="269">
        <v>18</v>
      </c>
      <c r="G795" s="92">
        <v>45</v>
      </c>
      <c r="H795" s="268">
        <v>96.5</v>
      </c>
      <c r="I795" s="268">
        <v>729</v>
      </c>
      <c r="J795" s="269">
        <v>18</v>
      </c>
      <c r="L795" s="92">
        <v>90</v>
      </c>
      <c r="M795" s="268">
        <v>96</v>
      </c>
      <c r="N795" s="268">
        <v>770</v>
      </c>
      <c r="O795" s="269">
        <v>50</v>
      </c>
      <c r="Q795" s="92" t="str">
        <v/>
      </c>
      <c r="R795" s="268" t="str">
        <v/>
      </c>
      <c r="S795" s="268" t="str">
        <v/>
      </c>
      <c r="T795" s="269" t="str">
        <v/>
      </c>
      <c r="V795" s="92" t="str">
        <v/>
      </c>
      <c r="W795" s="268" t="str">
        <v/>
      </c>
      <c r="X795" s="268" t="str">
        <v/>
      </c>
      <c r="Y795" s="269" t="str">
        <v/>
      </c>
      <c r="AA795" s="92" t="str">
        <v/>
      </c>
      <c r="AB795" s="268" t="str">
        <v/>
      </c>
      <c r="AC795" s="268" t="str">
        <v/>
      </c>
      <c r="AD795" s="269" t="str">
        <v/>
      </c>
      <c r="AF795" s="92" t="str">
        <v/>
      </c>
      <c r="AG795" s="268" t="str">
        <v/>
      </c>
      <c r="AH795" s="268" t="str">
        <v/>
      </c>
      <c r="AI795" s="269" t="str">
        <v/>
      </c>
      <c r="AK795" s="92" t="str">
        <v/>
      </c>
      <c r="AL795" s="268" t="str">
        <v/>
      </c>
      <c r="AM795" s="268" t="str">
        <v/>
      </c>
      <c r="AN795" s="269" t="str">
        <v/>
      </c>
      <c r="AP795" s="92">
        <v>45</v>
      </c>
      <c r="AQ795" s="268">
        <v>96</v>
      </c>
      <c r="AR795" s="268">
        <v>923</v>
      </c>
      <c r="AS795" s="269">
        <v>18</v>
      </c>
      <c r="AT795" s="288"/>
      <c r="AU795" s="92" t="str">
        <v/>
      </c>
      <c r="AV795" s="268" t="str">
        <v/>
      </c>
      <c r="AW795" s="268" t="str">
        <v/>
      </c>
      <c r="AX795" s="269" t="str">
        <v/>
      </c>
      <c r="AZ795" s="92" t="str">
        <v/>
      </c>
      <c r="BA795" s="268" t="str">
        <v/>
      </c>
      <c r="BB795" s="268" t="str">
        <v/>
      </c>
      <c r="BC795" s="269" t="str">
        <v/>
      </c>
      <c r="BE795" s="92" t="str">
        <v/>
      </c>
      <c r="BF795" s="268" t="str">
        <v/>
      </c>
      <c r="BG795" s="268" t="str">
        <v/>
      </c>
      <c r="BH795" s="269" t="str">
        <v/>
      </c>
      <c r="BI795" s="288"/>
      <c r="BJ795" s="92" t="str">
        <v/>
      </c>
      <c r="BK795" s="268" t="str">
        <v/>
      </c>
      <c r="BL795" s="268" t="str">
        <v/>
      </c>
      <c r="BM795" s="269" t="str">
        <v/>
      </c>
      <c r="BO795" s="92" t="str">
        <v/>
      </c>
      <c r="BP795" s="268" t="str">
        <v/>
      </c>
      <c r="BQ795" s="268" t="str">
        <v/>
      </c>
      <c r="BR795" s="269" t="str">
        <v/>
      </c>
      <c r="BT795" s="92" t="str">
        <v/>
      </c>
      <c r="BU795" s="268" t="str">
        <v/>
      </c>
      <c r="BV795" s="268" t="str">
        <v/>
      </c>
      <c r="BW795" s="269" t="str">
        <v/>
      </c>
      <c r="BX795" s="288"/>
      <c r="CM795" s="96"/>
    </row>
    <row r="796" spans="2:91">
      <c r="B796" s="92">
        <v>45</v>
      </c>
      <c r="C796" s="268">
        <v>53.5</v>
      </c>
      <c r="D796" s="268">
        <v>969</v>
      </c>
      <c r="E796" s="269">
        <v>18</v>
      </c>
      <c r="G796" s="92">
        <v>45</v>
      </c>
      <c r="H796" s="268">
        <v>53.5</v>
      </c>
      <c r="I796" s="268">
        <v>729</v>
      </c>
      <c r="J796" s="269">
        <v>18</v>
      </c>
      <c r="L796" s="92">
        <v>90</v>
      </c>
      <c r="M796" s="268">
        <v>54</v>
      </c>
      <c r="N796" s="268">
        <v>770</v>
      </c>
      <c r="O796" s="269">
        <v>50</v>
      </c>
      <c r="Q796" s="92" t="str">
        <v/>
      </c>
      <c r="R796" s="268" t="str">
        <v/>
      </c>
      <c r="S796" s="268" t="str">
        <v/>
      </c>
      <c r="T796" s="269" t="str">
        <v/>
      </c>
      <c r="V796" s="92" t="str">
        <v/>
      </c>
      <c r="W796" s="268" t="str">
        <v/>
      </c>
      <c r="X796" s="268" t="str">
        <v/>
      </c>
      <c r="Y796" s="269" t="str">
        <v/>
      </c>
      <c r="AA796" s="92" t="str">
        <v/>
      </c>
      <c r="AB796" s="268" t="str">
        <v/>
      </c>
      <c r="AC796" s="268" t="str">
        <v/>
      </c>
      <c r="AD796" s="269" t="str">
        <v/>
      </c>
      <c r="AF796" s="92" t="str">
        <v/>
      </c>
      <c r="AG796" s="268" t="str">
        <v/>
      </c>
      <c r="AH796" s="268" t="str">
        <v/>
      </c>
      <c r="AI796" s="269" t="str">
        <v/>
      </c>
      <c r="AK796" s="92" t="str">
        <v/>
      </c>
      <c r="AL796" s="268" t="str">
        <v/>
      </c>
      <c r="AM796" s="268" t="str">
        <v/>
      </c>
      <c r="AN796" s="269" t="str">
        <v/>
      </c>
      <c r="AP796" s="92">
        <v>45</v>
      </c>
      <c r="AQ796" s="268">
        <v>54</v>
      </c>
      <c r="AR796" s="268">
        <v>923</v>
      </c>
      <c r="AS796" s="269">
        <v>18</v>
      </c>
      <c r="AT796" s="288"/>
      <c r="AU796" s="92" t="str">
        <v/>
      </c>
      <c r="AV796" s="268" t="str">
        <v/>
      </c>
      <c r="AW796" s="268" t="str">
        <v/>
      </c>
      <c r="AX796" s="269" t="str">
        <v/>
      </c>
      <c r="AZ796" s="92" t="str">
        <v/>
      </c>
      <c r="BA796" s="268" t="str">
        <v/>
      </c>
      <c r="BB796" s="268" t="str">
        <v/>
      </c>
      <c r="BC796" s="269" t="str">
        <v/>
      </c>
      <c r="BE796" s="92" t="str">
        <v/>
      </c>
      <c r="BF796" s="268" t="str">
        <v/>
      </c>
      <c r="BG796" s="268" t="str">
        <v/>
      </c>
      <c r="BH796" s="269" t="str">
        <v/>
      </c>
      <c r="BI796" s="288"/>
      <c r="BJ796" s="92" t="str">
        <v/>
      </c>
      <c r="BK796" s="268" t="str">
        <v/>
      </c>
      <c r="BL796" s="268" t="str">
        <v/>
      </c>
      <c r="BM796" s="269" t="str">
        <v/>
      </c>
      <c r="BO796" s="92" t="str">
        <v/>
      </c>
      <c r="BP796" s="268" t="str">
        <v/>
      </c>
      <c r="BQ796" s="268" t="str">
        <v/>
      </c>
      <c r="BR796" s="269" t="str">
        <v/>
      </c>
      <c r="BT796" s="92" t="str">
        <v/>
      </c>
      <c r="BU796" s="268" t="str">
        <v/>
      </c>
      <c r="BV796" s="268" t="str">
        <v/>
      </c>
      <c r="BW796" s="269" t="str">
        <v/>
      </c>
      <c r="BX796" s="288"/>
      <c r="CM796" s="96"/>
    </row>
    <row r="797" spans="2:91">
      <c r="B797" s="92">
        <v>90</v>
      </c>
      <c r="C797" s="268">
        <v>139.5</v>
      </c>
      <c r="D797" s="268">
        <v>1010</v>
      </c>
      <c r="E797" s="269">
        <v>20</v>
      </c>
      <c r="G797" s="92">
        <v>90</v>
      </c>
      <c r="H797" s="268">
        <v>139.5</v>
      </c>
      <c r="I797" s="268">
        <v>770</v>
      </c>
      <c r="J797" s="269">
        <v>20</v>
      </c>
      <c r="L797" s="92">
        <v>90</v>
      </c>
      <c r="M797" s="268">
        <v>140</v>
      </c>
      <c r="N797" s="268">
        <v>780</v>
      </c>
      <c r="O797" s="269">
        <v>50</v>
      </c>
      <c r="Q797" s="92" t="str">
        <v/>
      </c>
      <c r="R797" s="268" t="str">
        <v/>
      </c>
      <c r="S797" s="268" t="str">
        <v/>
      </c>
      <c r="T797" s="269" t="str">
        <v/>
      </c>
      <c r="V797" s="92" t="str">
        <v/>
      </c>
      <c r="W797" s="268" t="str">
        <v/>
      </c>
      <c r="X797" s="268" t="str">
        <v/>
      </c>
      <c r="Y797" s="269" t="str">
        <v/>
      </c>
      <c r="AA797" s="92" t="str">
        <v/>
      </c>
      <c r="AB797" s="268" t="str">
        <v/>
      </c>
      <c r="AC797" s="268" t="str">
        <v/>
      </c>
      <c r="AD797" s="269" t="str">
        <v/>
      </c>
      <c r="AF797" s="92" t="str">
        <v/>
      </c>
      <c r="AG797" s="268" t="str">
        <v/>
      </c>
      <c r="AH797" s="268" t="str">
        <v/>
      </c>
      <c r="AI797" s="269" t="str">
        <v/>
      </c>
      <c r="AK797" s="92" t="str">
        <v/>
      </c>
      <c r="AL797" s="268" t="str">
        <v/>
      </c>
      <c r="AM797" s="268" t="str">
        <v/>
      </c>
      <c r="AN797" s="269" t="str">
        <v/>
      </c>
      <c r="AP797" s="92">
        <v>45</v>
      </c>
      <c r="AQ797" s="268">
        <v>10</v>
      </c>
      <c r="AR797" s="268">
        <v>923</v>
      </c>
      <c r="AS797" s="269">
        <v>18</v>
      </c>
      <c r="AT797" s="288"/>
      <c r="AU797" s="92" t="str">
        <v/>
      </c>
      <c r="AV797" s="268" t="str">
        <v/>
      </c>
      <c r="AW797" s="268" t="str">
        <v/>
      </c>
      <c r="AX797" s="269" t="str">
        <v/>
      </c>
      <c r="AZ797" s="92" t="str">
        <v/>
      </c>
      <c r="BA797" s="268" t="str">
        <v/>
      </c>
      <c r="BB797" s="268" t="str">
        <v/>
      </c>
      <c r="BC797" s="269" t="str">
        <v/>
      </c>
      <c r="BE797" s="92" t="str">
        <v/>
      </c>
      <c r="BF797" s="268" t="str">
        <v/>
      </c>
      <c r="BG797" s="268" t="str">
        <v/>
      </c>
      <c r="BH797" s="269" t="str">
        <v/>
      </c>
      <c r="BI797" s="288"/>
      <c r="BJ797" s="92" t="str">
        <v/>
      </c>
      <c r="BK797" s="268" t="str">
        <v/>
      </c>
      <c r="BL797" s="268" t="str">
        <v/>
      </c>
      <c r="BM797" s="269" t="str">
        <v/>
      </c>
      <c r="BO797" s="92" t="str">
        <v/>
      </c>
      <c r="BP797" s="268" t="str">
        <v/>
      </c>
      <c r="BQ797" s="268" t="str">
        <v/>
      </c>
      <c r="BR797" s="269" t="str">
        <v/>
      </c>
      <c r="BT797" s="92" t="str">
        <v/>
      </c>
      <c r="BU797" s="268" t="str">
        <v/>
      </c>
      <c r="BV797" s="268" t="str">
        <v/>
      </c>
      <c r="BW797" s="269" t="str">
        <v/>
      </c>
      <c r="BX797" s="288"/>
      <c r="CM797" s="96"/>
    </row>
    <row r="798" spans="2:91">
      <c r="B798" s="92">
        <v>90</v>
      </c>
      <c r="C798" s="268">
        <v>10.5</v>
      </c>
      <c r="D798" s="268">
        <v>1010</v>
      </c>
      <c r="E798" s="269">
        <v>20</v>
      </c>
      <c r="G798" s="92">
        <v>90</v>
      </c>
      <c r="H798" s="268">
        <v>10.5</v>
      </c>
      <c r="I798" s="268">
        <v>770</v>
      </c>
      <c r="J798" s="269">
        <v>20</v>
      </c>
      <c r="L798" s="92">
        <v>90</v>
      </c>
      <c r="M798" s="268">
        <v>10</v>
      </c>
      <c r="N798" s="268">
        <v>780</v>
      </c>
      <c r="O798" s="269">
        <v>50</v>
      </c>
      <c r="Q798" s="92" t="str">
        <v/>
      </c>
      <c r="R798" s="268" t="str">
        <v/>
      </c>
      <c r="S798" s="268" t="str">
        <v/>
      </c>
      <c r="T798" s="269" t="str">
        <v/>
      </c>
      <c r="V798" s="92" t="str">
        <v/>
      </c>
      <c r="W798" s="268" t="str">
        <v/>
      </c>
      <c r="X798" s="268" t="str">
        <v/>
      </c>
      <c r="Y798" s="269" t="str">
        <v/>
      </c>
      <c r="AA798" s="92" t="str">
        <v/>
      </c>
      <c r="AB798" s="268" t="str">
        <v/>
      </c>
      <c r="AC798" s="268" t="str">
        <v/>
      </c>
      <c r="AD798" s="269" t="str">
        <v/>
      </c>
      <c r="AF798" s="92" t="str">
        <v/>
      </c>
      <c r="AG798" s="268" t="str">
        <v/>
      </c>
      <c r="AH798" s="268" t="str">
        <v/>
      </c>
      <c r="AI798" s="269" t="str">
        <v/>
      </c>
      <c r="AK798" s="92" t="str">
        <v/>
      </c>
      <c r="AL798" s="268" t="str">
        <v/>
      </c>
      <c r="AM798" s="268" t="str">
        <v/>
      </c>
      <c r="AN798" s="269" t="str">
        <v/>
      </c>
      <c r="AP798" s="92">
        <v>45</v>
      </c>
      <c r="AQ798" s="268">
        <v>140</v>
      </c>
      <c r="AR798" s="268">
        <v>980</v>
      </c>
      <c r="AS798" s="269">
        <v>18</v>
      </c>
      <c r="AT798" s="288"/>
      <c r="AU798" s="92" t="str">
        <v/>
      </c>
      <c r="AV798" s="268" t="str">
        <v/>
      </c>
      <c r="AW798" s="268" t="str">
        <v/>
      </c>
      <c r="AX798" s="269" t="str">
        <v/>
      </c>
      <c r="AZ798" s="92" t="str">
        <v/>
      </c>
      <c r="BA798" s="268" t="str">
        <v/>
      </c>
      <c r="BB798" s="268" t="str">
        <v/>
      </c>
      <c r="BC798" s="269" t="str">
        <v/>
      </c>
      <c r="BE798" s="92" t="str">
        <v/>
      </c>
      <c r="BF798" s="268" t="str">
        <v/>
      </c>
      <c r="BG798" s="268" t="str">
        <v/>
      </c>
      <c r="BH798" s="269" t="str">
        <v/>
      </c>
      <c r="BI798" s="288"/>
      <c r="BJ798" s="92" t="str">
        <v/>
      </c>
      <c r="BK798" s="268" t="str">
        <v/>
      </c>
      <c r="BL798" s="268" t="str">
        <v/>
      </c>
      <c r="BM798" s="269" t="str">
        <v/>
      </c>
      <c r="BO798" s="92" t="str">
        <v/>
      </c>
      <c r="BP798" s="268" t="str">
        <v/>
      </c>
      <c r="BQ798" s="268" t="str">
        <v/>
      </c>
      <c r="BR798" s="269" t="str">
        <v/>
      </c>
      <c r="BT798" s="92" t="str">
        <v/>
      </c>
      <c r="BU798" s="268" t="str">
        <v/>
      </c>
      <c r="BV798" s="268" t="str">
        <v/>
      </c>
      <c r="BW798" s="269" t="str">
        <v/>
      </c>
      <c r="BX798" s="288"/>
      <c r="CM798" s="96"/>
    </row>
    <row r="799" spans="2:91">
      <c r="B799" s="92">
        <v>90</v>
      </c>
      <c r="C799" s="268">
        <v>75</v>
      </c>
      <c r="D799" s="268">
        <v>1015</v>
      </c>
      <c r="E799" s="269">
        <v>14</v>
      </c>
      <c r="G799" s="92">
        <v>90</v>
      </c>
      <c r="H799" s="268">
        <v>75</v>
      </c>
      <c r="I799" s="268">
        <v>775</v>
      </c>
      <c r="J799" s="269">
        <v>14</v>
      </c>
      <c r="L799" s="92" t="str">
        <v/>
      </c>
      <c r="M799" s="268" t="str">
        <v/>
      </c>
      <c r="N799" s="268" t="str">
        <v/>
      </c>
      <c r="O799" s="269" t="str">
        <v/>
      </c>
      <c r="Q799" s="92" t="str">
        <v/>
      </c>
      <c r="R799" s="268" t="str">
        <v/>
      </c>
      <c r="S799" s="268" t="str">
        <v/>
      </c>
      <c r="T799" s="269" t="str">
        <v/>
      </c>
      <c r="V799" s="92" t="str">
        <v/>
      </c>
      <c r="W799" s="268" t="str">
        <v/>
      </c>
      <c r="X799" s="268" t="str">
        <v/>
      </c>
      <c r="Y799" s="269" t="str">
        <v/>
      </c>
      <c r="AA799" s="92" t="str">
        <v/>
      </c>
      <c r="AB799" s="268" t="str">
        <v/>
      </c>
      <c r="AC799" s="268" t="str">
        <v/>
      </c>
      <c r="AD799" s="269" t="str">
        <v/>
      </c>
      <c r="AF799" s="92" t="str">
        <v/>
      </c>
      <c r="AG799" s="268" t="str">
        <v/>
      </c>
      <c r="AH799" s="268" t="str">
        <v/>
      </c>
      <c r="AI799" s="269" t="str">
        <v/>
      </c>
      <c r="AK799" s="92" t="str">
        <v/>
      </c>
      <c r="AL799" s="268" t="str">
        <v/>
      </c>
      <c r="AM799" s="268" t="str">
        <v/>
      </c>
      <c r="AN799" s="269" t="str">
        <v/>
      </c>
      <c r="AP799" s="92">
        <v>45</v>
      </c>
      <c r="AQ799" s="268">
        <v>96</v>
      </c>
      <c r="AR799" s="268">
        <v>980</v>
      </c>
      <c r="AS799" s="269">
        <v>18</v>
      </c>
      <c r="AT799" s="288"/>
      <c r="AU799" s="92" t="str">
        <v/>
      </c>
      <c r="AV799" s="268" t="str">
        <v/>
      </c>
      <c r="AW799" s="268" t="str">
        <v/>
      </c>
      <c r="AX799" s="269" t="str">
        <v/>
      </c>
      <c r="AZ799" s="92" t="str">
        <v/>
      </c>
      <c r="BA799" s="268" t="str">
        <v/>
      </c>
      <c r="BB799" s="268" t="str">
        <v/>
      </c>
      <c r="BC799" s="269" t="str">
        <v/>
      </c>
      <c r="BE799" s="92" t="str">
        <v/>
      </c>
      <c r="BF799" s="268" t="str">
        <v/>
      </c>
      <c r="BG799" s="268" t="str">
        <v/>
      </c>
      <c r="BH799" s="269" t="str">
        <v/>
      </c>
      <c r="BI799" s="288"/>
      <c r="BJ799" s="92" t="str">
        <v/>
      </c>
      <c r="BK799" s="268" t="str">
        <v/>
      </c>
      <c r="BL799" s="268" t="str">
        <v/>
      </c>
      <c r="BM799" s="269" t="str">
        <v/>
      </c>
      <c r="BO799" s="92" t="str">
        <v/>
      </c>
      <c r="BP799" s="268" t="str">
        <v/>
      </c>
      <c r="BQ799" s="268" t="str">
        <v/>
      </c>
      <c r="BR799" s="269" t="str">
        <v/>
      </c>
      <c r="BT799" s="92" t="str">
        <v/>
      </c>
      <c r="BU799" s="268" t="str">
        <v/>
      </c>
      <c r="BV799" s="268" t="str">
        <v/>
      </c>
      <c r="BW799" s="269" t="str">
        <v/>
      </c>
      <c r="BX799" s="288"/>
      <c r="CM799" s="96"/>
    </row>
    <row r="800" spans="2:91">
      <c r="B800" s="92">
        <v>90</v>
      </c>
      <c r="C800" s="268">
        <v>118</v>
      </c>
      <c r="D800" s="268">
        <v>1025</v>
      </c>
      <c r="E800" s="269">
        <v>14</v>
      </c>
      <c r="G800" s="92">
        <v>90</v>
      </c>
      <c r="H800" s="268">
        <v>118</v>
      </c>
      <c r="I800" s="268">
        <v>785</v>
      </c>
      <c r="J800" s="269">
        <v>14</v>
      </c>
      <c r="L800" s="92" t="str">
        <v/>
      </c>
      <c r="M800" s="268" t="str">
        <v/>
      </c>
      <c r="N800" s="268" t="str">
        <v/>
      </c>
      <c r="O800" s="269" t="str">
        <v/>
      </c>
      <c r="Q800" s="92" t="str">
        <v/>
      </c>
      <c r="R800" s="268" t="str">
        <v/>
      </c>
      <c r="S800" s="268" t="str">
        <v/>
      </c>
      <c r="T800" s="269" t="str">
        <v/>
      </c>
      <c r="V800" s="92" t="str">
        <v/>
      </c>
      <c r="W800" s="268" t="str">
        <v/>
      </c>
      <c r="X800" s="268" t="str">
        <v/>
      </c>
      <c r="Y800" s="269" t="str">
        <v/>
      </c>
      <c r="AA800" s="92" t="str">
        <v/>
      </c>
      <c r="AB800" s="268" t="str">
        <v/>
      </c>
      <c r="AC800" s="268" t="str">
        <v/>
      </c>
      <c r="AD800" s="269" t="str">
        <v/>
      </c>
      <c r="AF800" s="92" t="str">
        <v/>
      </c>
      <c r="AG800" s="268" t="str">
        <v/>
      </c>
      <c r="AH800" s="268" t="str">
        <v/>
      </c>
      <c r="AI800" s="269" t="str">
        <v/>
      </c>
      <c r="AK800" s="92" t="str">
        <v/>
      </c>
      <c r="AL800" s="268" t="str">
        <v/>
      </c>
      <c r="AM800" s="268" t="str">
        <v/>
      </c>
      <c r="AN800" s="269" t="str">
        <v/>
      </c>
      <c r="AP800" s="92">
        <v>45</v>
      </c>
      <c r="AQ800" s="268">
        <v>54</v>
      </c>
      <c r="AR800" s="268">
        <v>980</v>
      </c>
      <c r="AS800" s="269">
        <v>18</v>
      </c>
      <c r="AT800" s="288"/>
      <c r="AU800" s="92" t="str">
        <v/>
      </c>
      <c r="AV800" s="268" t="str">
        <v/>
      </c>
      <c r="AW800" s="268" t="str">
        <v/>
      </c>
      <c r="AX800" s="269" t="str">
        <v/>
      </c>
      <c r="AZ800" s="92" t="str">
        <v/>
      </c>
      <c r="BA800" s="268" t="str">
        <v/>
      </c>
      <c r="BB800" s="268" t="str">
        <v/>
      </c>
      <c r="BC800" s="269" t="str">
        <v/>
      </c>
      <c r="BE800" s="92" t="str">
        <v/>
      </c>
      <c r="BF800" s="268" t="str">
        <v/>
      </c>
      <c r="BG800" s="268" t="str">
        <v/>
      </c>
      <c r="BH800" s="269" t="str">
        <v/>
      </c>
      <c r="BI800" s="288"/>
      <c r="BJ800" s="92" t="str">
        <v/>
      </c>
      <c r="BK800" s="268" t="str">
        <v/>
      </c>
      <c r="BL800" s="268" t="str">
        <v/>
      </c>
      <c r="BM800" s="269" t="str">
        <v/>
      </c>
      <c r="BO800" s="92" t="str">
        <v/>
      </c>
      <c r="BP800" s="268" t="str">
        <v/>
      </c>
      <c r="BQ800" s="268" t="str">
        <v/>
      </c>
      <c r="BR800" s="269" t="str">
        <v/>
      </c>
      <c r="BT800" s="92" t="str">
        <v/>
      </c>
      <c r="BU800" s="268" t="str">
        <v/>
      </c>
      <c r="BV800" s="268" t="str">
        <v/>
      </c>
      <c r="BW800" s="269" t="str">
        <v/>
      </c>
      <c r="BX800" s="288"/>
      <c r="CM800" s="96"/>
    </row>
    <row r="801" spans="2:91">
      <c r="B801" s="92">
        <v>90</v>
      </c>
      <c r="C801" s="268">
        <v>32</v>
      </c>
      <c r="D801" s="268">
        <v>1025</v>
      </c>
      <c r="E801" s="269">
        <v>14</v>
      </c>
      <c r="G801" s="92">
        <v>90</v>
      </c>
      <c r="H801" s="268">
        <v>32</v>
      </c>
      <c r="I801" s="268">
        <v>785</v>
      </c>
      <c r="J801" s="269">
        <v>14</v>
      </c>
      <c r="L801" s="92" t="str">
        <v/>
      </c>
      <c r="M801" s="268" t="str">
        <v/>
      </c>
      <c r="N801" s="268" t="str">
        <v/>
      </c>
      <c r="O801" s="269" t="str">
        <v/>
      </c>
      <c r="Q801" s="92" t="str">
        <v/>
      </c>
      <c r="R801" s="268" t="str">
        <v/>
      </c>
      <c r="S801" s="268" t="str">
        <v/>
      </c>
      <c r="T801" s="269" t="str">
        <v/>
      </c>
      <c r="V801" s="92" t="str">
        <v/>
      </c>
      <c r="W801" s="268" t="str">
        <v/>
      </c>
      <c r="X801" s="268" t="str">
        <v/>
      </c>
      <c r="Y801" s="269" t="str">
        <v/>
      </c>
      <c r="AA801" s="92" t="str">
        <v/>
      </c>
      <c r="AB801" s="268" t="str">
        <v/>
      </c>
      <c r="AC801" s="268" t="str">
        <v/>
      </c>
      <c r="AD801" s="269" t="str">
        <v/>
      </c>
      <c r="AF801" s="92" t="str">
        <v/>
      </c>
      <c r="AG801" s="268" t="str">
        <v/>
      </c>
      <c r="AH801" s="268" t="str">
        <v/>
      </c>
      <c r="AI801" s="269" t="str">
        <v/>
      </c>
      <c r="AK801" s="92" t="str">
        <v/>
      </c>
      <c r="AL801" s="268" t="str">
        <v/>
      </c>
      <c r="AM801" s="268" t="str">
        <v/>
      </c>
      <c r="AN801" s="269" t="str">
        <v/>
      </c>
      <c r="AP801" s="92">
        <v>45</v>
      </c>
      <c r="AQ801" s="268">
        <v>10</v>
      </c>
      <c r="AR801" s="268">
        <v>980</v>
      </c>
      <c r="AS801" s="269">
        <v>18</v>
      </c>
      <c r="AT801" s="288"/>
      <c r="AU801" s="92" t="str">
        <v/>
      </c>
      <c r="AV801" s="268" t="str">
        <v/>
      </c>
      <c r="AW801" s="268" t="str">
        <v/>
      </c>
      <c r="AX801" s="269" t="str">
        <v/>
      </c>
      <c r="AZ801" s="92" t="str">
        <v/>
      </c>
      <c r="BA801" s="268" t="str">
        <v/>
      </c>
      <c r="BB801" s="268" t="str">
        <v/>
      </c>
      <c r="BC801" s="269" t="str">
        <v/>
      </c>
      <c r="BE801" s="92" t="str">
        <v/>
      </c>
      <c r="BF801" s="268" t="str">
        <v/>
      </c>
      <c r="BG801" s="268" t="str">
        <v/>
      </c>
      <c r="BH801" s="269" t="str">
        <v/>
      </c>
      <c r="BI801" s="288"/>
      <c r="BJ801" s="92" t="str">
        <v/>
      </c>
      <c r="BK801" s="268" t="str">
        <v/>
      </c>
      <c r="BL801" s="268" t="str">
        <v/>
      </c>
      <c r="BM801" s="269" t="str">
        <v/>
      </c>
      <c r="BO801" s="92" t="str">
        <v/>
      </c>
      <c r="BP801" s="268" t="str">
        <v/>
      </c>
      <c r="BQ801" s="268" t="str">
        <v/>
      </c>
      <c r="BR801" s="269" t="str">
        <v/>
      </c>
      <c r="BT801" s="92" t="str">
        <v/>
      </c>
      <c r="BU801" s="268" t="str">
        <v/>
      </c>
      <c r="BV801" s="268" t="str">
        <v/>
      </c>
      <c r="BW801" s="269" t="str">
        <v/>
      </c>
      <c r="BX801" s="288"/>
      <c r="CM801" s="96"/>
    </row>
    <row r="802" spans="2:91">
      <c r="B802" s="92">
        <v>90</v>
      </c>
      <c r="C802" s="268">
        <v>96</v>
      </c>
      <c r="D802" s="268">
        <v>1070</v>
      </c>
      <c r="E802" s="269">
        <v>50</v>
      </c>
      <c r="G802" s="92">
        <v>90</v>
      </c>
      <c r="H802" s="268">
        <v>96</v>
      </c>
      <c r="I802" s="268">
        <v>830</v>
      </c>
      <c r="J802" s="269">
        <v>50</v>
      </c>
      <c r="L802" s="92" t="str">
        <v/>
      </c>
      <c r="M802" s="268" t="str">
        <v/>
      </c>
      <c r="N802" s="268" t="str">
        <v/>
      </c>
      <c r="O802" s="269" t="str">
        <v/>
      </c>
      <c r="Q802" s="92" t="str">
        <v/>
      </c>
      <c r="R802" s="268" t="str">
        <v/>
      </c>
      <c r="S802" s="268" t="str">
        <v/>
      </c>
      <c r="T802" s="269" t="str">
        <v/>
      </c>
      <c r="V802" s="92" t="str">
        <v/>
      </c>
      <c r="W802" s="268" t="str">
        <v/>
      </c>
      <c r="X802" s="268" t="str">
        <v/>
      </c>
      <c r="Y802" s="269" t="str">
        <v/>
      </c>
      <c r="AA802" s="92" t="str">
        <v/>
      </c>
      <c r="AB802" s="268" t="str">
        <v/>
      </c>
      <c r="AC802" s="268" t="str">
        <v/>
      </c>
      <c r="AD802" s="269" t="str">
        <v/>
      </c>
      <c r="AF802" s="92" t="str">
        <v/>
      </c>
      <c r="AG802" s="268" t="str">
        <v/>
      </c>
      <c r="AH802" s="268" t="str">
        <v/>
      </c>
      <c r="AI802" s="269" t="str">
        <v/>
      </c>
      <c r="AK802" s="92" t="str">
        <v/>
      </c>
      <c r="AL802" s="268" t="str">
        <v/>
      </c>
      <c r="AM802" s="268" t="str">
        <v/>
      </c>
      <c r="AN802" s="269" t="str">
        <v/>
      </c>
      <c r="AP802" s="92">
        <v>90</v>
      </c>
      <c r="AQ802" s="268">
        <v>96</v>
      </c>
      <c r="AR802" s="268">
        <v>1005</v>
      </c>
      <c r="AS802" s="269">
        <v>50</v>
      </c>
      <c r="AT802" s="288"/>
      <c r="AU802" s="92" t="str">
        <v/>
      </c>
      <c r="AV802" s="268" t="str">
        <v/>
      </c>
      <c r="AW802" s="268" t="str">
        <v/>
      </c>
      <c r="AX802" s="269" t="str">
        <v/>
      </c>
      <c r="AZ802" s="92" t="str">
        <v/>
      </c>
      <c r="BA802" s="268" t="str">
        <v/>
      </c>
      <c r="BB802" s="268" t="str">
        <v/>
      </c>
      <c r="BC802" s="269" t="str">
        <v/>
      </c>
      <c r="BE802" s="92" t="str">
        <v/>
      </c>
      <c r="BF802" s="268" t="str">
        <v/>
      </c>
      <c r="BG802" s="268" t="str">
        <v/>
      </c>
      <c r="BH802" s="269" t="str">
        <v/>
      </c>
      <c r="BI802" s="288"/>
      <c r="BJ802" s="92" t="str">
        <v/>
      </c>
      <c r="BK802" s="268" t="str">
        <v/>
      </c>
      <c r="BL802" s="268" t="str">
        <v/>
      </c>
      <c r="BM802" s="269" t="str">
        <v/>
      </c>
      <c r="BO802" s="92" t="str">
        <v/>
      </c>
      <c r="BP802" s="268" t="str">
        <v/>
      </c>
      <c r="BQ802" s="268" t="str">
        <v/>
      </c>
      <c r="BR802" s="269" t="str">
        <v/>
      </c>
      <c r="BT802" s="92" t="str">
        <v/>
      </c>
      <c r="BU802" s="268" t="str">
        <v/>
      </c>
      <c r="BV802" s="268" t="str">
        <v/>
      </c>
      <c r="BW802" s="269" t="str">
        <v/>
      </c>
      <c r="BX802" s="288"/>
      <c r="CM802" s="96"/>
    </row>
    <row r="803" spans="2:91">
      <c r="B803" s="92">
        <v>90</v>
      </c>
      <c r="C803" s="268">
        <v>54</v>
      </c>
      <c r="D803" s="268">
        <v>1070</v>
      </c>
      <c r="E803" s="269">
        <v>50</v>
      </c>
      <c r="G803" s="92">
        <v>90</v>
      </c>
      <c r="H803" s="268">
        <v>54</v>
      </c>
      <c r="I803" s="268">
        <v>830</v>
      </c>
      <c r="J803" s="269">
        <v>50</v>
      </c>
      <c r="L803" s="92" t="str">
        <v/>
      </c>
      <c r="M803" s="268" t="str">
        <v/>
      </c>
      <c r="N803" s="268" t="str">
        <v/>
      </c>
      <c r="O803" s="269" t="str">
        <v/>
      </c>
      <c r="Q803" s="92" t="str">
        <v/>
      </c>
      <c r="R803" s="268" t="str">
        <v/>
      </c>
      <c r="S803" s="268" t="str">
        <v/>
      </c>
      <c r="T803" s="269" t="str">
        <v/>
      </c>
      <c r="V803" s="92" t="str">
        <v/>
      </c>
      <c r="W803" s="268" t="str">
        <v/>
      </c>
      <c r="X803" s="268" t="str">
        <v/>
      </c>
      <c r="Y803" s="269" t="str">
        <v/>
      </c>
      <c r="AA803" s="92" t="str">
        <v/>
      </c>
      <c r="AB803" s="268" t="str">
        <v/>
      </c>
      <c r="AC803" s="268" t="str">
        <v/>
      </c>
      <c r="AD803" s="269" t="str">
        <v/>
      </c>
      <c r="AF803" s="92" t="str">
        <v/>
      </c>
      <c r="AG803" s="268" t="str">
        <v/>
      </c>
      <c r="AH803" s="268" t="str">
        <v/>
      </c>
      <c r="AI803" s="269" t="str">
        <v/>
      </c>
      <c r="AK803" s="92" t="str">
        <v/>
      </c>
      <c r="AL803" s="268" t="str">
        <v/>
      </c>
      <c r="AM803" s="268" t="str">
        <v/>
      </c>
      <c r="AN803" s="269" t="str">
        <v/>
      </c>
      <c r="AP803" s="92">
        <v>90</v>
      </c>
      <c r="AQ803" s="268">
        <v>54</v>
      </c>
      <c r="AR803" s="268">
        <v>1005</v>
      </c>
      <c r="AS803" s="269">
        <v>50</v>
      </c>
      <c r="AT803" s="288"/>
      <c r="AU803" s="92" t="str">
        <v/>
      </c>
      <c r="AV803" s="268" t="str">
        <v/>
      </c>
      <c r="AW803" s="268" t="str">
        <v/>
      </c>
      <c r="AX803" s="269" t="str">
        <v/>
      </c>
      <c r="AZ803" s="92" t="str">
        <v/>
      </c>
      <c r="BA803" s="268" t="str">
        <v/>
      </c>
      <c r="BB803" s="268" t="str">
        <v/>
      </c>
      <c r="BC803" s="269" t="str">
        <v/>
      </c>
      <c r="BE803" s="92" t="str">
        <v/>
      </c>
      <c r="BF803" s="268" t="str">
        <v/>
      </c>
      <c r="BG803" s="268" t="str">
        <v/>
      </c>
      <c r="BH803" s="269" t="str">
        <v/>
      </c>
      <c r="BI803" s="288"/>
      <c r="BJ803" s="92" t="str">
        <v/>
      </c>
      <c r="BK803" s="268" t="str">
        <v/>
      </c>
      <c r="BL803" s="268" t="str">
        <v/>
      </c>
      <c r="BM803" s="269" t="str">
        <v/>
      </c>
      <c r="BO803" s="92" t="str">
        <v/>
      </c>
      <c r="BP803" s="268" t="str">
        <v/>
      </c>
      <c r="BQ803" s="268" t="str">
        <v/>
      </c>
      <c r="BR803" s="269" t="str">
        <v/>
      </c>
      <c r="BT803" s="92" t="str">
        <v/>
      </c>
      <c r="BU803" s="268" t="str">
        <v/>
      </c>
      <c r="BV803" s="268" t="str">
        <v/>
      </c>
      <c r="BW803" s="269" t="str">
        <v/>
      </c>
      <c r="BX803" s="288"/>
      <c r="CM803" s="96"/>
    </row>
    <row r="804" spans="2:91">
      <c r="B804" s="92">
        <v>90</v>
      </c>
      <c r="C804" s="268">
        <v>140</v>
      </c>
      <c r="D804" s="268">
        <v>1080</v>
      </c>
      <c r="E804" s="269">
        <v>50</v>
      </c>
      <c r="G804" s="92">
        <v>90</v>
      </c>
      <c r="H804" s="268">
        <v>140</v>
      </c>
      <c r="I804" s="268">
        <v>840</v>
      </c>
      <c r="J804" s="269">
        <v>50</v>
      </c>
      <c r="L804" s="92" t="str">
        <v/>
      </c>
      <c r="M804" s="268" t="str">
        <v/>
      </c>
      <c r="N804" s="268" t="str">
        <v/>
      </c>
      <c r="O804" s="269" t="str">
        <v/>
      </c>
      <c r="Q804" s="92" t="str">
        <v/>
      </c>
      <c r="R804" s="268" t="str">
        <v/>
      </c>
      <c r="S804" s="268" t="str">
        <v/>
      </c>
      <c r="T804" s="269" t="str">
        <v/>
      </c>
      <c r="V804" s="92" t="str">
        <v/>
      </c>
      <c r="W804" s="268" t="str">
        <v/>
      </c>
      <c r="X804" s="268" t="str">
        <v/>
      </c>
      <c r="Y804" s="269" t="str">
        <v/>
      </c>
      <c r="AA804" s="92" t="str">
        <v/>
      </c>
      <c r="AB804" s="268" t="str">
        <v/>
      </c>
      <c r="AC804" s="268" t="str">
        <v/>
      </c>
      <c r="AD804" s="269" t="str">
        <v/>
      </c>
      <c r="AF804" s="92" t="str">
        <v/>
      </c>
      <c r="AG804" s="268" t="str">
        <v/>
      </c>
      <c r="AH804" s="268" t="str">
        <v/>
      </c>
      <c r="AI804" s="269" t="str">
        <v/>
      </c>
      <c r="AK804" s="92" t="str">
        <v/>
      </c>
      <c r="AL804" s="268" t="str">
        <v/>
      </c>
      <c r="AM804" s="268" t="str">
        <v/>
      </c>
      <c r="AN804" s="269" t="str">
        <v/>
      </c>
      <c r="AP804" s="92">
        <v>90</v>
      </c>
      <c r="AQ804" s="268">
        <v>140</v>
      </c>
      <c r="AR804" s="268">
        <v>1015</v>
      </c>
      <c r="AS804" s="269">
        <v>50</v>
      </c>
      <c r="AT804" s="288"/>
      <c r="AU804" s="92" t="str">
        <v/>
      </c>
      <c r="AV804" s="268" t="str">
        <v/>
      </c>
      <c r="AW804" s="268" t="str">
        <v/>
      </c>
      <c r="AX804" s="269" t="str">
        <v/>
      </c>
      <c r="AZ804" s="92" t="str">
        <v/>
      </c>
      <c r="BA804" s="268" t="str">
        <v/>
      </c>
      <c r="BB804" s="268" t="str">
        <v/>
      </c>
      <c r="BC804" s="269" t="str">
        <v/>
      </c>
      <c r="BE804" s="92" t="str">
        <v/>
      </c>
      <c r="BF804" s="268" t="str">
        <v/>
      </c>
      <c r="BG804" s="268" t="str">
        <v/>
      </c>
      <c r="BH804" s="269" t="str">
        <v/>
      </c>
      <c r="BI804" s="288"/>
      <c r="BJ804" s="92" t="str">
        <v/>
      </c>
      <c r="BK804" s="268" t="str">
        <v/>
      </c>
      <c r="BL804" s="268" t="str">
        <v/>
      </c>
      <c r="BM804" s="269" t="str">
        <v/>
      </c>
      <c r="BO804" s="92" t="str">
        <v/>
      </c>
      <c r="BP804" s="268" t="str">
        <v/>
      </c>
      <c r="BQ804" s="268" t="str">
        <v/>
      </c>
      <c r="BR804" s="269" t="str">
        <v/>
      </c>
      <c r="BT804" s="92" t="str">
        <v/>
      </c>
      <c r="BU804" s="268" t="str">
        <v/>
      </c>
      <c r="BV804" s="268" t="str">
        <v/>
      </c>
      <c r="BW804" s="269" t="str">
        <v/>
      </c>
      <c r="BX804" s="288"/>
      <c r="CM804" s="96"/>
    </row>
    <row r="805" spans="2:91">
      <c r="B805" s="92">
        <v>90</v>
      </c>
      <c r="C805" s="268">
        <v>10</v>
      </c>
      <c r="D805" s="268">
        <v>1080</v>
      </c>
      <c r="E805" s="269">
        <v>50</v>
      </c>
      <c r="G805" s="92">
        <v>90</v>
      </c>
      <c r="H805" s="268">
        <v>10</v>
      </c>
      <c r="I805" s="268">
        <v>840</v>
      </c>
      <c r="J805" s="269">
        <v>50</v>
      </c>
      <c r="L805" s="92" t="str">
        <v/>
      </c>
      <c r="M805" s="268" t="str">
        <v/>
      </c>
      <c r="N805" s="268" t="str">
        <v/>
      </c>
      <c r="O805" s="269" t="str">
        <v/>
      </c>
      <c r="Q805" s="92" t="str">
        <v/>
      </c>
      <c r="R805" s="268" t="str">
        <v/>
      </c>
      <c r="S805" s="268" t="str">
        <v/>
      </c>
      <c r="T805" s="269" t="str">
        <v/>
      </c>
      <c r="V805" s="92" t="str">
        <v/>
      </c>
      <c r="W805" s="268" t="str">
        <v/>
      </c>
      <c r="X805" s="268" t="str">
        <v/>
      </c>
      <c r="Y805" s="269" t="str">
        <v/>
      </c>
      <c r="AA805" s="92" t="str">
        <v/>
      </c>
      <c r="AB805" s="268" t="str">
        <v/>
      </c>
      <c r="AC805" s="268" t="str">
        <v/>
      </c>
      <c r="AD805" s="269" t="str">
        <v/>
      </c>
      <c r="AF805" s="92" t="str">
        <v/>
      </c>
      <c r="AG805" s="268" t="str">
        <v/>
      </c>
      <c r="AH805" s="268" t="str">
        <v/>
      </c>
      <c r="AI805" s="269" t="str">
        <v/>
      </c>
      <c r="AK805" s="92" t="str">
        <v/>
      </c>
      <c r="AL805" s="268" t="str">
        <v/>
      </c>
      <c r="AM805" s="268" t="str">
        <v/>
      </c>
      <c r="AN805" s="269" t="str">
        <v/>
      </c>
      <c r="AP805" s="92">
        <v>90</v>
      </c>
      <c r="AQ805" s="268">
        <v>10</v>
      </c>
      <c r="AR805" s="268">
        <v>1015</v>
      </c>
      <c r="AS805" s="269">
        <v>50</v>
      </c>
      <c r="AT805" s="288"/>
      <c r="AU805" s="92" t="str">
        <v/>
      </c>
      <c r="AV805" s="268" t="str">
        <v/>
      </c>
      <c r="AW805" s="268" t="str">
        <v/>
      </c>
      <c r="AX805" s="269" t="str">
        <v/>
      </c>
      <c r="AZ805" s="92" t="str">
        <v/>
      </c>
      <c r="BA805" s="268" t="str">
        <v/>
      </c>
      <c r="BB805" s="268" t="str">
        <v/>
      </c>
      <c r="BC805" s="269" t="str">
        <v/>
      </c>
      <c r="BE805" s="92" t="str">
        <v/>
      </c>
      <c r="BF805" s="268" t="str">
        <v/>
      </c>
      <c r="BG805" s="268" t="str">
        <v/>
      </c>
      <c r="BH805" s="269" t="str">
        <v/>
      </c>
      <c r="BI805" s="288"/>
      <c r="BJ805" s="92" t="str">
        <v/>
      </c>
      <c r="BK805" s="268" t="str">
        <v/>
      </c>
      <c r="BL805" s="268" t="str">
        <v/>
      </c>
      <c r="BM805" s="269" t="str">
        <v/>
      </c>
      <c r="BO805" s="92" t="str">
        <v/>
      </c>
      <c r="BP805" s="268" t="str">
        <v/>
      </c>
      <c r="BQ805" s="268" t="str">
        <v/>
      </c>
      <c r="BR805" s="269" t="str">
        <v/>
      </c>
      <c r="BT805" s="92" t="str">
        <v/>
      </c>
      <c r="BU805" s="268" t="str">
        <v/>
      </c>
      <c r="BV805" s="268" t="str">
        <v/>
      </c>
      <c r="BW805" s="269" t="str">
        <v/>
      </c>
      <c r="BX805" s="288"/>
      <c r="CM805" s="96"/>
    </row>
    <row r="806" spans="2:91">
      <c r="B806" s="92" t="str">
        <v/>
      </c>
      <c r="C806" s="268" t="str">
        <v/>
      </c>
      <c r="D806" s="268" t="str">
        <v/>
      </c>
      <c r="E806" s="269" t="str">
        <v/>
      </c>
      <c r="G806" s="92" t="str">
        <v/>
      </c>
      <c r="H806" s="268" t="str">
        <v/>
      </c>
      <c r="I806" s="268" t="str">
        <v/>
      </c>
      <c r="J806" s="269" t="str">
        <v/>
      </c>
      <c r="L806" s="92" t="str">
        <v/>
      </c>
      <c r="M806" s="268" t="str">
        <v/>
      </c>
      <c r="N806" s="268" t="str">
        <v/>
      </c>
      <c r="O806" s="269" t="str">
        <v/>
      </c>
      <c r="Q806" s="92" t="str">
        <v/>
      </c>
      <c r="R806" s="268" t="str">
        <v/>
      </c>
      <c r="S806" s="268" t="str">
        <v/>
      </c>
      <c r="T806" s="269" t="str">
        <v/>
      </c>
      <c r="V806" s="92" t="str">
        <v/>
      </c>
      <c r="W806" s="268" t="str">
        <v/>
      </c>
      <c r="X806" s="268" t="str">
        <v/>
      </c>
      <c r="Y806" s="269" t="str">
        <v/>
      </c>
      <c r="AA806" s="92" t="str">
        <v/>
      </c>
      <c r="AB806" s="268" t="str">
        <v/>
      </c>
      <c r="AC806" s="268" t="str">
        <v/>
      </c>
      <c r="AD806" s="269" t="str">
        <v/>
      </c>
      <c r="AF806" s="92" t="str">
        <v/>
      </c>
      <c r="AG806" s="268" t="str">
        <v/>
      </c>
      <c r="AH806" s="268" t="str">
        <v/>
      </c>
      <c r="AI806" s="269" t="str">
        <v/>
      </c>
      <c r="AK806" s="92" t="str">
        <v/>
      </c>
      <c r="AL806" s="268" t="str">
        <v/>
      </c>
      <c r="AM806" s="268" t="str">
        <v/>
      </c>
      <c r="AN806" s="269" t="str">
        <v/>
      </c>
      <c r="AP806" s="92" t="str">
        <v/>
      </c>
      <c r="AQ806" s="268" t="str">
        <v/>
      </c>
      <c r="AR806" s="268" t="str">
        <v/>
      </c>
      <c r="AS806" s="269" t="str">
        <v/>
      </c>
      <c r="AT806" s="288"/>
      <c r="AU806" s="92" t="str">
        <v/>
      </c>
      <c r="AV806" s="268" t="str">
        <v/>
      </c>
      <c r="AW806" s="268" t="str">
        <v/>
      </c>
      <c r="AX806" s="269" t="str">
        <v/>
      </c>
      <c r="AZ806" s="92" t="str">
        <v/>
      </c>
      <c r="BA806" s="268" t="str">
        <v/>
      </c>
      <c r="BB806" s="268" t="str">
        <v/>
      </c>
      <c r="BC806" s="269" t="str">
        <v/>
      </c>
      <c r="BE806" s="92" t="str">
        <v/>
      </c>
      <c r="BF806" s="268" t="str">
        <v/>
      </c>
      <c r="BG806" s="268" t="str">
        <v/>
      </c>
      <c r="BH806" s="269" t="str">
        <v/>
      </c>
      <c r="BI806" s="288"/>
      <c r="BJ806" s="92" t="str">
        <v/>
      </c>
      <c r="BK806" s="268" t="str">
        <v/>
      </c>
      <c r="BL806" s="268" t="str">
        <v/>
      </c>
      <c r="BM806" s="269" t="str">
        <v/>
      </c>
      <c r="BO806" s="92" t="str">
        <v/>
      </c>
      <c r="BP806" s="268" t="str">
        <v/>
      </c>
      <c r="BQ806" s="268" t="str">
        <v/>
      </c>
      <c r="BR806" s="269" t="str">
        <v/>
      </c>
      <c r="BT806" s="92" t="str">
        <v/>
      </c>
      <c r="BU806" s="268" t="str">
        <v/>
      </c>
      <c r="BV806" s="268" t="str">
        <v/>
      </c>
      <c r="BW806" s="269" t="str">
        <v/>
      </c>
      <c r="BX806" s="288"/>
      <c r="CM806" s="96"/>
    </row>
    <row r="807" spans="2:91">
      <c r="B807" s="92" t="str">
        <v/>
      </c>
      <c r="C807" s="268" t="str">
        <v/>
      </c>
      <c r="D807" s="268" t="str">
        <v/>
      </c>
      <c r="E807" s="269" t="str">
        <v/>
      </c>
      <c r="G807" s="92" t="str">
        <v/>
      </c>
      <c r="H807" s="268" t="str">
        <v/>
      </c>
      <c r="I807" s="268" t="str">
        <v/>
      </c>
      <c r="J807" s="269" t="str">
        <v/>
      </c>
      <c r="L807" s="92" t="str">
        <v/>
      </c>
      <c r="M807" s="268" t="str">
        <v/>
      </c>
      <c r="N807" s="268" t="str">
        <v/>
      </c>
      <c r="O807" s="269" t="str">
        <v/>
      </c>
      <c r="Q807" s="92" t="str">
        <v/>
      </c>
      <c r="R807" s="268" t="str">
        <v/>
      </c>
      <c r="S807" s="268" t="str">
        <v/>
      </c>
      <c r="T807" s="269" t="str">
        <v/>
      </c>
      <c r="V807" s="92" t="str">
        <v/>
      </c>
      <c r="W807" s="268" t="str">
        <v/>
      </c>
      <c r="X807" s="268" t="str">
        <v/>
      </c>
      <c r="Y807" s="269" t="str">
        <v/>
      </c>
      <c r="AA807" s="92" t="str">
        <v/>
      </c>
      <c r="AB807" s="268" t="str">
        <v/>
      </c>
      <c r="AC807" s="268" t="str">
        <v/>
      </c>
      <c r="AD807" s="269" t="str">
        <v/>
      </c>
      <c r="AF807" s="92" t="str">
        <v/>
      </c>
      <c r="AG807" s="268" t="str">
        <v/>
      </c>
      <c r="AH807" s="268" t="str">
        <v/>
      </c>
      <c r="AI807" s="269" t="str">
        <v/>
      </c>
      <c r="AK807" s="92" t="str">
        <v/>
      </c>
      <c r="AL807" s="268" t="str">
        <v/>
      </c>
      <c r="AM807" s="268" t="str">
        <v/>
      </c>
      <c r="AN807" s="269" t="str">
        <v/>
      </c>
      <c r="AP807" s="92" t="str">
        <v/>
      </c>
      <c r="AQ807" s="268" t="str">
        <v/>
      </c>
      <c r="AR807" s="268" t="str">
        <v/>
      </c>
      <c r="AS807" s="269" t="str">
        <v/>
      </c>
      <c r="AT807" s="288"/>
      <c r="AU807" s="92" t="str">
        <v/>
      </c>
      <c r="AV807" s="268" t="str">
        <v/>
      </c>
      <c r="AW807" s="268" t="str">
        <v/>
      </c>
      <c r="AX807" s="269" t="str">
        <v/>
      </c>
      <c r="AZ807" s="92" t="str">
        <v/>
      </c>
      <c r="BA807" s="268" t="str">
        <v/>
      </c>
      <c r="BB807" s="268" t="str">
        <v/>
      </c>
      <c r="BC807" s="269" t="str">
        <v/>
      </c>
      <c r="BE807" s="92" t="str">
        <v/>
      </c>
      <c r="BF807" s="268" t="str">
        <v/>
      </c>
      <c r="BG807" s="268" t="str">
        <v/>
      </c>
      <c r="BH807" s="269" t="str">
        <v/>
      </c>
      <c r="BI807" s="288"/>
      <c r="BJ807" s="92" t="str">
        <v/>
      </c>
      <c r="BK807" s="268" t="str">
        <v/>
      </c>
      <c r="BL807" s="268" t="str">
        <v/>
      </c>
      <c r="BM807" s="269" t="str">
        <v/>
      </c>
      <c r="BO807" s="92" t="str">
        <v/>
      </c>
      <c r="BP807" s="268" t="str">
        <v/>
      </c>
      <c r="BQ807" s="268" t="str">
        <v/>
      </c>
      <c r="BR807" s="269" t="str">
        <v/>
      </c>
      <c r="BT807" s="92" t="str">
        <v/>
      </c>
      <c r="BU807" s="268" t="str">
        <v/>
      </c>
      <c r="BV807" s="268" t="str">
        <v/>
      </c>
      <c r="BW807" s="269" t="str">
        <v/>
      </c>
      <c r="BX807" s="288"/>
      <c r="CM807" s="96"/>
    </row>
    <row r="808" spans="2:91">
      <c r="B808" s="92" t="str">
        <v/>
      </c>
      <c r="C808" s="268" t="str">
        <v/>
      </c>
      <c r="D808" s="268" t="str">
        <v/>
      </c>
      <c r="E808" s="269" t="str">
        <v/>
      </c>
      <c r="G808" s="92" t="str">
        <v/>
      </c>
      <c r="H808" s="268" t="str">
        <v/>
      </c>
      <c r="I808" s="268" t="str">
        <v/>
      </c>
      <c r="J808" s="269" t="str">
        <v/>
      </c>
      <c r="L808" s="92" t="str">
        <v/>
      </c>
      <c r="M808" s="268" t="str">
        <v/>
      </c>
      <c r="N808" s="268" t="str">
        <v/>
      </c>
      <c r="O808" s="269" t="str">
        <v/>
      </c>
      <c r="Q808" s="92" t="str">
        <v/>
      </c>
      <c r="R808" s="268" t="str">
        <v/>
      </c>
      <c r="S808" s="268" t="str">
        <v/>
      </c>
      <c r="T808" s="269" t="str">
        <v/>
      </c>
      <c r="V808" s="92" t="str">
        <v/>
      </c>
      <c r="W808" s="268" t="str">
        <v/>
      </c>
      <c r="X808" s="268" t="str">
        <v/>
      </c>
      <c r="Y808" s="269" t="str">
        <v/>
      </c>
      <c r="AA808" s="92" t="str">
        <v/>
      </c>
      <c r="AB808" s="268" t="str">
        <v/>
      </c>
      <c r="AC808" s="268" t="str">
        <v/>
      </c>
      <c r="AD808" s="269" t="str">
        <v/>
      </c>
      <c r="AF808" s="92" t="str">
        <v/>
      </c>
      <c r="AG808" s="268" t="str">
        <v/>
      </c>
      <c r="AH808" s="268" t="str">
        <v/>
      </c>
      <c r="AI808" s="269" t="str">
        <v/>
      </c>
      <c r="AK808" s="92" t="str">
        <v/>
      </c>
      <c r="AL808" s="268" t="str">
        <v/>
      </c>
      <c r="AM808" s="268" t="str">
        <v/>
      </c>
      <c r="AN808" s="269" t="str">
        <v/>
      </c>
      <c r="AP808" s="92" t="str">
        <v/>
      </c>
      <c r="AQ808" s="268" t="str">
        <v/>
      </c>
      <c r="AR808" s="268" t="str">
        <v/>
      </c>
      <c r="AS808" s="269" t="str">
        <v/>
      </c>
      <c r="AT808" s="288"/>
      <c r="AU808" s="92" t="str">
        <v/>
      </c>
      <c r="AV808" s="268" t="str">
        <v/>
      </c>
      <c r="AW808" s="268" t="str">
        <v/>
      </c>
      <c r="AX808" s="269" t="str">
        <v/>
      </c>
      <c r="AZ808" s="92" t="str">
        <v/>
      </c>
      <c r="BA808" s="268" t="str">
        <v/>
      </c>
      <c r="BB808" s="268" t="str">
        <v/>
      </c>
      <c r="BC808" s="269" t="str">
        <v/>
      </c>
      <c r="BE808" s="92" t="str">
        <v/>
      </c>
      <c r="BF808" s="268" t="str">
        <v/>
      </c>
      <c r="BG808" s="268" t="str">
        <v/>
      </c>
      <c r="BH808" s="269" t="str">
        <v/>
      </c>
      <c r="BI808" s="288"/>
      <c r="BJ808" s="92" t="str">
        <v/>
      </c>
      <c r="BK808" s="268" t="str">
        <v/>
      </c>
      <c r="BL808" s="268" t="str">
        <v/>
      </c>
      <c r="BM808" s="269" t="str">
        <v/>
      </c>
      <c r="BO808" s="92" t="str">
        <v/>
      </c>
      <c r="BP808" s="268" t="str">
        <v/>
      </c>
      <c r="BQ808" s="268" t="str">
        <v/>
      </c>
      <c r="BR808" s="269" t="str">
        <v/>
      </c>
      <c r="BT808" s="92" t="str">
        <v/>
      </c>
      <c r="BU808" s="268" t="str">
        <v/>
      </c>
      <c r="BV808" s="268" t="str">
        <v/>
      </c>
      <c r="BW808" s="269" t="str">
        <v/>
      </c>
      <c r="BX808" s="288"/>
      <c r="CM808" s="96"/>
    </row>
    <row r="809" spans="2:91">
      <c r="B809" s="92" t="str">
        <v/>
      </c>
      <c r="C809" s="268" t="str">
        <v/>
      </c>
      <c r="D809" s="268" t="str">
        <v/>
      </c>
      <c r="E809" s="269" t="str">
        <v/>
      </c>
      <c r="G809" s="92" t="str">
        <v/>
      </c>
      <c r="H809" s="268" t="str">
        <v/>
      </c>
      <c r="I809" s="268" t="str">
        <v/>
      </c>
      <c r="J809" s="269" t="str">
        <v/>
      </c>
      <c r="L809" s="92" t="str">
        <v/>
      </c>
      <c r="M809" s="268" t="str">
        <v/>
      </c>
      <c r="N809" s="268" t="str">
        <v/>
      </c>
      <c r="O809" s="269" t="str">
        <v/>
      </c>
      <c r="Q809" s="92" t="str">
        <v/>
      </c>
      <c r="R809" s="268" t="str">
        <v/>
      </c>
      <c r="S809" s="268" t="str">
        <v/>
      </c>
      <c r="T809" s="269" t="str">
        <v/>
      </c>
      <c r="V809" s="92" t="str">
        <v/>
      </c>
      <c r="W809" s="268" t="str">
        <v/>
      </c>
      <c r="X809" s="268" t="str">
        <v/>
      </c>
      <c r="Y809" s="269" t="str">
        <v/>
      </c>
      <c r="AA809" s="92" t="str">
        <v/>
      </c>
      <c r="AB809" s="268" t="str">
        <v/>
      </c>
      <c r="AC809" s="268" t="str">
        <v/>
      </c>
      <c r="AD809" s="269" t="str">
        <v/>
      </c>
      <c r="AF809" s="92" t="str">
        <v/>
      </c>
      <c r="AG809" s="268" t="str">
        <v/>
      </c>
      <c r="AH809" s="268" t="str">
        <v/>
      </c>
      <c r="AI809" s="269" t="str">
        <v/>
      </c>
      <c r="AK809" s="92" t="str">
        <v/>
      </c>
      <c r="AL809" s="268" t="str">
        <v/>
      </c>
      <c r="AM809" s="268" t="str">
        <v/>
      </c>
      <c r="AN809" s="269" t="str">
        <v/>
      </c>
      <c r="AP809" s="92" t="str">
        <v/>
      </c>
      <c r="AQ809" s="268" t="str">
        <v/>
      </c>
      <c r="AR809" s="268" t="str">
        <v/>
      </c>
      <c r="AS809" s="269" t="str">
        <v/>
      </c>
      <c r="AT809" s="288"/>
      <c r="AU809" s="92" t="str">
        <v/>
      </c>
      <c r="AV809" s="268" t="str">
        <v/>
      </c>
      <c r="AW809" s="268" t="str">
        <v/>
      </c>
      <c r="AX809" s="269" t="str">
        <v/>
      </c>
      <c r="AZ809" s="92" t="str">
        <v/>
      </c>
      <c r="BA809" s="268" t="str">
        <v/>
      </c>
      <c r="BB809" s="268" t="str">
        <v/>
      </c>
      <c r="BC809" s="269" t="str">
        <v/>
      </c>
      <c r="BE809" s="92" t="str">
        <v/>
      </c>
      <c r="BF809" s="268" t="str">
        <v/>
      </c>
      <c r="BG809" s="268" t="str">
        <v/>
      </c>
      <c r="BH809" s="269" t="str">
        <v/>
      </c>
      <c r="BI809" s="288"/>
      <c r="BJ809" s="92" t="str">
        <v/>
      </c>
      <c r="BK809" s="268" t="str">
        <v/>
      </c>
      <c r="BL809" s="268" t="str">
        <v/>
      </c>
      <c r="BM809" s="269" t="str">
        <v/>
      </c>
      <c r="BO809" s="92" t="str">
        <v/>
      </c>
      <c r="BP809" s="268" t="str">
        <v/>
      </c>
      <c r="BQ809" s="268" t="str">
        <v/>
      </c>
      <c r="BR809" s="269" t="str">
        <v/>
      </c>
      <c r="BT809" s="92" t="str">
        <v/>
      </c>
      <c r="BU809" s="268" t="str">
        <v/>
      </c>
      <c r="BV809" s="268" t="str">
        <v/>
      </c>
      <c r="BW809" s="269" t="str">
        <v/>
      </c>
      <c r="BX809" s="288"/>
      <c r="CM809" s="96"/>
    </row>
    <row r="810" spans="2:91">
      <c r="B810" s="92" t="str">
        <v/>
      </c>
      <c r="C810" s="268" t="str">
        <v/>
      </c>
      <c r="D810" s="268" t="str">
        <v/>
      </c>
      <c r="E810" s="269" t="str">
        <v/>
      </c>
      <c r="G810" s="92" t="str">
        <v/>
      </c>
      <c r="H810" s="268" t="str">
        <v/>
      </c>
      <c r="I810" s="268" t="str">
        <v/>
      </c>
      <c r="J810" s="269" t="str">
        <v/>
      </c>
      <c r="L810" s="92" t="str">
        <v/>
      </c>
      <c r="M810" s="268" t="str">
        <v/>
      </c>
      <c r="N810" s="268" t="str">
        <v/>
      </c>
      <c r="O810" s="269" t="str">
        <v/>
      </c>
      <c r="Q810" s="92" t="str">
        <v/>
      </c>
      <c r="R810" s="268" t="str">
        <v/>
      </c>
      <c r="S810" s="268" t="str">
        <v/>
      </c>
      <c r="T810" s="269" t="str">
        <v/>
      </c>
      <c r="V810" s="92" t="str">
        <v/>
      </c>
      <c r="W810" s="268" t="str">
        <v/>
      </c>
      <c r="X810" s="268" t="str">
        <v/>
      </c>
      <c r="Y810" s="269" t="str">
        <v/>
      </c>
      <c r="AA810" s="92" t="str">
        <v/>
      </c>
      <c r="AB810" s="268" t="str">
        <v/>
      </c>
      <c r="AC810" s="268" t="str">
        <v/>
      </c>
      <c r="AD810" s="269" t="str">
        <v/>
      </c>
      <c r="AF810" s="92" t="str">
        <v/>
      </c>
      <c r="AG810" s="268" t="str">
        <v/>
      </c>
      <c r="AH810" s="268" t="str">
        <v/>
      </c>
      <c r="AI810" s="269" t="str">
        <v/>
      </c>
      <c r="AK810" s="92" t="str">
        <v/>
      </c>
      <c r="AL810" s="268" t="str">
        <v/>
      </c>
      <c r="AM810" s="268" t="str">
        <v/>
      </c>
      <c r="AN810" s="269" t="str">
        <v/>
      </c>
      <c r="AP810" s="92" t="str">
        <v/>
      </c>
      <c r="AQ810" s="268" t="str">
        <v/>
      </c>
      <c r="AR810" s="268" t="str">
        <v/>
      </c>
      <c r="AS810" s="269" t="str">
        <v/>
      </c>
      <c r="AT810" s="288"/>
      <c r="AU810" s="92" t="str">
        <v/>
      </c>
      <c r="AV810" s="268" t="str">
        <v/>
      </c>
      <c r="AW810" s="268" t="str">
        <v/>
      </c>
      <c r="AX810" s="269" t="str">
        <v/>
      </c>
      <c r="AZ810" s="92" t="str">
        <v/>
      </c>
      <c r="BA810" s="268" t="str">
        <v/>
      </c>
      <c r="BB810" s="268" t="str">
        <v/>
      </c>
      <c r="BC810" s="269" t="str">
        <v/>
      </c>
      <c r="BE810" s="92" t="str">
        <v/>
      </c>
      <c r="BF810" s="268" t="str">
        <v/>
      </c>
      <c r="BG810" s="268" t="str">
        <v/>
      </c>
      <c r="BH810" s="269" t="str">
        <v/>
      </c>
      <c r="BI810" s="288"/>
      <c r="BJ810" s="92" t="str">
        <v/>
      </c>
      <c r="BK810" s="268" t="str">
        <v/>
      </c>
      <c r="BL810" s="268" t="str">
        <v/>
      </c>
      <c r="BM810" s="269" t="str">
        <v/>
      </c>
      <c r="BO810" s="92" t="str">
        <v/>
      </c>
      <c r="BP810" s="268" t="str">
        <v/>
      </c>
      <c r="BQ810" s="268" t="str">
        <v/>
      </c>
      <c r="BR810" s="269" t="str">
        <v/>
      </c>
      <c r="BT810" s="92" t="str">
        <v/>
      </c>
      <c r="BU810" s="268" t="str">
        <v/>
      </c>
      <c r="BV810" s="268" t="str">
        <v/>
      </c>
      <c r="BW810" s="269" t="str">
        <v/>
      </c>
      <c r="BX810" s="288"/>
      <c r="CM810" s="96"/>
    </row>
    <row r="811" spans="2:91">
      <c r="B811" s="92" t="str">
        <v/>
      </c>
      <c r="C811" s="268" t="str">
        <v/>
      </c>
      <c r="D811" s="268" t="str">
        <v/>
      </c>
      <c r="E811" s="269" t="str">
        <v/>
      </c>
      <c r="G811" s="92" t="str">
        <v/>
      </c>
      <c r="H811" s="268" t="str">
        <v/>
      </c>
      <c r="I811" s="268" t="str">
        <v/>
      </c>
      <c r="J811" s="269" t="str">
        <v/>
      </c>
      <c r="L811" s="92" t="str">
        <v/>
      </c>
      <c r="M811" s="268" t="str">
        <v/>
      </c>
      <c r="N811" s="268" t="str">
        <v/>
      </c>
      <c r="O811" s="269" t="str">
        <v/>
      </c>
      <c r="Q811" s="92" t="str">
        <v/>
      </c>
      <c r="R811" s="268" t="str">
        <v/>
      </c>
      <c r="S811" s="268" t="str">
        <v/>
      </c>
      <c r="T811" s="269" t="str">
        <v/>
      </c>
      <c r="V811" s="92" t="str">
        <v/>
      </c>
      <c r="W811" s="268" t="str">
        <v/>
      </c>
      <c r="X811" s="268" t="str">
        <v/>
      </c>
      <c r="Y811" s="269" t="str">
        <v/>
      </c>
      <c r="AA811" s="92" t="str">
        <v/>
      </c>
      <c r="AB811" s="268" t="str">
        <v/>
      </c>
      <c r="AC811" s="268" t="str">
        <v/>
      </c>
      <c r="AD811" s="269" t="str">
        <v/>
      </c>
      <c r="AF811" s="92" t="str">
        <v/>
      </c>
      <c r="AG811" s="268" t="str">
        <v/>
      </c>
      <c r="AH811" s="268" t="str">
        <v/>
      </c>
      <c r="AI811" s="269" t="str">
        <v/>
      </c>
      <c r="AK811" s="92" t="str">
        <v/>
      </c>
      <c r="AL811" s="268" t="str">
        <v/>
      </c>
      <c r="AM811" s="268" t="str">
        <v/>
      </c>
      <c r="AN811" s="269" t="str">
        <v/>
      </c>
      <c r="AP811" s="92" t="str">
        <v/>
      </c>
      <c r="AQ811" s="268" t="str">
        <v/>
      </c>
      <c r="AR811" s="268" t="str">
        <v/>
      </c>
      <c r="AS811" s="269" t="str">
        <v/>
      </c>
      <c r="AT811" s="288"/>
      <c r="AU811" s="92" t="str">
        <v/>
      </c>
      <c r="AV811" s="268" t="str">
        <v/>
      </c>
      <c r="AW811" s="268" t="str">
        <v/>
      </c>
      <c r="AX811" s="269" t="str">
        <v/>
      </c>
      <c r="AZ811" s="92" t="str">
        <v/>
      </c>
      <c r="BA811" s="268" t="str">
        <v/>
      </c>
      <c r="BB811" s="268" t="str">
        <v/>
      </c>
      <c r="BC811" s="269" t="str">
        <v/>
      </c>
      <c r="BE811" s="92" t="str">
        <v/>
      </c>
      <c r="BF811" s="268" t="str">
        <v/>
      </c>
      <c r="BG811" s="268" t="str">
        <v/>
      </c>
      <c r="BH811" s="269" t="str">
        <v/>
      </c>
      <c r="BI811" s="288"/>
      <c r="BJ811" s="92" t="str">
        <v/>
      </c>
      <c r="BK811" s="268" t="str">
        <v/>
      </c>
      <c r="BL811" s="268" t="str">
        <v/>
      </c>
      <c r="BM811" s="269" t="str">
        <v/>
      </c>
      <c r="BO811" s="92" t="str">
        <v/>
      </c>
      <c r="BP811" s="268" t="str">
        <v/>
      </c>
      <c r="BQ811" s="268" t="str">
        <v/>
      </c>
      <c r="BR811" s="269" t="str">
        <v/>
      </c>
      <c r="BT811" s="92" t="str">
        <v/>
      </c>
      <c r="BU811" s="268" t="str">
        <v/>
      </c>
      <c r="BV811" s="268" t="str">
        <v/>
      </c>
      <c r="BW811" s="269" t="str">
        <v/>
      </c>
      <c r="BX811" s="288"/>
      <c r="CM811" s="96"/>
    </row>
    <row r="812" spans="2:91">
      <c r="B812" s="92" t="str">
        <v/>
      </c>
      <c r="C812" s="268" t="str">
        <v/>
      </c>
      <c r="D812" s="268" t="str">
        <v/>
      </c>
      <c r="E812" s="269" t="str">
        <v/>
      </c>
      <c r="G812" s="92" t="str">
        <v/>
      </c>
      <c r="H812" s="268" t="str">
        <v/>
      </c>
      <c r="I812" s="268" t="str">
        <v/>
      </c>
      <c r="J812" s="269" t="str">
        <v/>
      </c>
      <c r="L812" s="92" t="str">
        <v/>
      </c>
      <c r="M812" s="268" t="str">
        <v/>
      </c>
      <c r="N812" s="268" t="str">
        <v/>
      </c>
      <c r="O812" s="269" t="str">
        <v/>
      </c>
      <c r="Q812" s="92" t="str">
        <v/>
      </c>
      <c r="R812" s="268" t="str">
        <v/>
      </c>
      <c r="S812" s="268" t="str">
        <v/>
      </c>
      <c r="T812" s="269" t="str">
        <v/>
      </c>
      <c r="V812" s="92" t="str">
        <v/>
      </c>
      <c r="W812" s="268" t="str">
        <v/>
      </c>
      <c r="X812" s="268" t="str">
        <v/>
      </c>
      <c r="Y812" s="269" t="str">
        <v/>
      </c>
      <c r="AA812" s="92" t="str">
        <v/>
      </c>
      <c r="AB812" s="268" t="str">
        <v/>
      </c>
      <c r="AC812" s="268" t="str">
        <v/>
      </c>
      <c r="AD812" s="269" t="str">
        <v/>
      </c>
      <c r="AF812" s="92" t="str">
        <v/>
      </c>
      <c r="AG812" s="268" t="str">
        <v/>
      </c>
      <c r="AH812" s="268" t="str">
        <v/>
      </c>
      <c r="AI812" s="269" t="str">
        <v/>
      </c>
      <c r="AK812" s="92" t="str">
        <v/>
      </c>
      <c r="AL812" s="268" t="str">
        <v/>
      </c>
      <c r="AM812" s="268" t="str">
        <v/>
      </c>
      <c r="AN812" s="269" t="str">
        <v/>
      </c>
      <c r="AP812" s="92" t="str">
        <v/>
      </c>
      <c r="AQ812" s="268" t="str">
        <v/>
      </c>
      <c r="AR812" s="268" t="str">
        <v/>
      </c>
      <c r="AS812" s="269" t="str">
        <v/>
      </c>
      <c r="AT812" s="288"/>
      <c r="AU812" s="92" t="str">
        <v/>
      </c>
      <c r="AV812" s="268" t="str">
        <v/>
      </c>
      <c r="AW812" s="268" t="str">
        <v/>
      </c>
      <c r="AX812" s="269" t="str">
        <v/>
      </c>
      <c r="AZ812" s="92" t="str">
        <v/>
      </c>
      <c r="BA812" s="268" t="str">
        <v/>
      </c>
      <c r="BB812" s="268" t="str">
        <v/>
      </c>
      <c r="BC812" s="269" t="str">
        <v/>
      </c>
      <c r="BE812" s="92" t="str">
        <v/>
      </c>
      <c r="BF812" s="268" t="str">
        <v/>
      </c>
      <c r="BG812" s="268" t="str">
        <v/>
      </c>
      <c r="BH812" s="269" t="str">
        <v/>
      </c>
      <c r="BI812" s="288"/>
      <c r="BJ812" s="92" t="str">
        <v/>
      </c>
      <c r="BK812" s="268" t="str">
        <v/>
      </c>
      <c r="BL812" s="268" t="str">
        <v/>
      </c>
      <c r="BM812" s="269" t="str">
        <v/>
      </c>
      <c r="BO812" s="92" t="str">
        <v/>
      </c>
      <c r="BP812" s="268" t="str">
        <v/>
      </c>
      <c r="BQ812" s="268" t="str">
        <v/>
      </c>
      <c r="BR812" s="269" t="str">
        <v/>
      </c>
      <c r="BT812" s="92" t="str">
        <v/>
      </c>
      <c r="BU812" s="268" t="str">
        <v/>
      </c>
      <c r="BV812" s="268" t="str">
        <v/>
      </c>
      <c r="BW812" s="269" t="str">
        <v/>
      </c>
      <c r="BX812" s="288"/>
      <c r="CM812" s="96"/>
    </row>
    <row r="813" spans="2:91">
      <c r="B813" s="92" t="str">
        <v/>
      </c>
      <c r="C813" s="268" t="str">
        <v/>
      </c>
      <c r="D813" s="268" t="str">
        <v/>
      </c>
      <c r="E813" s="269" t="str">
        <v/>
      </c>
      <c r="G813" s="92" t="str">
        <v/>
      </c>
      <c r="H813" s="268" t="str">
        <v/>
      </c>
      <c r="I813" s="268" t="str">
        <v/>
      </c>
      <c r="J813" s="269" t="str">
        <v/>
      </c>
      <c r="L813" s="92" t="str">
        <v/>
      </c>
      <c r="M813" s="268" t="str">
        <v/>
      </c>
      <c r="N813" s="268" t="str">
        <v/>
      </c>
      <c r="O813" s="269" t="str">
        <v/>
      </c>
      <c r="Q813" s="92" t="str">
        <v/>
      </c>
      <c r="R813" s="268" t="str">
        <v/>
      </c>
      <c r="S813" s="268" t="str">
        <v/>
      </c>
      <c r="T813" s="269" t="str">
        <v/>
      </c>
      <c r="V813" s="92" t="str">
        <v/>
      </c>
      <c r="W813" s="268" t="str">
        <v/>
      </c>
      <c r="X813" s="268" t="str">
        <v/>
      </c>
      <c r="Y813" s="269" t="str">
        <v/>
      </c>
      <c r="AA813" s="92" t="str">
        <v/>
      </c>
      <c r="AB813" s="268" t="str">
        <v/>
      </c>
      <c r="AC813" s="268" t="str">
        <v/>
      </c>
      <c r="AD813" s="269" t="str">
        <v/>
      </c>
      <c r="AF813" s="92" t="str">
        <v/>
      </c>
      <c r="AG813" s="268" t="str">
        <v/>
      </c>
      <c r="AH813" s="268" t="str">
        <v/>
      </c>
      <c r="AI813" s="269" t="str">
        <v/>
      </c>
      <c r="AK813" s="92" t="str">
        <v/>
      </c>
      <c r="AL813" s="268" t="str">
        <v/>
      </c>
      <c r="AM813" s="268" t="str">
        <v/>
      </c>
      <c r="AN813" s="269" t="str">
        <v/>
      </c>
      <c r="AP813" s="92" t="str">
        <v/>
      </c>
      <c r="AQ813" s="268" t="str">
        <v/>
      </c>
      <c r="AR813" s="268" t="str">
        <v/>
      </c>
      <c r="AS813" s="269" t="str">
        <v/>
      </c>
      <c r="AT813" s="288"/>
      <c r="AU813" s="92" t="str">
        <v/>
      </c>
      <c r="AV813" s="268" t="str">
        <v/>
      </c>
      <c r="AW813" s="268" t="str">
        <v/>
      </c>
      <c r="AX813" s="269" t="str">
        <v/>
      </c>
      <c r="AZ813" s="92" t="str">
        <v/>
      </c>
      <c r="BA813" s="268" t="str">
        <v/>
      </c>
      <c r="BB813" s="268" t="str">
        <v/>
      </c>
      <c r="BC813" s="269" t="str">
        <v/>
      </c>
      <c r="BE813" s="92" t="str">
        <v/>
      </c>
      <c r="BF813" s="268" t="str">
        <v/>
      </c>
      <c r="BG813" s="268" t="str">
        <v/>
      </c>
      <c r="BH813" s="269" t="str">
        <v/>
      </c>
      <c r="BI813" s="288"/>
      <c r="BJ813" s="92" t="str">
        <v/>
      </c>
      <c r="BK813" s="268" t="str">
        <v/>
      </c>
      <c r="BL813" s="268" t="str">
        <v/>
      </c>
      <c r="BM813" s="269" t="str">
        <v/>
      </c>
      <c r="BO813" s="92" t="str">
        <v/>
      </c>
      <c r="BP813" s="268" t="str">
        <v/>
      </c>
      <c r="BQ813" s="268" t="str">
        <v/>
      </c>
      <c r="BR813" s="269" t="str">
        <v/>
      </c>
      <c r="BT813" s="92" t="str">
        <v/>
      </c>
      <c r="BU813" s="268" t="str">
        <v/>
      </c>
      <c r="BV813" s="268" t="str">
        <v/>
      </c>
      <c r="BW813" s="269" t="str">
        <v/>
      </c>
      <c r="BX813" s="288"/>
      <c r="CM813" s="96"/>
    </row>
    <row r="814" spans="2:91">
      <c r="B814" s="92" t="str">
        <v/>
      </c>
      <c r="C814" s="268" t="str">
        <v/>
      </c>
      <c r="D814" s="268" t="str">
        <v/>
      </c>
      <c r="E814" s="269" t="str">
        <v/>
      </c>
      <c r="G814" s="92" t="str">
        <v/>
      </c>
      <c r="H814" s="268" t="str">
        <v/>
      </c>
      <c r="I814" s="268" t="str">
        <v/>
      </c>
      <c r="J814" s="269" t="str">
        <v/>
      </c>
      <c r="L814" s="92" t="str">
        <v/>
      </c>
      <c r="M814" s="268" t="str">
        <v/>
      </c>
      <c r="N814" s="268" t="str">
        <v/>
      </c>
      <c r="O814" s="269" t="str">
        <v/>
      </c>
      <c r="Q814" s="92" t="str">
        <v/>
      </c>
      <c r="R814" s="268" t="str">
        <v/>
      </c>
      <c r="S814" s="268" t="str">
        <v/>
      </c>
      <c r="T814" s="269" t="str">
        <v/>
      </c>
      <c r="V814" s="92" t="str">
        <v/>
      </c>
      <c r="W814" s="268" t="str">
        <v/>
      </c>
      <c r="X814" s="268" t="str">
        <v/>
      </c>
      <c r="Y814" s="269" t="str">
        <v/>
      </c>
      <c r="AA814" s="92" t="str">
        <v/>
      </c>
      <c r="AB814" s="268" t="str">
        <v/>
      </c>
      <c r="AC814" s="268" t="str">
        <v/>
      </c>
      <c r="AD814" s="269" t="str">
        <v/>
      </c>
      <c r="AF814" s="92" t="str">
        <v/>
      </c>
      <c r="AG814" s="268" t="str">
        <v/>
      </c>
      <c r="AH814" s="268" t="str">
        <v/>
      </c>
      <c r="AI814" s="269" t="str">
        <v/>
      </c>
      <c r="AK814" s="92" t="str">
        <v/>
      </c>
      <c r="AL814" s="268" t="str">
        <v/>
      </c>
      <c r="AM814" s="268" t="str">
        <v/>
      </c>
      <c r="AN814" s="269" t="str">
        <v/>
      </c>
      <c r="AP814" s="92" t="str">
        <v/>
      </c>
      <c r="AQ814" s="268" t="str">
        <v/>
      </c>
      <c r="AR814" s="268" t="str">
        <v/>
      </c>
      <c r="AS814" s="269" t="str">
        <v/>
      </c>
      <c r="AT814" s="288"/>
      <c r="AU814" s="92" t="str">
        <v/>
      </c>
      <c r="AV814" s="268" t="str">
        <v/>
      </c>
      <c r="AW814" s="268" t="str">
        <v/>
      </c>
      <c r="AX814" s="269" t="str">
        <v/>
      </c>
      <c r="AZ814" s="92" t="str">
        <v/>
      </c>
      <c r="BA814" s="268" t="str">
        <v/>
      </c>
      <c r="BB814" s="268" t="str">
        <v/>
      </c>
      <c r="BC814" s="269" t="str">
        <v/>
      </c>
      <c r="BE814" s="92" t="str">
        <v/>
      </c>
      <c r="BF814" s="268" t="str">
        <v/>
      </c>
      <c r="BG814" s="268" t="str">
        <v/>
      </c>
      <c r="BH814" s="269" t="str">
        <v/>
      </c>
      <c r="BI814" s="288"/>
      <c r="BJ814" s="92" t="str">
        <v/>
      </c>
      <c r="BK814" s="268" t="str">
        <v/>
      </c>
      <c r="BL814" s="268" t="str">
        <v/>
      </c>
      <c r="BM814" s="269" t="str">
        <v/>
      </c>
      <c r="BO814" s="92" t="str">
        <v/>
      </c>
      <c r="BP814" s="268" t="str">
        <v/>
      </c>
      <c r="BQ814" s="268" t="str">
        <v/>
      </c>
      <c r="BR814" s="269" t="str">
        <v/>
      </c>
      <c r="BT814" s="92" t="str">
        <v/>
      </c>
      <c r="BU814" s="268" t="str">
        <v/>
      </c>
      <c r="BV814" s="268" t="str">
        <v/>
      </c>
      <c r="BW814" s="269" t="str">
        <v/>
      </c>
      <c r="BX814" s="288"/>
      <c r="CM814" s="96"/>
    </row>
    <row r="815" spans="2:91">
      <c r="B815" s="92" t="str">
        <v/>
      </c>
      <c r="C815" s="268" t="str">
        <v/>
      </c>
      <c r="D815" s="268" t="str">
        <v/>
      </c>
      <c r="E815" s="269" t="str">
        <v/>
      </c>
      <c r="G815" s="92" t="str">
        <v/>
      </c>
      <c r="H815" s="268" t="str">
        <v/>
      </c>
      <c r="I815" s="268" t="str">
        <v/>
      </c>
      <c r="J815" s="269" t="str">
        <v/>
      </c>
      <c r="L815" s="92" t="str">
        <v/>
      </c>
      <c r="M815" s="268" t="str">
        <v/>
      </c>
      <c r="N815" s="268" t="str">
        <v/>
      </c>
      <c r="O815" s="269" t="str">
        <v/>
      </c>
      <c r="Q815" s="92" t="str">
        <v/>
      </c>
      <c r="R815" s="268" t="str">
        <v/>
      </c>
      <c r="S815" s="268" t="str">
        <v/>
      </c>
      <c r="T815" s="269" t="str">
        <v/>
      </c>
      <c r="V815" s="92" t="str">
        <v/>
      </c>
      <c r="W815" s="268" t="str">
        <v/>
      </c>
      <c r="X815" s="268" t="str">
        <v/>
      </c>
      <c r="Y815" s="269" t="str">
        <v/>
      </c>
      <c r="AA815" s="92" t="str">
        <v/>
      </c>
      <c r="AB815" s="268" t="str">
        <v/>
      </c>
      <c r="AC815" s="268" t="str">
        <v/>
      </c>
      <c r="AD815" s="269" t="str">
        <v/>
      </c>
      <c r="AF815" s="92" t="str">
        <v/>
      </c>
      <c r="AG815" s="268" t="str">
        <v/>
      </c>
      <c r="AH815" s="268" t="str">
        <v/>
      </c>
      <c r="AI815" s="269" t="str">
        <v/>
      </c>
      <c r="AK815" s="92" t="str">
        <v/>
      </c>
      <c r="AL815" s="268" t="str">
        <v/>
      </c>
      <c r="AM815" s="268" t="str">
        <v/>
      </c>
      <c r="AN815" s="269" t="str">
        <v/>
      </c>
      <c r="AP815" s="92" t="str">
        <v/>
      </c>
      <c r="AQ815" s="268" t="str">
        <v/>
      </c>
      <c r="AR815" s="268" t="str">
        <v/>
      </c>
      <c r="AS815" s="269" t="str">
        <v/>
      </c>
      <c r="AT815" s="288"/>
      <c r="AU815" s="92" t="str">
        <v/>
      </c>
      <c r="AV815" s="268" t="str">
        <v/>
      </c>
      <c r="AW815" s="268" t="str">
        <v/>
      </c>
      <c r="AX815" s="269" t="str">
        <v/>
      </c>
      <c r="AZ815" s="92" t="str">
        <v/>
      </c>
      <c r="BA815" s="268" t="str">
        <v/>
      </c>
      <c r="BB815" s="268" t="str">
        <v/>
      </c>
      <c r="BC815" s="269" t="str">
        <v/>
      </c>
      <c r="BE815" s="92" t="str">
        <v/>
      </c>
      <c r="BF815" s="268" t="str">
        <v/>
      </c>
      <c r="BG815" s="268" t="str">
        <v/>
      </c>
      <c r="BH815" s="269" t="str">
        <v/>
      </c>
      <c r="BI815" s="288"/>
      <c r="BJ815" s="92" t="str">
        <v/>
      </c>
      <c r="BK815" s="268" t="str">
        <v/>
      </c>
      <c r="BL815" s="268" t="str">
        <v/>
      </c>
      <c r="BM815" s="269" t="str">
        <v/>
      </c>
      <c r="BO815" s="92" t="str">
        <v/>
      </c>
      <c r="BP815" s="268" t="str">
        <v/>
      </c>
      <c r="BQ815" s="268" t="str">
        <v/>
      </c>
      <c r="BR815" s="269" t="str">
        <v/>
      </c>
      <c r="BT815" s="92" t="str">
        <v/>
      </c>
      <c r="BU815" s="268" t="str">
        <v/>
      </c>
      <c r="BV815" s="268" t="str">
        <v/>
      </c>
      <c r="BW815" s="269" t="str">
        <v/>
      </c>
      <c r="BX815" s="288"/>
      <c r="CM815" s="96"/>
    </row>
    <row r="816" spans="2:91">
      <c r="B816" s="117" t="str">
        <v/>
      </c>
      <c r="C816" s="273" t="str">
        <v/>
      </c>
      <c r="D816" s="273" t="str">
        <v/>
      </c>
      <c r="E816" s="274" t="str">
        <v/>
      </c>
      <c r="G816" s="117" t="str">
        <v/>
      </c>
      <c r="H816" s="273" t="str">
        <v/>
      </c>
      <c r="I816" s="273" t="str">
        <v/>
      </c>
      <c r="J816" s="274" t="str">
        <v/>
      </c>
      <c r="L816" s="117" t="str">
        <v/>
      </c>
      <c r="M816" s="273" t="str">
        <v/>
      </c>
      <c r="N816" s="273" t="str">
        <v/>
      </c>
      <c r="O816" s="274" t="str">
        <v/>
      </c>
      <c r="Q816" s="117" t="str">
        <v/>
      </c>
      <c r="R816" s="273" t="str">
        <v/>
      </c>
      <c r="S816" s="273" t="str">
        <v/>
      </c>
      <c r="T816" s="274" t="str">
        <v/>
      </c>
      <c r="V816" s="117" t="str">
        <v/>
      </c>
      <c r="W816" s="273" t="str">
        <v/>
      </c>
      <c r="X816" s="273" t="str">
        <v/>
      </c>
      <c r="Y816" s="274" t="str">
        <v/>
      </c>
      <c r="AA816" s="117" t="str">
        <v/>
      </c>
      <c r="AB816" s="273" t="str">
        <v/>
      </c>
      <c r="AC816" s="273" t="str">
        <v/>
      </c>
      <c r="AD816" s="274" t="str">
        <v/>
      </c>
      <c r="AF816" s="117" t="str">
        <v/>
      </c>
      <c r="AG816" s="273" t="str">
        <v/>
      </c>
      <c r="AH816" s="273" t="str">
        <v/>
      </c>
      <c r="AI816" s="274" t="str">
        <v/>
      </c>
      <c r="AK816" s="117" t="str">
        <v/>
      </c>
      <c r="AL816" s="273" t="str">
        <v/>
      </c>
      <c r="AM816" s="273" t="str">
        <v/>
      </c>
      <c r="AN816" s="274" t="str">
        <v/>
      </c>
      <c r="AP816" s="117" t="str">
        <v/>
      </c>
      <c r="AQ816" s="273" t="str">
        <v/>
      </c>
      <c r="AR816" s="273" t="str">
        <v/>
      </c>
      <c r="AS816" s="274" t="str">
        <v/>
      </c>
      <c r="AT816" s="288"/>
      <c r="AU816" s="117" t="str">
        <v/>
      </c>
      <c r="AV816" s="273" t="str">
        <v/>
      </c>
      <c r="AW816" s="273" t="str">
        <v/>
      </c>
      <c r="AX816" s="274" t="str">
        <v/>
      </c>
      <c r="AZ816" s="117" t="str">
        <v/>
      </c>
      <c r="BA816" s="273" t="str">
        <v/>
      </c>
      <c r="BB816" s="273" t="str">
        <v/>
      </c>
      <c r="BC816" s="274" t="str">
        <v/>
      </c>
      <c r="BE816" s="117" t="str">
        <v/>
      </c>
      <c r="BF816" s="273" t="str">
        <v/>
      </c>
      <c r="BG816" s="273" t="str">
        <v/>
      </c>
      <c r="BH816" s="274" t="str">
        <v/>
      </c>
      <c r="BI816" s="288"/>
      <c r="BJ816" s="117" t="str">
        <v/>
      </c>
      <c r="BK816" s="273" t="str">
        <v/>
      </c>
      <c r="BL816" s="273" t="str">
        <v/>
      </c>
      <c r="BM816" s="274" t="str">
        <v/>
      </c>
      <c r="BO816" s="117" t="str">
        <v/>
      </c>
      <c r="BP816" s="273" t="str">
        <v/>
      </c>
      <c r="BQ816" s="273" t="str">
        <v/>
      </c>
      <c r="BR816" s="274" t="str">
        <v/>
      </c>
      <c r="BT816" s="117" t="str">
        <v/>
      </c>
      <c r="BU816" s="273" t="str">
        <v/>
      </c>
      <c r="BV816" s="273" t="str">
        <v/>
      </c>
      <c r="BW816" s="274" t="str">
        <v/>
      </c>
      <c r="BX816" s="288"/>
      <c r="CM816" s="96"/>
    </row>
    <row r="817" spans="1:91">
      <c r="A817" s="47"/>
      <c r="B817" s="47">
        <f>COUNT(B743:B816)</f>
        <v>63</v>
      </c>
      <c r="C817" s="47"/>
      <c r="D817" s="47"/>
      <c r="E817" s="47"/>
      <c r="F817" s="47"/>
      <c r="G817" s="47">
        <f>COUNT(G743:G816)</f>
        <v>63</v>
      </c>
      <c r="H817" s="47"/>
      <c r="I817" s="47"/>
      <c r="J817" s="47"/>
      <c r="K817" s="47"/>
      <c r="L817" s="47">
        <f>COUNT(L743:L816)</f>
        <v>56</v>
      </c>
      <c r="M817" s="47"/>
      <c r="N817" s="47"/>
      <c r="O817" s="47"/>
      <c r="P817" s="47"/>
      <c r="Q817" s="47">
        <f>COUNT(Q743:Q816)</f>
        <v>52</v>
      </c>
      <c r="R817" s="47"/>
      <c r="S817" s="47"/>
      <c r="T817" s="47"/>
      <c r="U817" s="47"/>
      <c r="V817" s="47">
        <f>COUNT(V743:V816)</f>
        <v>44</v>
      </c>
      <c r="W817" s="47"/>
      <c r="X817" s="47"/>
      <c r="Y817" s="47"/>
      <c r="Z817" s="47"/>
      <c r="AA817" s="47">
        <f>COUNT(AA743:AA816)</f>
        <v>40</v>
      </c>
      <c r="AB817" s="47"/>
      <c r="AC817" s="47"/>
      <c r="AD817" s="47"/>
      <c r="AE817" s="47"/>
      <c r="AF817" s="47">
        <f>COUNT(AF743:AF816)</f>
        <v>32</v>
      </c>
      <c r="AG817" s="47"/>
      <c r="AH817" s="47"/>
      <c r="AI817" s="47"/>
      <c r="AJ817" s="47"/>
      <c r="AK817" s="47">
        <f>COUNT(AK743:AK816)</f>
        <v>24</v>
      </c>
      <c r="AL817" s="47"/>
      <c r="AM817" s="47"/>
      <c r="AN817" s="47"/>
      <c r="AO817" s="47"/>
      <c r="AP817" s="47">
        <f>COUNT(AP743:AP816)</f>
        <v>63</v>
      </c>
      <c r="AQ817" s="47"/>
      <c r="AR817" s="47"/>
      <c r="AS817" s="47"/>
      <c r="AT817" s="292"/>
      <c r="AU817" s="47">
        <f>COUNT(AU743:AU816)</f>
        <v>29</v>
      </c>
      <c r="AV817" s="47"/>
      <c r="AW817" s="47"/>
      <c r="AX817" s="47"/>
      <c r="AY817" s="47"/>
      <c r="AZ817" s="47">
        <f>COUNT(AZ743:AZ816)</f>
        <v>23</v>
      </c>
      <c r="BA817" s="47"/>
      <c r="BB817" s="47"/>
      <c r="BC817" s="47"/>
      <c r="BD817" s="47"/>
      <c r="BE817" s="47">
        <f>COUNT(BE743:BE816)</f>
        <v>17</v>
      </c>
      <c r="BF817" s="47"/>
      <c r="BG817" s="47"/>
      <c r="BH817" s="47"/>
      <c r="BI817" s="292"/>
      <c r="BJ817" s="47">
        <f>COUNT(BJ743:BJ816)</f>
        <v>20</v>
      </c>
      <c r="BK817" s="47"/>
      <c r="BL817" s="47"/>
      <c r="BM817" s="47"/>
      <c r="BN817" s="47"/>
      <c r="BO817" s="47">
        <f>COUNT(BO743:BO816)</f>
        <v>16</v>
      </c>
      <c r="BP817" s="47"/>
      <c r="BQ817" s="47"/>
      <c r="BR817" s="47"/>
      <c r="BS817" s="47"/>
      <c r="BT817" s="47">
        <f>COUNT(BT743:BT816)</f>
        <v>12</v>
      </c>
      <c r="BU817" s="47"/>
      <c r="BV817" s="47"/>
      <c r="BW817" s="47"/>
      <c r="BX817" s="288"/>
      <c r="CM817" s="47"/>
    </row>
    <row r="818" spans="1:91">
      <c r="G818" s="47"/>
      <c r="H818" s="39"/>
      <c r="L818" s="47"/>
      <c r="N818" s="46"/>
      <c r="Q818" s="47"/>
      <c r="S818" s="46"/>
      <c r="V818" s="47"/>
      <c r="X818" s="46"/>
      <c r="AA818" s="47"/>
      <c r="AC818" s="46"/>
      <c r="AF818" s="47"/>
      <c r="AH818" s="46"/>
      <c r="AK818" s="47"/>
      <c r="AM818" s="46"/>
      <c r="AP818" s="47"/>
      <c r="AQ818" s="39"/>
      <c r="AR818" s="46"/>
      <c r="AS818" s="39"/>
      <c r="AU818" s="47"/>
      <c r="AW818" s="46"/>
      <c r="AZ818" s="47"/>
      <c r="BB818" s="46"/>
      <c r="BE818" s="47"/>
      <c r="BG818" s="46"/>
      <c r="BJ818" s="47"/>
      <c r="BL818" s="46"/>
      <c r="BO818" s="47"/>
      <c r="BQ818" s="46"/>
      <c r="BT818" s="47"/>
      <c r="BV818" s="46"/>
      <c r="CM818" s="96"/>
    </row>
  </sheetData>
  <sheetProtection algorithmName="SHA-512" hashValue="HmTks2vJ+bzSFGT7rp0yfo+bw3omh4Ao6el13OVg79M4EJPDd9r9raM6EbwAslrMq+i9i4Cwrav8AtEM9qLb8w==" saltValue="Er3gqIUI4jDbqERiwR9+Rw==" spinCount="100000" sheet="1" objects="1" scenarios="1"/>
  <sortState xmlns:xlrd2="http://schemas.microsoft.com/office/spreadsheetml/2017/richdata2" ref="G120:J182">
    <sortCondition ref="I120:I182"/>
    <sortCondition ref="H120:H182"/>
  </sortState>
  <phoneticPr fontId="19" type="noConversion"/>
  <conditionalFormatting sqref="H12:H16">
    <cfRule type="expression" dxfId="91" priority="82">
      <formula>H12&lt;&gt;C12</formula>
    </cfRule>
  </conditionalFormatting>
  <conditionalFormatting sqref="H18">
    <cfRule type="expression" dxfId="90" priority="81">
      <formula>H18&lt;&gt;C18</formula>
    </cfRule>
  </conditionalFormatting>
  <conditionalFormatting sqref="J18">
    <cfRule type="expression" dxfId="89" priority="80">
      <formula>J18&lt;&gt;E18</formula>
    </cfRule>
  </conditionalFormatting>
  <conditionalFormatting sqref="H19">
    <cfRule type="expression" dxfId="88" priority="79">
      <formula>H19&lt;&gt;C19</formula>
    </cfRule>
  </conditionalFormatting>
  <conditionalFormatting sqref="H20">
    <cfRule type="expression" dxfId="87" priority="78">
      <formula>H20&lt;&gt;C20</formula>
    </cfRule>
  </conditionalFormatting>
  <conditionalFormatting sqref="J13:J14">
    <cfRule type="expression" dxfId="86" priority="77">
      <formula>J13&lt;&gt;E13</formula>
    </cfRule>
  </conditionalFormatting>
  <conditionalFormatting sqref="J19:J20">
    <cfRule type="expression" dxfId="85" priority="76">
      <formula>J19&lt;&gt;E19</formula>
    </cfRule>
  </conditionalFormatting>
  <conditionalFormatting sqref="H31:H33">
    <cfRule type="expression" dxfId="84" priority="75">
      <formula>H31&lt;&gt;C31</formula>
    </cfRule>
  </conditionalFormatting>
  <conditionalFormatting sqref="J31:J34">
    <cfRule type="expression" dxfId="83" priority="74">
      <formula>J31&lt;&gt;E31</formula>
    </cfRule>
  </conditionalFormatting>
  <conditionalFormatting sqref="M12:M16">
    <cfRule type="expression" dxfId="82" priority="73">
      <formula>M12&lt;&gt;H12</formula>
    </cfRule>
  </conditionalFormatting>
  <conditionalFormatting sqref="M18">
    <cfRule type="expression" dxfId="81" priority="72">
      <formula>M18&lt;&gt;H18</formula>
    </cfRule>
  </conditionalFormatting>
  <conditionalFormatting sqref="O18">
    <cfRule type="expression" dxfId="80" priority="71">
      <formula>O18&lt;&gt;J18</formula>
    </cfRule>
  </conditionalFormatting>
  <conditionalFormatting sqref="M19">
    <cfRule type="expression" dxfId="79" priority="70">
      <formula>M19&lt;&gt;H19</formula>
    </cfRule>
  </conditionalFormatting>
  <conditionalFormatting sqref="M20">
    <cfRule type="expression" dxfId="78" priority="69">
      <formula>M20&lt;&gt;H20</formula>
    </cfRule>
  </conditionalFormatting>
  <conditionalFormatting sqref="O13:O14">
    <cfRule type="expression" dxfId="77" priority="68">
      <formula>O13&lt;&gt;J13</formula>
    </cfRule>
  </conditionalFormatting>
  <conditionalFormatting sqref="O19:O20">
    <cfRule type="expression" dxfId="76" priority="67">
      <formula>O19&lt;&gt;J19</formula>
    </cfRule>
  </conditionalFormatting>
  <conditionalFormatting sqref="M31:M33">
    <cfRule type="expression" dxfId="75" priority="66">
      <formula>M31&lt;&gt;H31</formula>
    </cfRule>
  </conditionalFormatting>
  <conditionalFormatting sqref="O31:O34">
    <cfRule type="expression" dxfId="74" priority="65">
      <formula>O31&lt;&gt;J31</formula>
    </cfRule>
  </conditionalFormatting>
  <conditionalFormatting sqref="R12:R16">
    <cfRule type="expression" dxfId="73" priority="64">
      <formula>R12&lt;&gt;M12</formula>
    </cfRule>
  </conditionalFormatting>
  <conditionalFormatting sqref="R18">
    <cfRule type="expression" dxfId="72" priority="63">
      <formula>R18&lt;&gt;M18</formula>
    </cfRule>
  </conditionalFormatting>
  <conditionalFormatting sqref="T18">
    <cfRule type="expression" dxfId="71" priority="62">
      <formula>T18&lt;&gt;O18</formula>
    </cfRule>
  </conditionalFormatting>
  <conditionalFormatting sqref="R19">
    <cfRule type="expression" dxfId="70" priority="61">
      <formula>R19&lt;&gt;M19</formula>
    </cfRule>
  </conditionalFormatting>
  <conditionalFormatting sqref="R20">
    <cfRule type="expression" dxfId="69" priority="60">
      <formula>R20&lt;&gt;M20</formula>
    </cfRule>
  </conditionalFormatting>
  <conditionalFormatting sqref="T13:T14">
    <cfRule type="expression" dxfId="68" priority="59">
      <formula>T13&lt;&gt;O13</formula>
    </cfRule>
  </conditionalFormatting>
  <conditionalFormatting sqref="T19:T20">
    <cfRule type="expression" dxfId="67" priority="58">
      <formula>T19&lt;&gt;O19</formula>
    </cfRule>
  </conditionalFormatting>
  <conditionalFormatting sqref="R31:R33">
    <cfRule type="expression" dxfId="66" priority="57">
      <formula>R31&lt;&gt;M31</formula>
    </cfRule>
  </conditionalFormatting>
  <conditionalFormatting sqref="T31:T33">
    <cfRule type="expression" dxfId="65" priority="56">
      <formula>T31&lt;&gt;O31</formula>
    </cfRule>
  </conditionalFormatting>
  <conditionalFormatting sqref="W12:W16">
    <cfRule type="expression" dxfId="64" priority="55">
      <formula>W12&lt;&gt;R12</formula>
    </cfRule>
  </conditionalFormatting>
  <conditionalFormatting sqref="W18">
    <cfRule type="expression" dxfId="63" priority="54">
      <formula>W18&lt;&gt;R18</formula>
    </cfRule>
  </conditionalFormatting>
  <conditionalFormatting sqref="Y18">
    <cfRule type="expression" dxfId="62" priority="53">
      <formula>Y18&lt;&gt;T18</formula>
    </cfRule>
  </conditionalFormatting>
  <conditionalFormatting sqref="W19">
    <cfRule type="expression" dxfId="61" priority="52">
      <formula>W19&lt;&gt;R19</formula>
    </cfRule>
  </conditionalFormatting>
  <conditionalFormatting sqref="W20">
    <cfRule type="expression" dxfId="60" priority="51">
      <formula>W20&lt;&gt;R20</formula>
    </cfRule>
  </conditionalFormatting>
  <conditionalFormatting sqref="Y13:Y14">
    <cfRule type="expression" dxfId="59" priority="50">
      <formula>Y13&lt;&gt;T13</formula>
    </cfRule>
  </conditionalFormatting>
  <conditionalFormatting sqref="Y19:Y20">
    <cfRule type="expression" dxfId="58" priority="49">
      <formula>Y19&lt;&gt;T19</formula>
    </cfRule>
  </conditionalFormatting>
  <conditionalFormatting sqref="W31:W33">
    <cfRule type="expression" dxfId="57" priority="48">
      <formula>W31&lt;&gt;R31</formula>
    </cfRule>
  </conditionalFormatting>
  <conditionalFormatting sqref="Y31:Y32">
    <cfRule type="expression" dxfId="56" priority="47">
      <formula>Y31&lt;&gt;T31</formula>
    </cfRule>
  </conditionalFormatting>
  <conditionalFormatting sqref="AB12:AB16">
    <cfRule type="expression" dxfId="55" priority="46">
      <formula>AB12&lt;&gt;W12</formula>
    </cfRule>
  </conditionalFormatting>
  <conditionalFormatting sqref="AB18">
    <cfRule type="expression" dxfId="54" priority="45">
      <formula>AB18&lt;&gt;W18</formula>
    </cfRule>
  </conditionalFormatting>
  <conditionalFormatting sqref="AD18">
    <cfRule type="expression" dxfId="53" priority="44">
      <formula>AD18&lt;&gt;Y18</formula>
    </cfRule>
  </conditionalFormatting>
  <conditionalFormatting sqref="AB19">
    <cfRule type="expression" dxfId="52" priority="43">
      <formula>AB19&lt;&gt;W19</formula>
    </cfRule>
  </conditionalFormatting>
  <conditionalFormatting sqref="AB20">
    <cfRule type="expression" dxfId="51" priority="42">
      <formula>AB20&lt;&gt;W20</formula>
    </cfRule>
  </conditionalFormatting>
  <conditionalFormatting sqref="AD13:AD14">
    <cfRule type="expression" dxfId="50" priority="41">
      <formula>AD13&lt;&gt;Y13</formula>
    </cfRule>
  </conditionalFormatting>
  <conditionalFormatting sqref="AD19:AD20">
    <cfRule type="expression" dxfId="49" priority="40">
      <formula>AD19&lt;&gt;Y19</formula>
    </cfRule>
  </conditionalFormatting>
  <conditionalFormatting sqref="AB31:AB33">
    <cfRule type="expression" dxfId="48" priority="39">
      <formula>AB31&lt;&gt;W31</formula>
    </cfRule>
  </conditionalFormatting>
  <conditionalFormatting sqref="AD31:AD32">
    <cfRule type="expression" dxfId="47" priority="38">
      <formula>AD31&lt;&gt;Y31</formula>
    </cfRule>
  </conditionalFormatting>
  <conditionalFormatting sqref="AG12:AG16">
    <cfRule type="expression" dxfId="46" priority="37">
      <formula>AG12&lt;&gt;AB12</formula>
    </cfRule>
  </conditionalFormatting>
  <conditionalFormatting sqref="AG18">
    <cfRule type="expression" dxfId="45" priority="36">
      <formula>AG18&lt;&gt;AB18</formula>
    </cfRule>
  </conditionalFormatting>
  <conditionalFormatting sqref="AI18">
    <cfRule type="expression" dxfId="44" priority="35">
      <formula>AI18&lt;&gt;AD18</formula>
    </cfRule>
  </conditionalFormatting>
  <conditionalFormatting sqref="AG19">
    <cfRule type="expression" dxfId="43" priority="34">
      <formula>AG19&lt;&gt;AB19</formula>
    </cfRule>
  </conditionalFormatting>
  <conditionalFormatting sqref="AG20">
    <cfRule type="expression" dxfId="42" priority="33">
      <formula>AG20&lt;&gt;AB20</formula>
    </cfRule>
  </conditionalFormatting>
  <conditionalFormatting sqref="AI13:AI14">
    <cfRule type="expression" dxfId="41" priority="32">
      <formula>AI13&lt;&gt;AD13</formula>
    </cfRule>
  </conditionalFormatting>
  <conditionalFormatting sqref="AI19:AI20">
    <cfRule type="expression" dxfId="40" priority="31">
      <formula>AI19&lt;&gt;AD19</formula>
    </cfRule>
  </conditionalFormatting>
  <conditionalFormatting sqref="AG31:AG33">
    <cfRule type="expression" dxfId="39" priority="30">
      <formula>AG31&lt;&gt;AB31</formula>
    </cfRule>
  </conditionalFormatting>
  <conditionalFormatting sqref="AI31:AI32">
    <cfRule type="expression" dxfId="38" priority="29">
      <formula>AI31&lt;&gt;AD31</formula>
    </cfRule>
  </conditionalFormatting>
  <conditionalFormatting sqref="AL12:AL16">
    <cfRule type="expression" dxfId="37" priority="28">
      <formula>AL12&lt;&gt;AG12</formula>
    </cfRule>
  </conditionalFormatting>
  <conditionalFormatting sqref="AL18">
    <cfRule type="expression" dxfId="36" priority="27">
      <formula>AL18&lt;&gt;AG18</formula>
    </cfRule>
  </conditionalFormatting>
  <conditionalFormatting sqref="AN18">
    <cfRule type="expression" dxfId="35" priority="26">
      <formula>AN18&lt;&gt;AI18</formula>
    </cfRule>
  </conditionalFormatting>
  <conditionalFormatting sqref="AL19">
    <cfRule type="expression" dxfId="34" priority="25">
      <formula>AL19&lt;&gt;AG19</formula>
    </cfRule>
  </conditionalFormatting>
  <conditionalFormatting sqref="AL20">
    <cfRule type="expression" dxfId="33" priority="24">
      <formula>AL20&lt;&gt;AG20</formula>
    </cfRule>
  </conditionalFormatting>
  <conditionalFormatting sqref="AN13:AN14">
    <cfRule type="expression" dxfId="32" priority="23">
      <formula>AN13&lt;&gt;AI13</formula>
    </cfRule>
  </conditionalFormatting>
  <conditionalFormatting sqref="AN19:AN20">
    <cfRule type="expression" dxfId="31" priority="22">
      <formula>AN19&lt;&gt;AI19</formula>
    </cfRule>
  </conditionalFormatting>
  <conditionalFormatting sqref="AL31:AL33">
    <cfRule type="expression" dxfId="30" priority="21">
      <formula>AL31&lt;&gt;AG31</formula>
    </cfRule>
  </conditionalFormatting>
  <conditionalFormatting sqref="AN31:AN32">
    <cfRule type="expression" dxfId="29" priority="20">
      <formula>AN31&lt;&gt;AI31</formula>
    </cfRule>
  </conditionalFormatting>
  <conditionalFormatting sqref="T34">
    <cfRule type="expression" dxfId="28" priority="19">
      <formula>T34&lt;&gt;O34</formula>
    </cfRule>
  </conditionalFormatting>
  <conditionalFormatting sqref="Y33">
    <cfRule type="expression" dxfId="27" priority="18">
      <formula>Y33&lt;&gt;T33</formula>
    </cfRule>
  </conditionalFormatting>
  <conditionalFormatting sqref="Y34">
    <cfRule type="expression" dxfId="26" priority="17">
      <formula>Y34&lt;&gt;T34</formula>
    </cfRule>
  </conditionalFormatting>
  <conditionalFormatting sqref="AD33">
    <cfRule type="expression" dxfId="25" priority="16">
      <formula>AD33&lt;&gt;Y33</formula>
    </cfRule>
  </conditionalFormatting>
  <conditionalFormatting sqref="AD34">
    <cfRule type="expression" dxfId="24" priority="15">
      <formula>AD34&lt;&gt;Y34</formula>
    </cfRule>
  </conditionalFormatting>
  <conditionalFormatting sqref="AN33">
    <cfRule type="expression" dxfId="23" priority="14">
      <formula>AN33&lt;&gt;AI33</formula>
    </cfRule>
  </conditionalFormatting>
  <conditionalFormatting sqref="AN34">
    <cfRule type="expression" dxfId="22" priority="13">
      <formula>AN34&lt;&gt;AI34</formula>
    </cfRule>
  </conditionalFormatting>
  <conditionalFormatting sqref="AI33">
    <cfRule type="expression" dxfId="21" priority="12">
      <formula>AI33&lt;&gt;AD33</formula>
    </cfRule>
  </conditionalFormatting>
  <conditionalFormatting sqref="AI34">
    <cfRule type="expression" dxfId="20" priority="11">
      <formula>AI34&lt;&gt;AD34</formula>
    </cfRule>
  </conditionalFormatting>
  <conditionalFormatting sqref="AQ12:AQ16">
    <cfRule type="expression" dxfId="19" priority="10">
      <formula>AQ12&lt;&gt;AL12</formula>
    </cfRule>
  </conditionalFormatting>
  <conditionalFormatting sqref="AQ18">
    <cfRule type="expression" dxfId="18" priority="9">
      <formula>AQ18&lt;&gt;AL18</formula>
    </cfRule>
  </conditionalFormatting>
  <conditionalFormatting sqref="AS18">
    <cfRule type="expression" dxfId="17" priority="8">
      <formula>AS18&lt;&gt;AN18</formula>
    </cfRule>
  </conditionalFormatting>
  <conditionalFormatting sqref="AQ19">
    <cfRule type="expression" dxfId="16" priority="7">
      <formula>AQ19&lt;&gt;AL19</formula>
    </cfRule>
  </conditionalFormatting>
  <conditionalFormatting sqref="AQ20">
    <cfRule type="expression" dxfId="15" priority="6">
      <formula>AQ20&lt;&gt;AL20</formula>
    </cfRule>
  </conditionalFormatting>
  <conditionalFormatting sqref="AS13:AS14">
    <cfRule type="expression" dxfId="14" priority="5">
      <formula>AS13&lt;&gt;AN13</formula>
    </cfRule>
  </conditionalFormatting>
  <conditionalFormatting sqref="AS19:AS20">
    <cfRule type="expression" dxfId="13" priority="4">
      <formula>AS19&lt;&gt;AN19</formula>
    </cfRule>
  </conditionalFormatting>
  <conditionalFormatting sqref="AQ31:AQ33">
    <cfRule type="expression" dxfId="12" priority="3">
      <formula>AQ31&lt;&gt;AL31</formula>
    </cfRule>
  </conditionalFormatting>
  <conditionalFormatting sqref="AS31:AS33">
    <cfRule type="expression" dxfId="11" priority="2">
      <formula>AS31&lt;&gt;AN31</formula>
    </cfRule>
  </conditionalFormatting>
  <conditionalFormatting sqref="AS34">
    <cfRule type="expression" dxfId="10" priority="1">
      <formula>AS34&lt;&gt;AN34</formula>
    </cfRule>
  </conditionalFormatting>
  <pageMargins left="0.7" right="0.7" top="0.78740157499999996" bottom="0.78740157499999996" header="0.3" footer="0.3"/>
  <pageSetup paperSize="9" orientation="portrait" verticalDpi="3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BI415"/>
  <sheetViews>
    <sheetView view="pageBreakPreview" topLeftCell="A4" zoomScaleNormal="100" zoomScaleSheetLayoutView="100" workbookViewId="0">
      <selection activeCell="F13" sqref="F13"/>
    </sheetView>
  </sheetViews>
  <sheetFormatPr baseColWidth="10" defaultColWidth="12.7109375" defaultRowHeight="18" customHeight="1"/>
  <cols>
    <col min="1" max="7" width="18.7109375" style="39" customWidth="1"/>
    <col min="8" max="8" width="18.7109375" style="46" customWidth="1"/>
    <col min="9" max="13" width="6.7109375" style="39" customWidth="1"/>
    <col min="14" max="20" width="12.7109375" style="40"/>
    <col min="21" max="21" width="13" style="40" bestFit="1" customWidth="1"/>
    <col min="22" max="22" width="12.7109375" style="40"/>
    <col min="23" max="25" width="12.7109375" style="40" customWidth="1"/>
    <col min="26" max="29" width="6.7109375" style="40" customWidth="1"/>
    <col min="30" max="30" width="6.7109375" style="43" customWidth="1"/>
    <col min="31" max="35" width="12.7109375" style="40"/>
    <col min="36" max="36" width="14.42578125" style="40" bestFit="1" customWidth="1"/>
    <col min="37" max="50" width="12.7109375" style="40"/>
    <col min="51" max="51" width="12.7109375" style="307"/>
    <col min="52" max="52" width="12.7109375" style="40"/>
    <col min="53" max="54" width="12.7109375" style="39"/>
    <col min="55" max="55" width="12.7109375" style="307"/>
    <col min="56" max="59" width="12.7109375" style="43"/>
    <col min="60" max="16384" width="12.7109375" style="40"/>
  </cols>
  <sheetData>
    <row r="1" spans="1:59" ht="18" customHeight="1">
      <c r="A1" s="39">
        <v>1</v>
      </c>
      <c r="B1" s="39">
        <v>2</v>
      </c>
      <c r="C1" s="39">
        <v>3</v>
      </c>
      <c r="D1" s="39">
        <v>4</v>
      </c>
      <c r="E1" s="39">
        <v>5</v>
      </c>
      <c r="F1" s="39">
        <v>6</v>
      </c>
      <c r="G1" s="39">
        <v>7</v>
      </c>
      <c r="H1" s="39">
        <v>8</v>
      </c>
      <c r="I1" s="39">
        <v>9</v>
      </c>
      <c r="J1" s="39">
        <v>10</v>
      </c>
      <c r="K1" s="39">
        <v>11</v>
      </c>
      <c r="L1" s="39">
        <v>12</v>
      </c>
      <c r="M1" s="39">
        <v>13</v>
      </c>
      <c r="N1" s="39">
        <v>14</v>
      </c>
      <c r="O1" s="39">
        <v>15</v>
      </c>
      <c r="P1" s="39">
        <v>16</v>
      </c>
      <c r="Q1" s="39">
        <v>17</v>
      </c>
      <c r="R1" s="39">
        <v>18</v>
      </c>
      <c r="S1" s="39">
        <v>19</v>
      </c>
      <c r="T1" s="39">
        <v>20</v>
      </c>
      <c r="U1" s="39">
        <v>21</v>
      </c>
      <c r="V1" s="39">
        <v>22</v>
      </c>
      <c r="W1" s="39">
        <v>23</v>
      </c>
      <c r="X1" s="39">
        <v>24</v>
      </c>
      <c r="Y1" s="39">
        <v>25</v>
      </c>
      <c r="Z1" s="39">
        <v>26</v>
      </c>
      <c r="AA1" s="39">
        <v>27</v>
      </c>
      <c r="AB1" s="39">
        <v>28</v>
      </c>
      <c r="AC1" s="39">
        <v>29</v>
      </c>
      <c r="AD1" s="39">
        <v>30</v>
      </c>
      <c r="AE1" s="39">
        <v>31</v>
      </c>
      <c r="AF1" s="39">
        <v>32</v>
      </c>
      <c r="AG1" s="39">
        <v>33</v>
      </c>
      <c r="AH1" s="39">
        <v>34</v>
      </c>
      <c r="AI1" s="39">
        <v>35</v>
      </c>
      <c r="AJ1" s="39">
        <v>36</v>
      </c>
      <c r="AK1" s="39">
        <v>37</v>
      </c>
      <c r="AL1" s="39">
        <v>38</v>
      </c>
      <c r="AM1" s="39">
        <v>39</v>
      </c>
      <c r="AN1" s="39">
        <v>40</v>
      </c>
      <c r="AO1" s="39">
        <v>41</v>
      </c>
      <c r="AP1" s="39">
        <v>42</v>
      </c>
      <c r="AQ1" s="39">
        <v>43</v>
      </c>
      <c r="AR1" s="39">
        <v>44</v>
      </c>
      <c r="AS1" s="39">
        <v>45</v>
      </c>
      <c r="AT1" s="39">
        <v>46</v>
      </c>
      <c r="AU1" s="39">
        <v>47</v>
      </c>
      <c r="AV1" s="39">
        <v>48</v>
      </c>
      <c r="AW1" s="39">
        <v>49</v>
      </c>
      <c r="AX1" s="39">
        <v>50</v>
      </c>
      <c r="AY1" s="39">
        <v>51</v>
      </c>
      <c r="AZ1" s="39">
        <v>52</v>
      </c>
      <c r="BC1" s="411"/>
      <c r="BD1" s="47"/>
      <c r="BE1" s="47"/>
      <c r="BF1" s="47"/>
      <c r="BG1" s="47"/>
    </row>
    <row r="2" spans="1:59" ht="18" customHeight="1">
      <c r="A2" s="102" t="s">
        <v>2405</v>
      </c>
      <c r="N2" s="60" t="str">
        <f>CONCATENATE(A13," ",C14," x ",C13," x ",C15)</f>
        <v>MEGANT 310 x 60 x 40</v>
      </c>
      <c r="O2" s="67"/>
      <c r="R2" s="43"/>
      <c r="U2" s="43"/>
      <c r="V2" s="60"/>
      <c r="W2" s="60"/>
      <c r="AD2" s="40"/>
      <c r="AE2" s="253" t="str">
        <f>CONCATENATE(A13," ",C14," x ",C13," x ",C15," mit Verstärkung")</f>
        <v>MEGANT 310 x 60 x 40 mit Verstärkung</v>
      </c>
      <c r="AP2" s="310"/>
      <c r="AQ2" s="310"/>
      <c r="AR2" s="310"/>
      <c r="AS2" s="49"/>
      <c r="AT2" s="983"/>
      <c r="AU2" s="983"/>
      <c r="AV2" s="49"/>
      <c r="AW2" s="310"/>
      <c r="AZ2" s="43"/>
    </row>
    <row r="3" spans="1:59" ht="18" customHeight="1">
      <c r="A3" s="102" t="s">
        <v>2407</v>
      </c>
      <c r="N3" s="66" t="s">
        <v>235</v>
      </c>
      <c r="O3" s="66" t="s">
        <v>236</v>
      </c>
      <c r="P3" s="66" t="s">
        <v>96</v>
      </c>
      <c r="Q3" s="305" t="s">
        <v>284</v>
      </c>
      <c r="R3" s="305" t="s">
        <v>285</v>
      </c>
      <c r="S3" s="305" t="s">
        <v>286</v>
      </c>
      <c r="T3" s="66" t="s">
        <v>244</v>
      </c>
      <c r="U3" s="66" t="s">
        <v>245</v>
      </c>
      <c r="V3" s="66" t="s">
        <v>237</v>
      </c>
      <c r="W3" s="66" t="s">
        <v>238</v>
      </c>
      <c r="AD3" s="40"/>
      <c r="AE3" s="984" t="s">
        <v>1777</v>
      </c>
      <c r="AF3" s="985" t="s">
        <v>1778</v>
      </c>
      <c r="AG3" s="985" t="s">
        <v>1779</v>
      </c>
      <c r="AH3" s="986" t="s">
        <v>1780</v>
      </c>
      <c r="AI3" s="986" t="s">
        <v>1781</v>
      </c>
      <c r="AJ3" s="987" t="s">
        <v>1782</v>
      </c>
      <c r="AK3" s="987" t="s">
        <v>1783</v>
      </c>
      <c r="AL3" s="988" t="s">
        <v>1784</v>
      </c>
      <c r="AM3" s="988" t="s">
        <v>1785</v>
      </c>
      <c r="AN3" s="988" t="s">
        <v>1786</v>
      </c>
      <c r="AO3" s="305" t="s">
        <v>284</v>
      </c>
      <c r="AP3" s="305" t="s">
        <v>285</v>
      </c>
      <c r="AQ3" s="305" t="s">
        <v>286</v>
      </c>
      <c r="AR3" s="988" t="s">
        <v>1787</v>
      </c>
      <c r="AS3" s="988" t="s">
        <v>1788</v>
      </c>
      <c r="AT3" s="988" t="s">
        <v>1789</v>
      </c>
      <c r="AU3" s="988" t="s">
        <v>1790</v>
      </c>
      <c r="AV3" s="989" t="s">
        <v>1791</v>
      </c>
      <c r="AW3" s="989" t="s">
        <v>1792</v>
      </c>
      <c r="AY3" s="990" t="s">
        <v>1793</v>
      </c>
      <c r="AZ3" s="991" t="s">
        <v>1794</v>
      </c>
    </row>
    <row r="4" spans="1:59" ht="18" customHeight="1">
      <c r="N4" s="66" t="s">
        <v>97</v>
      </c>
      <c r="O4" s="66" t="s">
        <v>97</v>
      </c>
      <c r="P4" s="66" t="s">
        <v>97</v>
      </c>
      <c r="Q4" s="66" t="s">
        <v>98</v>
      </c>
      <c r="R4" s="66" t="s">
        <v>98</v>
      </c>
      <c r="S4" s="66" t="s">
        <v>98</v>
      </c>
      <c r="T4" s="66" t="s">
        <v>99</v>
      </c>
      <c r="U4" s="66" t="s">
        <v>99</v>
      </c>
      <c r="V4" s="66" t="s">
        <v>99</v>
      </c>
      <c r="W4" s="66" t="s">
        <v>99</v>
      </c>
      <c r="AD4" s="40"/>
      <c r="AE4" s="984" t="s">
        <v>124</v>
      </c>
      <c r="AF4" s="984" t="s">
        <v>99</v>
      </c>
      <c r="AG4" s="984" t="s">
        <v>99</v>
      </c>
      <c r="AH4" s="992" t="s">
        <v>124</v>
      </c>
      <c r="AI4" s="986" t="s">
        <v>124</v>
      </c>
      <c r="AJ4" s="986" t="s">
        <v>99</v>
      </c>
      <c r="AK4" s="986" t="s">
        <v>99</v>
      </c>
      <c r="AL4" s="988" t="s">
        <v>97</v>
      </c>
      <c r="AM4" s="988" t="s">
        <v>97</v>
      </c>
      <c r="AN4" s="988" t="s">
        <v>97</v>
      </c>
      <c r="AO4" s="988" t="s">
        <v>98</v>
      </c>
      <c r="AP4" s="988" t="s">
        <v>98</v>
      </c>
      <c r="AQ4" s="988" t="s">
        <v>98</v>
      </c>
      <c r="AR4" s="988" t="s">
        <v>99</v>
      </c>
      <c r="AS4" s="988" t="s">
        <v>99</v>
      </c>
      <c r="AT4" s="988" t="s">
        <v>99</v>
      </c>
      <c r="AU4" s="988" t="s">
        <v>99</v>
      </c>
      <c r="AV4" s="988" t="s">
        <v>99</v>
      </c>
      <c r="AW4" s="988" t="s">
        <v>99</v>
      </c>
      <c r="AY4" s="993" t="s">
        <v>99</v>
      </c>
      <c r="AZ4" s="994" t="s">
        <v>99</v>
      </c>
    </row>
    <row r="5" spans="1:59" ht="18" customHeight="1">
      <c r="N5" s="435">
        <f ca="1">(SUMPRODUCT(P138:P211,N138:N211)+O26/3*O16^2)/1000000</f>
        <v>6.0098584268543229</v>
      </c>
      <c r="O5" s="436">
        <f ca="1">(SUMPRODUCT(P233:P306,N233:N306)+U26/3*U16^2)/1000000</f>
        <v>4.847242517186606</v>
      </c>
      <c r="P5" s="694">
        <f ca="1">MIN(N5,O5)</f>
        <v>4.847242517186606</v>
      </c>
      <c r="Q5" s="434" t="e">
        <f ca="1">(O16^3*O26/3/O17+O16^2*O55-2*O16*O56+O57)/1000000</f>
        <v>#DIV/0!</v>
      </c>
      <c r="R5" s="434">
        <f ca="1">(U16^3*U26/3/U17+U16^2*U55-2*U16*U56+U57)/1000000</f>
        <v>1776.9579981532784</v>
      </c>
      <c r="S5" s="695" t="e">
        <f ca="1">1/(1/Q5+1/R5)</f>
        <v>#DIV/0!</v>
      </c>
      <c r="T5" s="437">
        <f>O16</f>
        <v>264.93008411673691</v>
      </c>
      <c r="U5" s="438">
        <f>U16</f>
        <v>25.056360623671956</v>
      </c>
      <c r="V5" s="434">
        <f ca="1">O65</f>
        <v>0</v>
      </c>
      <c r="W5" s="995">
        <f ca="1">U65</f>
        <v>94.616111555086732</v>
      </c>
      <c r="AD5" s="40"/>
      <c r="AE5" s="996" t="str">
        <f>IF(C92="ja",C97,"")</f>
        <v/>
      </c>
      <c r="AF5" s="997" t="str">
        <f>IF(C92="ja",C96,"")</f>
        <v/>
      </c>
      <c r="AG5" s="997" t="str">
        <f>IF(C92="ja",C94,"")</f>
        <v/>
      </c>
      <c r="AH5" s="986" t="str">
        <f>IF(C56="ja",Eingabe!C123,"")</f>
        <v/>
      </c>
      <c r="AI5" s="998" t="str">
        <f>IF(C56="ja",C58,"")</f>
        <v/>
      </c>
      <c r="AJ5" s="999"/>
      <c r="AK5" s="999"/>
      <c r="AL5" s="1000">
        <f ca="1">(SUMPRODUCT(AG132:AG217,AE132:AE217)+O26/3*O16^2)/1000000</f>
        <v>6.0098584268543229</v>
      </c>
      <c r="AM5" s="1001">
        <f ca="1">(SUMPRODUCT(AG230:AG309,AE230:AE309)+AL26/3*AL16^2)/1000000</f>
        <v>4.8472430481713564</v>
      </c>
      <c r="AN5" s="1000">
        <f ca="1">MIN(AL5,AM5)</f>
        <v>4.8472430481713564</v>
      </c>
      <c r="AO5" s="1002" t="e">
        <f ca="1">(AF16^3*AF26/3/AF17+AF16^2*AF55-2*AF16*AF56+AF57)/1000000</f>
        <v>#DIV/0!</v>
      </c>
      <c r="AP5" s="1002">
        <f ca="1">(AL16^3*AL26/3/AL17+AL16^2*AL55-2*AL16*AL56+AL57)/1000000</f>
        <v>1776.956317901288</v>
      </c>
      <c r="AQ5" s="1002" t="e">
        <f ca="1">1/(1/AO5+1/AP5)</f>
        <v>#DIV/0!</v>
      </c>
      <c r="AR5" s="994">
        <f>AF16</f>
        <v>265.11098920747474</v>
      </c>
      <c r="AS5" s="994">
        <f>AL16</f>
        <v>25.056650722571181</v>
      </c>
      <c r="AT5" s="1003">
        <f ca="1">AF65</f>
        <v>0</v>
      </c>
      <c r="AU5" s="1004">
        <f ca="1">AL65</f>
        <v>94.616210086810483</v>
      </c>
      <c r="AV5" s="1005" t="e">
        <f ca="1">AF17</f>
        <v>#DIV/0!</v>
      </c>
      <c r="AW5" s="1005">
        <f ca="1">AL17</f>
        <v>6.8350400514565687E-2</v>
      </c>
      <c r="AY5" s="1002">
        <f>C39</f>
        <v>108</v>
      </c>
      <c r="AZ5" s="1002">
        <f>C40</f>
        <v>410</v>
      </c>
    </row>
    <row r="6" spans="1:59" ht="18" customHeight="1">
      <c r="P6" s="66" t="s">
        <v>1858</v>
      </c>
      <c r="Q6" s="305" t="s">
        <v>698</v>
      </c>
      <c r="R6" s="305" t="s">
        <v>699</v>
      </c>
      <c r="S6" s="305" t="s">
        <v>700</v>
      </c>
      <c r="AD6" s="40"/>
      <c r="AE6" s="1576" t="s">
        <v>1795</v>
      </c>
      <c r="AF6" s="1577"/>
      <c r="AG6" s="1578"/>
      <c r="AH6" s="1579" t="s">
        <v>234</v>
      </c>
      <c r="AI6" s="1580"/>
      <c r="AJ6" s="1580"/>
      <c r="AK6" s="1581"/>
      <c r="AL6" s="1566" t="s">
        <v>1796</v>
      </c>
      <c r="AM6" s="1567"/>
      <c r="AN6" s="1006">
        <f ca="1">AN5/P5</f>
        <v>1.0000001095436732</v>
      </c>
      <c r="AO6" s="1566" t="s">
        <v>1796</v>
      </c>
      <c r="AP6" s="1567"/>
      <c r="AQ6" s="1007" t="e">
        <f ca="1">(AQ5)/S5</f>
        <v>#DIV/0!</v>
      </c>
      <c r="AY6" s="40"/>
    </row>
    <row r="7" spans="1:59" ht="18" customHeight="1">
      <c r="P7" s="435" t="e">
        <f ca="1">_xlfn.XLOOKUP(P8,Eingabe!$EG$5:$EG$32,Eingabe!$CT$5:$CT$32,0,0,1)</f>
        <v>#DIV/0!</v>
      </c>
      <c r="Q7" s="434" t="e">
        <f ca="1">3/2*Q5</f>
        <v>#DIV/0!</v>
      </c>
      <c r="R7" s="434">
        <f ca="1">3/2*R5</f>
        <v>2665.4369972299173</v>
      </c>
      <c r="S7" s="695" t="e">
        <f ca="1">3/2*S5</f>
        <v>#DIV/0!</v>
      </c>
      <c r="AD7" s="40"/>
      <c r="AF7" s="43"/>
      <c r="AN7" s="66" t="s">
        <v>1858</v>
      </c>
      <c r="AO7" s="305" t="s">
        <v>698</v>
      </c>
      <c r="AP7" s="305" t="s">
        <v>699</v>
      </c>
      <c r="AQ7" s="305" t="s">
        <v>700</v>
      </c>
      <c r="AY7" s="40"/>
    </row>
    <row r="8" spans="1:59" ht="18" customHeight="1">
      <c r="O8" s="96" t="s">
        <v>1859</v>
      </c>
      <c r="P8" s="1189" t="e">
        <f ca="1">MAX(Eingabe!$EG$5:$EG$32)</f>
        <v>#DIV/0!</v>
      </c>
      <c r="AD8" s="40"/>
      <c r="AF8" s="43"/>
      <c r="AN8" s="435" t="e">
        <f ca="1">_xlfn.XLOOKUP(AN9,Eingabe!$EG$37:$EG$64,Eingabe!$CT$37:$CT$64,0,0,1)</f>
        <v>#DIV/0!</v>
      </c>
      <c r="AO8" s="434" t="e">
        <f ca="1">3/2*AO5</f>
        <v>#DIV/0!</v>
      </c>
      <c r="AP8" s="434">
        <f ca="1">3/2*AP5</f>
        <v>2665.4344768519322</v>
      </c>
      <c r="AQ8" s="695" t="e">
        <f ca="1">3/2*AQ5</f>
        <v>#DIV/0!</v>
      </c>
      <c r="AY8" s="40"/>
    </row>
    <row r="9" spans="1:59" ht="18" customHeight="1">
      <c r="O9" s="96" t="s">
        <v>1861</v>
      </c>
      <c r="P9" s="1189" t="e">
        <f ca="1">MAX(Eingabe!$EQ$5:$EQ$32)</f>
        <v>#DIV/0!</v>
      </c>
      <c r="AD9" s="40"/>
      <c r="AF9" s="43"/>
      <c r="AM9" s="96" t="s">
        <v>1860</v>
      </c>
      <c r="AN9" s="1189" t="e">
        <f ca="1">MAX(Eingabe!$EG$37:$EG$65)</f>
        <v>#DIV/0!</v>
      </c>
      <c r="AY9" s="40"/>
    </row>
    <row r="10" spans="1:59" ht="18" customHeight="1">
      <c r="AD10" s="40"/>
      <c r="AF10" s="43"/>
      <c r="AM10" s="96" t="s">
        <v>1861</v>
      </c>
      <c r="AN10" s="1189" t="e">
        <f ca="1">MAX(Eingabe!$EQ$37:$EQ$65)</f>
        <v>#DIV/0!</v>
      </c>
      <c r="AY10" s="40"/>
    </row>
    <row r="11" spans="1:59" ht="18" customHeight="1">
      <c r="N11" s="140" t="s">
        <v>682</v>
      </c>
      <c r="O11" s="54"/>
      <c r="P11" s="55"/>
      <c r="Q11" s="55"/>
      <c r="R11" s="55"/>
      <c r="S11" s="55"/>
      <c r="T11" s="55"/>
      <c r="U11" s="55"/>
      <c r="V11" s="55"/>
      <c r="W11" s="56"/>
      <c r="AD11" s="40"/>
      <c r="AE11" s="140" t="s">
        <v>682</v>
      </c>
      <c r="AF11" s="54"/>
      <c r="AG11" s="55"/>
      <c r="AH11" s="55"/>
      <c r="AI11" s="55"/>
      <c r="AJ11" s="55"/>
      <c r="AK11" s="55"/>
      <c r="AL11" s="55"/>
      <c r="AM11" s="55"/>
      <c r="AN11" s="56"/>
      <c r="AY11" s="40"/>
    </row>
    <row r="12" spans="1:59" ht="18" customHeight="1">
      <c r="N12" s="86" t="s">
        <v>928</v>
      </c>
      <c r="O12" s="67"/>
      <c r="P12" s="60"/>
      <c r="Q12" s="60"/>
      <c r="R12" s="60"/>
      <c r="S12" s="60"/>
      <c r="T12" s="60"/>
      <c r="U12" s="60"/>
      <c r="V12" s="60"/>
      <c r="W12" s="61"/>
      <c r="AD12" s="40"/>
      <c r="AE12" s="86" t="s">
        <v>928</v>
      </c>
      <c r="AF12" s="67"/>
      <c r="AG12" s="60"/>
      <c r="AH12" s="60"/>
      <c r="AI12" s="60"/>
      <c r="AJ12" s="60"/>
      <c r="AK12" s="60"/>
      <c r="AL12" s="60"/>
      <c r="AM12" s="60"/>
      <c r="AN12" s="61"/>
      <c r="AY12" s="40"/>
    </row>
    <row r="13" spans="1:59" ht="18" customHeight="1">
      <c r="A13" s="109" t="s">
        <v>12</v>
      </c>
      <c r="B13" s="54" t="s">
        <v>110</v>
      </c>
      <c r="C13" s="143">
        <f>VLOOKUP(Eingabe!C53,MKW!A92:AZ113,22,FALSE)</f>
        <v>60</v>
      </c>
      <c r="D13" s="138" t="s">
        <v>2</v>
      </c>
      <c r="G13" s="50"/>
      <c r="N13" s="40" t="s">
        <v>683</v>
      </c>
      <c r="AD13" s="40"/>
      <c r="AY13" s="40"/>
    </row>
    <row r="14" spans="1:59" ht="18" customHeight="1">
      <c r="A14" s="68"/>
      <c r="B14" s="87" t="s">
        <v>109</v>
      </c>
      <c r="C14" s="58">
        <f>VLOOKUP(Eingabe!C53,MKW!A92:AZ113,21,FALSE)</f>
        <v>310</v>
      </c>
      <c r="D14" s="64" t="s">
        <v>2</v>
      </c>
      <c r="G14" s="50"/>
      <c r="AD14" s="40"/>
      <c r="AE14" s="1008"/>
      <c r="AH14" s="432"/>
      <c r="AK14" s="1008"/>
      <c r="AY14" s="40"/>
    </row>
    <row r="15" spans="1:59" ht="18" customHeight="1">
      <c r="A15" s="68"/>
      <c r="B15" s="39" t="s">
        <v>104</v>
      </c>
      <c r="C15" s="58">
        <f>VLOOKUP(Eingabe!C53,MKW!A92:AZ113,23,FALSE)</f>
        <v>40</v>
      </c>
      <c r="D15" s="64" t="s">
        <v>2</v>
      </c>
      <c r="G15" s="50"/>
      <c r="K15" s="40"/>
      <c r="L15" s="40"/>
      <c r="N15" s="160" t="s">
        <v>6</v>
      </c>
      <c r="O15" s="62"/>
      <c r="P15" s="62"/>
      <c r="Q15" s="63"/>
      <c r="T15" s="160" t="s">
        <v>7</v>
      </c>
      <c r="U15" s="161"/>
      <c r="V15" s="161"/>
      <c r="W15" s="1009"/>
      <c r="AD15" s="40"/>
      <c r="AE15" s="160" t="s">
        <v>6</v>
      </c>
      <c r="AF15" s="62"/>
      <c r="AG15" s="62"/>
      <c r="AH15" s="1010"/>
      <c r="AI15" s="1011"/>
      <c r="AK15" s="160" t="s">
        <v>7</v>
      </c>
      <c r="AL15" s="161"/>
      <c r="AM15" s="161"/>
      <c r="AN15" s="1009"/>
      <c r="AY15" s="40"/>
      <c r="BC15" s="40"/>
      <c r="BD15" s="40"/>
      <c r="BE15" s="40"/>
      <c r="BF15" s="40"/>
      <c r="BG15" s="40"/>
    </row>
    <row r="16" spans="1:59" ht="18" customHeight="1">
      <c r="A16" s="68"/>
      <c r="B16" s="39" t="s">
        <v>217</v>
      </c>
      <c r="C16" s="58" t="str">
        <f>Eingabe!C54</f>
        <v>Hauptträger/Stütze</v>
      </c>
      <c r="D16" s="64"/>
      <c r="F16" s="50"/>
      <c r="G16" s="50"/>
      <c r="K16" s="40"/>
      <c r="L16" s="40"/>
      <c r="N16" s="149" t="s">
        <v>247</v>
      </c>
      <c r="O16" s="430">
        <v>264.93008411673691</v>
      </c>
      <c r="P16" s="55" t="s">
        <v>2</v>
      </c>
      <c r="Q16" s="1012" t="e">
        <f ca="1">O16-O39</f>
        <v>#DIV/0!</v>
      </c>
      <c r="T16" s="149" t="s">
        <v>247</v>
      </c>
      <c r="U16" s="430">
        <v>25.056360623671956</v>
      </c>
      <c r="V16" s="55" t="s">
        <v>2</v>
      </c>
      <c r="W16" s="1013">
        <f ca="1">U16-U39</f>
        <v>-1.7505612625992981</v>
      </c>
      <c r="Y16" s="307"/>
      <c r="Z16" s="307"/>
      <c r="AA16" s="307"/>
      <c r="AB16" s="307"/>
      <c r="AC16" s="307"/>
      <c r="AD16" s="307"/>
      <c r="AE16" s="149" t="s">
        <v>247</v>
      </c>
      <c r="AF16" s="430">
        <v>265.11098920747474</v>
      </c>
      <c r="AG16" s="55" t="s">
        <v>2</v>
      </c>
      <c r="AH16" s="1014" t="e">
        <f ca="1">IF(AF33&lt;&gt;0,AF42-AF43,IF(AND(AF33=0,AF52&lt;1.01,AF52&gt;0.99),0,"FEHLER"))</f>
        <v>#DIV/0!</v>
      </c>
      <c r="AI16" s="408" t="s">
        <v>1797</v>
      </c>
      <c r="AJ16" s="47"/>
      <c r="AK16" s="149" t="s">
        <v>247</v>
      </c>
      <c r="AL16" s="430">
        <v>25.056650722571181</v>
      </c>
      <c r="AM16" s="55" t="s">
        <v>2</v>
      </c>
      <c r="AN16" s="1013">
        <f ca="1">AL16-AL42</f>
        <v>-1.7502698927722626</v>
      </c>
      <c r="AO16" s="408" t="s">
        <v>1797</v>
      </c>
      <c r="AY16" s="40"/>
      <c r="BC16" s="40"/>
      <c r="BD16" s="40"/>
      <c r="BE16" s="40"/>
      <c r="BF16" s="40"/>
      <c r="BG16" s="40"/>
    </row>
    <row r="17" spans="1:61" ht="18" customHeight="1">
      <c r="A17" s="69"/>
      <c r="B17" s="37" t="s">
        <v>120</v>
      </c>
      <c r="C17" s="148" t="s">
        <v>681</v>
      </c>
      <c r="D17" s="65"/>
      <c r="F17" s="50"/>
      <c r="G17" s="50"/>
      <c r="K17" s="40"/>
      <c r="L17" s="40"/>
      <c r="M17" s="40"/>
      <c r="N17" s="69" t="s">
        <v>139</v>
      </c>
      <c r="O17" s="150" t="e">
        <f ca="1">O16*R221/MAX(N138:N211)</f>
        <v>#DIV/0!</v>
      </c>
      <c r="P17" s="59" t="s">
        <v>2</v>
      </c>
      <c r="Q17" s="1015" t="e">
        <f ca="1">wc/O20</f>
        <v>#DIV/0!</v>
      </c>
      <c r="T17" s="69" t="s">
        <v>283</v>
      </c>
      <c r="U17" s="150">
        <f ca="1">U16*R313/MAX(N233:N306)</f>
        <v>6.8349537055600387E-2</v>
      </c>
      <c r="V17" s="59" t="s">
        <v>2</v>
      </c>
      <c r="W17" s="1016"/>
      <c r="Y17" s="43"/>
      <c r="Z17" s="43"/>
      <c r="AA17" s="43"/>
      <c r="AB17" s="43"/>
      <c r="AC17" s="43"/>
      <c r="AE17" s="69" t="s">
        <v>283</v>
      </c>
      <c r="AF17" s="150" t="e">
        <f ca="1">AF16*AF35/AE221</f>
        <v>#DIV/0!</v>
      </c>
      <c r="AG17" s="59" t="s">
        <v>2</v>
      </c>
      <c r="AH17" s="1017" t="e">
        <f ca="1">AF17-AF20</f>
        <v>#DIV/0!</v>
      </c>
      <c r="AI17" s="40" t="s">
        <v>1798</v>
      </c>
      <c r="AK17" s="69" t="s">
        <v>139</v>
      </c>
      <c r="AL17" s="150">
        <f ca="1">AL16*AI313/AE313</f>
        <v>6.8350400514565687E-2</v>
      </c>
      <c r="AM17" s="59" t="s">
        <v>2</v>
      </c>
      <c r="AN17" s="1016"/>
      <c r="AY17" s="40"/>
      <c r="BC17" s="40"/>
      <c r="BD17" s="40"/>
      <c r="BE17" s="40"/>
      <c r="BF17" s="40"/>
      <c r="BG17" s="40"/>
    </row>
    <row r="18" spans="1:61" ht="18" customHeight="1">
      <c r="K18" s="40"/>
      <c r="L18" s="40"/>
      <c r="M18" s="40"/>
      <c r="W18" s="43"/>
      <c r="Y18" s="253"/>
      <c r="Z18" s="253"/>
      <c r="AA18" s="253"/>
      <c r="AB18" s="253"/>
      <c r="AC18" s="253"/>
      <c r="AD18" s="253"/>
      <c r="AE18" s="1018"/>
      <c r="AF18" s="408"/>
      <c r="AN18" s="43"/>
      <c r="AY18" s="40"/>
      <c r="AZ18" s="43"/>
      <c r="BC18" s="40"/>
      <c r="BD18" s="40"/>
      <c r="BE18" s="40"/>
      <c r="BF18" s="40"/>
      <c r="BG18" s="40"/>
    </row>
    <row r="19" spans="1:61" ht="18" customHeight="1">
      <c r="F19" s="50"/>
      <c r="G19" s="50"/>
      <c r="K19" s="40"/>
      <c r="L19" s="40"/>
      <c r="M19" s="40"/>
      <c r="N19" s="51" t="s">
        <v>145</v>
      </c>
      <c r="O19" s="96"/>
      <c r="T19" s="51" t="s">
        <v>274</v>
      </c>
      <c r="U19" s="42"/>
      <c r="V19" s="42"/>
      <c r="W19" s="347"/>
      <c r="AD19" s="40"/>
      <c r="AE19" s="51" t="s">
        <v>145</v>
      </c>
      <c r="AK19" s="51" t="s">
        <v>274</v>
      </c>
      <c r="AL19" s="42"/>
      <c r="AM19" s="42"/>
      <c r="AN19" s="347"/>
      <c r="AY19" s="40"/>
      <c r="AZ19" s="43"/>
      <c r="BC19" s="40"/>
      <c r="BD19" s="40"/>
      <c r="BE19" s="40"/>
      <c r="BF19" s="40"/>
      <c r="BG19" s="40"/>
      <c r="BI19" s="432"/>
    </row>
    <row r="20" spans="1:61" ht="18" customHeight="1">
      <c r="A20" s="107" t="s">
        <v>6</v>
      </c>
      <c r="B20" s="686"/>
      <c r="C20" s="693" t="str">
        <f>Eingabe!C17</f>
        <v>GL24h</v>
      </c>
      <c r="D20" s="290"/>
      <c r="F20" s="102"/>
      <c r="G20" s="102"/>
      <c r="K20" s="40"/>
      <c r="L20" s="40"/>
      <c r="M20" s="40"/>
      <c r="N20" s="103" t="s">
        <v>139</v>
      </c>
      <c r="O20" s="308">
        <v>1.9847056378229762</v>
      </c>
      <c r="P20" s="97" t="s">
        <v>2</v>
      </c>
      <c r="Q20" s="105"/>
      <c r="T20" s="103"/>
      <c r="U20" s="431"/>
      <c r="V20" s="97"/>
      <c r="W20" s="348"/>
      <c r="AD20" s="40"/>
      <c r="AE20" s="103" t="s">
        <v>139</v>
      </c>
      <c r="AF20" s="431">
        <f>IF(C92="ja",AI224*(AE224+C98)/AE224,AH20)</f>
        <v>1.990541705519471</v>
      </c>
      <c r="AG20" s="97" t="s">
        <v>2</v>
      </c>
      <c r="AH20" s="1019">
        <v>1.990541705519471</v>
      </c>
      <c r="AI20" s="408"/>
      <c r="AK20" s="103"/>
      <c r="AL20" s="431"/>
      <c r="AM20" s="97"/>
      <c r="AN20" s="348"/>
      <c r="AY20" s="40"/>
      <c r="AZ20" s="43"/>
      <c r="BC20" s="40"/>
      <c r="BD20" s="40"/>
      <c r="BE20" s="40"/>
      <c r="BF20" s="40"/>
      <c r="BG20" s="40"/>
      <c r="BI20" s="432"/>
    </row>
    <row r="21" spans="1:61" ht="18" customHeight="1">
      <c r="A21" s="68"/>
      <c r="B21" s="687" t="s">
        <v>684</v>
      </c>
      <c r="C21" s="303">
        <f>HLOOKUP(C20,MKW!$E$3:$AS$22,19,0)</f>
        <v>385</v>
      </c>
      <c r="D21" s="304" t="s">
        <v>115</v>
      </c>
      <c r="F21" s="102"/>
      <c r="G21" s="102"/>
      <c r="K21" s="40"/>
      <c r="L21" s="40"/>
      <c r="M21" s="40"/>
      <c r="N21" s="68" t="s">
        <v>138</v>
      </c>
      <c r="O21" s="146">
        <f>IF(OR(C357=0,C357=1),1.7,IF(OR(C357=2,C357=3),1.6,0))</f>
        <v>1.7</v>
      </c>
      <c r="P21" s="50" t="s">
        <v>124</v>
      </c>
      <c r="Q21" s="104"/>
      <c r="T21" s="68"/>
      <c r="U21" s="39"/>
      <c r="V21" s="39"/>
      <c r="W21" s="349"/>
      <c r="AD21" s="40"/>
      <c r="AE21" s="68" t="s">
        <v>138</v>
      </c>
      <c r="AF21" s="146">
        <f>IF(OR(O357=0,O357=1),1.7,IF(OR(O357=2,O357=3),1.6,0))</f>
        <v>1.7</v>
      </c>
      <c r="AG21" s="50"/>
      <c r="AH21" s="104"/>
      <c r="AK21" s="68"/>
      <c r="AL21" s="39"/>
      <c r="AM21" s="39"/>
      <c r="AN21" s="349"/>
      <c r="AY21" s="40"/>
      <c r="AZ21" s="43"/>
      <c r="BC21" s="40"/>
      <c r="BD21" s="40"/>
      <c r="BE21" s="40"/>
      <c r="BF21" s="40"/>
      <c r="BG21" s="40"/>
      <c r="BI21" s="432"/>
    </row>
    <row r="22" spans="1:61" ht="18" customHeight="1">
      <c r="A22" s="68"/>
      <c r="B22" s="232" t="s">
        <v>232</v>
      </c>
      <c r="C22" s="303">
        <f>ROUND(MAX(C28,C27/SQRT(2)),0)</f>
        <v>160</v>
      </c>
      <c r="D22" s="304" t="s">
        <v>2</v>
      </c>
      <c r="G22" s="102"/>
      <c r="K22" s="40"/>
      <c r="L22" s="40"/>
      <c r="M22" s="40"/>
      <c r="N22" s="68" t="s">
        <v>137</v>
      </c>
      <c r="O22" s="146">
        <f>IF(OR(C357=0,C357=1),-0.6,IF(OR(C357=2,C357=3),-0.15,NA()))</f>
        <v>-0.6</v>
      </c>
      <c r="P22" s="50" t="s">
        <v>124</v>
      </c>
      <c r="Q22" s="104"/>
      <c r="T22" s="68"/>
      <c r="U22" s="39"/>
      <c r="V22" s="39"/>
      <c r="W22" s="349"/>
      <c r="AD22" s="40"/>
      <c r="AE22" s="68" t="s">
        <v>137</v>
      </c>
      <c r="AF22" s="146">
        <f>IF(OR(C357=0,C357=1),-0.6,IF(OR(C357=2,C357=3),-0.15,NA()))</f>
        <v>-0.6</v>
      </c>
      <c r="AG22" s="50"/>
      <c r="AH22" s="104"/>
      <c r="AK22" s="68"/>
      <c r="AL22" s="39"/>
      <c r="AM22" s="39"/>
      <c r="AN22" s="349"/>
      <c r="AY22" s="40"/>
      <c r="BC22" s="40"/>
      <c r="BD22" s="40"/>
      <c r="BE22" s="40"/>
      <c r="BF22" s="40"/>
      <c r="BG22" s="40"/>
      <c r="BI22" s="432"/>
    </row>
    <row r="23" spans="1:61" ht="18" customHeight="1">
      <c r="A23" s="68"/>
      <c r="B23" s="232" t="s">
        <v>233</v>
      </c>
      <c r="C23" s="303">
        <f>IF(C56="Nein",C14+100,IF(C56="ja",MAX(C14+100,C14+50+C62+C63+(C58-1)*C64)))</f>
        <v>410</v>
      </c>
      <c r="D23" s="304" t="s">
        <v>2</v>
      </c>
      <c r="G23" s="50"/>
      <c r="M23" s="40"/>
      <c r="N23" s="68" t="s">
        <v>136</v>
      </c>
      <c r="O23" s="147">
        <f>O21*(1-EXP(O20*O22))</f>
        <v>1.1832495097132354</v>
      </c>
      <c r="P23" s="50" t="s">
        <v>124</v>
      </c>
      <c r="Q23" s="104"/>
      <c r="T23" s="68"/>
      <c r="U23" s="39"/>
      <c r="V23" s="39"/>
      <c r="W23" s="349"/>
      <c r="AD23" s="40"/>
      <c r="AE23" s="68" t="s">
        <v>136</v>
      </c>
      <c r="AF23" s="147">
        <f>AF21*(1-EXP(AF20*AF22))</f>
        <v>1.1850558198492009</v>
      </c>
      <c r="AG23" s="50"/>
      <c r="AH23" s="104"/>
      <c r="AK23" s="68"/>
      <c r="AL23" s="39"/>
      <c r="AM23" s="39"/>
      <c r="AN23" s="349"/>
      <c r="AY23" s="40"/>
      <c r="BC23" s="40"/>
      <c r="BD23" s="40"/>
      <c r="BE23" s="40"/>
      <c r="BF23" s="40"/>
      <c r="BG23" s="40"/>
      <c r="BI23" s="432"/>
    </row>
    <row r="24" spans="1:61" ht="18" customHeight="1">
      <c r="A24" s="68"/>
      <c r="B24" s="49" t="s">
        <v>685</v>
      </c>
      <c r="C24" s="313">
        <f>Eingabe!C18</f>
        <v>0</v>
      </c>
      <c r="D24" s="304" t="s">
        <v>2</v>
      </c>
      <c r="F24" s="50"/>
      <c r="G24" s="50"/>
      <c r="M24" s="40"/>
      <c r="N24" s="68" t="s">
        <v>143</v>
      </c>
      <c r="O24" s="369">
        <f>2*MIN(40,8*O20)</f>
        <v>31.755290205167618</v>
      </c>
      <c r="P24" s="50" t="s">
        <v>2</v>
      </c>
      <c r="Q24" s="104"/>
      <c r="T24" s="68"/>
      <c r="U24" s="39"/>
      <c r="V24" s="39"/>
      <c r="W24" s="349"/>
      <c r="AD24" s="40"/>
      <c r="AE24" s="68" t="s">
        <v>143</v>
      </c>
      <c r="AF24" s="369">
        <f>2*MIN(40,8*AF20)</f>
        <v>31.848667288311535</v>
      </c>
      <c r="AG24" s="50"/>
      <c r="AH24" s="104"/>
      <c r="AK24" s="68"/>
      <c r="AL24" s="39"/>
      <c r="AM24" s="39"/>
      <c r="AN24" s="349"/>
      <c r="AY24" s="40"/>
      <c r="BC24" s="40"/>
      <c r="BD24" s="40"/>
      <c r="BE24" s="40"/>
      <c r="BF24" s="40"/>
      <c r="BG24" s="40"/>
      <c r="BI24" s="432"/>
    </row>
    <row r="25" spans="1:61" ht="18" customHeight="1">
      <c r="A25" s="68"/>
      <c r="B25" s="49" t="s">
        <v>686</v>
      </c>
      <c r="C25" s="313">
        <f>Eingabe!C19</f>
        <v>0</v>
      </c>
      <c r="D25" s="304" t="s">
        <v>2</v>
      </c>
      <c r="G25" s="50"/>
      <c r="M25" s="40"/>
      <c r="N25" s="68" t="s">
        <v>134</v>
      </c>
      <c r="O25" s="146">
        <f>HLOOKUP(C20,MKW!$E$3:$AS$22,8,0)</f>
        <v>2.5</v>
      </c>
      <c r="P25" s="50" t="s">
        <v>3</v>
      </c>
      <c r="Q25" s="104"/>
      <c r="T25" s="68" t="s">
        <v>701</v>
      </c>
      <c r="U25" s="306">
        <f>HLOOKUP(C37,MKW!$E$3:$AS$22,7,0)</f>
        <v>24</v>
      </c>
      <c r="V25" s="50" t="s">
        <v>3</v>
      </c>
      <c r="W25" s="349"/>
      <c r="AD25" s="40"/>
      <c r="AE25" s="68" t="s">
        <v>134</v>
      </c>
      <c r="AF25" s="146">
        <f>HLOOKUP(C20,MKW!E3:AS22,8,0)</f>
        <v>2.5</v>
      </c>
      <c r="AG25" s="50"/>
      <c r="AH25" s="104"/>
      <c r="AK25" s="68" t="s">
        <v>701</v>
      </c>
      <c r="AL25" s="306">
        <f>HLOOKUP(C37,MKW!E3:AS22,7,0)</f>
        <v>24</v>
      </c>
      <c r="AM25" s="50" t="s">
        <v>3</v>
      </c>
      <c r="AN25" s="349"/>
      <c r="AY25" s="40"/>
      <c r="BC25" s="40"/>
      <c r="BD25" s="40"/>
      <c r="BE25" s="40"/>
      <c r="BF25" s="40"/>
      <c r="BG25" s="40"/>
      <c r="BI25" s="432"/>
    </row>
    <row r="26" spans="1:61" ht="18" customHeight="1">
      <c r="A26" s="156" t="s">
        <v>108</v>
      </c>
      <c r="B26" s="49" t="s">
        <v>111</v>
      </c>
      <c r="C26" s="313">
        <v>8</v>
      </c>
      <c r="D26" s="304" t="s">
        <v>2</v>
      </c>
      <c r="G26" s="50"/>
      <c r="N26" s="69" t="s">
        <v>135</v>
      </c>
      <c r="O26" s="148">
        <f>(C13*O23+O24)*O25</f>
        <v>256.87565196990431</v>
      </c>
      <c r="P26" s="59" t="s">
        <v>4</v>
      </c>
      <c r="Q26" s="101"/>
      <c r="T26" s="69" t="s">
        <v>144</v>
      </c>
      <c r="U26" s="148">
        <f>U25*$C$13</f>
        <v>1440</v>
      </c>
      <c r="V26" s="59" t="s">
        <v>4</v>
      </c>
      <c r="W26" s="350"/>
      <c r="AD26" s="40"/>
      <c r="AE26" s="69" t="s">
        <v>135</v>
      </c>
      <c r="AF26" s="148">
        <f>(C13*AF23+AF24)*AF25</f>
        <v>257.38004119815901</v>
      </c>
      <c r="AG26" s="59" t="s">
        <v>4</v>
      </c>
      <c r="AH26" s="101"/>
      <c r="AK26" s="69" t="s">
        <v>144</v>
      </c>
      <c r="AL26" s="148">
        <f>AL25*$C$13</f>
        <v>1440</v>
      </c>
      <c r="AM26" s="59" t="s">
        <v>4</v>
      </c>
      <c r="AN26" s="350"/>
      <c r="AY26" s="40"/>
      <c r="BC26" s="40"/>
      <c r="BD26" s="40"/>
      <c r="BE26" s="40"/>
      <c r="BF26" s="40"/>
      <c r="BG26" s="40"/>
      <c r="BI26" s="432"/>
    </row>
    <row r="27" spans="1:61" ht="18" customHeight="1">
      <c r="A27" s="68"/>
      <c r="B27" s="49" t="s">
        <v>687</v>
      </c>
      <c r="C27" s="313">
        <f>HLOOKUP(Ausgabe!E51,MKW!$A$116:$AZ$143,5,FALSE)</f>
        <v>160</v>
      </c>
      <c r="D27" s="304" t="s">
        <v>2</v>
      </c>
      <c r="F27" s="50"/>
      <c r="G27" s="50"/>
      <c r="W27" s="43"/>
      <c r="AD27" s="40"/>
      <c r="AN27" s="43"/>
      <c r="AY27" s="40"/>
      <c r="BC27" s="40"/>
      <c r="BD27" s="40"/>
      <c r="BE27" s="40"/>
      <c r="BF27" s="40"/>
      <c r="BG27" s="40"/>
      <c r="BI27" s="432"/>
    </row>
    <row r="28" spans="1:61" ht="18" customHeight="1">
      <c r="A28" s="68"/>
      <c r="B28" s="49" t="s">
        <v>688</v>
      </c>
      <c r="C28" s="313">
        <f>HLOOKUP(Ausgabe!E52,MKW!$A$116:$AZ$143,5,FALSE)</f>
        <v>160</v>
      </c>
      <c r="D28" s="304" t="s">
        <v>2</v>
      </c>
      <c r="F28" s="50"/>
      <c r="G28" s="40"/>
      <c r="N28" s="340"/>
      <c r="W28" s="43"/>
      <c r="AD28" s="40"/>
      <c r="AE28" s="52" t="s">
        <v>1799</v>
      </c>
      <c r="AK28" s="52" t="s">
        <v>1799</v>
      </c>
      <c r="AY28" s="40"/>
      <c r="BC28" s="40"/>
      <c r="BD28" s="40"/>
      <c r="BE28" s="40"/>
      <c r="BF28" s="40"/>
      <c r="BG28" s="40"/>
      <c r="BI28" s="432"/>
    </row>
    <row r="29" spans="1:61" ht="18" customHeight="1">
      <c r="A29" s="68"/>
      <c r="B29" s="49" t="s">
        <v>689</v>
      </c>
      <c r="C29" s="688">
        <f ca="1">SUMIF(A138:A211,45,E138:E211)/SUMIF(A138:A211,45)*45</f>
        <v>142.5</v>
      </c>
      <c r="D29" s="304" t="s">
        <v>2</v>
      </c>
      <c r="F29" s="40"/>
      <c r="G29" s="50"/>
      <c r="W29" s="43"/>
      <c r="AD29" s="40"/>
      <c r="AE29" s="103" t="s">
        <v>1800</v>
      </c>
      <c r="AF29" s="145">
        <f>IF(C92="ja",C97,0)</f>
        <v>0</v>
      </c>
      <c r="AG29" s="55" t="s">
        <v>124</v>
      </c>
      <c r="AH29" s="56"/>
      <c r="AK29" s="103" t="s">
        <v>1800</v>
      </c>
      <c r="AL29" s="145">
        <v>0</v>
      </c>
      <c r="AM29" s="55" t="s">
        <v>124</v>
      </c>
      <c r="AN29" s="56"/>
      <c r="AY29" s="40"/>
      <c r="BC29" s="40"/>
      <c r="BD29" s="40"/>
      <c r="BE29" s="40"/>
      <c r="BF29" s="40"/>
      <c r="BG29" s="40"/>
      <c r="BI29" s="432"/>
    </row>
    <row r="30" spans="1:61" ht="18" customHeight="1">
      <c r="A30" s="68"/>
      <c r="B30" s="49" t="s">
        <v>690</v>
      </c>
      <c r="C30" s="688" t="e">
        <f ca="1">SUMIF(N138:N211,"&gt;0",E138:E211)/COUNT(N138:N211)</f>
        <v>#DIV/0!</v>
      </c>
      <c r="D30" s="304" t="s">
        <v>2</v>
      </c>
      <c r="F30" s="1233"/>
      <c r="M30" s="341"/>
      <c r="T30" s="39"/>
      <c r="U30" s="39"/>
      <c r="V30" s="39"/>
      <c r="W30" s="47"/>
      <c r="AD30" s="40"/>
      <c r="AE30" s="69" t="s">
        <v>1801</v>
      </c>
      <c r="AF30" s="148">
        <f>IF(C92="ja",SUM(AG215:AG217,AG132:AG134),0)</f>
        <v>0</v>
      </c>
      <c r="AG30" s="60" t="s">
        <v>5</v>
      </c>
      <c r="AH30" s="1020"/>
      <c r="AK30" s="69" t="s">
        <v>1801</v>
      </c>
      <c r="AL30" s="148">
        <v>0</v>
      </c>
      <c r="AM30" s="60" t="s">
        <v>5</v>
      </c>
      <c r="AN30" s="61"/>
      <c r="AY30" s="40"/>
      <c r="BC30" s="40"/>
      <c r="BD30" s="40"/>
      <c r="BE30" s="40"/>
      <c r="BF30" s="40"/>
      <c r="BG30" s="40"/>
      <c r="BI30" s="432"/>
    </row>
    <row r="31" spans="1:61" ht="18" customHeight="1">
      <c r="A31" s="68"/>
      <c r="B31" s="49" t="s">
        <v>691</v>
      </c>
      <c r="C31" s="689"/>
      <c r="D31" s="304"/>
      <c r="E31" s="39" t="s">
        <v>2149</v>
      </c>
      <c r="F31" s="50">
        <f>Ausgabe!C183</f>
        <v>1</v>
      </c>
      <c r="G31" s="50"/>
      <c r="I31" s="40"/>
      <c r="M31" s="341"/>
      <c r="W31" s="43"/>
      <c r="AD31" s="40"/>
      <c r="AY31" s="40"/>
      <c r="BC31" s="40"/>
      <c r="BD31" s="40"/>
      <c r="BE31" s="40"/>
      <c r="BF31" s="40"/>
      <c r="BG31" s="40"/>
      <c r="BI31" s="432"/>
    </row>
    <row r="32" spans="1:61" ht="18" customHeight="1">
      <c r="A32" s="85"/>
      <c r="B32" s="49" t="s">
        <v>692</v>
      </c>
      <c r="C32" s="689" t="e">
        <f ca="1">Ausgabe!C487</f>
        <v>#DIV/0!</v>
      </c>
      <c r="D32" s="304" t="s">
        <v>3</v>
      </c>
      <c r="E32" s="751" t="s">
        <v>507</v>
      </c>
      <c r="F32" s="50" t="str">
        <f>Ausgabe!C185</f>
        <v>-</v>
      </c>
      <c r="G32" s="102"/>
      <c r="I32" s="40"/>
      <c r="J32" s="40"/>
      <c r="N32" s="52" t="s">
        <v>276</v>
      </c>
      <c r="O32" s="39"/>
      <c r="P32" s="39"/>
      <c r="Q32" s="39"/>
      <c r="T32" s="52" t="s">
        <v>276</v>
      </c>
      <c r="W32" s="43"/>
      <c r="AD32" s="40"/>
      <c r="AE32" s="52" t="s">
        <v>276</v>
      </c>
      <c r="AK32" s="52" t="s">
        <v>1802</v>
      </c>
      <c r="AN32" s="43"/>
      <c r="AY32" s="40"/>
      <c r="BC32" s="40"/>
      <c r="BD32" s="40"/>
      <c r="BE32" s="40"/>
      <c r="BF32" s="40"/>
      <c r="BG32" s="40"/>
      <c r="BI32" s="432"/>
    </row>
    <row r="33" spans="1:61" ht="18" customHeight="1">
      <c r="A33" s="85"/>
      <c r="B33" s="49" t="s">
        <v>693</v>
      </c>
      <c r="C33" s="690">
        <v>0.75</v>
      </c>
      <c r="D33" s="426" t="s">
        <v>2</v>
      </c>
      <c r="E33" s="50" t="s">
        <v>1803</v>
      </c>
      <c r="F33" s="102"/>
      <c r="G33" s="102"/>
      <c r="I33" s="40"/>
      <c r="J33" s="40"/>
      <c r="N33" s="103" t="s">
        <v>10</v>
      </c>
      <c r="O33" s="145">
        <f ca="1">COUNT(O138:O211)</f>
        <v>0</v>
      </c>
      <c r="P33" s="97" t="s">
        <v>124</v>
      </c>
      <c r="Q33" s="105"/>
      <c r="T33" s="103" t="s">
        <v>10</v>
      </c>
      <c r="U33" s="145">
        <f ca="1">COUNT(N233:N306)</f>
        <v>5</v>
      </c>
      <c r="V33" s="97" t="s">
        <v>124</v>
      </c>
      <c r="W33" s="348"/>
      <c r="AD33" s="40"/>
      <c r="AE33" s="103" t="s">
        <v>10</v>
      </c>
      <c r="AF33" s="342">
        <f ca="1">COUNT(AF138:AF211)</f>
        <v>0</v>
      </c>
      <c r="AG33" s="97" t="s">
        <v>124</v>
      </c>
      <c r="AH33" s="105"/>
      <c r="AK33" s="103" t="s">
        <v>10</v>
      </c>
      <c r="AL33" s="145">
        <f ca="1">COUNT(AE233:AE306)</f>
        <v>5</v>
      </c>
      <c r="AM33" s="97" t="s">
        <v>124</v>
      </c>
      <c r="AN33" s="348"/>
      <c r="AY33" s="40"/>
      <c r="BC33" s="40"/>
      <c r="BD33" s="40"/>
      <c r="BE33" s="40"/>
      <c r="BF33" s="40"/>
      <c r="BG33" s="40"/>
      <c r="BI33" s="432"/>
    </row>
    <row r="34" spans="1:61" ht="18" customHeight="1">
      <c r="A34" s="86"/>
      <c r="B34" s="681" t="s">
        <v>694</v>
      </c>
      <c r="C34" s="691">
        <f>HLOOKUP(Ausgabe!$E$52,MKW!$A$116:$AZ$143,8,FALSE)*1000</f>
        <v>20000</v>
      </c>
      <c r="D34" s="692" t="s">
        <v>5</v>
      </c>
      <c r="E34" s="102"/>
      <c r="F34" s="102"/>
      <c r="G34" s="102"/>
      <c r="I34" s="40"/>
      <c r="J34" s="40"/>
      <c r="N34" s="68" t="s">
        <v>133</v>
      </c>
      <c r="O34" s="43">
        <f ca="1">O221</f>
        <v>0</v>
      </c>
      <c r="P34" s="40" t="s">
        <v>2</v>
      </c>
      <c r="Q34" s="57"/>
      <c r="T34" s="68" t="s">
        <v>133</v>
      </c>
      <c r="U34" s="43">
        <f ca="1">O313</f>
        <v>300</v>
      </c>
      <c r="V34" s="40" t="s">
        <v>2</v>
      </c>
      <c r="W34" s="346"/>
      <c r="AD34" s="40"/>
      <c r="AE34" s="68" t="s">
        <v>133</v>
      </c>
      <c r="AF34" s="1021">
        <f ca="1">AF221</f>
        <v>0</v>
      </c>
      <c r="AG34" s="40" t="s">
        <v>2</v>
      </c>
      <c r="AH34" s="57"/>
      <c r="AK34" s="68" t="s">
        <v>133</v>
      </c>
      <c r="AL34" s="43">
        <f ca="1">AF313</f>
        <v>300</v>
      </c>
      <c r="AM34" s="40" t="s">
        <v>2</v>
      </c>
      <c r="AN34" s="346"/>
      <c r="AY34" s="40"/>
      <c r="BC34" s="40"/>
      <c r="BD34" s="40"/>
      <c r="BE34" s="40"/>
      <c r="BF34" s="40"/>
      <c r="BG34" s="40"/>
      <c r="BI34" s="432"/>
    </row>
    <row r="35" spans="1:61" ht="18" customHeight="1">
      <c r="B35" s="49"/>
      <c r="F35" s="102"/>
      <c r="G35" s="50"/>
      <c r="H35" s="40"/>
      <c r="I35" s="253"/>
      <c r="J35" s="1236"/>
      <c r="K35" s="1190"/>
      <c r="N35" s="68" t="s">
        <v>287</v>
      </c>
      <c r="O35" s="307">
        <f ca="1">R221</f>
        <v>0</v>
      </c>
      <c r="P35" s="40" t="s">
        <v>2</v>
      </c>
      <c r="Q35" s="57"/>
      <c r="T35" s="68" t="s">
        <v>287</v>
      </c>
      <c r="U35" s="307">
        <f ca="1">R313</f>
        <v>0.75</v>
      </c>
      <c r="V35" s="40" t="s">
        <v>2</v>
      </c>
      <c r="W35" s="346"/>
      <c r="AD35" s="40"/>
      <c r="AE35" s="68" t="s">
        <v>287</v>
      </c>
      <c r="AF35" s="408">
        <f ca="1">AI221</f>
        <v>0</v>
      </c>
      <c r="AG35" s="40" t="s">
        <v>2</v>
      </c>
      <c r="AH35" s="57"/>
      <c r="AK35" s="68" t="s">
        <v>287</v>
      </c>
      <c r="AL35" s="408">
        <f ca="1">AI313</f>
        <v>0.74999999999999989</v>
      </c>
      <c r="AM35" s="40" t="s">
        <v>2</v>
      </c>
      <c r="AN35" s="346"/>
      <c r="AY35" s="40"/>
      <c r="BC35" s="40"/>
      <c r="BD35" s="40"/>
      <c r="BE35" s="40"/>
      <c r="BF35" s="40"/>
      <c r="BG35" s="40"/>
      <c r="BI35" s="432"/>
    </row>
    <row r="36" spans="1:61" ht="18" customHeight="1">
      <c r="B36" s="49"/>
      <c r="F36" s="50"/>
      <c r="G36" s="50"/>
      <c r="H36" s="40"/>
      <c r="I36" s="1193"/>
      <c r="J36" s="1237"/>
      <c r="K36" s="1191"/>
      <c r="N36" s="68" t="s">
        <v>142</v>
      </c>
      <c r="O36" s="58">
        <f ca="1">P221</f>
        <v>0</v>
      </c>
      <c r="P36" s="50" t="s">
        <v>5</v>
      </c>
      <c r="Q36" s="104"/>
      <c r="T36" s="68" t="s">
        <v>142</v>
      </c>
      <c r="U36" s="58">
        <f ca="1">P313</f>
        <v>6036.7630563951825</v>
      </c>
      <c r="V36" s="50" t="s">
        <v>5</v>
      </c>
      <c r="W36" s="349"/>
      <c r="AD36" s="40"/>
      <c r="AE36" s="68" t="s">
        <v>142</v>
      </c>
      <c r="AF36" s="303">
        <f ca="1">AG221</f>
        <v>0</v>
      </c>
      <c r="AG36" s="50" t="s">
        <v>5</v>
      </c>
      <c r="AH36" s="104"/>
      <c r="AK36" s="68" t="s">
        <v>142</v>
      </c>
      <c r="AL36" s="58">
        <f ca="1">AG313</f>
        <v>6036.7630563951816</v>
      </c>
      <c r="AM36" s="50" t="s">
        <v>5</v>
      </c>
      <c r="AN36" s="349"/>
      <c r="AO36" s="139" t="s">
        <v>1863</v>
      </c>
      <c r="AP36" s="1246" t="s">
        <v>1864</v>
      </c>
      <c r="AQ36" s="1190"/>
      <c r="AY36" s="40"/>
      <c r="BC36" s="40"/>
      <c r="BD36" s="40"/>
      <c r="BE36" s="40"/>
      <c r="BF36" s="40"/>
      <c r="BG36" s="40"/>
      <c r="BI36" s="432"/>
    </row>
    <row r="37" spans="1:61" ht="18" customHeight="1">
      <c r="A37" s="107" t="s">
        <v>7</v>
      </c>
      <c r="B37" s="686"/>
      <c r="C37" s="693" t="str">
        <f>Eingabe!C24</f>
        <v>GL24h</v>
      </c>
      <c r="D37" s="290"/>
      <c r="F37" s="50"/>
      <c r="G37" s="50"/>
      <c r="H37" s="40"/>
      <c r="I37" s="253"/>
      <c r="J37" s="1236"/>
      <c r="K37" s="107" t="s">
        <v>2181</v>
      </c>
      <c r="L37" s="54"/>
      <c r="M37" s="348" t="e">
        <f ca="1">amax/2+n*Faxmax*kL/sc</f>
        <v>#DIV/0!</v>
      </c>
      <c r="N37" s="141" t="s">
        <v>141</v>
      </c>
      <c r="O37" s="58">
        <f ca="1">O224</f>
        <v>0</v>
      </c>
      <c r="P37" s="50" t="s">
        <v>2</v>
      </c>
      <c r="Q37" s="104"/>
      <c r="R37" s="96"/>
      <c r="T37" s="141" t="s">
        <v>141</v>
      </c>
      <c r="U37" s="58">
        <f ca="1">O316</f>
        <v>970</v>
      </c>
      <c r="V37" s="50" t="s">
        <v>2</v>
      </c>
      <c r="W37" s="349"/>
      <c r="X37" s="107" t="s">
        <v>2181</v>
      </c>
      <c r="Y37" s="348">
        <f ca="1">(U34/2+U33*U36*U38/U26)</f>
        <v>171.90122219020074</v>
      </c>
      <c r="AB37" s="139" t="s">
        <v>1863</v>
      </c>
      <c r="AC37" s="1242"/>
      <c r="AD37" s="1243" t="s">
        <v>2179</v>
      </c>
      <c r="AE37" s="141" t="s">
        <v>141</v>
      </c>
      <c r="AF37" s="303">
        <f ca="1">AF224</f>
        <v>0</v>
      </c>
      <c r="AG37" s="50" t="s">
        <v>2</v>
      </c>
      <c r="AH37" s="104"/>
      <c r="AK37" s="141" t="s">
        <v>141</v>
      </c>
      <c r="AL37" s="58">
        <f ca="1">AF316</f>
        <v>970</v>
      </c>
      <c r="AM37" s="50" t="s">
        <v>2</v>
      </c>
      <c r="AN37" s="349"/>
      <c r="AO37" s="85" t="s">
        <v>2157</v>
      </c>
      <c r="AP37" s="1247">
        <f ca="1">AL34/2+(AL33*AL41*AL36+AL38*AL35*AL40-AL30)/AL26</f>
        <v>171.90122108725808</v>
      </c>
      <c r="AQ37" s="1191"/>
      <c r="AY37" s="40"/>
      <c r="BC37" s="40"/>
      <c r="BD37" s="40"/>
      <c r="BE37" s="40"/>
      <c r="BF37" s="40"/>
      <c r="BG37" s="40"/>
      <c r="BI37" s="432"/>
    </row>
    <row r="38" spans="1:61" ht="18" customHeight="1">
      <c r="A38" s="68"/>
      <c r="B38" s="687" t="s">
        <v>684</v>
      </c>
      <c r="C38" s="303">
        <f>HLOOKUP(C37,MKW!$E$3:$AS$22,19,0)</f>
        <v>385</v>
      </c>
      <c r="D38" s="304" t="s">
        <v>115</v>
      </c>
      <c r="F38" s="50"/>
      <c r="G38" s="50"/>
      <c r="H38" s="40"/>
      <c r="I38" s="1025"/>
      <c r="J38" s="1238"/>
      <c r="K38" s="1011" t="s">
        <v>2182</v>
      </c>
      <c r="M38" s="349" t="e">
        <f ca="1">-2*Faxmax*kL*Sai/sc</f>
        <v>#DIV/0!</v>
      </c>
      <c r="N38" s="68" t="s">
        <v>279</v>
      </c>
      <c r="O38" s="408" t="e">
        <f ca="1">S224</f>
        <v>#DIV/0!</v>
      </c>
      <c r="P38" s="40" t="s">
        <v>124</v>
      </c>
      <c r="Q38" s="57"/>
      <c r="R38" s="96"/>
      <c r="T38" s="68" t="s">
        <v>279</v>
      </c>
      <c r="U38" s="408">
        <f ca="1">S316</f>
        <v>1.044856644505165</v>
      </c>
      <c r="V38" s="40" t="s">
        <v>124</v>
      </c>
      <c r="W38" s="57"/>
      <c r="X38" s="1011" t="s">
        <v>2182</v>
      </c>
      <c r="Y38" s="349">
        <f ca="1">-2*U36*U38*U37/U26</f>
        <v>-8497.6742097978895</v>
      </c>
      <c r="AB38" s="85" t="s">
        <v>2181</v>
      </c>
      <c r="AC38" s="1237"/>
      <c r="AD38" s="1250" t="e">
        <f ca="1">AF34/2+(AF33*AF41*AF36+AF38*AF35*AF40-AF30)/AF26</f>
        <v>#DIV/0!</v>
      </c>
      <c r="AE38" s="68" t="s">
        <v>275</v>
      </c>
      <c r="AF38" s="1021">
        <f>IF(C56="ja",C58,0)</f>
        <v>0</v>
      </c>
      <c r="AG38" s="310" t="s">
        <v>124</v>
      </c>
      <c r="AH38" s="57"/>
      <c r="AI38" s="310"/>
      <c r="AK38" s="1022" t="s">
        <v>275</v>
      </c>
      <c r="AL38" s="1021">
        <f>IF(D56="ja",D58,IF(D74="ja",1,0))</f>
        <v>0</v>
      </c>
      <c r="AM38" s="310" t="s">
        <v>124</v>
      </c>
      <c r="AN38" s="57"/>
      <c r="AO38" s="85" t="s">
        <v>1862</v>
      </c>
      <c r="AP38" s="1247">
        <f ca="1">(-2*AL41*AL36*AL37-2*AL35*AL40*AL39+2*AL30*AL34)/AL26</f>
        <v>-8497.6737818561305</v>
      </c>
      <c r="AQ38" s="1190"/>
      <c r="AY38" s="40"/>
      <c r="BC38" s="40"/>
      <c r="BD38" s="40"/>
      <c r="BE38" s="40"/>
      <c r="BF38" s="40"/>
      <c r="BG38" s="40"/>
      <c r="BI38" s="432"/>
    </row>
    <row r="39" spans="1:61" ht="18" customHeight="1">
      <c r="A39" s="68"/>
      <c r="B39" s="232" t="s">
        <v>232</v>
      </c>
      <c r="C39" s="303">
        <f>C13+6*C43</f>
        <v>108</v>
      </c>
      <c r="D39" s="304" t="s">
        <v>2</v>
      </c>
      <c r="G39" s="46"/>
      <c r="H39" s="1194"/>
      <c r="I39" s="1195"/>
      <c r="J39" s="1235"/>
      <c r="K39" s="160" t="s">
        <v>2172</v>
      </c>
      <c r="L39" s="1254"/>
      <c r="M39" s="1305" t="e">
        <f ca="1">M37-SQRT(M37^2+M38)</f>
        <v>#DIV/0!</v>
      </c>
      <c r="N39" s="69" t="s">
        <v>247</v>
      </c>
      <c r="O39" s="152" t="e">
        <f ca="1">(amax/2+n*Faxmax*kL/sc)-SQRT((amax/2+n*Faxmax*kL/sc)^2-2*Faxmax*kL*Sai/sc)</f>
        <v>#DIV/0!</v>
      </c>
      <c r="P39" s="59" t="s">
        <v>2</v>
      </c>
      <c r="Q39" s="323"/>
      <c r="T39" s="69" t="s">
        <v>247</v>
      </c>
      <c r="U39" s="152">
        <f ca="1">(U34/2+U33*U36*U38/U26)-SQRT((U34/2+U33*U36*U38/U26)^2-2*U36*U38*U37/U26)</f>
        <v>26.806921886271255</v>
      </c>
      <c r="V39" s="37" t="s">
        <v>2</v>
      </c>
      <c r="W39" s="323"/>
      <c r="X39" s="160" t="s">
        <v>2172</v>
      </c>
      <c r="Y39" s="1305">
        <f ca="1">Y37-SQRT(Y37^2+Y38)</f>
        <v>26.806921886271255</v>
      </c>
      <c r="AB39" s="85" t="s">
        <v>2182</v>
      </c>
      <c r="AC39" s="1236"/>
      <c r="AD39" s="1251" t="e">
        <f ca="1">(2*AF30*AF34-2*AF41*AF36*AF37-2*AF35*AF39*AF40)/AF26</f>
        <v>#DIV/0!</v>
      </c>
      <c r="AE39" s="1023" t="s">
        <v>1804</v>
      </c>
      <c r="AF39" s="310">
        <f>IF(C56="ja",AF38*((AF38-1)*C64/2+C14+C63),0)</f>
        <v>0</v>
      </c>
      <c r="AG39" s="310" t="s">
        <v>2</v>
      </c>
      <c r="AH39" s="57"/>
      <c r="AI39" s="310"/>
      <c r="AJ39" s="310"/>
      <c r="AK39" s="1024" t="s">
        <v>1804</v>
      </c>
      <c r="AL39" s="310">
        <f>IF(D56="ja",AL38*((AL38-1)*D64/2+C14+D63),IF(D74="ja",C14+50,0))</f>
        <v>0</v>
      </c>
      <c r="AM39" s="310" t="s">
        <v>2</v>
      </c>
      <c r="AN39" s="57"/>
      <c r="AO39" s="85" t="s">
        <v>1865</v>
      </c>
      <c r="AP39" s="1247">
        <f ca="1">IF(AP41&gt;0,AP37-SQRT(AP37^2+AP38),AP37)</f>
        <v>26.806920615343444</v>
      </c>
      <c r="AQ39" s="1192"/>
      <c r="AY39" s="40"/>
      <c r="BC39" s="40"/>
      <c r="BD39" s="40"/>
      <c r="BE39" s="40"/>
      <c r="BF39" s="40"/>
      <c r="BG39" s="40"/>
      <c r="BI39" s="432"/>
    </row>
    <row r="40" spans="1:61" ht="18" customHeight="1">
      <c r="A40" s="68"/>
      <c r="B40" s="232" t="s">
        <v>233</v>
      </c>
      <c r="C40" s="303">
        <f>IF(D56="Nein",C14+100,IF(D56="ja",MAX(C14+100,C14+50+D62+D63+(D58-1)*D64)))</f>
        <v>410</v>
      </c>
      <c r="D40" s="304" t="s">
        <v>2</v>
      </c>
      <c r="G40" s="46"/>
      <c r="H40" s="1194"/>
      <c r="I40" s="1195"/>
      <c r="J40" s="1235"/>
      <c r="N40" s="133"/>
      <c r="O40" s="439"/>
      <c r="P40" s="253"/>
      <c r="Q40" s="253"/>
      <c r="T40" s="133"/>
      <c r="U40" s="439"/>
      <c r="V40" s="253"/>
      <c r="AB40" s="85" t="s">
        <v>2183</v>
      </c>
      <c r="AC40" s="1238"/>
      <c r="AD40" s="1252" t="e">
        <f ca="1">IF(AD42&gt;0,AD38-SQRT(AD38^2+AD39),AD38)</f>
        <v>#DIV/0!</v>
      </c>
      <c r="AE40" s="68" t="s">
        <v>1805</v>
      </c>
      <c r="AF40" s="43">
        <f>IF(C56="ja",C69,0)</f>
        <v>0</v>
      </c>
      <c r="AG40" s="40" t="s">
        <v>4</v>
      </c>
      <c r="AH40" s="104"/>
      <c r="AI40" s="1025"/>
      <c r="AJ40" s="310"/>
      <c r="AK40" s="68" t="s">
        <v>1805</v>
      </c>
      <c r="AL40" s="43">
        <f>IF(D56="ja",D69,0)</f>
        <v>0</v>
      </c>
      <c r="AM40" s="40" t="s">
        <v>4</v>
      </c>
      <c r="AN40" s="104"/>
      <c r="AO40" s="1244" t="s">
        <v>2180</v>
      </c>
      <c r="AP40" s="1248">
        <f ca="1">IF(AP41&gt;0,AP37+SQRT(AP37^2+AP38),AP37)</f>
        <v>316.99552155917274</v>
      </c>
      <c r="AQ40" s="1195"/>
      <c r="AY40" s="40"/>
      <c r="BC40" s="40"/>
      <c r="BD40" s="40"/>
      <c r="BE40" s="40"/>
      <c r="BF40" s="40"/>
      <c r="BG40" s="40"/>
      <c r="BI40" s="432"/>
    </row>
    <row r="41" spans="1:61" ht="18" customHeight="1">
      <c r="A41" s="68"/>
      <c r="B41" s="49" t="s">
        <v>695</v>
      </c>
      <c r="C41" s="313">
        <f>Eingabe!C25</f>
        <v>0</v>
      </c>
      <c r="D41" s="304" t="s">
        <v>2</v>
      </c>
      <c r="E41" s="50"/>
      <c r="F41" s="50"/>
      <c r="G41" s="50"/>
      <c r="H41" s="45"/>
      <c r="I41" s="1235"/>
      <c r="J41" s="1235"/>
      <c r="K41" s="1235"/>
      <c r="N41" s="133"/>
      <c r="O41" s="439"/>
      <c r="P41" s="253"/>
      <c r="Q41" s="253"/>
      <c r="AB41" s="1244" t="s">
        <v>2184</v>
      </c>
      <c r="AC41" s="1235"/>
      <c r="AD41" s="1253" t="e">
        <f ca="1">IF(AD42&gt;0,AD38+SQRT(AD38^2+AD39),AD38)</f>
        <v>#DIV/0!</v>
      </c>
      <c r="AE41" s="68" t="s">
        <v>279</v>
      </c>
      <c r="AF41" s="408" t="e">
        <f ca="1">AK224</f>
        <v>#DIV/0!</v>
      </c>
      <c r="AG41" s="40" t="s">
        <v>124</v>
      </c>
      <c r="AH41" s="57"/>
      <c r="AK41" s="68" t="s">
        <v>279</v>
      </c>
      <c r="AL41" s="408">
        <f ca="1">AK316</f>
        <v>1.0448565918863215</v>
      </c>
      <c r="AM41" s="40" t="s">
        <v>124</v>
      </c>
      <c r="AN41" s="57"/>
      <c r="AO41" s="1244" t="s">
        <v>2171</v>
      </c>
      <c r="AP41" s="1248">
        <f t="shared" ref="AP41" ca="1" si="0">AP37^2+AP38</f>
        <v>21052.35602943425</v>
      </c>
      <c r="AY41" s="40"/>
      <c r="BC41" s="40"/>
      <c r="BD41" s="40"/>
      <c r="BE41" s="40"/>
      <c r="BF41" s="40"/>
      <c r="BG41" s="40"/>
      <c r="BI41" s="432"/>
    </row>
    <row r="42" spans="1:61" ht="18" customHeight="1">
      <c r="A42" s="68"/>
      <c r="B42" s="49" t="s">
        <v>696</v>
      </c>
      <c r="C42" s="313">
        <f>Eingabe!C26</f>
        <v>0</v>
      </c>
      <c r="D42" s="304" t="s">
        <v>2</v>
      </c>
      <c r="F42" s="50"/>
      <c r="AB42" s="1244" t="s">
        <v>2171</v>
      </c>
      <c r="AC42" s="1235"/>
      <c r="AD42" s="1253" t="e">
        <f t="shared" ref="AD42" ca="1" si="1">AD38^2+AD39</f>
        <v>#DIV/0!</v>
      </c>
      <c r="AE42" s="68" t="s">
        <v>247</v>
      </c>
      <c r="AF42" s="1026" t="e">
        <f ca="1">IF(C92="ja",(AE221*AI224/AI221)+C98,AE221*AF20/AF35)</f>
        <v>#DIV/0!</v>
      </c>
      <c r="AG42" s="40" t="s">
        <v>2</v>
      </c>
      <c r="AH42" s="64" t="s">
        <v>1806</v>
      </c>
      <c r="AI42" s="1027"/>
      <c r="AK42" s="1028" t="s">
        <v>247</v>
      </c>
      <c r="AL42" s="152">
        <f ca="1">(AL34/2+(AL33*AL41*AL36+AL38*AL35*AL40-AL30)/AL26)-SQRT((AL34/2+(AL33*AL41*AL36+AL38*AL35*AL40-AL30)/AL26)^2+((2*AL30*AL34-2*AL41*AL36*AL37-2*AL35*AL39*AL40)/AL26))</f>
        <v>26.806920615343444</v>
      </c>
      <c r="AM42" s="315" t="s">
        <v>2</v>
      </c>
      <c r="AN42" s="350"/>
      <c r="AO42" s="160" t="s">
        <v>2172</v>
      </c>
      <c r="AP42" s="1249">
        <f ca="1">IF(ABS(AP39-$AL$16)&gt;ABS(AP40-$AL$16),AP40,AP39)</f>
        <v>26.806920615343444</v>
      </c>
      <c r="AY42" s="40"/>
      <c r="BC42" s="40"/>
      <c r="BD42" s="40"/>
      <c r="BE42" s="40"/>
      <c r="BF42" s="40"/>
      <c r="BG42" s="40"/>
      <c r="BI42" s="432"/>
    </row>
    <row r="43" spans="1:61" ht="18" customHeight="1">
      <c r="A43" s="156" t="s">
        <v>108</v>
      </c>
      <c r="B43" s="49" t="s">
        <v>111</v>
      </c>
      <c r="C43" s="313">
        <v>8</v>
      </c>
      <c r="D43" s="304" t="s">
        <v>2</v>
      </c>
      <c r="F43" s="40"/>
      <c r="R43" s="408"/>
      <c r="AB43" s="160" t="s">
        <v>2172</v>
      </c>
      <c r="AC43" s="1245"/>
      <c r="AD43" s="1249" t="e">
        <f ca="1">IF(ABS(AD40-$AF$16)&gt;ABS(AD41-$AF$16),AD41,AD40)</f>
        <v>#DIV/0!</v>
      </c>
      <c r="AE43" s="69" t="s">
        <v>1807</v>
      </c>
      <c r="AF43" s="1029" t="str">
        <f ca="1">IF(AF33=0,"-",AD43)</f>
        <v>-</v>
      </c>
      <c r="AG43" s="315" t="s">
        <v>2</v>
      </c>
      <c r="AH43" s="65" t="s">
        <v>1808</v>
      </c>
      <c r="AI43" s="1025"/>
      <c r="AJ43" s="310"/>
      <c r="AY43" s="40"/>
      <c r="BC43" s="40"/>
      <c r="BD43" s="40"/>
      <c r="BE43" s="40"/>
      <c r="BF43" s="40"/>
      <c r="BG43" s="40"/>
      <c r="BI43" s="432"/>
    </row>
    <row r="44" spans="1:61" ht="18" customHeight="1">
      <c r="A44" s="68"/>
      <c r="B44" s="49" t="s">
        <v>687</v>
      </c>
      <c r="C44" s="313">
        <f>HLOOKUP(Ausgabe!E53,MKW!$A$116:$AZ$143,5,FALSE)</f>
        <v>160</v>
      </c>
      <c r="D44" s="304" t="s">
        <v>2</v>
      </c>
      <c r="F44" s="50"/>
      <c r="J44" s="40"/>
      <c r="X44" s="253"/>
      <c r="AC44" s="41"/>
      <c r="AD44" s="41"/>
      <c r="AE44" s="41" t="e">
        <f ca="1">(AF34/2+(AF33*AF41*AF36+AF38*AF35*AF40-AF30)/AF26)</f>
        <v>#DIV/0!</v>
      </c>
      <c r="AF44" s="43" t="e">
        <f ca="1">((AF34/2+(AF33*AF41*AF36+AF38*AF35*AF40-AF30)/AF26)^2+((2*AF30*AF34-2*AF41*AF36*AF37-2*AF35*AF39*AF40)/AF26))</f>
        <v>#DIV/0!</v>
      </c>
      <c r="AI44" s="43"/>
      <c r="AJ44" s="43"/>
      <c r="AY44" s="40"/>
      <c r="BC44" s="40"/>
      <c r="BD44" s="40"/>
      <c r="BE44" s="40"/>
      <c r="BF44" s="40"/>
      <c r="BG44" s="40"/>
      <c r="BI44" s="432"/>
    </row>
    <row r="45" spans="1:61" ht="18" customHeight="1">
      <c r="A45" s="68"/>
      <c r="B45" s="49" t="s">
        <v>688</v>
      </c>
      <c r="C45" s="313">
        <f>HLOOKUP(Ausgabe!E54,MKW!$A$116:$AZ$143,5,FALSE)</f>
        <v>240</v>
      </c>
      <c r="D45" s="304" t="s">
        <v>2</v>
      </c>
      <c r="M45" s="339"/>
      <c r="N45" s="52" t="s">
        <v>14</v>
      </c>
      <c r="O45" s="39"/>
      <c r="P45" s="39"/>
      <c r="Q45" s="39"/>
      <c r="T45" s="52" t="s">
        <v>14</v>
      </c>
      <c r="W45" s="43"/>
      <c r="AD45" s="40"/>
      <c r="AE45" s="52" t="s">
        <v>14</v>
      </c>
      <c r="AF45" s="39"/>
      <c r="AG45" s="39"/>
      <c r="AH45" s="39"/>
      <c r="AK45" s="52" t="s">
        <v>14</v>
      </c>
      <c r="AN45" s="43"/>
      <c r="AY45" s="40"/>
      <c r="BC45" s="40"/>
      <c r="BD45" s="40"/>
      <c r="BE45" s="40"/>
      <c r="BF45" s="40"/>
      <c r="BG45" s="40"/>
      <c r="BI45" s="432"/>
    </row>
    <row r="46" spans="1:61" ht="18" customHeight="1">
      <c r="A46" s="68"/>
      <c r="B46" s="49" t="s">
        <v>689</v>
      </c>
      <c r="C46" s="688">
        <f ca="1">SUMIF(U233:U306,"&gt;0",E233:E306)/COUNT(U233:U306)</f>
        <v>142.5</v>
      </c>
      <c r="D46" s="304" t="s">
        <v>2</v>
      </c>
      <c r="N46" s="103" t="s">
        <v>140</v>
      </c>
      <c r="O46" s="143" t="e">
        <f ca="1">O26*O39/2</f>
        <v>#DIV/0!</v>
      </c>
      <c r="P46" s="54"/>
      <c r="Q46" s="105"/>
      <c r="R46" s="39"/>
      <c r="T46" s="103" t="s">
        <v>140</v>
      </c>
      <c r="U46" s="143">
        <f ca="1">U26*U39/2</f>
        <v>19300.983758115304</v>
      </c>
      <c r="V46" s="54"/>
      <c r="W46" s="348"/>
      <c r="Y46" s="41"/>
      <c r="AD46" s="40"/>
      <c r="AE46" s="103" t="s">
        <v>140</v>
      </c>
      <c r="AF46" s="143">
        <f>AF26*AF16/2</f>
        <v>34117.138662152269</v>
      </c>
      <c r="AG46" s="54"/>
      <c r="AH46" s="105"/>
      <c r="AK46" s="103" t="s">
        <v>140</v>
      </c>
      <c r="AL46" s="143">
        <f ca="1">AL26*AL42/2</f>
        <v>19300.982843047281</v>
      </c>
      <c r="AM46" s="54"/>
      <c r="AN46" s="348"/>
      <c r="AY46" s="40"/>
      <c r="BC46" s="40"/>
      <c r="BD46" s="40"/>
      <c r="BE46" s="40"/>
      <c r="BF46" s="40"/>
      <c r="BG46" s="40"/>
      <c r="BI46" s="432"/>
    </row>
    <row r="47" spans="1:61" ht="18" customHeight="1">
      <c r="A47" s="68"/>
      <c r="B47" s="49" t="s">
        <v>702</v>
      </c>
      <c r="C47" s="688">
        <f ca="1">SUMIF(N233:N306,"&gt;0",E233:E306)/COUNT(N233:N306)</f>
        <v>215.1</v>
      </c>
      <c r="D47" s="304" t="s">
        <v>2</v>
      </c>
      <c r="F47" s="1233"/>
      <c r="N47" s="142" t="s">
        <v>130</v>
      </c>
      <c r="O47" s="58">
        <f ca="1">P224</f>
        <v>0</v>
      </c>
      <c r="P47" s="412"/>
      <c r="Q47" s="349"/>
      <c r="T47" s="142" t="s">
        <v>130</v>
      </c>
      <c r="U47" s="58">
        <f ca="1">P316</f>
        <v>19378.895094547774</v>
      </c>
      <c r="V47" s="412"/>
      <c r="W47" s="349"/>
      <c r="AD47" s="40"/>
      <c r="AE47" s="141" t="s">
        <v>1809</v>
      </c>
      <c r="AF47" s="43">
        <f>AF30</f>
        <v>0</v>
      </c>
      <c r="AH47" s="57"/>
      <c r="AK47" s="85"/>
      <c r="AN47" s="57"/>
      <c r="AY47" s="40"/>
      <c r="BC47" s="40"/>
      <c r="BD47" s="40"/>
      <c r="BE47" s="40"/>
      <c r="BF47" s="40"/>
      <c r="BG47" s="40"/>
      <c r="BI47" s="432"/>
    </row>
    <row r="48" spans="1:61" ht="18" customHeight="1">
      <c r="A48" s="68"/>
      <c r="B48" s="49" t="s">
        <v>691</v>
      </c>
      <c r="C48" s="689"/>
      <c r="D48" s="304"/>
      <c r="E48" s="39" t="s">
        <v>2149</v>
      </c>
      <c r="F48" s="1233">
        <f>Ausgabe!C170</f>
        <v>0.3</v>
      </c>
      <c r="N48" s="69" t="s">
        <v>13</v>
      </c>
      <c r="O48" s="144" t="e">
        <f ca="1">+O46/O47</f>
        <v>#DIV/0!</v>
      </c>
      <c r="P48" s="144"/>
      <c r="Q48" s="413"/>
      <c r="T48" s="69" t="s">
        <v>13</v>
      </c>
      <c r="U48" s="144">
        <f ca="1">+U46/U47</f>
        <v>0.9959795779866526</v>
      </c>
      <c r="V48" s="144"/>
      <c r="W48" s="413"/>
      <c r="AD48" s="40"/>
      <c r="AE48" s="302" t="s">
        <v>1810</v>
      </c>
      <c r="AF48" s="1030">
        <f>AF46+AF47</f>
        <v>34117.138662152269</v>
      </c>
      <c r="AG48" s="1031" t="s">
        <v>1811</v>
      </c>
      <c r="AH48" s="1032">
        <v>1</v>
      </c>
      <c r="AI48" s="253"/>
      <c r="AK48" s="302" t="s">
        <v>1810</v>
      </c>
      <c r="AL48" s="1030">
        <f ca="1">AL46+AL47</f>
        <v>19300.982843047281</v>
      </c>
      <c r="AM48" s="62"/>
      <c r="AN48" s="63"/>
      <c r="AY48" s="40"/>
      <c r="BC48" s="40"/>
      <c r="BD48" s="40"/>
      <c r="BE48" s="40"/>
      <c r="BF48" s="40"/>
      <c r="BG48" s="40"/>
      <c r="BI48" s="432"/>
    </row>
    <row r="49" spans="1:61" ht="18" customHeight="1">
      <c r="A49" s="85"/>
      <c r="B49" s="49" t="s">
        <v>692</v>
      </c>
      <c r="C49" s="689">
        <f ca="1">Ausgabe!C447</f>
        <v>3.7729769102469888</v>
      </c>
      <c r="D49" s="304" t="s">
        <v>3</v>
      </c>
      <c r="E49" s="751" t="s">
        <v>507</v>
      </c>
      <c r="F49" s="1233" t="str">
        <f>Ausgabe!C172</f>
        <v>-</v>
      </c>
      <c r="M49" s="341"/>
      <c r="N49" s="1033"/>
      <c r="R49" s="39"/>
      <c r="T49" s="1033"/>
      <c r="U49" s="39"/>
      <c r="V49" s="39"/>
      <c r="W49" s="47"/>
      <c r="Y49" s="43"/>
      <c r="Z49" s="43"/>
      <c r="AA49" s="43"/>
      <c r="AB49" s="43"/>
      <c r="AC49" s="43"/>
      <c r="AE49" s="142" t="s">
        <v>130</v>
      </c>
      <c r="AF49" s="58">
        <f ca="1">AG224</f>
        <v>0</v>
      </c>
      <c r="AG49" s="1034"/>
      <c r="AH49" s="1035"/>
      <c r="AK49" s="142" t="s">
        <v>130</v>
      </c>
      <c r="AL49" s="58">
        <f ca="1">AG316</f>
        <v>19378.881289538571</v>
      </c>
      <c r="AM49" s="412"/>
      <c r="AN49" s="1036"/>
      <c r="AY49" s="40"/>
      <c r="BC49" s="40"/>
      <c r="BD49" s="40"/>
      <c r="BE49" s="40"/>
      <c r="BF49" s="40"/>
      <c r="BG49" s="40"/>
      <c r="BI49" s="432"/>
    </row>
    <row r="50" spans="1:61" ht="18" customHeight="1">
      <c r="A50" s="85"/>
      <c r="B50" s="49" t="s">
        <v>697</v>
      </c>
      <c r="C50" s="690">
        <v>0.75</v>
      </c>
      <c r="D50" s="426" t="s">
        <v>2</v>
      </c>
      <c r="E50" s="50" t="s">
        <v>1803</v>
      </c>
      <c r="G50" s="102"/>
      <c r="I50" s="40"/>
      <c r="R50" s="39"/>
      <c r="T50" s="52"/>
      <c r="U50" s="39"/>
      <c r="V50" s="39"/>
      <c r="W50" s="47"/>
      <c r="Y50" s="43"/>
      <c r="Z50" s="43"/>
      <c r="AA50" s="43"/>
      <c r="AB50" s="43"/>
      <c r="AC50" s="43"/>
      <c r="AE50" s="142" t="s">
        <v>1812</v>
      </c>
      <c r="AF50" s="43">
        <f>AH224</f>
        <v>0</v>
      </c>
      <c r="AG50" s="96"/>
      <c r="AH50" s="1035"/>
      <c r="AK50" s="142" t="s">
        <v>1812</v>
      </c>
      <c r="AL50" s="43">
        <f>AH316</f>
        <v>0</v>
      </c>
      <c r="AN50" s="1036"/>
      <c r="AY50" s="40"/>
      <c r="BC50" s="40"/>
      <c r="BD50" s="40"/>
      <c r="BE50" s="40"/>
      <c r="BF50" s="40"/>
      <c r="BG50" s="40"/>
      <c r="BI50" s="432"/>
    </row>
    <row r="51" spans="1:61" ht="18" customHeight="1">
      <c r="A51" s="86"/>
      <c r="B51" s="681" t="s">
        <v>694</v>
      </c>
      <c r="C51" s="691">
        <f>HLOOKUP(Ausgabe!$E$52,MKW!$A$116:$AZ$143,8,FALSE)*1000</f>
        <v>20000</v>
      </c>
      <c r="D51" s="692" t="s">
        <v>5</v>
      </c>
      <c r="E51" s="102"/>
      <c r="F51"/>
      <c r="I51" s="1037"/>
      <c r="R51" s="39"/>
      <c r="W51" s="43"/>
      <c r="AD51" s="40"/>
      <c r="AE51" s="302" t="s">
        <v>1813</v>
      </c>
      <c r="AF51" s="1030">
        <f ca="1">AF49+AF50</f>
        <v>0</v>
      </c>
      <c r="AG51" s="1031" t="s">
        <v>1814</v>
      </c>
      <c r="AH51" s="1032">
        <v>1</v>
      </c>
      <c r="AI51" s="253"/>
      <c r="AK51" s="302" t="s">
        <v>1813</v>
      </c>
      <c r="AL51" s="1030">
        <f ca="1">AL49+AL50</f>
        <v>19378.881289538571</v>
      </c>
      <c r="AM51" s="1031"/>
      <c r="AN51" s="1032"/>
      <c r="AY51" s="40"/>
      <c r="BC51" s="40"/>
      <c r="BD51" s="40"/>
      <c r="BE51" s="40"/>
      <c r="BF51" s="40"/>
      <c r="BG51" s="40"/>
      <c r="BI51" s="432"/>
    </row>
    <row r="52" spans="1:61" ht="18" customHeight="1">
      <c r="G52" s="47"/>
      <c r="I52" s="1037"/>
      <c r="J52"/>
      <c r="K52"/>
      <c r="L52"/>
      <c r="AD52" s="40"/>
      <c r="AE52" s="69" t="s">
        <v>1815</v>
      </c>
      <c r="AF52" s="1038" t="e">
        <f ca="1">+AF48/AF51</f>
        <v>#DIV/0!</v>
      </c>
      <c r="AG52" s="315"/>
      <c r="AH52" s="1039"/>
      <c r="AK52" s="69" t="s">
        <v>13</v>
      </c>
      <c r="AL52" s="150">
        <f ca="1">+AL48/AL51</f>
        <v>0.99598024027664889</v>
      </c>
      <c r="AM52" s="37"/>
      <c r="AN52" s="1039"/>
      <c r="AY52" s="40"/>
      <c r="BC52" s="40"/>
      <c r="BD52" s="40"/>
      <c r="BE52" s="40"/>
      <c r="BF52" s="40"/>
      <c r="BG52" s="40"/>
      <c r="BI52" s="432"/>
    </row>
    <row r="53" spans="1:61" ht="18" customHeight="1">
      <c r="F53"/>
      <c r="I53" s="340"/>
      <c r="J53"/>
      <c r="K53"/>
      <c r="L53"/>
      <c r="AD53" s="40"/>
      <c r="AE53" s="1033"/>
      <c r="AK53" s="1033"/>
      <c r="AN53" s="43"/>
      <c r="AY53" s="40"/>
      <c r="BC53" s="40"/>
      <c r="BD53" s="40"/>
      <c r="BE53" s="40"/>
      <c r="BF53" s="40"/>
      <c r="BG53" s="40"/>
      <c r="BI53" s="432"/>
    </row>
    <row r="54" spans="1:61" ht="18" customHeight="1">
      <c r="A54" s="50" t="s">
        <v>2370</v>
      </c>
      <c r="F54"/>
      <c r="M54"/>
      <c r="N54" s="52" t="s">
        <v>15</v>
      </c>
      <c r="O54" s="96"/>
      <c r="P54" s="39"/>
      <c r="Q54" s="39"/>
      <c r="R54" s="39"/>
      <c r="T54" s="52" t="s">
        <v>15</v>
      </c>
      <c r="W54" s="43"/>
      <c r="AD54" s="40"/>
      <c r="AE54" s="52" t="s">
        <v>15</v>
      </c>
      <c r="AF54" s="96"/>
      <c r="AG54" s="39"/>
      <c r="AH54" s="39"/>
      <c r="AK54" s="52" t="s">
        <v>15</v>
      </c>
      <c r="AN54" s="43"/>
      <c r="AY54" s="40"/>
      <c r="BC54" s="40"/>
      <c r="BD54" s="40"/>
      <c r="BE54" s="40"/>
      <c r="BF54" s="40"/>
      <c r="BG54" s="40"/>
      <c r="BI54" s="432"/>
    </row>
    <row r="55" spans="1:61" ht="18" customHeight="1">
      <c r="A55" s="107" t="str">
        <f>IF(C56="ja",Eingabe!C123,"")</f>
        <v/>
      </c>
      <c r="B55" s="54"/>
      <c r="C55" s="54" t="s">
        <v>6</v>
      </c>
      <c r="D55" s="54" t="s">
        <v>7</v>
      </c>
      <c r="E55" s="138"/>
      <c r="N55" s="103" t="s">
        <v>266</v>
      </c>
      <c r="O55" s="336">
        <f ca="1">SUM(Q138:Q211)</f>
        <v>0</v>
      </c>
      <c r="P55" s="97" t="s">
        <v>4</v>
      </c>
      <c r="Q55" s="105"/>
      <c r="R55" s="39"/>
      <c r="T55" s="103" t="s">
        <v>266</v>
      </c>
      <c r="U55" s="336">
        <f ca="1">SUM(Q233:Q306)</f>
        <v>43283.591114353454</v>
      </c>
      <c r="V55" s="97" t="s">
        <v>4</v>
      </c>
      <c r="W55" s="348"/>
      <c r="AD55" s="40"/>
      <c r="AE55" s="103" t="s">
        <v>266</v>
      </c>
      <c r="AF55" s="336">
        <f ca="1">SUM(AH132:AH217)</f>
        <v>0</v>
      </c>
      <c r="AG55" s="97" t="s">
        <v>4</v>
      </c>
      <c r="AH55" s="105"/>
      <c r="AK55" s="103" t="s">
        <v>266</v>
      </c>
      <c r="AL55" s="336">
        <f ca="1">SUM(AH230:AH309)</f>
        <v>43283.591114353454</v>
      </c>
      <c r="AM55" s="97" t="s">
        <v>4</v>
      </c>
      <c r="AN55" s="348"/>
      <c r="AY55" s="40"/>
      <c r="BC55" s="40"/>
      <c r="BD55" s="40"/>
      <c r="BE55" s="40"/>
      <c r="BF55" s="40"/>
      <c r="BG55" s="40"/>
      <c r="BI55" s="432"/>
    </row>
    <row r="56" spans="1:61" ht="18" customHeight="1">
      <c r="A56" s="1377" t="str">
        <f>IF(AND($C$74="ja",$C$56="ja"),"FEHLER! Verstärkung in Zugzone wählen.","")</f>
        <v/>
      </c>
      <c r="B56" s="39" t="s">
        <v>1816</v>
      </c>
      <c r="C56" s="39" t="str">
        <f>IF(Eingabe!BP21=Eingabe!C122,"ja",IF(Eingabe!BP22=Eingabe!C122,"nein","FEHLER"))</f>
        <v>nein</v>
      </c>
      <c r="D56" s="39" t="str">
        <f>C56</f>
        <v>nein</v>
      </c>
      <c r="E56" s="64"/>
      <c r="N56" s="142" t="s">
        <v>267</v>
      </c>
      <c r="O56" s="338">
        <f ca="1">SUMPRODUCT(Q138:Q211,O138:O211)</f>
        <v>0</v>
      </c>
      <c r="P56" s="50" t="s">
        <v>5</v>
      </c>
      <c r="Q56" s="104"/>
      <c r="T56" s="142" t="s">
        <v>267</v>
      </c>
      <c r="U56" s="338">
        <f ca="1">SUMPRODUCT(Q233:Q306,O233:O306)</f>
        <v>8188667.8605648521</v>
      </c>
      <c r="V56" s="50" t="s">
        <v>5</v>
      </c>
      <c r="W56" s="349"/>
      <c r="AD56" s="40"/>
      <c r="AE56" s="142" t="s">
        <v>267</v>
      </c>
      <c r="AF56" s="338">
        <f ca="1">SUMPRODUCT(AH132:AH217,AF132:AF217)</f>
        <v>0</v>
      </c>
      <c r="AG56" s="50" t="s">
        <v>5</v>
      </c>
      <c r="AH56" s="104"/>
      <c r="AK56" s="142" t="s">
        <v>267</v>
      </c>
      <c r="AL56" s="338">
        <f ca="1">SUMPRODUCT(AH230:AH309,AF230:AF309)</f>
        <v>8188667.8605648521</v>
      </c>
      <c r="AM56" s="50" t="s">
        <v>5</v>
      </c>
      <c r="AN56" s="349"/>
      <c r="AY56" s="40"/>
      <c r="BC56" s="40"/>
      <c r="BD56" s="40"/>
      <c r="BE56" s="40"/>
      <c r="BF56" s="40"/>
      <c r="BG56" s="40"/>
      <c r="BI56" s="432"/>
    </row>
    <row r="57" spans="1:61" ht="18" customHeight="1">
      <c r="E57" s="104"/>
      <c r="I57" s="340"/>
      <c r="J57"/>
      <c r="K57"/>
      <c r="L57"/>
      <c r="N57" s="69" t="s">
        <v>268</v>
      </c>
      <c r="O57" s="337">
        <f ca="1">SUMPRODUCT(Q138:Q211,O138:O211,O138:O211)</f>
        <v>0</v>
      </c>
      <c r="P57" s="59" t="s">
        <v>16</v>
      </c>
      <c r="Q57" s="101"/>
      <c r="T57" s="69" t="s">
        <v>268</v>
      </c>
      <c r="U57" s="337">
        <f ca="1">SUMPRODUCT(Q233:Q306,O233:O306,O233:O306)</f>
        <v>2049666185.0465605</v>
      </c>
      <c r="V57" s="59" t="s">
        <v>16</v>
      </c>
      <c r="W57" s="350"/>
      <c r="AD57" s="40"/>
      <c r="AE57" s="69" t="s">
        <v>268</v>
      </c>
      <c r="AF57" s="337">
        <f ca="1">SUMPRODUCT(AH132:AH217,AF132:AF217,AF132:AF217)</f>
        <v>0</v>
      </c>
      <c r="AG57" s="59" t="s">
        <v>16</v>
      </c>
      <c r="AH57" s="101"/>
      <c r="AK57" s="69" t="s">
        <v>268</v>
      </c>
      <c r="AL57" s="337">
        <f ca="1">SUMPRODUCT(AH230:AH309,AF230:AF309,AF230:AF309)</f>
        <v>2049666185.0465605</v>
      </c>
      <c r="AM57" s="59" t="s">
        <v>16</v>
      </c>
      <c r="AN57" s="350"/>
      <c r="AY57" s="40"/>
      <c r="BC57" s="40"/>
      <c r="BD57" s="40"/>
      <c r="BE57" s="40"/>
      <c r="BF57" s="40"/>
      <c r="BG57" s="40"/>
      <c r="BI57" s="432"/>
    </row>
    <row r="58" spans="1:61" ht="18" customHeight="1">
      <c r="A58" s="68" t="s">
        <v>1866</v>
      </c>
      <c r="B58" s="39" t="s">
        <v>1817</v>
      </c>
      <c r="C58" s="1378">
        <f>Eingabe!C130</f>
        <v>2</v>
      </c>
      <c r="D58" s="1378">
        <f>Eingabe!D130</f>
        <v>2</v>
      </c>
      <c r="E58" s="64"/>
      <c r="F58" s="50" t="s">
        <v>1818</v>
      </c>
      <c r="I58"/>
      <c r="J58"/>
      <c r="K58"/>
      <c r="L58"/>
      <c r="M58"/>
      <c r="W58" s="43"/>
      <c r="AD58" s="40"/>
      <c r="AN58" s="43"/>
      <c r="AY58" s="40"/>
      <c r="BC58" s="40"/>
      <c r="BD58" s="40"/>
      <c r="BE58" s="40"/>
      <c r="BF58" s="40"/>
      <c r="BG58" s="40"/>
      <c r="BI58" s="432"/>
    </row>
    <row r="59" spans="1:61" ht="18" customHeight="1">
      <c r="E59" s="104"/>
      <c r="I59"/>
      <c r="J59"/>
      <c r="K59"/>
      <c r="L59"/>
      <c r="M59"/>
      <c r="N59" s="316" t="s">
        <v>260</v>
      </c>
      <c r="O59" s="313"/>
      <c r="P59" s="49"/>
      <c r="Q59" s="49"/>
      <c r="T59" s="316" t="s">
        <v>260</v>
      </c>
      <c r="W59" s="43"/>
      <c r="AD59" s="40"/>
      <c r="AE59" s="316" t="s">
        <v>260</v>
      </c>
      <c r="AK59" s="316" t="s">
        <v>260</v>
      </c>
      <c r="AN59" s="43"/>
      <c r="AY59" s="40"/>
      <c r="BC59" s="40"/>
      <c r="BD59" s="40"/>
      <c r="BE59" s="40"/>
      <c r="BF59" s="40"/>
      <c r="BG59" s="40"/>
      <c r="BI59" s="432"/>
    </row>
    <row r="60" spans="1:61" ht="18" customHeight="1">
      <c r="E60" s="104"/>
      <c r="I60"/>
      <c r="J60"/>
      <c r="K60"/>
      <c r="L60"/>
      <c r="M60"/>
      <c r="N60" s="319" t="s">
        <v>261</v>
      </c>
      <c r="O60" s="317">
        <f ca="1">SUM(U138:U211)</f>
        <v>0</v>
      </c>
      <c r="P60" s="320" t="s">
        <v>2</v>
      </c>
      <c r="Q60" s="321"/>
      <c r="T60" s="319" t="s">
        <v>261</v>
      </c>
      <c r="U60" s="317">
        <f ca="1">SUM(U233:U306)</f>
        <v>1020.6054756342963</v>
      </c>
      <c r="V60" s="320" t="s">
        <v>2</v>
      </c>
      <c r="W60" s="351"/>
      <c r="AD60" s="40"/>
      <c r="AE60" s="319" t="s">
        <v>261</v>
      </c>
      <c r="AF60" s="317">
        <f ca="1">SUM(U138:U211)</f>
        <v>0</v>
      </c>
      <c r="AG60" s="320" t="s">
        <v>2</v>
      </c>
      <c r="AH60" s="321"/>
      <c r="AK60" s="319" t="s">
        <v>261</v>
      </c>
      <c r="AL60" s="317">
        <f ca="1">SUM(U233:U306)</f>
        <v>1020.6054756342963</v>
      </c>
      <c r="AM60" s="320" t="s">
        <v>2</v>
      </c>
      <c r="AN60" s="351"/>
      <c r="AY60" s="40"/>
      <c r="BC60" s="40"/>
      <c r="BD60" s="40"/>
      <c r="BE60" s="40"/>
      <c r="BF60" s="40"/>
      <c r="BG60" s="40"/>
    </row>
    <row r="61" spans="1:61" ht="18" customHeight="1">
      <c r="E61" s="104"/>
      <c r="F61" s="50" t="s">
        <v>1819</v>
      </c>
      <c r="I61"/>
      <c r="J61"/>
      <c r="K61"/>
      <c r="L61"/>
      <c r="M61"/>
      <c r="N61" s="318" t="s">
        <v>262</v>
      </c>
      <c r="O61" s="335">
        <f ca="1">SUMPRODUCT(U138:U211,U138:U211)</f>
        <v>0</v>
      </c>
      <c r="P61" s="331" t="s">
        <v>254</v>
      </c>
      <c r="Q61" s="291"/>
      <c r="T61" s="318" t="s">
        <v>262</v>
      </c>
      <c r="U61" s="335">
        <f ca="1">SUMPRODUCT(U233:U306,U233:U306)</f>
        <v>172491.93384210113</v>
      </c>
      <c r="V61" s="331" t="s">
        <v>254</v>
      </c>
      <c r="W61" s="352"/>
      <c r="AD61" s="40"/>
      <c r="AE61" s="318" t="s">
        <v>262</v>
      </c>
      <c r="AF61" s="335">
        <f ca="1">SUMPRODUCT(U138:U211,U138:U211)</f>
        <v>0</v>
      </c>
      <c r="AG61" s="331" t="s">
        <v>254</v>
      </c>
      <c r="AH61" s="291"/>
      <c r="AK61" s="318" t="s">
        <v>262</v>
      </c>
      <c r="AL61" s="335">
        <f ca="1">SUMPRODUCT(U233:U306,U233:U306)</f>
        <v>172491.93384210113</v>
      </c>
      <c r="AM61" s="331" t="s">
        <v>254</v>
      </c>
      <c r="AN61" s="352"/>
      <c r="AY61" s="40"/>
      <c r="BC61" s="40"/>
      <c r="BD61" s="40"/>
      <c r="BE61" s="40"/>
      <c r="BF61" s="40"/>
      <c r="BG61" s="40"/>
    </row>
    <row r="62" spans="1:61" ht="18" customHeight="1">
      <c r="B62" s="39" t="s">
        <v>2175</v>
      </c>
      <c r="C62" s="1378">
        <f>Eingabe!C132</f>
        <v>-90</v>
      </c>
      <c r="D62" s="1378">
        <f>Eingabe!D132</f>
        <v>-90</v>
      </c>
      <c r="E62" s="64" t="s">
        <v>2</v>
      </c>
      <c r="F62" s="50" t="s">
        <v>1820</v>
      </c>
      <c r="I62"/>
      <c r="J62"/>
      <c r="M62" s="341"/>
      <c r="N62" s="318" t="s">
        <v>263</v>
      </c>
      <c r="O62" s="58">
        <f ca="1">MAX(U138:U211)</f>
        <v>0</v>
      </c>
      <c r="P62" s="331"/>
      <c r="Q62" s="291"/>
      <c r="T62" s="318" t="s">
        <v>263</v>
      </c>
      <c r="U62" s="58">
        <f ca="1">MAX(U233:U306)</f>
        <v>228.94363937632804</v>
      </c>
      <c r="V62" s="331"/>
      <c r="W62" s="352"/>
      <c r="AD62" s="40"/>
      <c r="AE62" s="318" t="s">
        <v>263</v>
      </c>
      <c r="AF62" s="58">
        <f ca="1">MAX(U138:U211)</f>
        <v>0</v>
      </c>
      <c r="AG62" s="331"/>
      <c r="AH62" s="291"/>
      <c r="AK62" s="318" t="s">
        <v>263</v>
      </c>
      <c r="AL62" s="58">
        <f ca="1">MAX(U233:U306)</f>
        <v>228.94363937632804</v>
      </c>
      <c r="AM62" s="331"/>
      <c r="AN62" s="352"/>
      <c r="AY62" s="40"/>
      <c r="BC62" s="40"/>
      <c r="BD62" s="40"/>
      <c r="BE62" s="40"/>
      <c r="BF62" s="40"/>
      <c r="BG62" s="40"/>
    </row>
    <row r="63" spans="1:61" ht="18" customHeight="1">
      <c r="B63" s="39" t="s">
        <v>2176</v>
      </c>
      <c r="C63" s="1378">
        <f>Eingabe!C128</f>
        <v>50</v>
      </c>
      <c r="D63" s="1378">
        <f>Eingabe!D128</f>
        <v>50</v>
      </c>
      <c r="E63" s="64" t="s">
        <v>2</v>
      </c>
      <c r="F63" s="50" t="s">
        <v>1948</v>
      </c>
      <c r="I63"/>
      <c r="J63"/>
      <c r="M63"/>
      <c r="N63" s="68" t="s">
        <v>100</v>
      </c>
      <c r="O63" s="58">
        <f ca="1">SUMIF(A138:A211,45)/45</f>
        <v>7</v>
      </c>
      <c r="P63" s="40" t="s">
        <v>124</v>
      </c>
      <c r="Q63" s="57"/>
      <c r="R63" s="167"/>
      <c r="T63" s="68" t="s">
        <v>100</v>
      </c>
      <c r="U63" s="58">
        <f ca="1">SUMIF(A233:A306,45)/45</f>
        <v>7</v>
      </c>
      <c r="V63" s="40" t="s">
        <v>124</v>
      </c>
      <c r="W63" s="346"/>
      <c r="AD63" s="40"/>
      <c r="AE63" s="68" t="s">
        <v>100</v>
      </c>
      <c r="AF63" s="58">
        <f ca="1">COUNT(X138:X211)</f>
        <v>7</v>
      </c>
      <c r="AG63" s="40" t="s">
        <v>124</v>
      </c>
      <c r="AH63" s="57"/>
      <c r="AK63" s="68" t="s">
        <v>100</v>
      </c>
      <c r="AL63" s="58">
        <f ca="1">COUNT(X233:X306)</f>
        <v>7</v>
      </c>
      <c r="AM63" s="40" t="s">
        <v>124</v>
      </c>
      <c r="AN63" s="346"/>
      <c r="AY63" s="40"/>
      <c r="BC63" s="40"/>
      <c r="BD63" s="40"/>
      <c r="BE63" s="40"/>
      <c r="BF63" s="40"/>
      <c r="BG63" s="40"/>
    </row>
    <row r="64" spans="1:61" ht="18" customHeight="1">
      <c r="B64" s="39" t="s">
        <v>2177</v>
      </c>
      <c r="C64" s="1378">
        <f>Eingabe!C129</f>
        <v>40</v>
      </c>
      <c r="D64" s="1378">
        <f>Eingabe!D129</f>
        <v>40</v>
      </c>
      <c r="E64" s="64" t="s">
        <v>2</v>
      </c>
      <c r="F64" s="50" t="s">
        <v>1821</v>
      </c>
      <c r="I64"/>
      <c r="J64"/>
      <c r="N64" s="68" t="s">
        <v>129</v>
      </c>
      <c r="O64" s="303">
        <f ca="1">0.8*Y224/O63/Y221</f>
        <v>73.541398446921519</v>
      </c>
      <c r="P64" s="40" t="s">
        <v>2</v>
      </c>
      <c r="Q64" s="304" t="s">
        <v>1822</v>
      </c>
      <c r="T64" s="68" t="s">
        <v>128</v>
      </c>
      <c r="U64" s="303">
        <f ca="1">0.8*Y316/E313/Y313</f>
        <v>86.105750399401543</v>
      </c>
      <c r="V64" s="40" t="s">
        <v>2</v>
      </c>
      <c r="W64" s="1040" t="s">
        <v>1822</v>
      </c>
      <c r="AD64" s="40"/>
      <c r="AE64" s="68" t="s">
        <v>129</v>
      </c>
      <c r="AF64" s="303">
        <f ca="1">0.8*Y224/AF63/Y221</f>
        <v>73.541398446921519</v>
      </c>
      <c r="AG64" s="40" t="s">
        <v>2</v>
      </c>
      <c r="AH64" s="304" t="s">
        <v>1822</v>
      </c>
      <c r="AK64" s="68" t="s">
        <v>128</v>
      </c>
      <c r="AL64" s="303">
        <f ca="1">0.8*Y316/E313/Y313</f>
        <v>86.105750399401543</v>
      </c>
      <c r="AM64" s="40" t="s">
        <v>2</v>
      </c>
      <c r="AN64" s="1040" t="s">
        <v>1822</v>
      </c>
      <c r="AY64" s="40"/>
      <c r="BC64" s="40"/>
      <c r="BD64" s="40"/>
      <c r="BE64" s="40"/>
      <c r="BF64" s="40"/>
      <c r="BG64" s="40"/>
    </row>
    <row r="65" spans="1:59" ht="18" customHeight="1">
      <c r="E65" s="104"/>
      <c r="F65" s="102"/>
      <c r="N65" s="69" t="s">
        <v>129</v>
      </c>
      <c r="O65" s="314">
        <f ca="1">IF(O62=0,0,0.8*(O61+O60*2/3*O16)/(O63*O62))</f>
        <v>0</v>
      </c>
      <c r="P65" s="315" t="s">
        <v>2</v>
      </c>
      <c r="Q65" s="65" t="s">
        <v>1823</v>
      </c>
      <c r="T65" s="69" t="s">
        <v>128</v>
      </c>
      <c r="U65" s="314">
        <f ca="1">0.8*(U61+U60*2/3*U16)/(U63*U62)</f>
        <v>94.616111555086732</v>
      </c>
      <c r="V65" s="315" t="s">
        <v>2</v>
      </c>
      <c r="W65" s="323" t="s">
        <v>1823</v>
      </c>
      <c r="AD65" s="40"/>
      <c r="AE65" s="69" t="s">
        <v>129</v>
      </c>
      <c r="AF65" s="314">
        <f ca="1">IF(AF62=0,0,0.8*(AF61+AF60*2/3*AF16)/(AF63*AF62))</f>
        <v>0</v>
      </c>
      <c r="AG65" s="315" t="s">
        <v>2</v>
      </c>
      <c r="AH65" s="65" t="s">
        <v>1823</v>
      </c>
      <c r="AK65" s="69" t="s">
        <v>128</v>
      </c>
      <c r="AL65" s="314">
        <f ca="1">0.8*(AL61+AL60*2/3*AL16)/(AL63*AL62)</f>
        <v>94.616210086810483</v>
      </c>
      <c r="AM65" s="315" t="s">
        <v>2</v>
      </c>
      <c r="AN65" s="323" t="s">
        <v>1823</v>
      </c>
      <c r="AY65" s="40"/>
      <c r="BC65" s="40"/>
      <c r="BD65" s="40"/>
      <c r="BE65" s="40"/>
      <c r="BF65" s="40"/>
      <c r="BG65" s="40"/>
    </row>
    <row r="66" spans="1:59" ht="18" customHeight="1">
      <c r="E66" s="104"/>
      <c r="F66" s="102"/>
      <c r="AD66" s="40"/>
      <c r="AF66" s="43"/>
      <c r="AH66" s="41"/>
      <c r="AY66" s="40"/>
      <c r="BC66" s="40"/>
      <c r="BD66" s="40"/>
      <c r="BE66" s="40"/>
      <c r="BF66" s="40"/>
      <c r="BG66" s="40"/>
    </row>
    <row r="67" spans="1:59" ht="18" customHeight="1">
      <c r="A67" s="1379"/>
      <c r="B67" s="39" t="s">
        <v>1824</v>
      </c>
      <c r="C67" s="1380">
        <f>Eingabe!C126</f>
        <v>30843</v>
      </c>
      <c r="D67" s="1380">
        <f>Eingabe!D126</f>
        <v>20062</v>
      </c>
      <c r="E67" s="64" t="s">
        <v>5</v>
      </c>
      <c r="F67" s="50" t="s">
        <v>1825</v>
      </c>
      <c r="AD67" s="40"/>
      <c r="AF67" s="43"/>
      <c r="AG67" s="43"/>
      <c r="AH67" s="41"/>
      <c r="AY67" s="40"/>
      <c r="BC67" s="40"/>
      <c r="BD67" s="40"/>
      <c r="BE67" s="40"/>
      <c r="BF67" s="40"/>
      <c r="BG67" s="40"/>
    </row>
    <row r="68" spans="1:59" ht="18" customHeight="1">
      <c r="E68" s="104"/>
      <c r="F68" s="102"/>
      <c r="M68" s="341"/>
      <c r="AD68" s="40"/>
      <c r="AF68" s="43"/>
      <c r="AG68" s="43"/>
      <c r="AH68" s="41"/>
      <c r="AY68" s="40"/>
      <c r="BC68" s="40"/>
      <c r="BD68" s="40"/>
      <c r="BE68" s="40"/>
      <c r="BF68" s="40"/>
      <c r="BG68" s="40"/>
    </row>
    <row r="69" spans="1:59" ht="18" customHeight="1">
      <c r="A69" s="47"/>
      <c r="B69" s="39" t="s">
        <v>1805</v>
      </c>
      <c r="C69" s="1380">
        <f>Eingabe!C127</f>
        <v>37500</v>
      </c>
      <c r="D69" s="1380">
        <f>Eingabe!D127</f>
        <v>31816</v>
      </c>
      <c r="E69" s="64" t="s">
        <v>4</v>
      </c>
      <c r="F69" s="50" t="s">
        <v>1827</v>
      </c>
      <c r="AD69" s="40"/>
      <c r="AF69" s="43"/>
      <c r="AG69" s="43"/>
      <c r="AH69" s="41"/>
      <c r="AY69" s="40"/>
      <c r="BC69" s="40"/>
      <c r="BD69" s="40"/>
      <c r="BE69" s="40"/>
      <c r="BF69" s="40"/>
      <c r="BG69" s="40"/>
    </row>
    <row r="70" spans="1:59" ht="18" customHeight="1">
      <c r="A70" s="1381"/>
      <c r="B70" s="37" t="s">
        <v>1828</v>
      </c>
      <c r="C70" s="144">
        <f>C67/C69</f>
        <v>0.82247999999999999</v>
      </c>
      <c r="D70" s="144">
        <f>D67/D69</f>
        <v>0.63056323862207697</v>
      </c>
      <c r="E70" s="65" t="s">
        <v>2</v>
      </c>
      <c r="F70" s="50" t="s">
        <v>1829</v>
      </c>
      <c r="AD70" s="40"/>
      <c r="AF70" s="43"/>
      <c r="AG70" s="43"/>
      <c r="AH70" s="41"/>
      <c r="AY70" s="40"/>
      <c r="BC70" s="40"/>
      <c r="BD70" s="40"/>
      <c r="BE70" s="40"/>
      <c r="BF70" s="40"/>
      <c r="BG70" s="40"/>
    </row>
    <row r="71" spans="1:59" ht="18" customHeight="1">
      <c r="AD71" s="40"/>
      <c r="AF71" s="43"/>
      <c r="AG71" s="43"/>
      <c r="AH71" s="41"/>
      <c r="AY71" s="40"/>
      <c r="BC71" s="40"/>
      <c r="BD71" s="40"/>
      <c r="BE71" s="40"/>
      <c r="BF71" s="40"/>
      <c r="BG71" s="40"/>
    </row>
    <row r="72" spans="1:59" ht="18" customHeight="1">
      <c r="A72" s="1321" t="s">
        <v>1954</v>
      </c>
      <c r="B72" s="1322"/>
      <c r="C72" s="1323"/>
      <c r="D72" s="1322"/>
      <c r="E72" s="1324"/>
      <c r="F72" s="1336"/>
      <c r="G72" s="1336"/>
      <c r="H72" s="1320"/>
      <c r="I72" s="1260"/>
      <c r="AD72" s="40"/>
      <c r="AF72" s="43"/>
      <c r="AG72" s="43"/>
      <c r="AH72" s="41"/>
      <c r="AY72" s="40"/>
      <c r="BC72" s="40"/>
      <c r="BD72" s="40"/>
      <c r="BE72" s="40"/>
      <c r="BF72" s="40"/>
      <c r="BG72" s="40"/>
    </row>
    <row r="73" spans="1:59" ht="18" customHeight="1">
      <c r="A73" s="1344" t="s">
        <v>1830</v>
      </c>
      <c r="B73" s="1336"/>
      <c r="C73" s="1337"/>
      <c r="D73" s="1336"/>
      <c r="E73" s="1325"/>
      <c r="F73" s="1336"/>
      <c r="G73" s="1336"/>
      <c r="H73" s="1320"/>
      <c r="I73" s="1260"/>
      <c r="J73" s="50"/>
      <c r="M73" s="341"/>
      <c r="AD73" s="40"/>
      <c r="AF73" s="43"/>
      <c r="AG73" s="43"/>
      <c r="AH73" s="41"/>
      <c r="AY73" s="40"/>
      <c r="BC73" s="40"/>
      <c r="BD73" s="40"/>
      <c r="BE73" s="40"/>
      <c r="BF73" s="40"/>
      <c r="BG73" s="40"/>
    </row>
    <row r="74" spans="1:59" ht="18" customHeight="1">
      <c r="A74" s="1345" t="str">
        <f>IF(AND($C$74="ja",$C$56="ja"),"FEHLER! Verstärkung in Zugzone wählen.","")</f>
        <v/>
      </c>
      <c r="B74" s="1336" t="s">
        <v>1816</v>
      </c>
      <c r="C74" s="1337" t="s">
        <v>1831</v>
      </c>
      <c r="D74" s="1337" t="str">
        <f>C74</f>
        <v>nein</v>
      </c>
      <c r="E74" s="1325"/>
      <c r="F74" s="1336"/>
      <c r="G74" s="1326"/>
      <c r="H74" s="1326"/>
      <c r="I74" s="1260"/>
      <c r="J74" s="50"/>
      <c r="K74" s="47"/>
      <c r="L74" s="47"/>
      <c r="AD74" s="40"/>
      <c r="AF74" s="43"/>
      <c r="AG74" s="43"/>
      <c r="AH74" s="41"/>
      <c r="AY74" s="40"/>
      <c r="BC74" s="40"/>
      <c r="BD74" s="40"/>
      <c r="BE74" s="40"/>
      <c r="BF74" s="40"/>
      <c r="BG74" s="40"/>
    </row>
    <row r="75" spans="1:59" ht="18" customHeight="1">
      <c r="A75" s="1327"/>
      <c r="B75" s="1338" t="s">
        <v>1944</v>
      </c>
      <c r="C75" s="1339">
        <v>2</v>
      </c>
      <c r="D75" s="1339">
        <f t="shared" ref="D75:D88" si="2">C75</f>
        <v>2</v>
      </c>
      <c r="E75" s="1328" t="s">
        <v>2</v>
      </c>
      <c r="F75" s="1336"/>
      <c r="G75" s="1326"/>
      <c r="H75" s="1326"/>
      <c r="I75" s="1261"/>
      <c r="J75" s="50"/>
      <c r="AD75" s="40"/>
      <c r="AF75" s="43"/>
      <c r="AG75" s="43"/>
      <c r="AH75" s="41"/>
      <c r="AY75" s="40"/>
      <c r="BC75" s="40"/>
      <c r="BD75" s="40"/>
      <c r="BE75" s="40"/>
      <c r="BF75" s="40"/>
      <c r="BG75" s="40"/>
    </row>
    <row r="76" spans="1:59" ht="18" customHeight="1">
      <c r="A76" s="1327"/>
      <c r="B76" s="1338" t="s">
        <v>1942</v>
      </c>
      <c r="C76" s="1339">
        <v>5</v>
      </c>
      <c r="D76" s="1339">
        <f t="shared" si="2"/>
        <v>5</v>
      </c>
      <c r="E76" s="1328" t="s">
        <v>124</v>
      </c>
      <c r="F76" s="1335"/>
      <c r="G76" s="1326"/>
      <c r="H76" s="1326"/>
      <c r="I76" s="1261"/>
      <c r="J76" s="50"/>
      <c r="K76" s="40"/>
      <c r="L76" s="40"/>
      <c r="AD76" s="40"/>
      <c r="AF76" s="43"/>
      <c r="AG76" s="43"/>
      <c r="AH76" s="41"/>
      <c r="AY76" s="40"/>
      <c r="BC76" s="40"/>
      <c r="BD76" s="40"/>
      <c r="BE76" s="40"/>
      <c r="BF76" s="40"/>
      <c r="BG76" s="40"/>
    </row>
    <row r="77" spans="1:59" ht="18" customHeight="1">
      <c r="A77" s="1327"/>
      <c r="B77" s="1338" t="s">
        <v>1943</v>
      </c>
      <c r="C77" s="1339">
        <v>4</v>
      </c>
      <c r="D77" s="1339">
        <f t="shared" si="2"/>
        <v>4</v>
      </c>
      <c r="E77" s="1328" t="s">
        <v>124</v>
      </c>
      <c r="F77" s="1335"/>
      <c r="G77" s="1326"/>
      <c r="H77" s="1326"/>
      <c r="I77" s="1261"/>
      <c r="J77" s="310"/>
      <c r="K77" s="40"/>
      <c r="L77" s="40"/>
      <c r="AD77" s="40"/>
      <c r="AF77" s="43"/>
      <c r="AG77" s="43"/>
      <c r="AH77" s="41"/>
      <c r="AY77" s="40"/>
      <c r="BC77" s="40"/>
      <c r="BD77" s="40"/>
      <c r="BE77" s="40"/>
      <c r="BF77" s="40"/>
      <c r="BG77" s="40"/>
    </row>
    <row r="78" spans="1:59" ht="18" customHeight="1">
      <c r="A78" s="1327"/>
      <c r="B78" s="1338" t="s">
        <v>1945</v>
      </c>
      <c r="C78" s="1339">
        <f>C77*C76</f>
        <v>20</v>
      </c>
      <c r="D78" s="1339">
        <f t="shared" si="2"/>
        <v>20</v>
      </c>
      <c r="E78" s="1328" t="s">
        <v>124</v>
      </c>
      <c r="F78" s="1336"/>
      <c r="G78" s="1326"/>
      <c r="H78" s="1326"/>
      <c r="I78" s="1261"/>
      <c r="J78" s="310"/>
      <c r="K78" s="40"/>
      <c r="L78" s="40"/>
      <c r="AD78" s="40"/>
      <c r="AF78" s="43"/>
      <c r="AG78" s="43"/>
      <c r="AH78" s="41"/>
      <c r="AY78" s="40"/>
      <c r="BC78" s="40"/>
      <c r="BD78" s="40"/>
      <c r="BE78" s="40"/>
      <c r="BF78" s="40"/>
      <c r="BG78" s="40"/>
    </row>
    <row r="79" spans="1:59" ht="18" customHeight="1">
      <c r="A79" s="1327"/>
      <c r="B79" s="1338" t="s">
        <v>1946</v>
      </c>
      <c r="C79" s="1340">
        <f>MAX(C76*0.9,C76^0.9)*C77</f>
        <v>18</v>
      </c>
      <c r="D79" s="1340">
        <f t="shared" si="2"/>
        <v>18</v>
      </c>
      <c r="E79" s="1328" t="s">
        <v>124</v>
      </c>
      <c r="F79" s="1336"/>
      <c r="G79" s="1326"/>
      <c r="H79" s="1326"/>
      <c r="I79" s="1261"/>
      <c r="J79" s="310"/>
      <c r="K79" s="40"/>
      <c r="L79" s="40"/>
      <c r="AE79" s="43"/>
      <c r="AF79" s="41"/>
      <c r="AY79" s="40"/>
      <c r="BC79" s="40"/>
      <c r="BD79" s="40"/>
      <c r="BE79" s="40"/>
      <c r="BF79" s="40"/>
      <c r="BG79" s="40"/>
    </row>
    <row r="80" spans="1:59" ht="18" customHeight="1">
      <c r="A80" s="1327"/>
      <c r="B80" s="1338" t="s">
        <v>111</v>
      </c>
      <c r="C80" s="1339">
        <v>8</v>
      </c>
      <c r="D80" s="1339">
        <f t="shared" si="2"/>
        <v>8</v>
      </c>
      <c r="E80" s="1328" t="s">
        <v>2</v>
      </c>
      <c r="F80" s="1336"/>
      <c r="G80" s="1326"/>
      <c r="H80" s="1326"/>
      <c r="I80" s="1261"/>
      <c r="J80" s="310"/>
      <c r="K80" s="40"/>
      <c r="L80" s="40"/>
      <c r="AE80" s="43"/>
      <c r="AF80" s="41"/>
      <c r="AY80" s="40"/>
      <c r="BC80" s="40"/>
      <c r="BD80" s="40"/>
      <c r="BE80" s="40"/>
      <c r="BF80" s="40"/>
      <c r="BG80" s="40"/>
    </row>
    <row r="81" spans="1:59" ht="18" customHeight="1">
      <c r="A81" s="1327"/>
      <c r="B81" s="1338" t="s">
        <v>112</v>
      </c>
      <c r="C81" s="1339">
        <v>120</v>
      </c>
      <c r="D81" s="1339">
        <f t="shared" si="2"/>
        <v>120</v>
      </c>
      <c r="E81" s="1328" t="s">
        <v>2</v>
      </c>
      <c r="F81" s="1336"/>
      <c r="G81" s="1326"/>
      <c r="H81" s="1326"/>
      <c r="I81" s="1261"/>
      <c r="J81" s="310"/>
      <c r="K81" s="40"/>
      <c r="L81" s="40"/>
      <c r="AE81" s="43"/>
      <c r="AF81" s="41"/>
      <c r="AY81" s="40"/>
      <c r="BC81" s="40"/>
      <c r="BD81" s="40"/>
      <c r="BE81" s="40"/>
      <c r="BF81" s="40"/>
      <c r="BG81" s="40"/>
    </row>
    <row r="82" spans="1:59" ht="18" customHeight="1">
      <c r="A82" s="1327"/>
      <c r="B82" s="1338" t="s">
        <v>1897</v>
      </c>
      <c r="C82" s="1341" cm="1">
        <f t="array" ref="C82">C81-C75*SQRT(2)-IF(C80=6,10.7,IF(C80=8,12.7,Wen(C80=10,18.4)))</f>
        <v>104.47157287525381</v>
      </c>
      <c r="D82" s="1341">
        <f t="shared" si="2"/>
        <v>104.47157287525381</v>
      </c>
      <c r="E82" s="1328" t="s">
        <v>2</v>
      </c>
      <c r="F82" s="1335"/>
      <c r="G82" s="1326"/>
      <c r="H82" s="1326"/>
      <c r="I82" s="1261"/>
      <c r="J82" s="310"/>
      <c r="K82" s="40"/>
      <c r="L82" s="40"/>
      <c r="AE82" s="43"/>
      <c r="AF82" s="41"/>
      <c r="AY82" s="40"/>
      <c r="BC82" s="40"/>
      <c r="BD82" s="40"/>
      <c r="BE82" s="40"/>
      <c r="BF82" s="40"/>
      <c r="BG82" s="40"/>
    </row>
    <row r="83" spans="1:59" ht="18" customHeight="1">
      <c r="A83" s="1327"/>
      <c r="B83" s="1338" t="s">
        <v>1898</v>
      </c>
      <c r="C83" s="1341">
        <f>IF(C80=6,11.5,11)*(MIN(C38,C21)/350)^0.8</f>
        <v>11.8715337982878</v>
      </c>
      <c r="D83" s="1341">
        <f t="shared" si="2"/>
        <v>11.8715337982878</v>
      </c>
      <c r="E83" s="1328" t="s">
        <v>3</v>
      </c>
      <c r="F83" s="1335"/>
      <c r="G83" s="1326"/>
      <c r="H83" s="1326"/>
      <c r="I83" s="1261"/>
      <c r="J83" s="310"/>
      <c r="K83" s="40"/>
      <c r="L83" s="40"/>
      <c r="AE83" s="43"/>
      <c r="AF83" s="41"/>
      <c r="AY83" s="40"/>
      <c r="BC83" s="40"/>
      <c r="BD83" s="40"/>
      <c r="BE83" s="40"/>
      <c r="BF83" s="40"/>
      <c r="BG83" s="40"/>
    </row>
    <row r="84" spans="1:59" ht="18" customHeight="1">
      <c r="A84" s="1327"/>
      <c r="B84" s="1338" t="s">
        <v>1899</v>
      </c>
      <c r="C84" s="1342">
        <f>C83*C80*C82</f>
        <v>9921.9024667908998</v>
      </c>
      <c r="D84" s="1342">
        <f t="shared" si="2"/>
        <v>9921.9024667908998</v>
      </c>
      <c r="E84" s="1328" t="s">
        <v>5</v>
      </c>
      <c r="F84" s="1335"/>
      <c r="G84" s="1326"/>
      <c r="H84" s="1326"/>
      <c r="I84" s="1261"/>
      <c r="J84" s="310"/>
      <c r="K84" s="40"/>
      <c r="L84" s="40"/>
      <c r="AY84" s="40"/>
      <c r="BC84" s="40"/>
      <c r="BD84" s="40"/>
      <c r="BE84" s="40"/>
      <c r="BF84" s="40"/>
      <c r="BG84" s="40"/>
    </row>
    <row r="85" spans="1:59" ht="18" customHeight="1">
      <c r="A85" s="1329"/>
      <c r="B85" s="1336" t="s">
        <v>2362</v>
      </c>
      <c r="C85" s="1343">
        <f>C79*C84*COS(45/180*PI())</f>
        <v>126285.20129770883</v>
      </c>
      <c r="D85" s="1343">
        <f t="shared" si="2"/>
        <v>126285.20129770883</v>
      </c>
      <c r="E85" s="1330" t="s">
        <v>5</v>
      </c>
      <c r="F85" s="1335"/>
      <c r="G85" s="1326"/>
      <c r="H85" s="1326"/>
      <c r="I85" s="1261"/>
      <c r="J85" s="310"/>
      <c r="K85" s="40"/>
      <c r="L85" s="40"/>
      <c r="AF85" s="41"/>
      <c r="AY85" s="40"/>
      <c r="BC85" s="40"/>
      <c r="BD85" s="40"/>
      <c r="BE85" s="40"/>
      <c r="BF85" s="40"/>
      <c r="BG85" s="40"/>
    </row>
    <row r="86" spans="1:59" ht="18" customHeight="1">
      <c r="A86" s="1327"/>
      <c r="B86" s="1338" t="s">
        <v>1947</v>
      </c>
      <c r="C86" s="1342">
        <f>IF(MID(C20,1,1)="C",2/3*25*C80*C82,2/3*30*C80*C82)</f>
        <v>16715.45166004061</v>
      </c>
      <c r="D86" s="1342">
        <f t="shared" si="2"/>
        <v>16715.45166004061</v>
      </c>
      <c r="E86" s="1328" t="s">
        <v>4</v>
      </c>
      <c r="F86" s="1335"/>
      <c r="G86" s="1336"/>
      <c r="H86" s="1326"/>
      <c r="I86" s="1261"/>
      <c r="J86" s="310"/>
      <c r="K86" s="40"/>
      <c r="L86" s="40"/>
      <c r="AF86" s="41"/>
      <c r="AY86" s="40"/>
      <c r="BC86" s="40"/>
      <c r="BD86" s="40"/>
      <c r="BE86" s="40"/>
      <c r="BF86" s="40"/>
      <c r="BG86" s="40"/>
    </row>
    <row r="87" spans="1:59" ht="18" customHeight="1">
      <c r="A87" s="1329"/>
      <c r="B87" s="1336" t="s">
        <v>2363</v>
      </c>
      <c r="C87" s="1343">
        <f>C78*C86*(COS(45/180*PI()))^2</f>
        <v>167154.51660040612</v>
      </c>
      <c r="D87" s="1343">
        <f t="shared" si="2"/>
        <v>167154.51660040612</v>
      </c>
      <c r="E87" s="1330" t="s">
        <v>4</v>
      </c>
      <c r="F87" s="1335"/>
      <c r="G87" s="1336"/>
      <c r="H87" s="1326"/>
      <c r="I87" s="1261"/>
      <c r="J87" s="310"/>
      <c r="K87" s="40"/>
      <c r="L87" s="40"/>
      <c r="N87" s="133"/>
      <c r="AY87" s="40"/>
      <c r="BC87" s="40"/>
      <c r="BD87" s="40"/>
      <c r="BE87" s="40"/>
      <c r="BF87" s="40"/>
      <c r="BG87" s="40"/>
    </row>
    <row r="88" spans="1:59" ht="18" customHeight="1">
      <c r="A88" s="1331"/>
      <c r="B88" s="1332" t="s">
        <v>2364</v>
      </c>
      <c r="C88" s="1333">
        <f>C85/C87</f>
        <v>0.75549978466691348</v>
      </c>
      <c r="D88" s="1333">
        <f t="shared" si="2"/>
        <v>0.75549978466691348</v>
      </c>
      <c r="E88" s="1334" t="s">
        <v>2</v>
      </c>
      <c r="F88" s="1335"/>
      <c r="G88" s="1336"/>
      <c r="H88" s="1326"/>
      <c r="I88" s="1261"/>
      <c r="J88" s="310"/>
      <c r="K88" s="40"/>
      <c r="L88" s="40"/>
      <c r="N88" s="133"/>
      <c r="AY88" s="40"/>
      <c r="BC88" s="40"/>
      <c r="BD88" s="40"/>
      <c r="BE88" s="40"/>
      <c r="BF88" s="40"/>
      <c r="BG88" s="40"/>
    </row>
    <row r="89" spans="1:59" ht="18" customHeight="1">
      <c r="C89" s="96"/>
      <c r="H89" s="40"/>
      <c r="I89" s="310"/>
      <c r="J89" s="310"/>
      <c r="K89" s="40"/>
      <c r="L89" s="40"/>
      <c r="O89" s="43"/>
      <c r="P89" s="253"/>
      <c r="Q89" s="39"/>
      <c r="U89" s="43"/>
      <c r="V89" s="39"/>
      <c r="AY89" s="40"/>
      <c r="BC89" s="40"/>
      <c r="BD89" s="40"/>
      <c r="BE89" s="40"/>
      <c r="BF89" s="40"/>
      <c r="BG89" s="40"/>
    </row>
    <row r="90" spans="1:59" ht="18" customHeight="1">
      <c r="C90" s="96"/>
      <c r="F90" s="58"/>
      <c r="H90" s="40"/>
      <c r="I90" s="310"/>
      <c r="J90" s="310"/>
      <c r="K90" s="40"/>
      <c r="L90" s="40"/>
      <c r="O90" s="43"/>
      <c r="P90" s="253"/>
      <c r="Q90" s="39"/>
      <c r="U90" s="43"/>
      <c r="V90" s="39"/>
      <c r="AY90" s="40"/>
      <c r="BC90" s="40"/>
      <c r="BD90" s="40"/>
      <c r="BE90" s="40"/>
      <c r="BF90" s="40"/>
      <c r="BG90" s="40"/>
    </row>
    <row r="91" spans="1:59" ht="18" customHeight="1">
      <c r="A91" s="107" t="s">
        <v>1795</v>
      </c>
      <c r="B91" s="54"/>
      <c r="C91" s="145"/>
      <c r="D91" s="105"/>
      <c r="F91" s="58"/>
      <c r="H91" s="40"/>
      <c r="I91" s="310"/>
      <c r="J91" s="310"/>
      <c r="K91" s="40"/>
      <c r="L91" s="40"/>
      <c r="O91" s="43"/>
      <c r="P91" s="253"/>
      <c r="Q91" s="39"/>
      <c r="U91" s="43"/>
      <c r="V91" s="39"/>
      <c r="AY91" s="40"/>
      <c r="BC91" s="40"/>
      <c r="BD91" s="40"/>
      <c r="BE91" s="40"/>
      <c r="BF91" s="40"/>
      <c r="BG91" s="40"/>
    </row>
    <row r="92" spans="1:59" ht="18" customHeight="1">
      <c r="A92" s="68"/>
      <c r="B92" s="39" t="s">
        <v>1816</v>
      </c>
      <c r="C92" s="39" t="str">
        <f>IF(Eingabe!BP21=Eingabe!C157,"ja",IF(Eingabe!BP22=Eingabe!C157,"nein","FEHLER"))</f>
        <v>nein</v>
      </c>
      <c r="D92" s="104"/>
      <c r="F92" s="58"/>
      <c r="H92" s="40"/>
      <c r="I92" s="310"/>
      <c r="J92" s="310"/>
      <c r="K92" s="40"/>
      <c r="L92" s="40"/>
      <c r="O92" s="43"/>
      <c r="P92" s="253"/>
      <c r="Q92" s="39"/>
      <c r="U92" s="43"/>
      <c r="V92" s="39"/>
      <c r="AY92" s="40"/>
      <c r="BC92" s="40"/>
      <c r="BD92" s="40"/>
      <c r="BE92" s="40"/>
      <c r="BF92" s="40"/>
      <c r="BG92" s="40"/>
    </row>
    <row r="93" spans="1:59" ht="18" customHeight="1">
      <c r="D93" s="104"/>
      <c r="H93" s="40"/>
      <c r="I93" s="310"/>
      <c r="J93" s="310"/>
      <c r="K93" s="40"/>
      <c r="L93" s="40"/>
      <c r="O93" s="43"/>
      <c r="P93" s="253"/>
      <c r="Q93" s="39"/>
      <c r="U93" s="43"/>
      <c r="V93" s="39"/>
      <c r="AY93" s="40"/>
      <c r="BC93" s="40"/>
      <c r="BD93" s="40"/>
      <c r="BE93" s="40"/>
      <c r="BF93" s="40"/>
      <c r="BG93" s="40"/>
    </row>
    <row r="94" spans="1:59" ht="18" customHeight="1">
      <c r="D94" s="104"/>
      <c r="H94" s="40"/>
      <c r="I94" s="310"/>
      <c r="J94" s="310"/>
      <c r="K94" s="40"/>
      <c r="L94" s="40"/>
      <c r="O94" s="43"/>
      <c r="P94" s="253"/>
      <c r="Q94" s="39"/>
      <c r="U94" s="43"/>
      <c r="V94" s="39"/>
      <c r="AY94" s="40"/>
      <c r="BC94" s="40"/>
      <c r="BD94" s="40"/>
      <c r="BE94" s="40"/>
      <c r="BF94" s="40"/>
      <c r="BG94" s="40"/>
    </row>
    <row r="95" spans="1:59" ht="18" customHeight="1">
      <c r="D95" s="104"/>
      <c r="H95" s="40"/>
      <c r="I95" s="310"/>
      <c r="J95" s="310"/>
      <c r="K95" s="40"/>
      <c r="L95" s="40"/>
      <c r="O95" s="43"/>
      <c r="P95" s="253"/>
      <c r="Q95" s="39"/>
      <c r="U95" s="43"/>
      <c r="V95" s="39"/>
      <c r="AY95" s="40"/>
      <c r="BC95" s="40"/>
      <c r="BD95" s="40"/>
      <c r="BE95" s="40"/>
      <c r="BF95" s="40"/>
      <c r="BG95" s="40"/>
    </row>
    <row r="96" spans="1:59" ht="18" customHeight="1">
      <c r="A96" s="68"/>
      <c r="B96" s="39" t="s">
        <v>112</v>
      </c>
      <c r="C96" s="1378">
        <f>Eingabe!C165</f>
        <v>120</v>
      </c>
      <c r="D96" s="64" t="s">
        <v>2</v>
      </c>
      <c r="O96" s="43"/>
      <c r="P96" s="253"/>
      <c r="Q96" s="39"/>
      <c r="U96" s="43"/>
      <c r="V96" s="39"/>
      <c r="AY96" s="40"/>
      <c r="BC96" s="40"/>
      <c r="BD96" s="40"/>
      <c r="BE96" s="40"/>
      <c r="BF96" s="40"/>
      <c r="BG96" s="40"/>
    </row>
    <row r="97" spans="1:59" ht="18" customHeight="1">
      <c r="A97" s="68"/>
      <c r="B97" s="39" t="s">
        <v>1832</v>
      </c>
      <c r="C97" s="1378">
        <f>Eingabe!C164</f>
        <v>2</v>
      </c>
      <c r="D97" s="64" t="s">
        <v>124</v>
      </c>
      <c r="H97" s="40"/>
      <c r="I97" s="310"/>
      <c r="J97" s="310"/>
      <c r="K97" s="40"/>
      <c r="L97" s="40"/>
      <c r="O97" s="43"/>
      <c r="P97" s="253"/>
      <c r="Q97" s="39"/>
      <c r="U97" s="43"/>
      <c r="V97" s="39"/>
      <c r="AY97" s="40"/>
      <c r="BC97" s="40"/>
      <c r="BD97" s="40"/>
      <c r="BE97" s="40"/>
      <c r="BF97" s="40"/>
      <c r="BG97" s="40"/>
    </row>
    <row r="98" spans="1:59" ht="18" customHeight="1">
      <c r="A98" s="68"/>
      <c r="B98" s="39" t="s">
        <v>1833</v>
      </c>
      <c r="C98" s="1378">
        <f>Eingabe!C163</f>
        <v>30</v>
      </c>
      <c r="D98" s="64" t="s">
        <v>2</v>
      </c>
      <c r="E98" s="50" t="s">
        <v>1834</v>
      </c>
      <c r="H98" s="40"/>
      <c r="I98" s="310"/>
      <c r="J98" s="310"/>
      <c r="K98" s="40"/>
      <c r="L98" s="40"/>
      <c r="O98" s="43"/>
      <c r="P98" s="253"/>
      <c r="Q98" s="39"/>
      <c r="U98" s="43"/>
      <c r="V98" s="39"/>
      <c r="AY98" s="40"/>
      <c r="BC98" s="40"/>
      <c r="BD98" s="40"/>
      <c r="BE98" s="40"/>
      <c r="BF98" s="40"/>
      <c r="BG98" s="40"/>
    </row>
    <row r="99" spans="1:59" ht="18" customHeight="1">
      <c r="D99" s="104"/>
      <c r="E99" s="50" t="s">
        <v>273</v>
      </c>
      <c r="H99" s="40"/>
      <c r="I99" s="310"/>
      <c r="J99" s="310"/>
      <c r="K99" s="40"/>
      <c r="M99" s="341"/>
      <c r="O99" s="43"/>
      <c r="P99" s="253"/>
      <c r="Q99" s="39"/>
      <c r="U99" s="43"/>
      <c r="V99" s="39"/>
      <c r="AY99" s="40"/>
      <c r="BC99" s="40"/>
      <c r="BD99" s="40"/>
      <c r="BE99" s="40"/>
      <c r="BF99" s="40"/>
      <c r="BG99" s="40"/>
    </row>
    <row r="100" spans="1:59" ht="18" customHeight="1">
      <c r="D100" s="104"/>
      <c r="E100" s="102"/>
      <c r="F100" s="133"/>
      <c r="H100" s="40"/>
      <c r="I100" s="310"/>
      <c r="J100" s="310"/>
      <c r="K100" s="40"/>
      <c r="M100" s="341"/>
      <c r="O100" s="43"/>
      <c r="P100" s="253"/>
      <c r="Q100" s="39"/>
      <c r="U100" s="43"/>
      <c r="V100" s="39"/>
      <c r="AY100" s="40"/>
      <c r="BC100" s="40"/>
      <c r="BD100" s="40"/>
      <c r="BE100" s="40"/>
      <c r="BF100" s="40"/>
      <c r="BG100" s="40"/>
    </row>
    <row r="101" spans="1:59" ht="18" customHeight="1">
      <c r="D101" s="104"/>
      <c r="E101" s="102"/>
      <c r="F101" s="253"/>
      <c r="G101" s="40"/>
      <c r="H101" s="40"/>
      <c r="I101" s="310"/>
      <c r="J101" s="310"/>
      <c r="K101" s="40"/>
      <c r="L101" s="40"/>
      <c r="O101" s="43"/>
      <c r="P101" s="253"/>
      <c r="Q101" s="39"/>
      <c r="U101" s="43"/>
      <c r="V101" s="39"/>
      <c r="AY101" s="40"/>
      <c r="BC101" s="40"/>
      <c r="BD101" s="40"/>
      <c r="BE101" s="40"/>
      <c r="BF101" s="40"/>
      <c r="BG101" s="40"/>
    </row>
    <row r="102" spans="1:59" ht="18" customHeight="1">
      <c r="A102" s="68"/>
      <c r="B102" s="39" t="s">
        <v>1836</v>
      </c>
      <c r="C102" s="1378">
        <f>Eingabe!C161</f>
        <v>13391</v>
      </c>
      <c r="D102" s="64" t="s">
        <v>5</v>
      </c>
      <c r="E102" s="331" t="s">
        <v>1835</v>
      </c>
      <c r="F102" s="253"/>
      <c r="G102" s="40"/>
      <c r="H102" s="40"/>
      <c r="I102" s="310"/>
      <c r="J102" s="310"/>
      <c r="K102" s="40"/>
      <c r="L102" s="40"/>
      <c r="O102" s="43"/>
      <c r="P102" s="253"/>
      <c r="Q102" s="39"/>
      <c r="U102" s="43"/>
      <c r="V102" s="39"/>
      <c r="AY102" s="40"/>
      <c r="BC102" s="40"/>
      <c r="BD102" s="40"/>
      <c r="BE102" s="40"/>
      <c r="BF102" s="40"/>
      <c r="BG102" s="40"/>
    </row>
    <row r="103" spans="1:59" ht="18" customHeight="1">
      <c r="A103" s="68"/>
      <c r="B103" s="39" t="s">
        <v>1826</v>
      </c>
      <c r="C103" s="1378">
        <f>Eingabe!C162</f>
        <v>18800</v>
      </c>
      <c r="D103" s="64" t="s">
        <v>4</v>
      </c>
      <c r="E103" s="331" t="s">
        <v>1835</v>
      </c>
      <c r="F103" s="253"/>
      <c r="G103" s="40"/>
      <c r="H103" s="40"/>
      <c r="I103" s="310"/>
      <c r="J103" s="310"/>
      <c r="K103" s="40"/>
      <c r="L103" s="40"/>
      <c r="O103" s="43"/>
      <c r="AY103" s="40"/>
      <c r="BC103" s="40"/>
      <c r="BD103" s="40"/>
      <c r="BE103" s="40"/>
      <c r="BF103" s="40"/>
      <c r="BG103" s="40"/>
    </row>
    <row r="104" spans="1:59" ht="18" customHeight="1">
      <c r="A104" s="69"/>
      <c r="B104" s="37" t="s">
        <v>1828</v>
      </c>
      <c r="C104" s="144">
        <f>C102/C103</f>
        <v>0.71228723404255323</v>
      </c>
      <c r="D104" s="61" t="s">
        <v>2</v>
      </c>
      <c r="E104" s="50" t="s">
        <v>1829</v>
      </c>
      <c r="F104" s="40"/>
      <c r="G104" s="40"/>
      <c r="H104" s="40"/>
      <c r="I104" s="310"/>
      <c r="J104" s="310"/>
      <c r="K104" s="40"/>
      <c r="L104" s="40"/>
      <c r="O104" s="43"/>
      <c r="AY104" s="40"/>
      <c r="BC104" s="40"/>
      <c r="BD104" s="40"/>
      <c r="BE104" s="40"/>
      <c r="BF104" s="40"/>
      <c r="BG104" s="40"/>
    </row>
    <row r="105" spans="1:59" ht="18" customHeight="1">
      <c r="F105" s="40"/>
      <c r="G105" s="40"/>
      <c r="H105" s="40"/>
      <c r="I105" s="310"/>
      <c r="J105" s="310"/>
      <c r="K105" s="40"/>
      <c r="L105" s="40"/>
      <c r="O105" s="43"/>
      <c r="AY105" s="40"/>
      <c r="BC105" s="40"/>
      <c r="BD105" s="40"/>
      <c r="BE105" s="40"/>
      <c r="BF105" s="40"/>
      <c r="BG105" s="40"/>
    </row>
    <row r="106" spans="1:59" ht="18" customHeight="1">
      <c r="F106" s="40"/>
      <c r="G106" s="40"/>
      <c r="H106" s="40"/>
      <c r="I106" s="310"/>
      <c r="J106" s="310"/>
      <c r="K106" s="40"/>
      <c r="L106" s="40"/>
      <c r="O106" s="43"/>
      <c r="AY106" s="40"/>
      <c r="BC106" s="40"/>
      <c r="BD106" s="40"/>
      <c r="BE106" s="40"/>
      <c r="BF106" s="40"/>
      <c r="BG106" s="40"/>
    </row>
    <row r="107" spans="1:59" ht="18" customHeight="1">
      <c r="A107" s="139" t="s">
        <v>123</v>
      </c>
      <c r="B107" s="55"/>
      <c r="C107" s="55" t="s">
        <v>6</v>
      </c>
      <c r="D107" s="55" t="s">
        <v>94</v>
      </c>
      <c r="E107" s="55"/>
      <c r="F107" s="105"/>
      <c r="H107" s="40"/>
      <c r="I107" s="310"/>
      <c r="J107" s="310"/>
      <c r="K107" s="40"/>
      <c r="L107" s="40"/>
      <c r="O107" s="43"/>
      <c r="P107" s="253"/>
      <c r="Q107" s="253"/>
      <c r="R107" s="253"/>
      <c r="S107" s="253"/>
      <c r="T107" s="344"/>
      <c r="U107" s="253"/>
      <c r="V107" s="253"/>
      <c r="W107" s="253"/>
      <c r="X107" s="253"/>
      <c r="Y107" s="253"/>
      <c r="Z107" s="253"/>
      <c r="AA107" s="253"/>
      <c r="AB107" s="253"/>
      <c r="AC107" s="253"/>
      <c r="AD107" s="1025"/>
      <c r="AE107" s="253"/>
      <c r="AY107" s="40"/>
      <c r="BC107" s="40"/>
      <c r="BD107" s="40"/>
      <c r="BE107" s="40"/>
      <c r="BF107" s="40"/>
      <c r="BG107" s="40"/>
    </row>
    <row r="108" spans="1:59" ht="18" customHeight="1">
      <c r="A108" s="85"/>
      <c r="B108" s="40"/>
      <c r="C108" s="40" t="s">
        <v>7</v>
      </c>
      <c r="D108" s="40" t="s">
        <v>95</v>
      </c>
      <c r="E108" s="40"/>
      <c r="F108" s="104"/>
      <c r="H108" s="40"/>
      <c r="I108" s="310"/>
      <c r="J108" s="310"/>
      <c r="K108" s="40"/>
      <c r="L108" s="40"/>
      <c r="O108" s="43"/>
      <c r="P108" s="253"/>
      <c r="Q108" s="253"/>
      <c r="R108" s="253"/>
      <c r="S108" s="253"/>
      <c r="T108" s="344"/>
      <c r="U108" s="253"/>
      <c r="V108" s="253"/>
      <c r="W108" s="253"/>
      <c r="X108" s="253"/>
      <c r="Y108" s="253"/>
      <c r="Z108" s="253"/>
      <c r="AA108" s="253"/>
      <c r="AB108" s="253"/>
      <c r="AC108" s="253"/>
      <c r="AD108" s="1025"/>
      <c r="AE108" s="253"/>
      <c r="AY108" s="40"/>
      <c r="BC108" s="40"/>
      <c r="BD108" s="40"/>
      <c r="BE108" s="40"/>
      <c r="BF108" s="40"/>
      <c r="BG108" s="40"/>
    </row>
    <row r="109" spans="1:59" ht="18" customHeight="1">
      <c r="A109" s="68"/>
      <c r="C109" s="40" t="s">
        <v>217</v>
      </c>
      <c r="D109" s="40" t="s">
        <v>117</v>
      </c>
      <c r="E109" s="40"/>
      <c r="F109" s="57"/>
      <c r="G109" s="40"/>
      <c r="H109" s="40"/>
      <c r="I109" s="310"/>
      <c r="J109" s="310"/>
      <c r="K109" s="40"/>
      <c r="L109" s="40"/>
      <c r="O109" s="43"/>
      <c r="P109" s="253"/>
      <c r="Q109" s="253"/>
      <c r="R109" s="253"/>
      <c r="S109" s="253"/>
      <c r="T109" s="344"/>
      <c r="U109" s="253"/>
      <c r="V109" s="253"/>
      <c r="W109" s="253"/>
      <c r="X109" s="253"/>
      <c r="Y109" s="253"/>
      <c r="Z109" s="253"/>
      <c r="AA109" s="253"/>
      <c r="AB109" s="253"/>
      <c r="AC109" s="253"/>
      <c r="AD109" s="1025"/>
      <c r="AE109" s="253"/>
      <c r="AY109" s="40"/>
      <c r="BC109" s="40"/>
      <c r="BD109" s="40"/>
      <c r="BE109" s="40"/>
      <c r="BF109" s="40"/>
      <c r="BG109" s="40"/>
    </row>
    <row r="110" spans="1:59" ht="18" customHeight="1">
      <c r="A110" s="85"/>
      <c r="B110" s="40"/>
      <c r="C110" s="40" t="s">
        <v>220</v>
      </c>
      <c r="D110" s="40" t="s">
        <v>121</v>
      </c>
      <c r="E110" s="40"/>
      <c r="F110" s="57"/>
      <c r="G110" s="40"/>
      <c r="H110" s="40"/>
      <c r="I110" s="310"/>
      <c r="J110" s="310"/>
      <c r="K110" s="40"/>
      <c r="L110" s="40"/>
      <c r="O110" s="43"/>
      <c r="P110" s="253"/>
      <c r="Q110" s="253"/>
      <c r="R110" s="253"/>
      <c r="S110" s="253"/>
      <c r="T110" s="344"/>
      <c r="U110" s="253"/>
      <c r="V110" s="253"/>
      <c r="W110" s="253"/>
      <c r="X110" s="253"/>
      <c r="Y110" s="253"/>
      <c r="Z110" s="253"/>
      <c r="AA110" s="253"/>
      <c r="AB110" s="253"/>
      <c r="AC110" s="253"/>
      <c r="AD110" s="1025"/>
      <c r="AE110" s="253"/>
      <c r="AY110" s="40"/>
      <c r="BC110" s="40"/>
      <c r="BD110" s="40"/>
      <c r="BE110" s="40"/>
      <c r="BF110" s="40"/>
      <c r="BG110" s="40"/>
    </row>
    <row r="111" spans="1:59" ht="18" customHeight="1">
      <c r="A111" s="85"/>
      <c r="B111" s="40"/>
      <c r="C111" s="40" t="s">
        <v>122</v>
      </c>
      <c r="D111" s="40" t="s">
        <v>118</v>
      </c>
      <c r="E111" s="40"/>
      <c r="F111" s="57"/>
      <c r="G111" s="40"/>
      <c r="H111" s="40"/>
      <c r="I111" s="310"/>
      <c r="J111" s="310"/>
      <c r="K111" s="40"/>
      <c r="L111" s="40"/>
      <c r="O111" s="43"/>
      <c r="P111" s="253"/>
      <c r="Q111" s="253"/>
      <c r="R111" s="253"/>
      <c r="S111" s="253"/>
      <c r="T111" s="344"/>
      <c r="U111" s="253"/>
      <c r="V111" s="253"/>
      <c r="W111" s="253"/>
      <c r="X111" s="253"/>
      <c r="Y111" s="253"/>
      <c r="Z111" s="253"/>
      <c r="AA111" s="253"/>
      <c r="AB111" s="253"/>
      <c r="AC111" s="253"/>
      <c r="AD111" s="1025"/>
      <c r="AE111" s="253"/>
      <c r="AY111" s="40"/>
      <c r="BC111" s="40"/>
      <c r="BD111" s="40"/>
      <c r="BE111" s="40"/>
      <c r="BF111" s="40"/>
      <c r="BG111" s="40"/>
    </row>
    <row r="112" spans="1:59" ht="18" customHeight="1">
      <c r="A112" s="85"/>
      <c r="B112" s="40"/>
      <c r="C112" s="40" t="s">
        <v>105</v>
      </c>
      <c r="D112" s="40" t="s">
        <v>146</v>
      </c>
      <c r="E112" s="40"/>
      <c r="F112" s="57"/>
      <c r="G112" s="40"/>
      <c r="H112" s="40"/>
      <c r="I112" s="310"/>
      <c r="J112" s="310"/>
      <c r="K112" s="40"/>
      <c r="L112" s="40"/>
      <c r="O112" s="43"/>
      <c r="P112" s="253"/>
      <c r="Q112" s="253"/>
      <c r="R112" s="253"/>
      <c r="S112" s="253"/>
      <c r="T112" s="344"/>
      <c r="U112" s="253"/>
      <c r="V112" s="253"/>
      <c r="W112" s="253"/>
      <c r="X112" s="253"/>
      <c r="Y112" s="253"/>
      <c r="Z112" s="253"/>
      <c r="AA112" s="253"/>
      <c r="AB112" s="253"/>
      <c r="AC112" s="253"/>
      <c r="AD112" s="1025"/>
      <c r="AE112" s="253"/>
      <c r="AY112" s="40"/>
      <c r="BC112" s="40"/>
      <c r="BD112" s="40"/>
      <c r="BE112" s="40"/>
      <c r="BF112" s="40"/>
      <c r="BG112" s="40"/>
    </row>
    <row r="113" spans="1:59" ht="18" customHeight="1">
      <c r="A113" s="85"/>
      <c r="B113" s="40"/>
      <c r="C113" s="40" t="s">
        <v>148</v>
      </c>
      <c r="D113" s="40" t="s">
        <v>147</v>
      </c>
      <c r="E113" s="40"/>
      <c r="F113" s="57"/>
      <c r="G113" s="40"/>
      <c r="H113" s="40"/>
      <c r="I113" s="310"/>
      <c r="J113" s="310"/>
      <c r="K113" s="40"/>
      <c r="L113" s="40"/>
      <c r="O113" s="43"/>
      <c r="P113" s="253"/>
      <c r="Q113" s="253"/>
      <c r="R113" s="253"/>
      <c r="S113" s="253"/>
      <c r="T113" s="344"/>
      <c r="U113" s="253"/>
      <c r="V113" s="253"/>
      <c r="W113" s="253"/>
      <c r="X113" s="253"/>
      <c r="Y113" s="253"/>
      <c r="Z113" s="253"/>
      <c r="AA113" s="253"/>
      <c r="AB113" s="253"/>
      <c r="AC113" s="253"/>
      <c r="AD113" s="1025"/>
      <c r="AE113" s="253"/>
      <c r="AY113" s="40"/>
      <c r="BC113" s="40"/>
      <c r="BD113" s="40"/>
      <c r="BE113" s="40"/>
      <c r="BF113" s="40"/>
      <c r="BG113" s="40"/>
    </row>
    <row r="114" spans="1:59" ht="18" customHeight="1">
      <c r="A114" s="85"/>
      <c r="B114" s="40"/>
      <c r="C114" s="40" t="s">
        <v>248</v>
      </c>
      <c r="D114" s="50" t="s">
        <v>271</v>
      </c>
      <c r="E114" s="40"/>
      <c r="F114" s="57"/>
      <c r="G114" s="40"/>
      <c r="H114" s="40"/>
      <c r="I114" s="310"/>
      <c r="J114" s="310"/>
      <c r="K114" s="40"/>
      <c r="L114" s="40"/>
      <c r="O114" s="43"/>
      <c r="P114" s="253"/>
      <c r="Q114" s="253"/>
      <c r="R114" s="253"/>
      <c r="S114" s="253"/>
      <c r="T114" s="344"/>
      <c r="U114" s="253"/>
      <c r="V114" s="253"/>
      <c r="W114" s="253"/>
      <c r="X114" s="253"/>
      <c r="Y114" s="253"/>
      <c r="Z114" s="253"/>
      <c r="AA114" s="253"/>
      <c r="AB114" s="253"/>
      <c r="AC114" s="253"/>
      <c r="AD114" s="1025"/>
      <c r="AE114" s="253"/>
      <c r="AY114" s="40"/>
      <c r="BC114" s="40"/>
      <c r="BD114" s="40"/>
      <c r="BE114" s="40"/>
      <c r="BF114" s="40"/>
      <c r="BG114" s="40"/>
    </row>
    <row r="115" spans="1:59" ht="18" customHeight="1">
      <c r="A115" s="85"/>
      <c r="B115" s="40"/>
      <c r="C115" s="40" t="s">
        <v>258</v>
      </c>
      <c r="D115" s="40" t="s">
        <v>1837</v>
      </c>
      <c r="E115" s="40"/>
      <c r="F115" s="57"/>
      <c r="G115" s="40"/>
      <c r="H115" s="40"/>
      <c r="I115" s="310"/>
      <c r="J115" s="310"/>
      <c r="K115" s="40"/>
      <c r="L115" s="40"/>
      <c r="O115" s="43"/>
      <c r="P115" s="253"/>
      <c r="Q115" s="253"/>
      <c r="R115" s="253"/>
      <c r="S115" s="253"/>
      <c r="T115" s="344"/>
      <c r="U115" s="253"/>
      <c r="V115" s="253"/>
      <c r="W115" s="253"/>
      <c r="X115" s="253"/>
      <c r="Y115" s="253"/>
      <c r="Z115" s="253"/>
      <c r="AY115" s="40"/>
      <c r="BC115" s="40"/>
      <c r="BD115" s="40"/>
      <c r="BE115" s="40"/>
      <c r="BF115" s="40"/>
      <c r="BG115" s="40"/>
    </row>
    <row r="116" spans="1:59" ht="18" customHeight="1">
      <c r="A116" s="86"/>
      <c r="B116" s="60"/>
      <c r="C116" s="60" t="s">
        <v>247</v>
      </c>
      <c r="D116" s="60" t="s">
        <v>249</v>
      </c>
      <c r="E116" s="60"/>
      <c r="F116" s="61"/>
      <c r="G116" s="40"/>
      <c r="H116" s="40"/>
      <c r="I116" s="310"/>
      <c r="J116" s="310"/>
      <c r="K116" s="40"/>
      <c r="L116" s="40"/>
      <c r="O116" s="43"/>
      <c r="P116" s="253"/>
      <c r="Q116" s="253"/>
      <c r="R116" s="253"/>
      <c r="S116" s="253"/>
      <c r="T116" s="344"/>
      <c r="U116" s="253"/>
      <c r="V116" s="253"/>
      <c r="W116" s="253"/>
      <c r="X116" s="253"/>
      <c r="Y116" s="253"/>
      <c r="Z116" s="253"/>
      <c r="AA116" s="253"/>
      <c r="AB116" s="253"/>
      <c r="AC116" s="253"/>
      <c r="AD116" s="253"/>
      <c r="AE116" s="253"/>
      <c r="AF116" s="253"/>
      <c r="AG116" s="253"/>
      <c r="AH116" s="253"/>
      <c r="AI116" s="253"/>
      <c r="AJ116" s="253"/>
      <c r="AY116" s="40"/>
      <c r="BC116" s="40"/>
      <c r="BD116" s="40"/>
      <c r="BE116" s="40"/>
      <c r="BF116" s="40"/>
      <c r="BG116" s="40"/>
    </row>
    <row r="117" spans="1:59" ht="18" customHeight="1">
      <c r="G117" s="40"/>
      <c r="H117" s="40"/>
      <c r="I117" s="310"/>
      <c r="J117" s="310"/>
      <c r="K117" s="40"/>
      <c r="L117" s="40"/>
      <c r="O117" s="43"/>
      <c r="P117" s="253"/>
      <c r="Q117" s="253"/>
      <c r="R117" s="253"/>
      <c r="S117" s="253"/>
      <c r="T117" s="344"/>
      <c r="U117" s="253"/>
      <c r="V117" s="253"/>
      <c r="W117" s="253"/>
      <c r="X117" s="253"/>
      <c r="Y117" s="253"/>
      <c r="Z117" s="253"/>
      <c r="AA117" s="253"/>
      <c r="AB117" s="253"/>
      <c r="AC117" s="253"/>
      <c r="AD117" s="253"/>
      <c r="AE117" s="253"/>
      <c r="AF117" s="253"/>
      <c r="AG117" s="253"/>
      <c r="AH117" s="253"/>
      <c r="AI117" s="253"/>
      <c r="AJ117" s="253"/>
      <c r="AY117" s="40"/>
      <c r="BC117" s="40"/>
      <c r="BD117" s="40"/>
      <c r="BE117" s="40"/>
      <c r="BF117" s="40"/>
      <c r="BG117" s="40"/>
    </row>
    <row r="118" spans="1:59" ht="18" customHeight="1">
      <c r="A118" s="40"/>
      <c r="B118" s="40"/>
      <c r="C118" s="40"/>
      <c r="D118" s="40"/>
      <c r="E118" s="40"/>
      <c r="F118" s="40"/>
      <c r="G118" s="40"/>
      <c r="H118" s="40"/>
      <c r="I118" s="310"/>
      <c r="J118" s="310"/>
      <c r="K118" s="40"/>
      <c r="L118" s="40"/>
      <c r="O118" s="43"/>
      <c r="P118" s="253"/>
      <c r="Q118" s="253"/>
      <c r="R118" s="253"/>
      <c r="S118" s="253"/>
      <c r="T118" s="344"/>
      <c r="U118" s="253"/>
      <c r="V118" s="253"/>
      <c r="W118" s="253"/>
      <c r="X118" s="253"/>
      <c r="Y118" s="253"/>
      <c r="Z118" s="253"/>
      <c r="AA118" s="253"/>
      <c r="AB118" s="253"/>
      <c r="AC118" s="253"/>
      <c r="AD118" s="253"/>
      <c r="AE118" s="253"/>
      <c r="AF118" s="253"/>
      <c r="AG118" s="253"/>
      <c r="AH118" s="253"/>
      <c r="AI118" s="253"/>
      <c r="AJ118" s="253"/>
      <c r="AY118" s="40"/>
      <c r="BC118" s="40"/>
      <c r="BD118" s="40"/>
      <c r="BE118" s="40"/>
      <c r="BF118" s="40"/>
      <c r="BG118" s="40"/>
    </row>
    <row r="119" spans="1:59" ht="18" customHeight="1">
      <c r="A119" s="139" t="s">
        <v>150</v>
      </c>
      <c r="B119" s="55"/>
      <c r="C119" s="368"/>
      <c r="D119" s="55" t="s">
        <v>151</v>
      </c>
      <c r="E119" s="55"/>
      <c r="F119" s="56"/>
      <c r="G119" s="40"/>
      <c r="H119" s="40"/>
      <c r="I119" s="310"/>
      <c r="J119" s="310"/>
      <c r="K119" s="40"/>
      <c r="L119" s="40"/>
      <c r="O119" s="43"/>
      <c r="P119" s="253"/>
      <c r="Q119" s="253"/>
      <c r="R119" s="253"/>
      <c r="S119" s="253"/>
      <c r="T119" s="344"/>
      <c r="U119" s="253"/>
      <c r="V119" s="253"/>
      <c r="W119" s="253"/>
      <c r="X119" s="253"/>
      <c r="Y119" s="253"/>
      <c r="Z119" s="253"/>
      <c r="AA119" s="253"/>
      <c r="AB119" s="253"/>
      <c r="AC119" s="253"/>
      <c r="AD119" s="253"/>
      <c r="AE119" s="253"/>
      <c r="AF119" s="253"/>
      <c r="AG119" s="253"/>
      <c r="AH119" s="253"/>
      <c r="AI119" s="253"/>
      <c r="AJ119" s="253"/>
      <c r="AY119" s="40"/>
      <c r="BC119" s="40"/>
      <c r="BD119" s="40"/>
      <c r="BE119" s="40"/>
      <c r="BF119" s="40"/>
      <c r="BG119" s="40"/>
    </row>
    <row r="120" spans="1:59" ht="18" customHeight="1">
      <c r="A120" s="85"/>
      <c r="B120" s="40"/>
      <c r="C120" s="363"/>
      <c r="D120" s="40" t="s">
        <v>152</v>
      </c>
      <c r="E120" s="40"/>
      <c r="F120" s="57"/>
      <c r="G120" s="40"/>
      <c r="H120" s="40"/>
      <c r="I120" s="310"/>
      <c r="J120" s="310"/>
      <c r="K120" s="40"/>
      <c r="L120" s="40"/>
      <c r="O120" s="43"/>
      <c r="P120" s="253"/>
      <c r="Q120" s="253"/>
      <c r="R120" s="253"/>
      <c r="S120" s="253"/>
      <c r="T120" s="344"/>
      <c r="U120" s="253"/>
      <c r="V120" s="253"/>
      <c r="W120" s="253"/>
      <c r="X120" s="253"/>
      <c r="Y120" s="253"/>
      <c r="Z120" s="253"/>
      <c r="AA120" s="253"/>
      <c r="AB120" s="253"/>
      <c r="AC120" s="253"/>
      <c r="AD120" s="253"/>
      <c r="AE120" s="253"/>
      <c r="AF120" s="253"/>
      <c r="AG120" s="253"/>
      <c r="AH120" s="253"/>
      <c r="AI120" s="253"/>
      <c r="AJ120" s="253"/>
      <c r="AY120" s="40"/>
      <c r="BC120" s="40"/>
      <c r="BD120" s="40"/>
      <c r="BE120" s="40"/>
      <c r="BF120" s="40"/>
      <c r="BG120" s="40"/>
    </row>
    <row r="121" spans="1:59" ht="18" customHeight="1">
      <c r="A121" s="85"/>
      <c r="B121" s="40"/>
      <c r="C121" s="364"/>
      <c r="D121" s="40" t="s">
        <v>153</v>
      </c>
      <c r="E121" s="40"/>
      <c r="F121" s="57"/>
      <c r="G121" s="40"/>
      <c r="H121" s="40"/>
      <c r="I121" s="310"/>
      <c r="J121" s="310"/>
      <c r="K121" s="40"/>
      <c r="L121" s="40"/>
      <c r="O121" s="43"/>
      <c r="P121" s="253"/>
      <c r="Q121" s="253"/>
      <c r="R121" s="253"/>
      <c r="S121" s="253"/>
      <c r="T121" s="344"/>
      <c r="U121" s="253"/>
      <c r="V121" s="253"/>
      <c r="W121" s="253"/>
      <c r="X121" s="253"/>
      <c r="Y121" s="253"/>
      <c r="Z121" s="253"/>
      <c r="BC121" s="40"/>
      <c r="BD121" s="40"/>
      <c r="BE121" s="40"/>
      <c r="BF121" s="40"/>
      <c r="BG121" s="40"/>
    </row>
    <row r="122" spans="1:59" ht="18" customHeight="1">
      <c r="A122" s="68"/>
      <c r="C122" s="365"/>
      <c r="D122" s="40" t="s">
        <v>6</v>
      </c>
      <c r="E122" s="40"/>
      <c r="F122" s="57"/>
      <c r="G122" s="40"/>
      <c r="H122" s="40"/>
      <c r="I122" s="310"/>
      <c r="J122" s="310"/>
      <c r="K122" s="40"/>
      <c r="L122" s="40"/>
      <c r="O122" s="43"/>
      <c r="P122" s="253"/>
      <c r="Q122" s="253"/>
      <c r="R122" s="253"/>
      <c r="S122" s="253"/>
      <c r="T122" s="344"/>
      <c r="U122" s="253"/>
      <c r="V122" s="253"/>
      <c r="W122" s="253"/>
      <c r="X122" s="253"/>
      <c r="Y122" s="253"/>
      <c r="Z122" s="253"/>
      <c r="AE122" s="43"/>
      <c r="BC122" s="40"/>
      <c r="BD122" s="40"/>
      <c r="BE122" s="40"/>
      <c r="BF122" s="40"/>
      <c r="BG122" s="40"/>
    </row>
    <row r="123" spans="1:59" ht="18" customHeight="1">
      <c r="A123" s="68"/>
      <c r="B123" s="40"/>
      <c r="C123" s="366"/>
      <c r="D123" s="40" t="s">
        <v>7</v>
      </c>
      <c r="E123" s="40"/>
      <c r="F123" s="57"/>
      <c r="G123" s="40"/>
      <c r="H123" s="40"/>
      <c r="I123" s="310"/>
      <c r="J123" s="310"/>
      <c r="K123" s="40"/>
      <c r="L123" s="40"/>
      <c r="O123" s="43"/>
      <c r="P123" s="253"/>
      <c r="Q123" s="253"/>
      <c r="R123" s="253"/>
      <c r="S123" s="253"/>
      <c r="T123" s="344"/>
      <c r="U123" s="253"/>
      <c r="V123" s="253"/>
      <c r="W123" s="253"/>
      <c r="X123" s="253"/>
      <c r="Y123" s="253"/>
      <c r="Z123" s="253"/>
      <c r="AE123" s="43"/>
      <c r="AF123" s="43"/>
      <c r="BC123" s="40"/>
      <c r="BD123" s="40"/>
      <c r="BE123" s="40"/>
      <c r="BF123" s="40"/>
      <c r="BG123" s="40"/>
    </row>
    <row r="124" spans="1:59" ht="18" customHeight="1">
      <c r="A124" s="85"/>
      <c r="B124" s="40"/>
      <c r="C124" s="367"/>
      <c r="D124" s="50" t="s">
        <v>272</v>
      </c>
      <c r="E124" s="40"/>
      <c r="F124" s="57"/>
      <c r="G124" s="40"/>
      <c r="H124" s="40"/>
      <c r="I124" s="310"/>
      <c r="J124" s="310"/>
      <c r="K124" s="40"/>
      <c r="L124" s="40"/>
      <c r="O124" s="43"/>
      <c r="P124" s="253"/>
      <c r="Q124" s="253"/>
      <c r="R124" s="253"/>
      <c r="S124" s="253"/>
      <c r="T124" s="344"/>
      <c r="U124" s="253"/>
      <c r="V124" s="253"/>
      <c r="W124" s="253"/>
      <c r="X124" s="253"/>
      <c r="Y124" s="253"/>
      <c r="Z124" s="253"/>
      <c r="AA124" s="253"/>
      <c r="AB124" s="253"/>
      <c r="AC124" s="253"/>
      <c r="AE124" s="1025"/>
      <c r="AF124" s="253"/>
      <c r="BC124" s="40"/>
      <c r="BD124" s="40"/>
      <c r="BE124" s="40"/>
      <c r="BF124" s="40"/>
      <c r="BG124" s="40"/>
    </row>
    <row r="125" spans="1:59" ht="18" customHeight="1">
      <c r="A125" s="86"/>
      <c r="B125" s="60"/>
      <c r="C125" s="343"/>
      <c r="D125" s="59" t="s">
        <v>234</v>
      </c>
      <c r="E125" s="60"/>
      <c r="F125" s="61"/>
      <c r="G125" s="40"/>
      <c r="H125" s="40"/>
      <c r="I125" s="310"/>
      <c r="J125" s="310"/>
      <c r="K125" s="40"/>
      <c r="L125" s="40"/>
      <c r="O125" s="43"/>
      <c r="P125" s="253"/>
      <c r="Q125" s="253"/>
      <c r="R125" s="253"/>
      <c r="S125" s="253"/>
      <c r="T125" s="344"/>
      <c r="U125" s="253"/>
      <c r="V125" s="253"/>
      <c r="W125" s="253"/>
      <c r="X125" s="253"/>
      <c r="Y125" s="253"/>
      <c r="Z125" s="253"/>
      <c r="AA125" s="253"/>
      <c r="AB125" s="253"/>
      <c r="AC125" s="253"/>
      <c r="AE125" s="1025"/>
      <c r="AF125" s="253"/>
      <c r="BC125" s="40"/>
      <c r="BD125" s="40"/>
      <c r="BE125" s="40"/>
      <c r="BF125" s="40"/>
      <c r="BG125" s="40"/>
    </row>
    <row r="126" spans="1:59" ht="18" customHeight="1">
      <c r="G126" s="40"/>
      <c r="H126" s="40"/>
      <c r="I126" s="310"/>
      <c r="J126" s="310"/>
      <c r="K126" s="40"/>
      <c r="L126" s="40"/>
      <c r="O126" s="43"/>
      <c r="P126" s="253"/>
      <c r="Q126" s="253"/>
      <c r="R126" s="253"/>
      <c r="S126" s="253"/>
      <c r="T126" s="344"/>
      <c r="U126" s="253"/>
      <c r="V126" s="253"/>
      <c r="W126" s="253"/>
      <c r="X126" s="253"/>
      <c r="Y126" s="253"/>
      <c r="Z126" s="253"/>
      <c r="AA126" s="253"/>
      <c r="AB126" s="253"/>
      <c r="AC126" s="253"/>
      <c r="AE126" s="1025"/>
      <c r="AF126" s="253"/>
      <c r="BC126" s="40"/>
      <c r="BD126" s="40"/>
      <c r="BE126" s="40"/>
      <c r="BF126" s="40"/>
      <c r="BG126" s="40"/>
    </row>
    <row r="127" spans="1:59" ht="18" customHeight="1">
      <c r="A127" s="40"/>
      <c r="B127" s="40"/>
      <c r="C127" s="40"/>
      <c r="D127" s="40"/>
      <c r="E127" s="40"/>
      <c r="F127" s="40"/>
      <c r="G127" s="40"/>
      <c r="H127" s="40"/>
      <c r="I127" s="310"/>
      <c r="J127" s="310"/>
      <c r="K127" s="40"/>
      <c r="L127" s="40"/>
      <c r="O127" s="43"/>
      <c r="P127" s="253"/>
      <c r="Q127" s="253"/>
      <c r="R127" s="253"/>
      <c r="S127" s="253"/>
      <c r="T127" s="344"/>
      <c r="U127" s="253"/>
      <c r="V127" s="253"/>
      <c r="W127" s="253"/>
      <c r="X127" s="253"/>
      <c r="Y127" s="253"/>
      <c r="Z127" s="253"/>
      <c r="AA127" s="253"/>
      <c r="AB127" s="253"/>
      <c r="AC127" s="253"/>
      <c r="AE127" s="1025"/>
      <c r="AF127" s="253"/>
      <c r="BC127" s="40"/>
      <c r="BD127" s="40"/>
      <c r="BE127" s="40"/>
      <c r="BF127" s="40"/>
      <c r="BG127" s="40"/>
    </row>
    <row r="128" spans="1:59" ht="18" customHeight="1">
      <c r="A128" s="40"/>
      <c r="B128" s="40"/>
      <c r="C128" s="40"/>
      <c r="D128" s="40"/>
      <c r="E128" s="40"/>
      <c r="F128" s="40"/>
      <c r="G128" s="40"/>
      <c r="I128" s="310"/>
      <c r="J128" s="310"/>
      <c r="K128" s="40"/>
      <c r="L128" s="40"/>
      <c r="N128" s="40" t="s">
        <v>162</v>
      </c>
      <c r="U128" s="40" t="s">
        <v>161</v>
      </c>
      <c r="X128" s="43"/>
      <c r="AE128" s="40" t="s">
        <v>1838</v>
      </c>
      <c r="BC128" s="40"/>
      <c r="BD128" s="40"/>
      <c r="BE128" s="40"/>
      <c r="BF128" s="40"/>
      <c r="BG128" s="40"/>
    </row>
    <row r="129" spans="1:59" ht="18" customHeight="1">
      <c r="A129" s="1041" t="s">
        <v>8</v>
      </c>
      <c r="B129" s="153"/>
      <c r="C129" s="79"/>
      <c r="D129" s="79"/>
      <c r="E129" s="70"/>
      <c r="F129" s="40"/>
      <c r="G129" s="40"/>
      <c r="N129" s="71" t="s">
        <v>1</v>
      </c>
      <c r="O129" s="110"/>
      <c r="P129" s="110"/>
      <c r="Q129" s="110"/>
      <c r="R129" s="111"/>
      <c r="S129" s="111"/>
      <c r="U129" s="71" t="s">
        <v>1</v>
      </c>
      <c r="V129" s="311" t="s">
        <v>255</v>
      </c>
      <c r="W129" s="153"/>
      <c r="X129" s="1042"/>
      <c r="Y129" s="154"/>
      <c r="Z129" s="159"/>
      <c r="AE129" s="1043" t="s">
        <v>1</v>
      </c>
      <c r="AF129" s="110"/>
      <c r="AG129" s="110"/>
      <c r="AH129" s="110"/>
      <c r="AI129" s="111"/>
      <c r="AJ129" s="111"/>
      <c r="AK129" s="111"/>
      <c r="AL129" s="111"/>
      <c r="BC129" s="40"/>
      <c r="BD129" s="40"/>
      <c r="BE129" s="40"/>
      <c r="BF129" s="40"/>
      <c r="BG129" s="40"/>
    </row>
    <row r="130" spans="1:59" ht="18" customHeight="1">
      <c r="A130" s="98" t="s">
        <v>9</v>
      </c>
      <c r="B130" s="72" t="s">
        <v>105</v>
      </c>
      <c r="C130" s="72" t="s">
        <v>106</v>
      </c>
      <c r="D130" s="72" t="s">
        <v>158</v>
      </c>
      <c r="E130" s="118" t="s">
        <v>113</v>
      </c>
      <c r="N130" s="71" t="s">
        <v>257</v>
      </c>
      <c r="O130" s="88" t="s">
        <v>114</v>
      </c>
      <c r="P130" s="88" t="s">
        <v>131</v>
      </c>
      <c r="Q130" s="88" t="s">
        <v>132</v>
      </c>
      <c r="R130" s="73" t="s">
        <v>116</v>
      </c>
      <c r="S130" s="414" t="s">
        <v>277</v>
      </c>
      <c r="U130" s="71" t="s">
        <v>257</v>
      </c>
      <c r="V130" s="88" t="s">
        <v>250</v>
      </c>
      <c r="W130" s="88" t="s">
        <v>116</v>
      </c>
      <c r="X130" s="98" t="s">
        <v>107</v>
      </c>
      <c r="Y130" s="122" t="s">
        <v>1839</v>
      </c>
      <c r="Z130" s="163"/>
      <c r="AE130" s="1044" t="s">
        <v>1840</v>
      </c>
      <c r="AF130" s="1045" t="s">
        <v>1841</v>
      </c>
      <c r="AG130" s="1045" t="s">
        <v>1842</v>
      </c>
      <c r="AH130" s="1045" t="s">
        <v>1843</v>
      </c>
      <c r="AI130" s="1046" t="s">
        <v>1844</v>
      </c>
      <c r="AJ130" s="414" t="s">
        <v>277</v>
      </c>
      <c r="AK130" s="414" t="s">
        <v>1845</v>
      </c>
      <c r="AL130" s="414" t="s">
        <v>1846</v>
      </c>
      <c r="BC130" s="40"/>
      <c r="BD130" s="40"/>
      <c r="BE130" s="40"/>
      <c r="BF130" s="40"/>
      <c r="BG130" s="40"/>
    </row>
    <row r="131" spans="1:59" ht="18" customHeight="1">
      <c r="A131" s="100" t="s">
        <v>125</v>
      </c>
      <c r="B131" s="74" t="s">
        <v>99</v>
      </c>
      <c r="C131" s="74" t="s">
        <v>99</v>
      </c>
      <c r="D131" s="74" t="s">
        <v>99</v>
      </c>
      <c r="E131" s="120" t="s">
        <v>99</v>
      </c>
      <c r="N131" s="332" t="s">
        <v>99</v>
      </c>
      <c r="O131" s="121" t="s">
        <v>99</v>
      </c>
      <c r="P131" s="121" t="s">
        <v>126</v>
      </c>
      <c r="Q131" s="121" t="s">
        <v>127</v>
      </c>
      <c r="R131" s="75" t="s">
        <v>99</v>
      </c>
      <c r="S131" s="415" t="s">
        <v>126</v>
      </c>
      <c r="U131" s="332" t="s">
        <v>99</v>
      </c>
      <c r="V131" s="121" t="s">
        <v>126</v>
      </c>
      <c r="W131" s="121" t="s">
        <v>99</v>
      </c>
      <c r="X131" s="100" t="s">
        <v>99</v>
      </c>
      <c r="Y131" s="84" t="s">
        <v>1847</v>
      </c>
      <c r="Z131" s="163"/>
      <c r="AE131" s="1047" t="s">
        <v>99</v>
      </c>
      <c r="AF131" s="1048" t="s">
        <v>99</v>
      </c>
      <c r="AG131" s="1048" t="s">
        <v>126</v>
      </c>
      <c r="AH131" s="1048" t="s">
        <v>127</v>
      </c>
      <c r="AI131" s="1049" t="s">
        <v>99</v>
      </c>
      <c r="AJ131" s="415" t="s">
        <v>126</v>
      </c>
      <c r="AK131" s="415" t="s">
        <v>124</v>
      </c>
      <c r="AL131" s="415" t="s">
        <v>99</v>
      </c>
      <c r="BC131" s="40"/>
      <c r="BD131" s="40"/>
      <c r="BE131" s="40"/>
      <c r="BF131" s="40"/>
      <c r="BG131" s="40"/>
    </row>
    <row r="132" spans="1:59" ht="18" customHeight="1">
      <c r="A132" s="1050" t="str">
        <f>IF(AND($C$92="ja",$C$17="unten",$C$97&gt;ROW(A132)-ROW($A$132)),90,"")</f>
        <v/>
      </c>
      <c r="B132" s="1051" t="str">
        <f>IF(AND($C$92="ja",$C$17="unten",$C$97&gt;ROW(A132)-ROW($A$132)),10,"")</f>
        <v/>
      </c>
      <c r="C132" s="1051" t="str">
        <f>IF(AND($C$92="ja",$C$17="unten",$C$97&gt;ROW(A132)-ROW($A$132)),$C$98,"")</f>
        <v/>
      </c>
      <c r="D132" s="1051"/>
      <c r="E132" s="1052" t="str">
        <f>IF(AND($C$92="ja",$C$17="unten",$C$97&gt;ROW(A132)-ROW($A$132)),$C$96,"")</f>
        <v/>
      </c>
      <c r="N132" s="103"/>
      <c r="O132" s="54"/>
      <c r="P132" s="54"/>
      <c r="Q132" s="54"/>
      <c r="R132" s="54"/>
      <c r="S132" s="297"/>
      <c r="T132" s="39"/>
      <c r="U132" s="103"/>
      <c r="V132" s="54"/>
      <c r="W132" s="105"/>
      <c r="X132" s="103"/>
      <c r="Y132" s="105"/>
      <c r="Z132" s="39"/>
      <c r="AA132" s="39"/>
      <c r="AB132" s="39"/>
      <c r="AC132" s="39"/>
      <c r="AE132" s="1053" t="str">
        <f t="shared" ref="AE132:AE137" si="3">IF(C132="","",IF($C$17="unten",ABS(C132-$AF$16),IF($C$17="oben",ABS($C$14-C132-$AF$16))))</f>
        <v/>
      </c>
      <c r="AF132" s="1054" t="str">
        <f t="shared" ref="AF132:AF195" si="4">IF(AE132="","",IF($C$17="unten",C132,IF($C$17="oben",$C$14-C132)))</f>
        <v/>
      </c>
      <c r="AG132" s="1055" t="str">
        <f t="shared" ref="AG132:AG137" si="5">IF(C132="","",AH132*AI132)</f>
        <v/>
      </c>
      <c r="AH132" s="1055" t="str">
        <f>IF(AE132="","",$C$102/$C$104)</f>
        <v/>
      </c>
      <c r="AI132" s="1056" t="str">
        <f>IF(AE132="","",$AM$132)</f>
        <v/>
      </c>
      <c r="AJ132" s="1056"/>
      <c r="AK132" s="1056"/>
      <c r="AL132" s="1056"/>
      <c r="AM132" s="1057">
        <f>$C$104*AH48</f>
        <v>0.71228723404255323</v>
      </c>
      <c r="BC132" s="40"/>
      <c r="BD132" s="40"/>
      <c r="BE132" s="40"/>
      <c r="BF132" s="40"/>
      <c r="BG132" s="40"/>
    </row>
    <row r="133" spans="1:59" ht="18" customHeight="1">
      <c r="A133" s="1058" t="str">
        <f>IF(AND($C$92="ja",$C$17="unten",$C$97&gt;ROW(A133)-ROW($A$132)),90,"")</f>
        <v/>
      </c>
      <c r="B133" s="1059" t="str">
        <f>IF(AND($C$92="ja",$C$17="unten",$C$97&gt;ROW(A133)-ROW($A$132)),IF($C$13=60,$C$13-10,$C$13/2),"")</f>
        <v/>
      </c>
      <c r="C133" s="1059" t="str">
        <f>IF(AND($C$92="ja",$C$17="unten",$C$97&gt;ROW(A133)-ROW($A$132)),$C$98,"")</f>
        <v/>
      </c>
      <c r="D133" s="1059"/>
      <c r="E133" s="1060" t="str">
        <f>IF(AND($C$92="ja",$C$17="unten",$C$97&gt;ROW(A133)-ROW($A$132)),$C$96,"")</f>
        <v/>
      </c>
      <c r="N133" s="68"/>
      <c r="O133" s="39"/>
      <c r="P133" s="39"/>
      <c r="Q133" s="39"/>
      <c r="R133" s="39"/>
      <c r="S133" s="53"/>
      <c r="T133" s="39"/>
      <c r="U133" s="68"/>
      <c r="V133" s="39"/>
      <c r="W133" s="104"/>
      <c r="X133" s="68"/>
      <c r="Y133" s="104"/>
      <c r="Z133" s="39"/>
      <c r="AA133" s="39"/>
      <c r="AB133" s="39"/>
      <c r="AC133" s="39"/>
      <c r="AE133" s="1061" t="str">
        <f t="shared" si="3"/>
        <v/>
      </c>
      <c r="AF133" s="1062" t="str">
        <f t="shared" si="4"/>
        <v/>
      </c>
      <c r="AG133" s="1063" t="str">
        <f t="shared" si="5"/>
        <v/>
      </c>
      <c r="AH133" s="1063" t="str">
        <f>IF(AE133="","",$C$102/$C$104)</f>
        <v/>
      </c>
      <c r="AI133" s="1064" t="str">
        <f t="shared" ref="AI133:AI134" si="6">IF(AE133="","",$AM$132)</f>
        <v/>
      </c>
      <c r="AJ133" s="1064"/>
      <c r="AK133" s="1064"/>
      <c r="AL133" s="1064"/>
      <c r="BC133" s="40"/>
      <c r="BD133" s="40"/>
      <c r="BE133" s="40"/>
      <c r="BF133" s="40"/>
      <c r="BG133" s="40"/>
    </row>
    <row r="134" spans="1:59" ht="18" customHeight="1">
      <c r="A134" s="1065" t="str">
        <f>IF(AND($C$92="ja",$C$17="unten",$C$97&gt;ROW(A134)-ROW($A$132)),90,"")</f>
        <v/>
      </c>
      <c r="B134" s="1066" t="str">
        <f>IF(AND($C$92="ja",$C$17="unten",$C$97&gt;ROW(A134)-ROW($A$132)),IF($C$13=60,"",$C$13-10),"")</f>
        <v/>
      </c>
      <c r="C134" s="1066" t="str">
        <f>IF(AND($C$92="ja",$C$17="unten",$C$97&gt;ROW(A134)-ROW($A$132)),$C$98,"")</f>
        <v/>
      </c>
      <c r="D134" s="1066"/>
      <c r="E134" s="1067" t="str">
        <f>IF(AND($C$92="ja",$C$17="unten",$C$97&gt;ROW(A134)-ROW($A$132)),$C$96,"")</f>
        <v/>
      </c>
      <c r="N134" s="68"/>
      <c r="O134" s="39"/>
      <c r="P134" s="39"/>
      <c r="Q134" s="39"/>
      <c r="R134" s="39"/>
      <c r="S134" s="53"/>
      <c r="T134" s="39"/>
      <c r="U134" s="68"/>
      <c r="V134" s="39"/>
      <c r="W134" s="104"/>
      <c r="X134" s="68"/>
      <c r="Y134" s="104"/>
      <c r="Z134" s="39"/>
      <c r="AA134" s="39"/>
      <c r="AB134" s="39"/>
      <c r="AC134" s="39"/>
      <c r="AE134" s="1068" t="str">
        <f t="shared" si="3"/>
        <v/>
      </c>
      <c r="AF134" s="1069" t="str">
        <f t="shared" si="4"/>
        <v/>
      </c>
      <c r="AG134" s="1070" t="str">
        <f t="shared" si="5"/>
        <v/>
      </c>
      <c r="AH134" s="1070" t="str">
        <f>IF(AE134="","",$C$102/$C$104)</f>
        <v/>
      </c>
      <c r="AI134" s="1071" t="str">
        <f t="shared" si="6"/>
        <v/>
      </c>
      <c r="AJ134" s="1072"/>
      <c r="AK134" s="1072"/>
      <c r="AL134" s="1072"/>
      <c r="BC134" s="40"/>
      <c r="BD134" s="40"/>
      <c r="BE134" s="40"/>
      <c r="BF134" s="40"/>
      <c r="BG134" s="40"/>
    </row>
    <row r="135" spans="1:59" ht="18" customHeight="1">
      <c r="A135" s="1073" t="str">
        <f>IF(AND($C$74="ja",$C$17="oben"),"Zuglasche",IF(AND($C$56="ja",$C$17="oben",$C$58&gt;2),"Schraubenkreuz",""))</f>
        <v/>
      </c>
      <c r="B135" s="1074"/>
      <c r="C135" s="1074" t="str">
        <f>IF(A135="","",IF(A135="Schraubenkreuz",-$C$63-2*$C$64,IF(A135="Zuglasche",-50)))</f>
        <v/>
      </c>
      <c r="D135" s="1074"/>
      <c r="E135" s="1075"/>
      <c r="N135" s="68"/>
      <c r="O135" s="39"/>
      <c r="P135" s="39"/>
      <c r="Q135" s="39"/>
      <c r="R135" s="39"/>
      <c r="S135" s="53"/>
      <c r="T135" s="39"/>
      <c r="U135" s="68"/>
      <c r="V135" s="39"/>
      <c r="W135" s="104"/>
      <c r="X135" s="68"/>
      <c r="Y135" s="104"/>
      <c r="Z135" s="39"/>
      <c r="AA135" s="39"/>
      <c r="AB135" s="39"/>
      <c r="AC135" s="39"/>
      <c r="AE135" s="1073" t="str">
        <f t="shared" si="3"/>
        <v/>
      </c>
      <c r="AF135" s="1076" t="str">
        <f t="shared" si="4"/>
        <v/>
      </c>
      <c r="AG135" s="1076" t="str">
        <f t="shared" si="5"/>
        <v/>
      </c>
      <c r="AH135" s="1076" t="str">
        <f>IF(AE135="","",IF(A135="Schraubenkreuz",$C$69,IF(A135="Zuglasche",$C$87)))</f>
        <v/>
      </c>
      <c r="AI135" s="1077" t="str">
        <f>IF(AF135="","",AL135*$AK$221/AK135)</f>
        <v/>
      </c>
      <c r="AJ135" s="1078"/>
      <c r="AK135" s="1079" t="str">
        <f>IF(AE135="","",AL135/AE135)</f>
        <v/>
      </c>
      <c r="AL135" s="1078" t="str">
        <f t="shared" ref="AL135" si="7">IF(AE135="","",$AM$135*AE135/MAX($AE$135:$AE$137,$AE$212:$AE$214))</f>
        <v/>
      </c>
      <c r="AM135" s="1080" t="str">
        <f>IF(C56="ja",$C$70*AH51,"")</f>
        <v/>
      </c>
      <c r="BC135" s="40"/>
      <c r="BD135" s="40"/>
      <c r="BE135" s="40"/>
      <c r="BF135" s="40"/>
      <c r="BG135" s="40"/>
    </row>
    <row r="136" spans="1:59" ht="18" customHeight="1">
      <c r="A136" s="1081" t="str">
        <f>IF(AND($C$74="ja",$C$17="oben"),"",IF(AND($C$56="ja",$C$17="oben",$C$58&gt;1),"Schraubenkreuz",""))</f>
        <v/>
      </c>
      <c r="B136" s="1082"/>
      <c r="C136" s="1082" t="str">
        <f>IF(A136="","",IF(A136="Schraubenkreuz",-$C$63-1*$C$64,IF(A136="Zuglasche",-50)))</f>
        <v/>
      </c>
      <c r="D136" s="1082"/>
      <c r="E136" s="1083"/>
      <c r="N136" s="68"/>
      <c r="O136" s="39"/>
      <c r="P136" s="39"/>
      <c r="Q136" s="39"/>
      <c r="R136" s="39"/>
      <c r="S136" s="53"/>
      <c r="T136" s="39"/>
      <c r="U136" s="68"/>
      <c r="V136" s="39"/>
      <c r="W136" s="104"/>
      <c r="X136" s="68"/>
      <c r="Y136" s="104"/>
      <c r="Z136" s="39"/>
      <c r="AA136" s="39"/>
      <c r="AB136" s="39"/>
      <c r="AC136" s="39"/>
      <c r="AE136" s="1081" t="str">
        <f t="shared" si="3"/>
        <v/>
      </c>
      <c r="AF136" s="1084" t="str">
        <f t="shared" si="4"/>
        <v/>
      </c>
      <c r="AG136" s="1084" t="str">
        <f t="shared" si="5"/>
        <v/>
      </c>
      <c r="AH136" s="1084" t="str">
        <f>IF(AE136="","",IF(A136="Schraubenkreuz",$C$69,IF(A136="Zuglasche","FEHLER")))</f>
        <v/>
      </c>
      <c r="AI136" s="1085" t="str">
        <f t="shared" ref="AI136:AI199" si="8">IF(AF136="","",AL136*$AK$221/AK136)</f>
        <v/>
      </c>
      <c r="AJ136" s="1086"/>
      <c r="AK136" s="1087" t="str">
        <f t="shared" ref="AK136:AK137" si="9">IF(AE136="","",AL136/AE136)</f>
        <v/>
      </c>
      <c r="AL136" s="1086" t="str">
        <f>IF(AE136="","",$AM$135*AE136/MAX($AE$135:$AE$137,$AE$212:$AE$214))</f>
        <v/>
      </c>
      <c r="BC136" s="40"/>
      <c r="BD136" s="40"/>
      <c r="BE136" s="40"/>
      <c r="BF136" s="40"/>
      <c r="BG136" s="40"/>
    </row>
    <row r="137" spans="1:59" ht="18" customHeight="1">
      <c r="A137" s="1088" t="str">
        <f>IF(AND($C$74="ja",$C$17="oben"),"",IF(AND($C$56="ja",$C$17="oben",$C$58&gt;0),"Schraubenkreuz",""))</f>
        <v/>
      </c>
      <c r="B137" s="1089"/>
      <c r="C137" s="1089" t="str">
        <f>IF(A137="","",IF(A137="Schraubenkreuz",-$C$63-0*$C$64,IF(A137="Zuglasche",-50)))</f>
        <v/>
      </c>
      <c r="D137" s="1089"/>
      <c r="E137" s="1090"/>
      <c r="F137" s="50" t="s">
        <v>1941</v>
      </c>
      <c r="N137" s="69"/>
      <c r="O137" s="37"/>
      <c r="P137" s="37"/>
      <c r="Q137" s="37"/>
      <c r="R137" s="37"/>
      <c r="S137" s="300"/>
      <c r="T137" s="39"/>
      <c r="U137" s="69"/>
      <c r="V137" s="37"/>
      <c r="W137" s="101"/>
      <c r="X137" s="69"/>
      <c r="Y137" s="101"/>
      <c r="Z137" s="39"/>
      <c r="AA137" s="39"/>
      <c r="AB137" s="39"/>
      <c r="AC137" s="39"/>
      <c r="AE137" s="1088" t="str">
        <f t="shared" si="3"/>
        <v/>
      </c>
      <c r="AF137" s="1091" t="str">
        <f t="shared" si="4"/>
        <v/>
      </c>
      <c r="AG137" s="1091" t="str">
        <f t="shared" si="5"/>
        <v/>
      </c>
      <c r="AH137" s="1091" t="str">
        <f>IF(AE137="","",IF(A137="Schraubenkreuz",$C$69,IF(A137="Zuglasche","FEHLER")))</f>
        <v/>
      </c>
      <c r="AI137" s="1092" t="str">
        <f t="shared" si="8"/>
        <v/>
      </c>
      <c r="AJ137" s="1093"/>
      <c r="AK137" s="1094" t="str">
        <f t="shared" si="9"/>
        <v/>
      </c>
      <c r="AL137" s="1093" t="str">
        <f>IF(AE137="","",$AM$135*AE137/MAX($AE$135:$AE$137,$AE$212:$AE$214))</f>
        <v/>
      </c>
      <c r="BC137" s="40"/>
      <c r="BD137" s="40"/>
      <c r="BE137" s="40"/>
      <c r="BF137" s="40"/>
      <c r="BG137" s="40"/>
    </row>
    <row r="138" spans="1:59" ht="18" customHeight="1">
      <c r="A138" s="1095" cm="1">
        <f t="array" aca="1" ref="A138:D211" ca="1">INDIRECT(B353):INDIRECT(B354)</f>
        <v>90</v>
      </c>
      <c r="B138" s="399">
        <f ca="1"/>
        <v>9.75</v>
      </c>
      <c r="C138" s="399">
        <f ca="1"/>
        <v>60</v>
      </c>
      <c r="D138" s="400">
        <f ca="1"/>
        <v>16.5</v>
      </c>
      <c r="E138" s="401">
        <f t="shared" ref="E138:E201" ca="1" si="10">IF(A138=90,$C$28-D138,IF(A138=45,$C$27-D138,""))</f>
        <v>143.5</v>
      </c>
      <c r="M138" s="411"/>
      <c r="N138" s="373" t="str">
        <f ca="1">IF(OR(A138=90),IF($C$17="unten",IF($O$16&gt;C138,"",C138-$O$16),IF($C$17="oben",IF($O$16&gt;$C$14-C138,"",$C$14-C138-$O$16))),"")</f>
        <v/>
      </c>
      <c r="O138" s="374" t="str">
        <f t="shared" ref="O138:O201" ca="1" si="11">IF(N138="","",IF($C$17="unten",C138,IF($C$17="oben",$C$14-C138)))</f>
        <v/>
      </c>
      <c r="P138" s="370" t="str">
        <f ca="1">IF(N138="","",MIN($C$26*$C$32*E138,$C$34)*N138/MAX($N$138:$N$211))</f>
        <v/>
      </c>
      <c r="Q138" s="370" t="str">
        <f t="shared" ref="Q138:Q201" ca="1" si="12">IF(N138="","",$C$26*$C$32*E138/$C$33)</f>
        <v/>
      </c>
      <c r="R138" s="375" t="str">
        <f ca="1">IF(N138="","",P138/Q138)</f>
        <v/>
      </c>
      <c r="S138" s="417" t="str">
        <f t="shared" ref="S138:S201" ca="1" si="13">IF(N138="","",P138*$R$224/E138)</f>
        <v/>
      </c>
      <c r="U138" s="373" t="str">
        <f t="shared" ref="U138:U201" ca="1" si="14">IF(OR(A138=45),IF($C$17="unten",IF($O$16&gt;C138,"",C138-$O$16),IF($C$17="oben",IF($O$16&gt;$C$14-C138,"",$C$14-C138-$O$16))),"")</f>
        <v/>
      </c>
      <c r="V138" s="370" t="str">
        <f t="shared" ref="V138:V201" ca="1" si="15">IF(U138="","",MIN($C$26*$C$32*E138,$C$34)*U138/MAX($U$138:$U$211)/2^0.5)</f>
        <v/>
      </c>
      <c r="W138" s="375" t="str">
        <f t="shared" ref="W138:W201" ca="1" si="16">IF(U138="","",$C$33*U138/MAX($U$138:$U$211)/2^0.5)</f>
        <v/>
      </c>
      <c r="X138" s="376" t="str">
        <f t="shared" ref="X138:X201" ca="1" si="17">IF(A138=45,IF($C$17="unten",ABS(C138-$O$16),IF($C$17="oben",ABS($C$14-C138-$O$16))),"")</f>
        <v/>
      </c>
      <c r="Y138" s="1096" t="str">
        <f t="shared" ref="Y138:Y201" ca="1" si="18">IF(OR(A138=45),(X138)^2,"")</f>
        <v/>
      </c>
      <c r="Z138" s="1097"/>
      <c r="AE138" s="373" t="str">
        <f ca="1">IF(OR(A138=90),IF($C$17="unten",IF($AF$16&gt;=C138,"",C138-$AF$16),IF($C$17="oben",IF($AF$16&gt;=$C$14-C138,"",$C$14-C138-$AF$16))),"")</f>
        <v/>
      </c>
      <c r="AF138" s="370" t="str">
        <f ca="1">IF(AE138="","",IF($C$17="unten",C138,IF($C$17="oben",$C$14-C138)))</f>
        <v/>
      </c>
      <c r="AG138" s="370" t="str">
        <f ca="1">IF(AF138="","",AH138*AI138)</f>
        <v/>
      </c>
      <c r="AH138" s="370" t="str">
        <f ca="1">IF(AE138="","",$C$26*$C$32*E138/$C$33)</f>
        <v/>
      </c>
      <c r="AI138" s="1098" t="str">
        <f t="shared" ca="1" si="8"/>
        <v/>
      </c>
      <c r="AJ138" s="1099" t="str">
        <f t="shared" ref="AJ138:AJ201" ca="1" si="19">IF(AE138="","",AG138*$AJ$224/E138)</f>
        <v/>
      </c>
      <c r="AK138" s="1100" t="str">
        <f ca="1">IF(AE138="","",AL138/AE138)</f>
        <v/>
      </c>
      <c r="AL138" s="1101" t="str">
        <f ca="1">IF(AE138="","",$AM$138*AE138/MAX($AE$138:$AE$211))</f>
        <v/>
      </c>
      <c r="AM138" s="1102">
        <f>C33*AH51</f>
        <v>0.75</v>
      </c>
      <c r="BC138" s="40"/>
      <c r="BD138" s="40"/>
      <c r="BE138" s="40"/>
      <c r="BF138" s="40"/>
      <c r="BG138" s="40"/>
    </row>
    <row r="139" spans="1:59" ht="18" customHeight="1">
      <c r="A139" s="1095">
        <f ca="1"/>
        <v>90</v>
      </c>
      <c r="B139" s="399">
        <f ca="1"/>
        <v>30</v>
      </c>
      <c r="C139" s="399">
        <f ca="1"/>
        <v>70</v>
      </c>
      <c r="D139" s="400">
        <f ca="1"/>
        <v>14</v>
      </c>
      <c r="E139" s="401">
        <f t="shared" ca="1" si="10"/>
        <v>146</v>
      </c>
      <c r="M139" s="411"/>
      <c r="N139" s="376" t="str">
        <f t="shared" ref="N139:N201" ca="1" si="20">IF(OR(A139=90),IF($C$17="unten",IF($O$16&gt;C139,"",C139-$O$16),IF($C$17="oben",IF($O$16&gt;$C$14-C139,"",$C$14-C139-$O$16))),"")</f>
        <v/>
      </c>
      <c r="O139" s="377" t="str">
        <f t="shared" ca="1" si="11"/>
        <v/>
      </c>
      <c r="P139" s="371" t="str">
        <f t="shared" ref="P139:P201" ca="1" si="21">IF(N139="","",MIN($C$26*$C$32*E139,$C$34)*N139/MAX($N$138:$N$211))</f>
        <v/>
      </c>
      <c r="Q139" s="371" t="str">
        <f t="shared" ca="1" si="12"/>
        <v/>
      </c>
      <c r="R139" s="378" t="str">
        <f t="shared" ref="R139:R201" ca="1" si="22">IF(N139="","",P139/Q139)</f>
        <v/>
      </c>
      <c r="S139" s="417" t="str">
        <f t="shared" ca="1" si="13"/>
        <v/>
      </c>
      <c r="U139" s="376" t="str">
        <f t="shared" ca="1" si="14"/>
        <v/>
      </c>
      <c r="V139" s="371" t="str">
        <f t="shared" ca="1" si="15"/>
        <v/>
      </c>
      <c r="W139" s="378" t="str">
        <f t="shared" ca="1" si="16"/>
        <v/>
      </c>
      <c r="X139" s="376" t="str">
        <f t="shared" ca="1" si="17"/>
        <v/>
      </c>
      <c r="Y139" s="1103" t="str">
        <f t="shared" ca="1" si="18"/>
        <v/>
      </c>
      <c r="Z139" s="1097"/>
      <c r="AE139" s="1104" t="str">
        <f t="shared" ref="AE139:AE201" ca="1" si="23">IF(OR(A139=90),IF($C$17="unten",IF($AF$16&gt;=C139,"",C139-$AF$16),IF($C$17="oben",IF($AF$16&gt;=$C$14-C139,"",$C$14-C139-$AF$16))),"")</f>
        <v/>
      </c>
      <c r="AF139" s="371" t="str">
        <f t="shared" ca="1" si="4"/>
        <v/>
      </c>
      <c r="AG139" s="371" t="str">
        <f ca="1">IF(AF139="","",AH139*AI139)</f>
        <v/>
      </c>
      <c r="AH139" s="371" t="str">
        <f t="shared" ref="AH139:AH202" ca="1" si="24">IF(AE139="","",$C$26*$C$32*E139/$C$33)</f>
        <v/>
      </c>
      <c r="AI139" s="1105" t="str">
        <f t="shared" ca="1" si="8"/>
        <v/>
      </c>
      <c r="AJ139" s="417" t="str">
        <f t="shared" ca="1" si="19"/>
        <v/>
      </c>
      <c r="AK139" s="1106" t="str">
        <f ca="1">IF(AE139="","",AL139/AE139)</f>
        <v/>
      </c>
      <c r="AL139" s="1107" t="str">
        <f t="shared" ref="AL139:AL202" ca="1" si="25">IF(AE139="","",$AM$138*AE139/MAX($AE$138:$AE$211))</f>
        <v/>
      </c>
      <c r="BC139" s="40"/>
      <c r="BD139" s="40"/>
      <c r="BE139" s="40"/>
      <c r="BF139" s="40"/>
      <c r="BG139" s="40"/>
    </row>
    <row r="140" spans="1:59" ht="18" customHeight="1">
      <c r="A140" s="1095">
        <f ca="1"/>
        <v>45</v>
      </c>
      <c r="B140" s="399">
        <f ca="1"/>
        <v>50.25</v>
      </c>
      <c r="C140" s="399">
        <f ca="1"/>
        <v>80</v>
      </c>
      <c r="D140" s="400">
        <f ca="1"/>
        <v>17.5</v>
      </c>
      <c r="E140" s="401">
        <f t="shared" ca="1" si="10"/>
        <v>142.5</v>
      </c>
      <c r="M140" s="411"/>
      <c r="N140" s="376" t="str">
        <f t="shared" ca="1" si="20"/>
        <v/>
      </c>
      <c r="O140" s="377" t="str">
        <f t="shared" ca="1" si="11"/>
        <v/>
      </c>
      <c r="P140" s="371" t="str">
        <f t="shared" ca="1" si="21"/>
        <v/>
      </c>
      <c r="Q140" s="371" t="str">
        <f t="shared" ca="1" si="12"/>
        <v/>
      </c>
      <c r="R140" s="378" t="str">
        <f t="shared" ca="1" si="22"/>
        <v/>
      </c>
      <c r="S140" s="417" t="str">
        <f t="shared" ca="1" si="13"/>
        <v/>
      </c>
      <c r="U140" s="376" t="str">
        <f t="shared" ca="1" si="14"/>
        <v/>
      </c>
      <c r="V140" s="371" t="str">
        <f t="shared" ca="1" si="15"/>
        <v/>
      </c>
      <c r="W140" s="378" t="str">
        <f t="shared" ca="1" si="16"/>
        <v/>
      </c>
      <c r="X140" s="376">
        <f t="shared" ca="1" si="17"/>
        <v>34.930084116736907</v>
      </c>
      <c r="Y140" s="1103">
        <f t="shared" ca="1" si="18"/>
        <v>1220.1107764023159</v>
      </c>
      <c r="Z140" s="1097"/>
      <c r="AE140" s="1104" t="str">
        <f t="shared" ca="1" si="23"/>
        <v/>
      </c>
      <c r="AF140" s="371" t="str">
        <f t="shared" ca="1" si="4"/>
        <v/>
      </c>
      <c r="AG140" s="371" t="str">
        <f t="shared" ref="AG140:AG203" ca="1" si="26">IF(AF140="","",AH140*AI140)</f>
        <v/>
      </c>
      <c r="AH140" s="371" t="str">
        <f t="shared" ca="1" si="24"/>
        <v/>
      </c>
      <c r="AI140" s="1105" t="str">
        <f t="shared" ca="1" si="8"/>
        <v/>
      </c>
      <c r="AJ140" s="417" t="str">
        <f t="shared" ca="1" si="19"/>
        <v/>
      </c>
      <c r="AK140" s="1106" t="str">
        <f t="shared" ref="AK140:AK203" ca="1" si="27">IF(AE140="","",AL140/AE140)</f>
        <v/>
      </c>
      <c r="AL140" s="1107" t="str">
        <f t="shared" ca="1" si="25"/>
        <v/>
      </c>
      <c r="BC140" s="40"/>
      <c r="BD140" s="40"/>
      <c r="BE140" s="40"/>
      <c r="BF140" s="40"/>
      <c r="BG140" s="40"/>
    </row>
    <row r="141" spans="1:59" ht="18" customHeight="1">
      <c r="A141" s="1095">
        <f ca="1"/>
        <v>45</v>
      </c>
      <c r="B141" s="399">
        <f ca="1"/>
        <v>9.75</v>
      </c>
      <c r="C141" s="399">
        <f ca="1"/>
        <v>118</v>
      </c>
      <c r="D141" s="400">
        <f ca="1"/>
        <v>17.5</v>
      </c>
      <c r="E141" s="401">
        <f t="shared" ca="1" si="10"/>
        <v>142.5</v>
      </c>
      <c r="M141" s="411"/>
      <c r="N141" s="376" t="str">
        <f t="shared" ca="1" si="20"/>
        <v/>
      </c>
      <c r="O141" s="377" t="str">
        <f t="shared" ca="1" si="11"/>
        <v/>
      </c>
      <c r="P141" s="371" t="str">
        <f t="shared" ca="1" si="21"/>
        <v/>
      </c>
      <c r="Q141" s="371" t="str">
        <f t="shared" ca="1" si="12"/>
        <v/>
      </c>
      <c r="R141" s="378" t="str">
        <f t="shared" ca="1" si="22"/>
        <v/>
      </c>
      <c r="S141" s="417" t="str">
        <f t="shared" ca="1" si="13"/>
        <v/>
      </c>
      <c r="U141" s="376" t="str">
        <f t="shared" ca="1" si="14"/>
        <v/>
      </c>
      <c r="V141" s="371" t="str">
        <f t="shared" ca="1" si="15"/>
        <v/>
      </c>
      <c r="W141" s="378" t="str">
        <f t="shared" ca="1" si="16"/>
        <v/>
      </c>
      <c r="X141" s="376">
        <f t="shared" ca="1" si="17"/>
        <v>72.930084116736907</v>
      </c>
      <c r="Y141" s="1103">
        <f t="shared" ca="1" si="18"/>
        <v>5318.7971692743213</v>
      </c>
      <c r="Z141" s="1097"/>
      <c r="AE141" s="1104" t="str">
        <f t="shared" ca="1" si="23"/>
        <v/>
      </c>
      <c r="AF141" s="371" t="str">
        <f t="shared" ca="1" si="4"/>
        <v/>
      </c>
      <c r="AG141" s="371" t="str">
        <f t="shared" ca="1" si="26"/>
        <v/>
      </c>
      <c r="AH141" s="371" t="str">
        <f t="shared" ca="1" si="24"/>
        <v/>
      </c>
      <c r="AI141" s="1105" t="str">
        <f t="shared" ca="1" si="8"/>
        <v/>
      </c>
      <c r="AJ141" s="417" t="str">
        <f t="shared" ca="1" si="19"/>
        <v/>
      </c>
      <c r="AK141" s="1106" t="str">
        <f t="shared" ca="1" si="27"/>
        <v/>
      </c>
      <c r="AL141" s="1107" t="str">
        <f t="shared" ca="1" si="25"/>
        <v/>
      </c>
      <c r="BC141" s="40"/>
      <c r="BD141" s="40"/>
      <c r="BE141" s="40"/>
      <c r="BF141" s="40"/>
      <c r="BG141" s="40"/>
    </row>
    <row r="142" spans="1:59" ht="18" customHeight="1">
      <c r="A142" s="1095">
        <f ca="1"/>
        <v>45</v>
      </c>
      <c r="B142" s="399">
        <f ca="1"/>
        <v>50.25</v>
      </c>
      <c r="C142" s="399">
        <f ca="1"/>
        <v>138</v>
      </c>
      <c r="D142" s="400">
        <f ca="1"/>
        <v>17.5</v>
      </c>
      <c r="E142" s="401">
        <f t="shared" ca="1" si="10"/>
        <v>142.5</v>
      </c>
      <c r="M142" s="411"/>
      <c r="N142" s="376" t="str">
        <f t="shared" ca="1" si="20"/>
        <v/>
      </c>
      <c r="O142" s="377" t="str">
        <f t="shared" ca="1" si="11"/>
        <v/>
      </c>
      <c r="P142" s="371" t="str">
        <f t="shared" ca="1" si="21"/>
        <v/>
      </c>
      <c r="Q142" s="371" t="str">
        <f t="shared" ca="1" si="12"/>
        <v/>
      </c>
      <c r="R142" s="378" t="str">
        <f t="shared" ca="1" si="22"/>
        <v/>
      </c>
      <c r="S142" s="417" t="str">
        <f t="shared" ca="1" si="13"/>
        <v/>
      </c>
      <c r="U142" s="696" t="str">
        <f t="shared" ca="1" si="14"/>
        <v/>
      </c>
      <c r="V142" s="371" t="str">
        <f t="shared" ca="1" si="15"/>
        <v/>
      </c>
      <c r="W142" s="378" t="str">
        <f t="shared" ca="1" si="16"/>
        <v/>
      </c>
      <c r="X142" s="376">
        <f t="shared" ca="1" si="17"/>
        <v>92.930084116736907</v>
      </c>
      <c r="Y142" s="1103">
        <f t="shared" ca="1" si="18"/>
        <v>8636.0005339437976</v>
      </c>
      <c r="Z142" s="1097"/>
      <c r="AE142" s="1104" t="str">
        <f t="shared" ca="1" si="23"/>
        <v/>
      </c>
      <c r="AF142" s="371" t="str">
        <f t="shared" ca="1" si="4"/>
        <v/>
      </c>
      <c r="AG142" s="371" t="str">
        <f t="shared" ca="1" si="26"/>
        <v/>
      </c>
      <c r="AH142" s="371" t="str">
        <f t="shared" ca="1" si="24"/>
        <v/>
      </c>
      <c r="AI142" s="1105" t="str">
        <f t="shared" ca="1" si="8"/>
        <v/>
      </c>
      <c r="AJ142" s="417" t="str">
        <f t="shared" ca="1" si="19"/>
        <v/>
      </c>
      <c r="AK142" s="1106" t="str">
        <f t="shared" ca="1" si="27"/>
        <v/>
      </c>
      <c r="AL142" s="1107" t="str">
        <f t="shared" ca="1" si="25"/>
        <v/>
      </c>
      <c r="BC142" s="40"/>
      <c r="BD142" s="40"/>
      <c r="BE142" s="40"/>
      <c r="BF142" s="40"/>
      <c r="BG142" s="40"/>
    </row>
    <row r="143" spans="1:59" ht="18" customHeight="1">
      <c r="A143" s="1095">
        <f ca="1"/>
        <v>45</v>
      </c>
      <c r="B143" s="399">
        <f ca="1"/>
        <v>9.75</v>
      </c>
      <c r="C143" s="399">
        <f ca="1"/>
        <v>176</v>
      </c>
      <c r="D143" s="400">
        <f ca="1"/>
        <v>17.5</v>
      </c>
      <c r="E143" s="401">
        <f t="shared" ca="1" si="10"/>
        <v>142.5</v>
      </c>
      <c r="M143" s="411"/>
      <c r="N143" s="376" t="str">
        <f t="shared" ca="1" si="20"/>
        <v/>
      </c>
      <c r="O143" s="377" t="str">
        <f t="shared" ca="1" si="11"/>
        <v/>
      </c>
      <c r="P143" s="371" t="str">
        <f t="shared" ca="1" si="21"/>
        <v/>
      </c>
      <c r="Q143" s="371" t="str">
        <f t="shared" ca="1" si="12"/>
        <v/>
      </c>
      <c r="R143" s="378" t="str">
        <f t="shared" ca="1" si="22"/>
        <v/>
      </c>
      <c r="S143" s="417" t="str">
        <f t="shared" ca="1" si="13"/>
        <v/>
      </c>
      <c r="U143" s="376" t="str">
        <f ca="1">IF(OR(A143=45),IF($C$17="unten",IF($O$16&gt;C143,"",C143-$O$16),IF($C$17="oben",IF($O$16&gt;$C$14-C143,"",$C$14-C143-$O$16))),"")</f>
        <v/>
      </c>
      <c r="V143" s="371" t="str">
        <f t="shared" ca="1" si="15"/>
        <v/>
      </c>
      <c r="W143" s="378" t="str">
        <f t="shared" ca="1" si="16"/>
        <v/>
      </c>
      <c r="X143" s="376">
        <f t="shared" ca="1" si="17"/>
        <v>130.93008411673691</v>
      </c>
      <c r="Y143" s="1103">
        <f t="shared" ca="1" si="18"/>
        <v>17142.686926815801</v>
      </c>
      <c r="Z143" s="1097"/>
      <c r="AE143" s="1104" t="str">
        <f t="shared" ca="1" si="23"/>
        <v/>
      </c>
      <c r="AF143" s="371" t="str">
        <f t="shared" ca="1" si="4"/>
        <v/>
      </c>
      <c r="AG143" s="371" t="str">
        <f t="shared" ca="1" si="26"/>
        <v/>
      </c>
      <c r="AH143" s="371" t="str">
        <f t="shared" ca="1" si="24"/>
        <v/>
      </c>
      <c r="AI143" s="1105" t="str">
        <f t="shared" ca="1" si="8"/>
        <v/>
      </c>
      <c r="AJ143" s="417" t="str">
        <f t="shared" ca="1" si="19"/>
        <v/>
      </c>
      <c r="AK143" s="1106" t="str">
        <f t="shared" ca="1" si="27"/>
        <v/>
      </c>
      <c r="AL143" s="1107" t="str">
        <f t="shared" ca="1" si="25"/>
        <v/>
      </c>
      <c r="BC143" s="40"/>
      <c r="BD143" s="40"/>
      <c r="BE143" s="40"/>
      <c r="BF143" s="40"/>
      <c r="BG143" s="40"/>
    </row>
    <row r="144" spans="1:59" ht="18" customHeight="1">
      <c r="A144" s="1095">
        <f ca="1"/>
        <v>45</v>
      </c>
      <c r="B144" s="399">
        <f ca="1"/>
        <v>50.25</v>
      </c>
      <c r="C144" s="399">
        <f ca="1"/>
        <v>196</v>
      </c>
      <c r="D144" s="400">
        <f ca="1"/>
        <v>17.5</v>
      </c>
      <c r="E144" s="401">
        <f t="shared" ca="1" si="10"/>
        <v>142.5</v>
      </c>
      <c r="N144" s="376" t="str">
        <f t="shared" ca="1" si="20"/>
        <v/>
      </c>
      <c r="O144" s="377" t="str">
        <f t="shared" ca="1" si="11"/>
        <v/>
      </c>
      <c r="P144" s="371" t="str">
        <f t="shared" ca="1" si="21"/>
        <v/>
      </c>
      <c r="Q144" s="371" t="str">
        <f t="shared" ca="1" si="12"/>
        <v/>
      </c>
      <c r="R144" s="378" t="str">
        <f t="shared" ca="1" si="22"/>
        <v/>
      </c>
      <c r="S144" s="417" t="str">
        <f t="shared" ca="1" si="13"/>
        <v/>
      </c>
      <c r="U144" s="376" t="str">
        <f t="shared" ca="1" si="14"/>
        <v/>
      </c>
      <c r="V144" s="371" t="str">
        <f t="shared" ca="1" si="15"/>
        <v/>
      </c>
      <c r="W144" s="378" t="str">
        <f t="shared" ca="1" si="16"/>
        <v/>
      </c>
      <c r="X144" s="376">
        <f t="shared" ca="1" si="17"/>
        <v>150.93008411673691</v>
      </c>
      <c r="Y144" s="1103">
        <f t="shared" ca="1" si="18"/>
        <v>22779.890291485277</v>
      </c>
      <c r="Z144" s="1097"/>
      <c r="AE144" s="1104" t="str">
        <f t="shared" ca="1" si="23"/>
        <v/>
      </c>
      <c r="AF144" s="371" t="str">
        <f t="shared" ca="1" si="4"/>
        <v/>
      </c>
      <c r="AG144" s="371" t="str">
        <f t="shared" ca="1" si="26"/>
        <v/>
      </c>
      <c r="AH144" s="371" t="str">
        <f t="shared" ca="1" si="24"/>
        <v/>
      </c>
      <c r="AI144" s="1105" t="str">
        <f t="shared" ca="1" si="8"/>
        <v/>
      </c>
      <c r="AJ144" s="417" t="str">
        <f t="shared" ca="1" si="19"/>
        <v/>
      </c>
      <c r="AK144" s="1106" t="str">
        <f t="shared" ca="1" si="27"/>
        <v/>
      </c>
      <c r="AL144" s="1107" t="str">
        <f t="shared" ca="1" si="25"/>
        <v/>
      </c>
      <c r="BC144" s="40"/>
      <c r="BD144" s="40"/>
      <c r="BE144" s="40"/>
      <c r="BF144" s="40"/>
      <c r="BG144" s="40"/>
    </row>
    <row r="145" spans="1:59" ht="18" customHeight="1">
      <c r="A145" s="1095">
        <f ca="1"/>
        <v>45</v>
      </c>
      <c r="B145" s="399">
        <f ca="1"/>
        <v>9.75</v>
      </c>
      <c r="C145" s="399">
        <f ca="1"/>
        <v>234</v>
      </c>
      <c r="D145" s="400">
        <f ca="1"/>
        <v>17.5</v>
      </c>
      <c r="E145" s="401">
        <f t="shared" ca="1" si="10"/>
        <v>142.5</v>
      </c>
      <c r="N145" s="376" t="str">
        <f t="shared" ca="1" si="20"/>
        <v/>
      </c>
      <c r="O145" s="377" t="str">
        <f t="shared" ca="1" si="11"/>
        <v/>
      </c>
      <c r="P145" s="371" t="str">
        <f t="shared" ca="1" si="21"/>
        <v/>
      </c>
      <c r="Q145" s="371" t="str">
        <f t="shared" ca="1" si="12"/>
        <v/>
      </c>
      <c r="R145" s="378" t="str">
        <f t="shared" ca="1" si="22"/>
        <v/>
      </c>
      <c r="S145" s="417" t="str">
        <f t="shared" ca="1" si="13"/>
        <v/>
      </c>
      <c r="U145" s="376" t="str">
        <f t="shared" ca="1" si="14"/>
        <v/>
      </c>
      <c r="V145" s="371" t="str">
        <f t="shared" ca="1" si="15"/>
        <v/>
      </c>
      <c r="W145" s="378" t="str">
        <f t="shared" ca="1" si="16"/>
        <v/>
      </c>
      <c r="X145" s="376">
        <f t="shared" ca="1" si="17"/>
        <v>188.93008411673691</v>
      </c>
      <c r="Y145" s="1103">
        <f t="shared" ca="1" si="18"/>
        <v>35694.576684357286</v>
      </c>
      <c r="Z145" s="1097"/>
      <c r="AE145" s="1104" t="str">
        <f t="shared" ca="1" si="23"/>
        <v/>
      </c>
      <c r="AF145" s="371" t="str">
        <f t="shared" ca="1" si="4"/>
        <v/>
      </c>
      <c r="AG145" s="371" t="str">
        <f t="shared" ca="1" si="26"/>
        <v/>
      </c>
      <c r="AH145" s="371" t="str">
        <f t="shared" ca="1" si="24"/>
        <v/>
      </c>
      <c r="AI145" s="1105" t="str">
        <f t="shared" ca="1" si="8"/>
        <v/>
      </c>
      <c r="AJ145" s="417" t="str">
        <f t="shared" ca="1" si="19"/>
        <v/>
      </c>
      <c r="AK145" s="1106" t="str">
        <f t="shared" ca="1" si="27"/>
        <v/>
      </c>
      <c r="AL145" s="1107" t="str">
        <f t="shared" ca="1" si="25"/>
        <v/>
      </c>
      <c r="BC145" s="40"/>
      <c r="BD145" s="40"/>
      <c r="BE145" s="40"/>
      <c r="BF145" s="40"/>
      <c r="BG145" s="40"/>
    </row>
    <row r="146" spans="1:59" ht="18" customHeight="1">
      <c r="A146" s="1095">
        <f ca="1"/>
        <v>90</v>
      </c>
      <c r="B146" s="399">
        <f ca="1"/>
        <v>30</v>
      </c>
      <c r="C146" s="399">
        <f ca="1"/>
        <v>240</v>
      </c>
      <c r="D146" s="400">
        <f ca="1"/>
        <v>14</v>
      </c>
      <c r="E146" s="401">
        <f t="shared" ca="1" si="10"/>
        <v>146</v>
      </c>
      <c r="F146" s="411"/>
      <c r="G146" s="407"/>
      <c r="N146" s="376" t="str">
        <f t="shared" ca="1" si="20"/>
        <v/>
      </c>
      <c r="O146" s="377" t="str">
        <f t="shared" ca="1" si="11"/>
        <v/>
      </c>
      <c r="P146" s="371" t="str">
        <f t="shared" ca="1" si="21"/>
        <v/>
      </c>
      <c r="Q146" s="371" t="str">
        <f t="shared" ca="1" si="12"/>
        <v/>
      </c>
      <c r="R146" s="378" t="str">
        <f t="shared" ca="1" si="22"/>
        <v/>
      </c>
      <c r="S146" s="417" t="str">
        <f t="shared" ca="1" si="13"/>
        <v/>
      </c>
      <c r="U146" s="376" t="str">
        <f t="shared" ca="1" si="14"/>
        <v/>
      </c>
      <c r="V146" s="371" t="str">
        <f t="shared" ca="1" si="15"/>
        <v/>
      </c>
      <c r="W146" s="378" t="str">
        <f t="shared" ca="1" si="16"/>
        <v/>
      </c>
      <c r="X146" s="376" t="str">
        <f t="shared" ca="1" si="17"/>
        <v/>
      </c>
      <c r="Y146" s="1103" t="str">
        <f t="shared" ca="1" si="18"/>
        <v/>
      </c>
      <c r="Z146" s="1097"/>
      <c r="AE146" s="1104" t="str">
        <f t="shared" ca="1" si="23"/>
        <v/>
      </c>
      <c r="AF146" s="371" t="str">
        <f t="shared" ca="1" si="4"/>
        <v/>
      </c>
      <c r="AG146" s="371" t="str">
        <f t="shared" ca="1" si="26"/>
        <v/>
      </c>
      <c r="AH146" s="371" t="str">
        <f t="shared" ca="1" si="24"/>
        <v/>
      </c>
      <c r="AI146" s="1105" t="str">
        <f t="shared" ca="1" si="8"/>
        <v/>
      </c>
      <c r="AJ146" s="417" t="str">
        <f t="shared" ca="1" si="19"/>
        <v/>
      </c>
      <c r="AK146" s="1106" t="str">
        <f t="shared" ca="1" si="27"/>
        <v/>
      </c>
      <c r="AL146" s="1107" t="str">
        <f t="shared" ca="1" si="25"/>
        <v/>
      </c>
      <c r="BC146" s="40"/>
      <c r="BD146" s="40"/>
      <c r="BE146" s="40"/>
      <c r="BF146" s="40"/>
      <c r="BG146" s="40"/>
    </row>
    <row r="147" spans="1:59" ht="18" customHeight="1">
      <c r="A147" s="1095">
        <f ca="1"/>
        <v>45</v>
      </c>
      <c r="B147" s="399">
        <f ca="1"/>
        <v>50.25</v>
      </c>
      <c r="C147" s="399">
        <f ca="1"/>
        <v>254</v>
      </c>
      <c r="D147" s="400">
        <f ca="1"/>
        <v>17.5</v>
      </c>
      <c r="E147" s="401">
        <f t="shared" ca="1" si="10"/>
        <v>142.5</v>
      </c>
      <c r="F147" s="411"/>
      <c r="G147" s="407"/>
      <c r="N147" s="376" t="str">
        <f t="shared" ca="1" si="20"/>
        <v/>
      </c>
      <c r="O147" s="377" t="str">
        <f t="shared" ca="1" si="11"/>
        <v/>
      </c>
      <c r="P147" s="371" t="str">
        <f t="shared" ca="1" si="21"/>
        <v/>
      </c>
      <c r="Q147" s="371" t="str">
        <f t="shared" ca="1" si="12"/>
        <v/>
      </c>
      <c r="R147" s="378" t="str">
        <f t="shared" ca="1" si="22"/>
        <v/>
      </c>
      <c r="S147" s="417" t="str">
        <f t="shared" ca="1" si="13"/>
        <v/>
      </c>
      <c r="U147" s="376" t="str">
        <f t="shared" ca="1" si="14"/>
        <v/>
      </c>
      <c r="V147" s="371" t="str">
        <f t="shared" ca="1" si="15"/>
        <v/>
      </c>
      <c r="W147" s="378" t="str">
        <f t="shared" ca="1" si="16"/>
        <v/>
      </c>
      <c r="X147" s="376">
        <f t="shared" ca="1" si="17"/>
        <v>208.93008411673691</v>
      </c>
      <c r="Y147" s="1103">
        <f t="shared" ca="1" si="18"/>
        <v>43651.780049026762</v>
      </c>
      <c r="Z147" s="1097"/>
      <c r="AE147" s="1104" t="str">
        <f t="shared" ca="1" si="23"/>
        <v/>
      </c>
      <c r="AF147" s="371" t="str">
        <f t="shared" ca="1" si="4"/>
        <v/>
      </c>
      <c r="AG147" s="371" t="str">
        <f t="shared" ca="1" si="26"/>
        <v/>
      </c>
      <c r="AH147" s="371" t="str">
        <f t="shared" ca="1" si="24"/>
        <v/>
      </c>
      <c r="AI147" s="1105" t="str">
        <f t="shared" ca="1" si="8"/>
        <v/>
      </c>
      <c r="AJ147" s="417" t="str">
        <f t="shared" ca="1" si="19"/>
        <v/>
      </c>
      <c r="AK147" s="1106" t="str">
        <f t="shared" ca="1" si="27"/>
        <v/>
      </c>
      <c r="AL147" s="1107" t="str">
        <f t="shared" ca="1" si="25"/>
        <v/>
      </c>
      <c r="BC147" s="40"/>
      <c r="BD147" s="40"/>
      <c r="BE147" s="40"/>
      <c r="BF147" s="40"/>
      <c r="BG147" s="40"/>
    </row>
    <row r="148" spans="1:59" ht="18" customHeight="1">
      <c r="A148" s="1095">
        <f ca="1"/>
        <v>90</v>
      </c>
      <c r="B148" s="399">
        <f ca="1"/>
        <v>10</v>
      </c>
      <c r="C148" s="399">
        <f ca="1"/>
        <v>300</v>
      </c>
      <c r="D148" s="400">
        <f ca="1"/>
        <v>40</v>
      </c>
      <c r="E148" s="401">
        <f t="shared" ca="1" si="10"/>
        <v>120</v>
      </c>
      <c r="F148" s="411"/>
      <c r="G148" s="407"/>
      <c r="N148" s="376" t="str">
        <f t="shared" ca="1" si="20"/>
        <v/>
      </c>
      <c r="O148" s="377" t="str">
        <f t="shared" ca="1" si="11"/>
        <v/>
      </c>
      <c r="P148" s="371" t="str">
        <f t="shared" ca="1" si="21"/>
        <v/>
      </c>
      <c r="Q148" s="371" t="str">
        <f t="shared" ca="1" si="12"/>
        <v/>
      </c>
      <c r="R148" s="378" t="str">
        <f t="shared" ca="1" si="22"/>
        <v/>
      </c>
      <c r="S148" s="417" t="str">
        <f t="shared" ca="1" si="13"/>
        <v/>
      </c>
      <c r="U148" s="376" t="str">
        <f t="shared" ca="1" si="14"/>
        <v/>
      </c>
      <c r="V148" s="371" t="str">
        <f t="shared" ca="1" si="15"/>
        <v/>
      </c>
      <c r="W148" s="378" t="str">
        <f t="shared" ca="1" si="16"/>
        <v/>
      </c>
      <c r="X148" s="376" t="str">
        <f t="shared" ca="1" si="17"/>
        <v/>
      </c>
      <c r="Y148" s="1103" t="str">
        <f t="shared" ca="1" si="18"/>
        <v/>
      </c>
      <c r="Z148" s="1097"/>
      <c r="AE148" s="1104" t="str">
        <f t="shared" ca="1" si="23"/>
        <v/>
      </c>
      <c r="AF148" s="371" t="str">
        <f t="shared" ca="1" si="4"/>
        <v/>
      </c>
      <c r="AG148" s="371" t="str">
        <f t="shared" ca="1" si="26"/>
        <v/>
      </c>
      <c r="AH148" s="371" t="str">
        <f t="shared" ca="1" si="24"/>
        <v/>
      </c>
      <c r="AI148" s="1105" t="str">
        <f t="shared" ca="1" si="8"/>
        <v/>
      </c>
      <c r="AJ148" s="417" t="str">
        <f t="shared" ca="1" si="19"/>
        <v/>
      </c>
      <c r="AK148" s="1106" t="str">
        <f t="shared" ca="1" si="27"/>
        <v/>
      </c>
      <c r="AL148" s="1107" t="str">
        <f t="shared" ca="1" si="25"/>
        <v/>
      </c>
      <c r="BC148" s="40"/>
      <c r="BD148" s="40"/>
      <c r="BE148" s="40"/>
      <c r="BF148" s="40"/>
      <c r="BG148" s="40"/>
    </row>
    <row r="149" spans="1:59" ht="18" customHeight="1">
      <c r="A149" s="1095">
        <f ca="1"/>
        <v>90</v>
      </c>
      <c r="B149" s="399">
        <f ca="1"/>
        <v>50</v>
      </c>
      <c r="C149" s="399">
        <f ca="1"/>
        <v>300</v>
      </c>
      <c r="D149" s="400">
        <f ca="1"/>
        <v>40</v>
      </c>
      <c r="E149" s="401">
        <f t="shared" ca="1" si="10"/>
        <v>120</v>
      </c>
      <c r="F149" s="411"/>
      <c r="G149" s="407"/>
      <c r="N149" s="376" t="str">
        <f t="shared" ca="1" si="20"/>
        <v/>
      </c>
      <c r="O149" s="377" t="str">
        <f t="shared" ca="1" si="11"/>
        <v/>
      </c>
      <c r="P149" s="371" t="str">
        <f t="shared" ca="1" si="21"/>
        <v/>
      </c>
      <c r="Q149" s="371" t="str">
        <f t="shared" ca="1" si="12"/>
        <v/>
      </c>
      <c r="R149" s="378" t="str">
        <f t="shared" ca="1" si="22"/>
        <v/>
      </c>
      <c r="S149" s="417" t="str">
        <f t="shared" ca="1" si="13"/>
        <v/>
      </c>
      <c r="U149" s="376" t="str">
        <f t="shared" ca="1" si="14"/>
        <v/>
      </c>
      <c r="V149" s="371" t="str">
        <f t="shared" ca="1" si="15"/>
        <v/>
      </c>
      <c r="W149" s="378" t="str">
        <f t="shared" ca="1" si="16"/>
        <v/>
      </c>
      <c r="X149" s="376" t="str">
        <f t="shared" ca="1" si="17"/>
        <v/>
      </c>
      <c r="Y149" s="1103" t="str">
        <f t="shared" ca="1" si="18"/>
        <v/>
      </c>
      <c r="Z149" s="1097"/>
      <c r="AE149" s="1104" t="str">
        <f t="shared" ca="1" si="23"/>
        <v/>
      </c>
      <c r="AF149" s="371" t="str">
        <f t="shared" ca="1" si="4"/>
        <v/>
      </c>
      <c r="AG149" s="371" t="str">
        <f t="shared" ca="1" si="26"/>
        <v/>
      </c>
      <c r="AH149" s="371" t="str">
        <f t="shared" ca="1" si="24"/>
        <v/>
      </c>
      <c r="AI149" s="1105" t="str">
        <f t="shared" ca="1" si="8"/>
        <v/>
      </c>
      <c r="AJ149" s="417" t="str">
        <f t="shared" ca="1" si="19"/>
        <v/>
      </c>
      <c r="AK149" s="1106" t="str">
        <f t="shared" ca="1" si="27"/>
        <v/>
      </c>
      <c r="AL149" s="1107" t="str">
        <f t="shared" ca="1" si="25"/>
        <v/>
      </c>
      <c r="BC149" s="40"/>
      <c r="BD149" s="40"/>
      <c r="BE149" s="40"/>
      <c r="BF149" s="40"/>
      <c r="BG149" s="40"/>
    </row>
    <row r="150" spans="1:59" ht="18" customHeight="1">
      <c r="A150" s="1095" t="str">
        <f ca="1"/>
        <v/>
      </c>
      <c r="B150" s="399" t="str">
        <f ca="1"/>
        <v/>
      </c>
      <c r="C150" s="399" t="str">
        <f ca="1"/>
        <v/>
      </c>
      <c r="D150" s="400" t="str">
        <f ca="1"/>
        <v/>
      </c>
      <c r="E150" s="401" t="str">
        <f t="shared" ca="1" si="10"/>
        <v/>
      </c>
      <c r="F150" s="411"/>
      <c r="G150" s="407"/>
      <c r="N150" s="376" t="str">
        <f t="shared" ca="1" si="20"/>
        <v/>
      </c>
      <c r="O150" s="377" t="str">
        <f t="shared" ca="1" si="11"/>
        <v/>
      </c>
      <c r="P150" s="371" t="str">
        <f t="shared" ca="1" si="21"/>
        <v/>
      </c>
      <c r="Q150" s="371" t="str">
        <f t="shared" ca="1" si="12"/>
        <v/>
      </c>
      <c r="R150" s="378" t="str">
        <f t="shared" ca="1" si="22"/>
        <v/>
      </c>
      <c r="S150" s="417" t="str">
        <f t="shared" ca="1" si="13"/>
        <v/>
      </c>
      <c r="U150" s="376" t="str">
        <f t="shared" ca="1" si="14"/>
        <v/>
      </c>
      <c r="V150" s="371" t="str">
        <f t="shared" ca="1" si="15"/>
        <v/>
      </c>
      <c r="W150" s="378" t="str">
        <f t="shared" ca="1" si="16"/>
        <v/>
      </c>
      <c r="X150" s="376" t="str">
        <f t="shared" ca="1" si="17"/>
        <v/>
      </c>
      <c r="Y150" s="1103" t="str">
        <f t="shared" ca="1" si="18"/>
        <v/>
      </c>
      <c r="Z150" s="1097"/>
      <c r="AE150" s="1104" t="str">
        <f t="shared" ca="1" si="23"/>
        <v/>
      </c>
      <c r="AF150" s="371" t="str">
        <f t="shared" ca="1" si="4"/>
        <v/>
      </c>
      <c r="AG150" s="371" t="str">
        <f t="shared" ca="1" si="26"/>
        <v/>
      </c>
      <c r="AH150" s="371" t="str">
        <f t="shared" ca="1" si="24"/>
        <v/>
      </c>
      <c r="AI150" s="1105" t="str">
        <f t="shared" ca="1" si="8"/>
        <v/>
      </c>
      <c r="AJ150" s="417" t="str">
        <f t="shared" ca="1" si="19"/>
        <v/>
      </c>
      <c r="AK150" s="1106" t="str">
        <f t="shared" ca="1" si="27"/>
        <v/>
      </c>
      <c r="AL150" s="1107" t="str">
        <f t="shared" ca="1" si="25"/>
        <v/>
      </c>
      <c r="BC150" s="40"/>
      <c r="BD150" s="40"/>
      <c r="BE150" s="40"/>
      <c r="BF150" s="40"/>
      <c r="BG150" s="40"/>
    </row>
    <row r="151" spans="1:59" ht="18" customHeight="1">
      <c r="A151" s="1095" t="str">
        <f ca="1"/>
        <v/>
      </c>
      <c r="B151" s="399" t="str">
        <f ca="1"/>
        <v/>
      </c>
      <c r="C151" s="399" t="str">
        <f ca="1"/>
        <v/>
      </c>
      <c r="D151" s="400" t="str">
        <f ca="1"/>
        <v/>
      </c>
      <c r="E151" s="401" t="str">
        <f t="shared" ca="1" si="10"/>
        <v/>
      </c>
      <c r="F151" s="411"/>
      <c r="G151" s="407"/>
      <c r="N151" s="376" t="str">
        <f t="shared" ca="1" si="20"/>
        <v/>
      </c>
      <c r="O151" s="377" t="str">
        <f t="shared" ca="1" si="11"/>
        <v/>
      </c>
      <c r="P151" s="371" t="str">
        <f t="shared" ca="1" si="21"/>
        <v/>
      </c>
      <c r="Q151" s="371" t="str">
        <f t="shared" ca="1" si="12"/>
        <v/>
      </c>
      <c r="R151" s="378" t="str">
        <f t="shared" ca="1" si="22"/>
        <v/>
      </c>
      <c r="S151" s="417" t="str">
        <f t="shared" ca="1" si="13"/>
        <v/>
      </c>
      <c r="U151" s="376" t="str">
        <f t="shared" ca="1" si="14"/>
        <v/>
      </c>
      <c r="V151" s="371" t="str">
        <f t="shared" ca="1" si="15"/>
        <v/>
      </c>
      <c r="W151" s="378" t="str">
        <f t="shared" ca="1" si="16"/>
        <v/>
      </c>
      <c r="X151" s="376" t="str">
        <f t="shared" ca="1" si="17"/>
        <v/>
      </c>
      <c r="Y151" s="1103" t="str">
        <f t="shared" ca="1" si="18"/>
        <v/>
      </c>
      <c r="Z151" s="1097"/>
      <c r="AE151" s="1104" t="str">
        <f t="shared" ca="1" si="23"/>
        <v/>
      </c>
      <c r="AF151" s="371" t="str">
        <f t="shared" ca="1" si="4"/>
        <v/>
      </c>
      <c r="AG151" s="371" t="str">
        <f t="shared" ca="1" si="26"/>
        <v/>
      </c>
      <c r="AH151" s="371" t="str">
        <f t="shared" ca="1" si="24"/>
        <v/>
      </c>
      <c r="AI151" s="1105" t="str">
        <f t="shared" ca="1" si="8"/>
        <v/>
      </c>
      <c r="AJ151" s="417" t="str">
        <f t="shared" ca="1" si="19"/>
        <v/>
      </c>
      <c r="AK151" s="1106" t="str">
        <f t="shared" ca="1" si="27"/>
        <v/>
      </c>
      <c r="AL151" s="1107" t="str">
        <f t="shared" ca="1" si="25"/>
        <v/>
      </c>
      <c r="BC151" s="40"/>
      <c r="BD151" s="40"/>
      <c r="BE151" s="40"/>
      <c r="BF151" s="40"/>
      <c r="BG151" s="40"/>
    </row>
    <row r="152" spans="1:59" ht="18" customHeight="1">
      <c r="A152" s="1095" t="str">
        <f ca="1"/>
        <v/>
      </c>
      <c r="B152" s="399" t="str">
        <f ca="1"/>
        <v/>
      </c>
      <c r="C152" s="399" t="str">
        <f ca="1"/>
        <v/>
      </c>
      <c r="D152" s="400" t="str">
        <f ca="1"/>
        <v/>
      </c>
      <c r="E152" s="401" t="str">
        <f t="shared" ca="1" si="10"/>
        <v/>
      </c>
      <c r="F152" s="411"/>
      <c r="G152" s="407"/>
      <c r="N152" s="376" t="str">
        <f t="shared" ca="1" si="20"/>
        <v/>
      </c>
      <c r="O152" s="377" t="str">
        <f t="shared" ca="1" si="11"/>
        <v/>
      </c>
      <c r="P152" s="371" t="str">
        <f t="shared" ca="1" si="21"/>
        <v/>
      </c>
      <c r="Q152" s="371" t="str">
        <f t="shared" ca="1" si="12"/>
        <v/>
      </c>
      <c r="R152" s="378" t="str">
        <f t="shared" ca="1" si="22"/>
        <v/>
      </c>
      <c r="S152" s="417" t="str">
        <f t="shared" ca="1" si="13"/>
        <v/>
      </c>
      <c r="U152" s="376" t="str">
        <f t="shared" ca="1" si="14"/>
        <v/>
      </c>
      <c r="V152" s="371" t="str">
        <f t="shared" ca="1" si="15"/>
        <v/>
      </c>
      <c r="W152" s="378" t="str">
        <f t="shared" ca="1" si="16"/>
        <v/>
      </c>
      <c r="X152" s="376" t="str">
        <f t="shared" ca="1" si="17"/>
        <v/>
      </c>
      <c r="Y152" s="1103" t="str">
        <f t="shared" ca="1" si="18"/>
        <v/>
      </c>
      <c r="Z152" s="1097"/>
      <c r="AE152" s="1104" t="str">
        <f t="shared" ca="1" si="23"/>
        <v/>
      </c>
      <c r="AF152" s="371" t="str">
        <f t="shared" ca="1" si="4"/>
        <v/>
      </c>
      <c r="AG152" s="371" t="str">
        <f t="shared" ca="1" si="26"/>
        <v/>
      </c>
      <c r="AH152" s="371" t="str">
        <f t="shared" ca="1" si="24"/>
        <v/>
      </c>
      <c r="AI152" s="1105" t="str">
        <f t="shared" ca="1" si="8"/>
        <v/>
      </c>
      <c r="AJ152" s="417" t="str">
        <f t="shared" ca="1" si="19"/>
        <v/>
      </c>
      <c r="AK152" s="1106" t="str">
        <f t="shared" ca="1" si="27"/>
        <v/>
      </c>
      <c r="AL152" s="1107" t="str">
        <f t="shared" ca="1" si="25"/>
        <v/>
      </c>
      <c r="BC152" s="40"/>
      <c r="BD152" s="40"/>
      <c r="BE152" s="40"/>
      <c r="BF152" s="40"/>
      <c r="BG152" s="40"/>
    </row>
    <row r="153" spans="1:59" ht="18" customHeight="1">
      <c r="A153" s="1095" t="str">
        <f ca="1"/>
        <v/>
      </c>
      <c r="B153" s="399" t="str">
        <f ca="1"/>
        <v/>
      </c>
      <c r="C153" s="399" t="str">
        <f ca="1"/>
        <v/>
      </c>
      <c r="D153" s="400" t="str">
        <f ca="1"/>
        <v/>
      </c>
      <c r="E153" s="401" t="str">
        <f t="shared" ca="1" si="10"/>
        <v/>
      </c>
      <c r="F153" s="411"/>
      <c r="G153" s="407"/>
      <c r="N153" s="376" t="str">
        <f t="shared" ca="1" si="20"/>
        <v/>
      </c>
      <c r="O153" s="377" t="str">
        <f t="shared" ca="1" si="11"/>
        <v/>
      </c>
      <c r="P153" s="371" t="str">
        <f t="shared" ca="1" si="21"/>
        <v/>
      </c>
      <c r="Q153" s="371" t="str">
        <f t="shared" ca="1" si="12"/>
        <v/>
      </c>
      <c r="R153" s="378" t="str">
        <f t="shared" ca="1" si="22"/>
        <v/>
      </c>
      <c r="S153" s="417" t="str">
        <f t="shared" ca="1" si="13"/>
        <v/>
      </c>
      <c r="U153" s="376" t="str">
        <f t="shared" ca="1" si="14"/>
        <v/>
      </c>
      <c r="V153" s="371" t="str">
        <f t="shared" ca="1" si="15"/>
        <v/>
      </c>
      <c r="W153" s="378" t="str">
        <f t="shared" ca="1" si="16"/>
        <v/>
      </c>
      <c r="X153" s="376" t="str">
        <f t="shared" ca="1" si="17"/>
        <v/>
      </c>
      <c r="Y153" s="1103" t="str">
        <f t="shared" ca="1" si="18"/>
        <v/>
      </c>
      <c r="Z153" s="1097"/>
      <c r="AE153" s="1104" t="str">
        <f t="shared" ca="1" si="23"/>
        <v/>
      </c>
      <c r="AF153" s="371" t="str">
        <f t="shared" ca="1" si="4"/>
        <v/>
      </c>
      <c r="AG153" s="371" t="str">
        <f t="shared" ca="1" si="26"/>
        <v/>
      </c>
      <c r="AH153" s="371" t="str">
        <f t="shared" ca="1" si="24"/>
        <v/>
      </c>
      <c r="AI153" s="1105" t="str">
        <f t="shared" ca="1" si="8"/>
        <v/>
      </c>
      <c r="AJ153" s="417" t="str">
        <f t="shared" ca="1" si="19"/>
        <v/>
      </c>
      <c r="AK153" s="1106" t="str">
        <f t="shared" ca="1" si="27"/>
        <v/>
      </c>
      <c r="AL153" s="1107" t="str">
        <f t="shared" ca="1" si="25"/>
        <v/>
      </c>
      <c r="BC153" s="40"/>
      <c r="BD153" s="40"/>
      <c r="BE153" s="40"/>
      <c r="BF153" s="40"/>
      <c r="BG153" s="40"/>
    </row>
    <row r="154" spans="1:59" ht="18" customHeight="1">
      <c r="A154" s="1095" t="str">
        <f ca="1"/>
        <v/>
      </c>
      <c r="B154" s="399" t="str">
        <f ca="1"/>
        <v/>
      </c>
      <c r="C154" s="399" t="str">
        <f ca="1"/>
        <v/>
      </c>
      <c r="D154" s="400" t="str">
        <f ca="1"/>
        <v/>
      </c>
      <c r="E154" s="401" t="str">
        <f t="shared" ca="1" si="10"/>
        <v/>
      </c>
      <c r="F154" s="411"/>
      <c r="G154" s="407"/>
      <c r="N154" s="376" t="str">
        <f t="shared" ca="1" si="20"/>
        <v/>
      </c>
      <c r="O154" s="377" t="str">
        <f t="shared" ca="1" si="11"/>
        <v/>
      </c>
      <c r="P154" s="371" t="str">
        <f t="shared" ca="1" si="21"/>
        <v/>
      </c>
      <c r="Q154" s="371" t="str">
        <f t="shared" ca="1" si="12"/>
        <v/>
      </c>
      <c r="R154" s="378" t="str">
        <f t="shared" ca="1" si="22"/>
        <v/>
      </c>
      <c r="S154" s="417" t="str">
        <f t="shared" ca="1" si="13"/>
        <v/>
      </c>
      <c r="U154" s="376" t="str">
        <f t="shared" ca="1" si="14"/>
        <v/>
      </c>
      <c r="V154" s="371" t="str">
        <f t="shared" ca="1" si="15"/>
        <v/>
      </c>
      <c r="W154" s="378" t="str">
        <f t="shared" ca="1" si="16"/>
        <v/>
      </c>
      <c r="X154" s="376" t="str">
        <f t="shared" ca="1" si="17"/>
        <v/>
      </c>
      <c r="Y154" s="1103" t="str">
        <f t="shared" ca="1" si="18"/>
        <v/>
      </c>
      <c r="Z154" s="1097"/>
      <c r="AE154" s="1104" t="str">
        <f t="shared" ca="1" si="23"/>
        <v/>
      </c>
      <c r="AF154" s="371" t="str">
        <f t="shared" ca="1" si="4"/>
        <v/>
      </c>
      <c r="AG154" s="371" t="str">
        <f t="shared" ca="1" si="26"/>
        <v/>
      </c>
      <c r="AH154" s="371" t="str">
        <f t="shared" ca="1" si="24"/>
        <v/>
      </c>
      <c r="AI154" s="1105" t="str">
        <f t="shared" ca="1" si="8"/>
        <v/>
      </c>
      <c r="AJ154" s="417" t="str">
        <f t="shared" ca="1" si="19"/>
        <v/>
      </c>
      <c r="AK154" s="1106" t="str">
        <f t="shared" ca="1" si="27"/>
        <v/>
      </c>
      <c r="AL154" s="1107" t="str">
        <f t="shared" ca="1" si="25"/>
        <v/>
      </c>
      <c r="BC154" s="40"/>
      <c r="BD154" s="40"/>
      <c r="BE154" s="40"/>
      <c r="BF154" s="40"/>
      <c r="BG154" s="40"/>
    </row>
    <row r="155" spans="1:59" ht="18" customHeight="1">
      <c r="A155" s="1095" t="str">
        <f ca="1"/>
        <v/>
      </c>
      <c r="B155" s="399" t="str">
        <f ca="1"/>
        <v/>
      </c>
      <c r="C155" s="399" t="str">
        <f ca="1"/>
        <v/>
      </c>
      <c r="D155" s="400" t="str">
        <f ca="1"/>
        <v/>
      </c>
      <c r="E155" s="401" t="str">
        <f t="shared" ca="1" si="10"/>
        <v/>
      </c>
      <c r="F155" s="411"/>
      <c r="G155" s="407"/>
      <c r="N155" s="376" t="str">
        <f t="shared" ca="1" si="20"/>
        <v/>
      </c>
      <c r="O155" s="377" t="str">
        <f t="shared" ca="1" si="11"/>
        <v/>
      </c>
      <c r="P155" s="371" t="str">
        <f t="shared" ca="1" si="21"/>
        <v/>
      </c>
      <c r="Q155" s="371" t="str">
        <f t="shared" ca="1" si="12"/>
        <v/>
      </c>
      <c r="R155" s="378" t="str">
        <f t="shared" ca="1" si="22"/>
        <v/>
      </c>
      <c r="S155" s="417" t="str">
        <f t="shared" ca="1" si="13"/>
        <v/>
      </c>
      <c r="U155" s="376" t="str">
        <f t="shared" ca="1" si="14"/>
        <v/>
      </c>
      <c r="V155" s="371" t="str">
        <f t="shared" ca="1" si="15"/>
        <v/>
      </c>
      <c r="W155" s="378" t="str">
        <f t="shared" ca="1" si="16"/>
        <v/>
      </c>
      <c r="X155" s="376" t="str">
        <f t="shared" ca="1" si="17"/>
        <v/>
      </c>
      <c r="Y155" s="1103" t="str">
        <f t="shared" ca="1" si="18"/>
        <v/>
      </c>
      <c r="Z155" s="1097"/>
      <c r="AA155" s="1108"/>
      <c r="AB155" s="1108"/>
      <c r="AC155" s="1108"/>
      <c r="AE155" s="1104" t="str">
        <f t="shared" ca="1" si="23"/>
        <v/>
      </c>
      <c r="AF155" s="371" t="str">
        <f t="shared" ca="1" si="4"/>
        <v/>
      </c>
      <c r="AG155" s="371" t="str">
        <f t="shared" ca="1" si="26"/>
        <v/>
      </c>
      <c r="AH155" s="371" t="str">
        <f t="shared" ca="1" si="24"/>
        <v/>
      </c>
      <c r="AI155" s="1105" t="str">
        <f ca="1">IF(AF155="","",AL155*$AK$221/AK155)</f>
        <v/>
      </c>
      <c r="AJ155" s="417" t="str">
        <f t="shared" ca="1" si="19"/>
        <v/>
      </c>
      <c r="AK155" s="1106" t="str">
        <f t="shared" ca="1" si="27"/>
        <v/>
      </c>
      <c r="AL155" s="1107" t="str">
        <f t="shared" ca="1" si="25"/>
        <v/>
      </c>
      <c r="BC155" s="40"/>
      <c r="BD155" s="40"/>
      <c r="BE155" s="40"/>
      <c r="BF155" s="40"/>
      <c r="BG155" s="40"/>
    </row>
    <row r="156" spans="1:59" ht="18" customHeight="1">
      <c r="A156" s="1095" t="str">
        <f ca="1"/>
        <v/>
      </c>
      <c r="B156" s="399" t="str">
        <f ca="1"/>
        <v/>
      </c>
      <c r="C156" s="399" t="str">
        <f ca="1"/>
        <v/>
      </c>
      <c r="D156" s="400" t="str">
        <f ca="1"/>
        <v/>
      </c>
      <c r="E156" s="401" t="str">
        <f t="shared" ca="1" si="10"/>
        <v/>
      </c>
      <c r="F156" s="411"/>
      <c r="G156" s="407"/>
      <c r="N156" s="376" t="str">
        <f t="shared" ca="1" si="20"/>
        <v/>
      </c>
      <c r="O156" s="377" t="str">
        <f t="shared" ca="1" si="11"/>
        <v/>
      </c>
      <c r="P156" s="371" t="str">
        <f t="shared" ca="1" si="21"/>
        <v/>
      </c>
      <c r="Q156" s="371" t="str">
        <f t="shared" ca="1" si="12"/>
        <v/>
      </c>
      <c r="R156" s="378" t="str">
        <f t="shared" ca="1" si="22"/>
        <v/>
      </c>
      <c r="S156" s="417" t="str">
        <f t="shared" ca="1" si="13"/>
        <v/>
      </c>
      <c r="U156" s="376" t="str">
        <f t="shared" ca="1" si="14"/>
        <v/>
      </c>
      <c r="V156" s="371" t="str">
        <f t="shared" ca="1" si="15"/>
        <v/>
      </c>
      <c r="W156" s="378" t="str">
        <f t="shared" ca="1" si="16"/>
        <v/>
      </c>
      <c r="X156" s="376" t="str">
        <f t="shared" ca="1" si="17"/>
        <v/>
      </c>
      <c r="Y156" s="1103" t="str">
        <f t="shared" ca="1" si="18"/>
        <v/>
      </c>
      <c r="Z156" s="1097"/>
      <c r="AA156" s="1108"/>
      <c r="AB156" s="1108"/>
      <c r="AC156" s="1108"/>
      <c r="AE156" s="1104" t="str">
        <f t="shared" ca="1" si="23"/>
        <v/>
      </c>
      <c r="AF156" s="371" t="str">
        <f t="shared" ca="1" si="4"/>
        <v/>
      </c>
      <c r="AG156" s="371" t="str">
        <f t="shared" ca="1" si="26"/>
        <v/>
      </c>
      <c r="AH156" s="371" t="str">
        <f t="shared" ca="1" si="24"/>
        <v/>
      </c>
      <c r="AI156" s="1105" t="str">
        <f t="shared" ca="1" si="8"/>
        <v/>
      </c>
      <c r="AJ156" s="417" t="str">
        <f t="shared" ca="1" si="19"/>
        <v/>
      </c>
      <c r="AK156" s="1106" t="str">
        <f t="shared" ca="1" si="27"/>
        <v/>
      </c>
      <c r="AL156" s="1107" t="str">
        <f t="shared" ca="1" si="25"/>
        <v/>
      </c>
      <c r="BC156" s="40"/>
      <c r="BD156" s="40"/>
      <c r="BE156" s="40"/>
      <c r="BF156" s="40"/>
      <c r="BG156" s="40"/>
    </row>
    <row r="157" spans="1:59" ht="18" customHeight="1">
      <c r="A157" s="1095" t="str">
        <f ca="1"/>
        <v/>
      </c>
      <c r="B157" s="399" t="str">
        <f ca="1"/>
        <v/>
      </c>
      <c r="C157" s="399" t="str">
        <f ca="1"/>
        <v/>
      </c>
      <c r="D157" s="400" t="str">
        <f ca="1"/>
        <v/>
      </c>
      <c r="E157" s="401" t="str">
        <f t="shared" ca="1" si="10"/>
        <v/>
      </c>
      <c r="F157" s="411"/>
      <c r="G157" s="407"/>
      <c r="N157" s="376" t="str">
        <f t="shared" ca="1" si="20"/>
        <v/>
      </c>
      <c r="O157" s="377" t="str">
        <f t="shared" ca="1" si="11"/>
        <v/>
      </c>
      <c r="P157" s="371" t="str">
        <f t="shared" ca="1" si="21"/>
        <v/>
      </c>
      <c r="Q157" s="371" t="str">
        <f t="shared" ca="1" si="12"/>
        <v/>
      </c>
      <c r="R157" s="378" t="str">
        <f t="shared" ca="1" si="22"/>
        <v/>
      </c>
      <c r="S157" s="417" t="str">
        <f t="shared" ca="1" si="13"/>
        <v/>
      </c>
      <c r="U157" s="376" t="str">
        <f t="shared" ca="1" si="14"/>
        <v/>
      </c>
      <c r="V157" s="371" t="str">
        <f t="shared" ca="1" si="15"/>
        <v/>
      </c>
      <c r="W157" s="378" t="str">
        <f t="shared" ca="1" si="16"/>
        <v/>
      </c>
      <c r="X157" s="376" t="str">
        <f t="shared" ca="1" si="17"/>
        <v/>
      </c>
      <c r="Y157" s="1103" t="str">
        <f t="shared" ca="1" si="18"/>
        <v/>
      </c>
      <c r="Z157" s="1097"/>
      <c r="AA157" s="1108"/>
      <c r="AB157" s="1108"/>
      <c r="AC157" s="1108"/>
      <c r="AE157" s="1104" t="str">
        <f t="shared" ca="1" si="23"/>
        <v/>
      </c>
      <c r="AF157" s="371" t="str">
        <f t="shared" ca="1" si="4"/>
        <v/>
      </c>
      <c r="AG157" s="371" t="str">
        <f t="shared" ca="1" si="26"/>
        <v/>
      </c>
      <c r="AH157" s="371" t="str">
        <f t="shared" ca="1" si="24"/>
        <v/>
      </c>
      <c r="AI157" s="1105" t="str">
        <f t="shared" ca="1" si="8"/>
        <v/>
      </c>
      <c r="AJ157" s="417" t="str">
        <f t="shared" ca="1" si="19"/>
        <v/>
      </c>
      <c r="AK157" s="1106" t="str">
        <f t="shared" ca="1" si="27"/>
        <v/>
      </c>
      <c r="AL157" s="1107" t="str">
        <f t="shared" ca="1" si="25"/>
        <v/>
      </c>
      <c r="BC157" s="40"/>
      <c r="BD157" s="40"/>
      <c r="BE157" s="40"/>
      <c r="BF157" s="40"/>
      <c r="BG157" s="40"/>
    </row>
    <row r="158" spans="1:59" ht="18" customHeight="1">
      <c r="A158" s="1095" t="str">
        <f ca="1"/>
        <v/>
      </c>
      <c r="B158" s="399" t="str">
        <f ca="1"/>
        <v/>
      </c>
      <c r="C158" s="399" t="str">
        <f ca="1"/>
        <v/>
      </c>
      <c r="D158" s="400" t="str">
        <f ca="1"/>
        <v/>
      </c>
      <c r="E158" s="401" t="str">
        <f t="shared" ca="1" si="10"/>
        <v/>
      </c>
      <c r="F158" s="411"/>
      <c r="G158" s="407"/>
      <c r="N158" s="376" t="str">
        <f t="shared" ca="1" si="20"/>
        <v/>
      </c>
      <c r="O158" s="377" t="str">
        <f t="shared" ca="1" si="11"/>
        <v/>
      </c>
      <c r="P158" s="371" t="str">
        <f t="shared" ca="1" si="21"/>
        <v/>
      </c>
      <c r="Q158" s="371" t="str">
        <f t="shared" ca="1" si="12"/>
        <v/>
      </c>
      <c r="R158" s="378" t="str">
        <f t="shared" ca="1" si="22"/>
        <v/>
      </c>
      <c r="S158" s="417" t="str">
        <f t="shared" ca="1" si="13"/>
        <v/>
      </c>
      <c r="U158" s="376" t="str">
        <f t="shared" ca="1" si="14"/>
        <v/>
      </c>
      <c r="V158" s="371" t="str">
        <f t="shared" ca="1" si="15"/>
        <v/>
      </c>
      <c r="W158" s="378" t="str">
        <f t="shared" ca="1" si="16"/>
        <v/>
      </c>
      <c r="X158" s="376" t="str">
        <f t="shared" ca="1" si="17"/>
        <v/>
      </c>
      <c r="Y158" s="1103" t="str">
        <f t="shared" ca="1" si="18"/>
        <v/>
      </c>
      <c r="Z158" s="1097"/>
      <c r="AA158" s="1108"/>
      <c r="AB158" s="1108"/>
      <c r="AC158" s="1108"/>
      <c r="AE158" s="1104" t="str">
        <f t="shared" ca="1" si="23"/>
        <v/>
      </c>
      <c r="AF158" s="371" t="str">
        <f t="shared" ca="1" si="4"/>
        <v/>
      </c>
      <c r="AG158" s="371" t="str">
        <f t="shared" ca="1" si="26"/>
        <v/>
      </c>
      <c r="AH158" s="371" t="str">
        <f t="shared" ca="1" si="24"/>
        <v/>
      </c>
      <c r="AI158" s="1105" t="str">
        <f t="shared" ca="1" si="8"/>
        <v/>
      </c>
      <c r="AJ158" s="417" t="str">
        <f t="shared" ca="1" si="19"/>
        <v/>
      </c>
      <c r="AK158" s="1106" t="str">
        <f t="shared" ca="1" si="27"/>
        <v/>
      </c>
      <c r="AL158" s="1107" t="str">
        <f t="shared" ca="1" si="25"/>
        <v/>
      </c>
      <c r="BC158" s="40"/>
      <c r="BD158" s="40"/>
      <c r="BE158" s="40"/>
      <c r="BF158" s="40"/>
      <c r="BG158" s="40"/>
    </row>
    <row r="159" spans="1:59" ht="18" customHeight="1">
      <c r="A159" s="1095" t="str">
        <f ca="1"/>
        <v/>
      </c>
      <c r="B159" s="399" t="str">
        <f ca="1"/>
        <v/>
      </c>
      <c r="C159" s="399" t="str">
        <f ca="1"/>
        <v/>
      </c>
      <c r="D159" s="400" t="str">
        <f ca="1"/>
        <v/>
      </c>
      <c r="E159" s="401" t="str">
        <f t="shared" ca="1" si="10"/>
        <v/>
      </c>
      <c r="F159" s="411"/>
      <c r="G159" s="407"/>
      <c r="N159" s="376" t="str">
        <f t="shared" ca="1" si="20"/>
        <v/>
      </c>
      <c r="O159" s="377" t="str">
        <f t="shared" ca="1" si="11"/>
        <v/>
      </c>
      <c r="P159" s="371" t="str">
        <f t="shared" ca="1" si="21"/>
        <v/>
      </c>
      <c r="Q159" s="371" t="str">
        <f t="shared" ca="1" si="12"/>
        <v/>
      </c>
      <c r="R159" s="378" t="str">
        <f t="shared" ca="1" si="22"/>
        <v/>
      </c>
      <c r="S159" s="417" t="str">
        <f t="shared" ca="1" si="13"/>
        <v/>
      </c>
      <c r="U159" s="376" t="str">
        <f t="shared" ca="1" si="14"/>
        <v/>
      </c>
      <c r="V159" s="371" t="str">
        <f t="shared" ca="1" si="15"/>
        <v/>
      </c>
      <c r="W159" s="378" t="str">
        <f t="shared" ca="1" si="16"/>
        <v/>
      </c>
      <c r="X159" s="376" t="str">
        <f t="shared" ca="1" si="17"/>
        <v/>
      </c>
      <c r="Y159" s="1103" t="str">
        <f t="shared" ca="1" si="18"/>
        <v/>
      </c>
      <c r="Z159" s="1097"/>
      <c r="AA159" s="1108"/>
      <c r="AB159" s="1108"/>
      <c r="AC159" s="1108"/>
      <c r="AE159" s="1104" t="str">
        <f t="shared" ca="1" si="23"/>
        <v/>
      </c>
      <c r="AF159" s="371" t="str">
        <f t="shared" ca="1" si="4"/>
        <v/>
      </c>
      <c r="AG159" s="371" t="str">
        <f t="shared" ca="1" si="26"/>
        <v/>
      </c>
      <c r="AH159" s="371" t="str">
        <f t="shared" ca="1" si="24"/>
        <v/>
      </c>
      <c r="AI159" s="1105" t="str">
        <f t="shared" ca="1" si="8"/>
        <v/>
      </c>
      <c r="AJ159" s="417" t="str">
        <f t="shared" ca="1" si="19"/>
        <v/>
      </c>
      <c r="AK159" s="1106" t="str">
        <f t="shared" ca="1" si="27"/>
        <v/>
      </c>
      <c r="AL159" s="1107" t="str">
        <f t="shared" ca="1" si="25"/>
        <v/>
      </c>
      <c r="BC159" s="40"/>
      <c r="BD159" s="40"/>
      <c r="BE159" s="40"/>
      <c r="BF159" s="40"/>
      <c r="BG159" s="40"/>
    </row>
    <row r="160" spans="1:59" ht="18" customHeight="1">
      <c r="A160" s="1095" t="str">
        <f ca="1"/>
        <v/>
      </c>
      <c r="B160" s="399" t="str">
        <f ca="1"/>
        <v/>
      </c>
      <c r="C160" s="399" t="str">
        <f ca="1"/>
        <v/>
      </c>
      <c r="D160" s="400" t="str">
        <f ca="1"/>
        <v/>
      </c>
      <c r="E160" s="401" t="str">
        <f t="shared" ca="1" si="10"/>
        <v/>
      </c>
      <c r="F160" s="411"/>
      <c r="G160" s="407"/>
      <c r="N160" s="376" t="str">
        <f t="shared" ca="1" si="20"/>
        <v/>
      </c>
      <c r="O160" s="377" t="str">
        <f t="shared" ca="1" si="11"/>
        <v/>
      </c>
      <c r="P160" s="371" t="str">
        <f t="shared" ca="1" si="21"/>
        <v/>
      </c>
      <c r="Q160" s="371" t="str">
        <f t="shared" ca="1" si="12"/>
        <v/>
      </c>
      <c r="R160" s="378" t="str">
        <f t="shared" ca="1" si="22"/>
        <v/>
      </c>
      <c r="S160" s="417" t="str">
        <f t="shared" ca="1" si="13"/>
        <v/>
      </c>
      <c r="U160" s="376" t="str">
        <f t="shared" ca="1" si="14"/>
        <v/>
      </c>
      <c r="V160" s="371" t="str">
        <f t="shared" ca="1" si="15"/>
        <v/>
      </c>
      <c r="W160" s="378" t="str">
        <f t="shared" ca="1" si="16"/>
        <v/>
      </c>
      <c r="X160" s="376" t="str">
        <f t="shared" ca="1" si="17"/>
        <v/>
      </c>
      <c r="Y160" s="1103" t="str">
        <f t="shared" ca="1" si="18"/>
        <v/>
      </c>
      <c r="Z160" s="1097"/>
      <c r="AA160" s="1108"/>
      <c r="AB160" s="1108"/>
      <c r="AC160" s="1108"/>
      <c r="AE160" s="1104" t="str">
        <f t="shared" ca="1" si="23"/>
        <v/>
      </c>
      <c r="AF160" s="371" t="str">
        <f t="shared" ca="1" si="4"/>
        <v/>
      </c>
      <c r="AG160" s="371" t="str">
        <f t="shared" ca="1" si="26"/>
        <v/>
      </c>
      <c r="AH160" s="371" t="str">
        <f t="shared" ca="1" si="24"/>
        <v/>
      </c>
      <c r="AI160" s="1105" t="str">
        <f t="shared" ca="1" si="8"/>
        <v/>
      </c>
      <c r="AJ160" s="417" t="str">
        <f t="shared" ca="1" si="19"/>
        <v/>
      </c>
      <c r="AK160" s="1106" t="str">
        <f t="shared" ca="1" si="27"/>
        <v/>
      </c>
      <c r="AL160" s="1107" t="str">
        <f t="shared" ca="1" si="25"/>
        <v/>
      </c>
      <c r="BC160" s="40"/>
      <c r="BD160" s="40"/>
      <c r="BE160" s="40"/>
      <c r="BF160" s="40"/>
      <c r="BG160" s="40"/>
    </row>
    <row r="161" spans="1:59" ht="18" customHeight="1">
      <c r="A161" s="1095" t="str">
        <f ca="1"/>
        <v/>
      </c>
      <c r="B161" s="399" t="str">
        <f ca="1"/>
        <v/>
      </c>
      <c r="C161" s="399" t="str">
        <f ca="1"/>
        <v/>
      </c>
      <c r="D161" s="400" t="str">
        <f ca="1"/>
        <v/>
      </c>
      <c r="E161" s="401" t="str">
        <f t="shared" ca="1" si="10"/>
        <v/>
      </c>
      <c r="F161" s="411"/>
      <c r="G161" s="407"/>
      <c r="N161" s="376" t="str">
        <f t="shared" ca="1" si="20"/>
        <v/>
      </c>
      <c r="O161" s="377" t="str">
        <f t="shared" ca="1" si="11"/>
        <v/>
      </c>
      <c r="P161" s="371" t="str">
        <f t="shared" ca="1" si="21"/>
        <v/>
      </c>
      <c r="Q161" s="371" t="str">
        <f t="shared" ca="1" si="12"/>
        <v/>
      </c>
      <c r="R161" s="378" t="str">
        <f t="shared" ca="1" si="22"/>
        <v/>
      </c>
      <c r="S161" s="417" t="str">
        <f t="shared" ca="1" si="13"/>
        <v/>
      </c>
      <c r="U161" s="376" t="str">
        <f t="shared" ca="1" si="14"/>
        <v/>
      </c>
      <c r="V161" s="371" t="str">
        <f t="shared" ca="1" si="15"/>
        <v/>
      </c>
      <c r="W161" s="378" t="str">
        <f t="shared" ca="1" si="16"/>
        <v/>
      </c>
      <c r="X161" s="376" t="str">
        <f t="shared" ca="1" si="17"/>
        <v/>
      </c>
      <c r="Y161" s="1103" t="str">
        <f t="shared" ca="1" si="18"/>
        <v/>
      </c>
      <c r="Z161" s="1097"/>
      <c r="AA161" s="1108"/>
      <c r="AB161" s="1108"/>
      <c r="AC161" s="1108"/>
      <c r="AE161" s="1104" t="str">
        <f t="shared" ca="1" si="23"/>
        <v/>
      </c>
      <c r="AF161" s="371" t="str">
        <f t="shared" ca="1" si="4"/>
        <v/>
      </c>
      <c r="AG161" s="371" t="str">
        <f t="shared" ca="1" si="26"/>
        <v/>
      </c>
      <c r="AH161" s="371" t="str">
        <f t="shared" ca="1" si="24"/>
        <v/>
      </c>
      <c r="AI161" s="1105" t="str">
        <f t="shared" ca="1" si="8"/>
        <v/>
      </c>
      <c r="AJ161" s="417" t="str">
        <f t="shared" ca="1" si="19"/>
        <v/>
      </c>
      <c r="AK161" s="1106" t="str">
        <f t="shared" ca="1" si="27"/>
        <v/>
      </c>
      <c r="AL161" s="1107" t="str">
        <f t="shared" ca="1" si="25"/>
        <v/>
      </c>
      <c r="BC161" s="40"/>
      <c r="BD161" s="40"/>
      <c r="BE161" s="40"/>
      <c r="BF161" s="40"/>
      <c r="BG161" s="40"/>
    </row>
    <row r="162" spans="1:59" ht="18" customHeight="1">
      <c r="A162" s="1095" t="str">
        <f ca="1"/>
        <v/>
      </c>
      <c r="B162" s="399" t="str">
        <f ca="1"/>
        <v/>
      </c>
      <c r="C162" s="399" t="str">
        <f ca="1"/>
        <v/>
      </c>
      <c r="D162" s="400" t="str">
        <f ca="1"/>
        <v/>
      </c>
      <c r="E162" s="401" t="str">
        <f t="shared" ca="1" si="10"/>
        <v/>
      </c>
      <c r="F162" s="411"/>
      <c r="G162" s="407"/>
      <c r="N162" s="376" t="str">
        <f t="shared" ca="1" si="20"/>
        <v/>
      </c>
      <c r="O162" s="377" t="str">
        <f t="shared" ca="1" si="11"/>
        <v/>
      </c>
      <c r="P162" s="371" t="str">
        <f t="shared" ca="1" si="21"/>
        <v/>
      </c>
      <c r="Q162" s="371" t="str">
        <f t="shared" ca="1" si="12"/>
        <v/>
      </c>
      <c r="R162" s="378" t="str">
        <f t="shared" ca="1" si="22"/>
        <v/>
      </c>
      <c r="S162" s="417" t="str">
        <f t="shared" ca="1" si="13"/>
        <v/>
      </c>
      <c r="U162" s="376" t="str">
        <f t="shared" ca="1" si="14"/>
        <v/>
      </c>
      <c r="V162" s="371" t="str">
        <f t="shared" ca="1" si="15"/>
        <v/>
      </c>
      <c r="W162" s="378" t="str">
        <f t="shared" ca="1" si="16"/>
        <v/>
      </c>
      <c r="X162" s="376" t="str">
        <f t="shared" ca="1" si="17"/>
        <v/>
      </c>
      <c r="Y162" s="1103" t="str">
        <f t="shared" ca="1" si="18"/>
        <v/>
      </c>
      <c r="Z162" s="1097"/>
      <c r="AA162" s="1108"/>
      <c r="AB162" s="1108"/>
      <c r="AC162" s="1108"/>
      <c r="AE162" s="1104" t="str">
        <f t="shared" ca="1" si="23"/>
        <v/>
      </c>
      <c r="AF162" s="371" t="str">
        <f t="shared" ca="1" si="4"/>
        <v/>
      </c>
      <c r="AG162" s="371" t="str">
        <f t="shared" ca="1" si="26"/>
        <v/>
      </c>
      <c r="AH162" s="371" t="str">
        <f t="shared" ca="1" si="24"/>
        <v/>
      </c>
      <c r="AI162" s="1105" t="str">
        <f t="shared" ca="1" si="8"/>
        <v/>
      </c>
      <c r="AJ162" s="417" t="str">
        <f t="shared" ca="1" si="19"/>
        <v/>
      </c>
      <c r="AK162" s="1106" t="str">
        <f t="shared" ca="1" si="27"/>
        <v/>
      </c>
      <c r="AL162" s="1107" t="str">
        <f t="shared" ca="1" si="25"/>
        <v/>
      </c>
      <c r="BC162" s="40"/>
      <c r="BD162" s="40"/>
      <c r="BE162" s="40"/>
      <c r="BF162" s="40"/>
      <c r="BG162" s="40"/>
    </row>
    <row r="163" spans="1:59" ht="18" customHeight="1">
      <c r="A163" s="1095" t="str">
        <f ca="1"/>
        <v/>
      </c>
      <c r="B163" s="399" t="str">
        <f ca="1"/>
        <v/>
      </c>
      <c r="C163" s="399" t="str">
        <f ca="1"/>
        <v/>
      </c>
      <c r="D163" s="400" t="str">
        <f ca="1"/>
        <v/>
      </c>
      <c r="E163" s="401" t="str">
        <f t="shared" ca="1" si="10"/>
        <v/>
      </c>
      <c r="F163" s="411"/>
      <c r="G163" s="407"/>
      <c r="N163" s="376" t="str">
        <f t="shared" ca="1" si="20"/>
        <v/>
      </c>
      <c r="O163" s="377" t="str">
        <f t="shared" ca="1" si="11"/>
        <v/>
      </c>
      <c r="P163" s="371" t="str">
        <f t="shared" ca="1" si="21"/>
        <v/>
      </c>
      <c r="Q163" s="371" t="str">
        <f t="shared" ca="1" si="12"/>
        <v/>
      </c>
      <c r="R163" s="378" t="str">
        <f t="shared" ca="1" si="22"/>
        <v/>
      </c>
      <c r="S163" s="417" t="str">
        <f t="shared" ca="1" si="13"/>
        <v/>
      </c>
      <c r="U163" s="376" t="str">
        <f t="shared" ca="1" si="14"/>
        <v/>
      </c>
      <c r="V163" s="371" t="str">
        <f t="shared" ca="1" si="15"/>
        <v/>
      </c>
      <c r="W163" s="378" t="str">
        <f t="shared" ca="1" si="16"/>
        <v/>
      </c>
      <c r="X163" s="376" t="str">
        <f t="shared" ca="1" si="17"/>
        <v/>
      </c>
      <c r="Y163" s="1103" t="str">
        <f t="shared" ca="1" si="18"/>
        <v/>
      </c>
      <c r="Z163" s="1097"/>
      <c r="AA163" s="1108"/>
      <c r="AB163" s="1108"/>
      <c r="AC163" s="1108"/>
      <c r="AE163" s="1104" t="str">
        <f t="shared" ca="1" si="23"/>
        <v/>
      </c>
      <c r="AF163" s="371" t="str">
        <f t="shared" ca="1" si="4"/>
        <v/>
      </c>
      <c r="AG163" s="371" t="str">
        <f t="shared" ca="1" si="26"/>
        <v/>
      </c>
      <c r="AH163" s="371" t="str">
        <f t="shared" ca="1" si="24"/>
        <v/>
      </c>
      <c r="AI163" s="1105" t="str">
        <f t="shared" ca="1" si="8"/>
        <v/>
      </c>
      <c r="AJ163" s="417" t="str">
        <f t="shared" ca="1" si="19"/>
        <v/>
      </c>
      <c r="AK163" s="1106" t="str">
        <f t="shared" ca="1" si="27"/>
        <v/>
      </c>
      <c r="AL163" s="1107" t="str">
        <f t="shared" ca="1" si="25"/>
        <v/>
      </c>
      <c r="BC163" s="40"/>
      <c r="BD163" s="40"/>
      <c r="BE163" s="40"/>
      <c r="BF163" s="40"/>
      <c r="BG163" s="40"/>
    </row>
    <row r="164" spans="1:59" ht="18" customHeight="1">
      <c r="A164" s="1095" t="str">
        <f ca="1"/>
        <v/>
      </c>
      <c r="B164" s="399" t="str">
        <f ca="1"/>
        <v/>
      </c>
      <c r="C164" s="399" t="str">
        <f ca="1"/>
        <v/>
      </c>
      <c r="D164" s="400" t="str">
        <f ca="1"/>
        <v/>
      </c>
      <c r="E164" s="401" t="str">
        <f t="shared" ca="1" si="10"/>
        <v/>
      </c>
      <c r="F164" s="411"/>
      <c r="G164" s="407"/>
      <c r="N164" s="376" t="str">
        <f t="shared" ca="1" si="20"/>
        <v/>
      </c>
      <c r="O164" s="377" t="str">
        <f t="shared" ca="1" si="11"/>
        <v/>
      </c>
      <c r="P164" s="371" t="str">
        <f t="shared" ca="1" si="21"/>
        <v/>
      </c>
      <c r="Q164" s="371" t="str">
        <f t="shared" ca="1" si="12"/>
        <v/>
      </c>
      <c r="R164" s="378" t="str">
        <f t="shared" ca="1" si="22"/>
        <v/>
      </c>
      <c r="S164" s="417" t="str">
        <f t="shared" ca="1" si="13"/>
        <v/>
      </c>
      <c r="U164" s="376" t="str">
        <f t="shared" ca="1" si="14"/>
        <v/>
      </c>
      <c r="V164" s="371" t="str">
        <f t="shared" ca="1" si="15"/>
        <v/>
      </c>
      <c r="W164" s="378" t="str">
        <f t="shared" ca="1" si="16"/>
        <v/>
      </c>
      <c r="X164" s="376" t="str">
        <f t="shared" ca="1" si="17"/>
        <v/>
      </c>
      <c r="Y164" s="1103" t="str">
        <f t="shared" ca="1" si="18"/>
        <v/>
      </c>
      <c r="Z164" s="1097"/>
      <c r="AA164" s="1108"/>
      <c r="AB164" s="1108"/>
      <c r="AC164" s="1108"/>
      <c r="AE164" s="1104" t="str">
        <f t="shared" ca="1" si="23"/>
        <v/>
      </c>
      <c r="AF164" s="371" t="str">
        <f t="shared" ca="1" si="4"/>
        <v/>
      </c>
      <c r="AG164" s="371" t="str">
        <f t="shared" ca="1" si="26"/>
        <v/>
      </c>
      <c r="AH164" s="371" t="str">
        <f t="shared" ca="1" si="24"/>
        <v/>
      </c>
      <c r="AI164" s="1105" t="str">
        <f t="shared" ca="1" si="8"/>
        <v/>
      </c>
      <c r="AJ164" s="417" t="str">
        <f t="shared" ca="1" si="19"/>
        <v/>
      </c>
      <c r="AK164" s="1106" t="str">
        <f t="shared" ca="1" si="27"/>
        <v/>
      </c>
      <c r="AL164" s="1107" t="str">
        <f t="shared" ca="1" si="25"/>
        <v/>
      </c>
      <c r="BC164" s="40"/>
      <c r="BD164" s="40"/>
      <c r="BE164" s="40"/>
      <c r="BF164" s="40"/>
      <c r="BG164" s="40"/>
    </row>
    <row r="165" spans="1:59" ht="18" customHeight="1">
      <c r="A165" s="1095" t="str">
        <f ca="1"/>
        <v/>
      </c>
      <c r="B165" s="399" t="str">
        <f ca="1"/>
        <v/>
      </c>
      <c r="C165" s="399" t="str">
        <f ca="1"/>
        <v/>
      </c>
      <c r="D165" s="400" t="str">
        <f ca="1"/>
        <v/>
      </c>
      <c r="E165" s="401" t="str">
        <f t="shared" ca="1" si="10"/>
        <v/>
      </c>
      <c r="F165" s="411"/>
      <c r="G165" s="407"/>
      <c r="N165" s="376" t="str">
        <f t="shared" ca="1" si="20"/>
        <v/>
      </c>
      <c r="O165" s="377" t="str">
        <f t="shared" ca="1" si="11"/>
        <v/>
      </c>
      <c r="P165" s="371" t="str">
        <f t="shared" ca="1" si="21"/>
        <v/>
      </c>
      <c r="Q165" s="371" t="str">
        <f t="shared" ca="1" si="12"/>
        <v/>
      </c>
      <c r="R165" s="378" t="str">
        <f t="shared" ca="1" si="22"/>
        <v/>
      </c>
      <c r="S165" s="417" t="str">
        <f t="shared" ca="1" si="13"/>
        <v/>
      </c>
      <c r="U165" s="376" t="str">
        <f t="shared" ca="1" si="14"/>
        <v/>
      </c>
      <c r="V165" s="371" t="str">
        <f t="shared" ca="1" si="15"/>
        <v/>
      </c>
      <c r="W165" s="378" t="str">
        <f t="shared" ca="1" si="16"/>
        <v/>
      </c>
      <c r="X165" s="376" t="str">
        <f t="shared" ca="1" si="17"/>
        <v/>
      </c>
      <c r="Y165" s="1103" t="str">
        <f t="shared" ca="1" si="18"/>
        <v/>
      </c>
      <c r="Z165" s="1097"/>
      <c r="AA165" s="1108"/>
      <c r="AB165" s="1108"/>
      <c r="AC165" s="1108"/>
      <c r="AE165" s="1104" t="str">
        <f t="shared" ca="1" si="23"/>
        <v/>
      </c>
      <c r="AF165" s="371" t="str">
        <f t="shared" ca="1" si="4"/>
        <v/>
      </c>
      <c r="AG165" s="371" t="str">
        <f t="shared" ca="1" si="26"/>
        <v/>
      </c>
      <c r="AH165" s="371" t="str">
        <f t="shared" ca="1" si="24"/>
        <v/>
      </c>
      <c r="AI165" s="1105" t="str">
        <f t="shared" ca="1" si="8"/>
        <v/>
      </c>
      <c r="AJ165" s="417" t="str">
        <f t="shared" ca="1" si="19"/>
        <v/>
      </c>
      <c r="AK165" s="1106" t="str">
        <f t="shared" ca="1" si="27"/>
        <v/>
      </c>
      <c r="AL165" s="1107" t="str">
        <f t="shared" ca="1" si="25"/>
        <v/>
      </c>
      <c r="BC165" s="40"/>
      <c r="BD165" s="40"/>
      <c r="BE165" s="40"/>
      <c r="BF165" s="40"/>
      <c r="BG165" s="40"/>
    </row>
    <row r="166" spans="1:59" ht="18" customHeight="1">
      <c r="A166" s="1095" t="str">
        <f ca="1"/>
        <v/>
      </c>
      <c r="B166" s="399" t="str">
        <f ca="1"/>
        <v/>
      </c>
      <c r="C166" s="399" t="str">
        <f ca="1"/>
        <v/>
      </c>
      <c r="D166" s="400" t="str">
        <f ca="1"/>
        <v/>
      </c>
      <c r="E166" s="401" t="str">
        <f t="shared" ca="1" si="10"/>
        <v/>
      </c>
      <c r="F166" s="411"/>
      <c r="G166" s="407"/>
      <c r="N166" s="376" t="str">
        <f t="shared" ca="1" si="20"/>
        <v/>
      </c>
      <c r="O166" s="377" t="str">
        <f t="shared" ca="1" si="11"/>
        <v/>
      </c>
      <c r="P166" s="371" t="str">
        <f t="shared" ca="1" si="21"/>
        <v/>
      </c>
      <c r="Q166" s="371" t="str">
        <f t="shared" ca="1" si="12"/>
        <v/>
      </c>
      <c r="R166" s="378" t="str">
        <f t="shared" ca="1" si="22"/>
        <v/>
      </c>
      <c r="S166" s="417" t="str">
        <f t="shared" ca="1" si="13"/>
        <v/>
      </c>
      <c r="U166" s="376" t="str">
        <f t="shared" ca="1" si="14"/>
        <v/>
      </c>
      <c r="V166" s="371" t="str">
        <f t="shared" ca="1" si="15"/>
        <v/>
      </c>
      <c r="W166" s="378" t="str">
        <f t="shared" ca="1" si="16"/>
        <v/>
      </c>
      <c r="X166" s="376" t="str">
        <f t="shared" ca="1" si="17"/>
        <v/>
      </c>
      <c r="Y166" s="1103" t="str">
        <f t="shared" ca="1" si="18"/>
        <v/>
      </c>
      <c r="Z166" s="1097"/>
      <c r="AA166" s="1108"/>
      <c r="AB166" s="1108"/>
      <c r="AC166" s="1108"/>
      <c r="AE166" s="1104" t="str">
        <f t="shared" ca="1" si="23"/>
        <v/>
      </c>
      <c r="AF166" s="371" t="str">
        <f t="shared" ca="1" si="4"/>
        <v/>
      </c>
      <c r="AG166" s="371" t="str">
        <f t="shared" ca="1" si="26"/>
        <v/>
      </c>
      <c r="AH166" s="371" t="str">
        <f t="shared" ca="1" si="24"/>
        <v/>
      </c>
      <c r="AI166" s="1105" t="str">
        <f t="shared" ca="1" si="8"/>
        <v/>
      </c>
      <c r="AJ166" s="417" t="str">
        <f t="shared" ca="1" si="19"/>
        <v/>
      </c>
      <c r="AK166" s="1106" t="str">
        <f t="shared" ca="1" si="27"/>
        <v/>
      </c>
      <c r="AL166" s="1107" t="str">
        <f t="shared" ca="1" si="25"/>
        <v/>
      </c>
      <c r="BC166" s="40"/>
      <c r="BD166" s="40"/>
      <c r="BE166" s="40"/>
      <c r="BF166" s="40"/>
      <c r="BG166" s="40"/>
    </row>
    <row r="167" spans="1:59" ht="18" customHeight="1">
      <c r="A167" s="1095" t="str">
        <f ca="1"/>
        <v/>
      </c>
      <c r="B167" s="399" t="str">
        <f ca="1"/>
        <v/>
      </c>
      <c r="C167" s="399" t="str">
        <f ca="1"/>
        <v/>
      </c>
      <c r="D167" s="400" t="str">
        <f ca="1"/>
        <v/>
      </c>
      <c r="E167" s="401" t="str">
        <f t="shared" ca="1" si="10"/>
        <v/>
      </c>
      <c r="F167" s="411"/>
      <c r="G167" s="407"/>
      <c r="N167" s="376" t="str">
        <f t="shared" ca="1" si="20"/>
        <v/>
      </c>
      <c r="O167" s="377" t="str">
        <f t="shared" ca="1" si="11"/>
        <v/>
      </c>
      <c r="P167" s="371" t="str">
        <f t="shared" ca="1" si="21"/>
        <v/>
      </c>
      <c r="Q167" s="371" t="str">
        <f t="shared" ca="1" si="12"/>
        <v/>
      </c>
      <c r="R167" s="378" t="str">
        <f t="shared" ca="1" si="22"/>
        <v/>
      </c>
      <c r="S167" s="417" t="str">
        <f t="shared" ca="1" si="13"/>
        <v/>
      </c>
      <c r="U167" s="376" t="str">
        <f t="shared" ca="1" si="14"/>
        <v/>
      </c>
      <c r="V167" s="371" t="str">
        <f t="shared" ca="1" si="15"/>
        <v/>
      </c>
      <c r="W167" s="378" t="str">
        <f t="shared" ca="1" si="16"/>
        <v/>
      </c>
      <c r="X167" s="376" t="str">
        <f t="shared" ca="1" si="17"/>
        <v/>
      </c>
      <c r="Y167" s="1103" t="str">
        <f t="shared" ca="1" si="18"/>
        <v/>
      </c>
      <c r="Z167" s="1097"/>
      <c r="AA167" s="1108"/>
      <c r="AB167" s="1108"/>
      <c r="AC167" s="1108"/>
      <c r="AE167" s="1104" t="str">
        <f t="shared" ca="1" si="23"/>
        <v/>
      </c>
      <c r="AF167" s="371" t="str">
        <f t="shared" ca="1" si="4"/>
        <v/>
      </c>
      <c r="AG167" s="371" t="str">
        <f t="shared" ca="1" si="26"/>
        <v/>
      </c>
      <c r="AH167" s="371" t="str">
        <f t="shared" ca="1" si="24"/>
        <v/>
      </c>
      <c r="AI167" s="1105" t="str">
        <f t="shared" ca="1" si="8"/>
        <v/>
      </c>
      <c r="AJ167" s="417" t="str">
        <f t="shared" ca="1" si="19"/>
        <v/>
      </c>
      <c r="AK167" s="1106" t="str">
        <f t="shared" ca="1" si="27"/>
        <v/>
      </c>
      <c r="AL167" s="1107" t="str">
        <f t="shared" ca="1" si="25"/>
        <v/>
      </c>
      <c r="BC167" s="40"/>
      <c r="BD167" s="40"/>
      <c r="BE167" s="40"/>
      <c r="BF167" s="40"/>
      <c r="BG167" s="40"/>
    </row>
    <row r="168" spans="1:59" ht="18" customHeight="1">
      <c r="A168" s="1095" t="str">
        <f ca="1"/>
        <v/>
      </c>
      <c r="B168" s="399" t="str">
        <f ca="1"/>
        <v/>
      </c>
      <c r="C168" s="399" t="str">
        <f ca="1"/>
        <v/>
      </c>
      <c r="D168" s="400" t="str">
        <f ca="1"/>
        <v/>
      </c>
      <c r="E168" s="401" t="str">
        <f t="shared" ca="1" si="10"/>
        <v/>
      </c>
      <c r="F168" s="411"/>
      <c r="G168" s="407"/>
      <c r="N168" s="376" t="str">
        <f t="shared" ca="1" si="20"/>
        <v/>
      </c>
      <c r="O168" s="377" t="str">
        <f t="shared" ca="1" si="11"/>
        <v/>
      </c>
      <c r="P168" s="371" t="str">
        <f t="shared" ca="1" si="21"/>
        <v/>
      </c>
      <c r="Q168" s="371" t="str">
        <f t="shared" ca="1" si="12"/>
        <v/>
      </c>
      <c r="R168" s="378" t="str">
        <f t="shared" ca="1" si="22"/>
        <v/>
      </c>
      <c r="S168" s="417" t="str">
        <f t="shared" ca="1" si="13"/>
        <v/>
      </c>
      <c r="U168" s="376" t="str">
        <f t="shared" ca="1" si="14"/>
        <v/>
      </c>
      <c r="V168" s="371" t="str">
        <f t="shared" ca="1" si="15"/>
        <v/>
      </c>
      <c r="W168" s="378" t="str">
        <f t="shared" ca="1" si="16"/>
        <v/>
      </c>
      <c r="X168" s="376" t="str">
        <f t="shared" ca="1" si="17"/>
        <v/>
      </c>
      <c r="Y168" s="1103" t="str">
        <f t="shared" ca="1" si="18"/>
        <v/>
      </c>
      <c r="Z168" s="1097"/>
      <c r="AA168" s="1108"/>
      <c r="AB168" s="1108"/>
      <c r="AC168" s="1108"/>
      <c r="AE168" s="1104" t="str">
        <f t="shared" ca="1" si="23"/>
        <v/>
      </c>
      <c r="AF168" s="371" t="str">
        <f t="shared" ca="1" si="4"/>
        <v/>
      </c>
      <c r="AG168" s="371" t="str">
        <f t="shared" ca="1" si="26"/>
        <v/>
      </c>
      <c r="AH168" s="371" t="str">
        <f t="shared" ca="1" si="24"/>
        <v/>
      </c>
      <c r="AI168" s="1105" t="str">
        <f t="shared" ca="1" si="8"/>
        <v/>
      </c>
      <c r="AJ168" s="417" t="str">
        <f t="shared" ca="1" si="19"/>
        <v/>
      </c>
      <c r="AK168" s="1106" t="str">
        <f t="shared" ca="1" si="27"/>
        <v/>
      </c>
      <c r="AL168" s="1107" t="str">
        <f t="shared" ca="1" si="25"/>
        <v/>
      </c>
      <c r="BC168" s="40"/>
      <c r="BD168" s="40"/>
      <c r="BE168" s="40"/>
      <c r="BF168" s="40"/>
      <c r="BG168" s="40"/>
    </row>
    <row r="169" spans="1:59" ht="18" customHeight="1">
      <c r="A169" s="1095" t="str">
        <f ca="1"/>
        <v/>
      </c>
      <c r="B169" s="399" t="str">
        <f ca="1"/>
        <v/>
      </c>
      <c r="C169" s="399" t="str">
        <f ca="1"/>
        <v/>
      </c>
      <c r="D169" s="400" t="str">
        <f ca="1"/>
        <v/>
      </c>
      <c r="E169" s="401" t="str">
        <f t="shared" ca="1" si="10"/>
        <v/>
      </c>
      <c r="F169" s="411"/>
      <c r="G169" s="407"/>
      <c r="N169" s="376" t="str">
        <f t="shared" ca="1" si="20"/>
        <v/>
      </c>
      <c r="O169" s="377" t="str">
        <f t="shared" ca="1" si="11"/>
        <v/>
      </c>
      <c r="P169" s="371" t="str">
        <f t="shared" ca="1" si="21"/>
        <v/>
      </c>
      <c r="Q169" s="371" t="str">
        <f t="shared" ca="1" si="12"/>
        <v/>
      </c>
      <c r="R169" s="378" t="str">
        <f t="shared" ca="1" si="22"/>
        <v/>
      </c>
      <c r="S169" s="417" t="str">
        <f t="shared" ca="1" si="13"/>
        <v/>
      </c>
      <c r="U169" s="376" t="str">
        <f t="shared" ca="1" si="14"/>
        <v/>
      </c>
      <c r="V169" s="371" t="str">
        <f t="shared" ca="1" si="15"/>
        <v/>
      </c>
      <c r="W169" s="378" t="str">
        <f t="shared" ca="1" si="16"/>
        <v/>
      </c>
      <c r="X169" s="376" t="str">
        <f t="shared" ca="1" si="17"/>
        <v/>
      </c>
      <c r="Y169" s="1103" t="str">
        <f t="shared" ca="1" si="18"/>
        <v/>
      </c>
      <c r="Z169" s="1097"/>
      <c r="AA169" s="1108"/>
      <c r="AB169" s="1108"/>
      <c r="AC169" s="1108"/>
      <c r="AE169" s="1104" t="str">
        <f t="shared" ca="1" si="23"/>
        <v/>
      </c>
      <c r="AF169" s="371" t="str">
        <f t="shared" ca="1" si="4"/>
        <v/>
      </c>
      <c r="AG169" s="371" t="str">
        <f t="shared" ca="1" si="26"/>
        <v/>
      </c>
      <c r="AH169" s="371" t="str">
        <f t="shared" ca="1" si="24"/>
        <v/>
      </c>
      <c r="AI169" s="1105" t="str">
        <f t="shared" ca="1" si="8"/>
        <v/>
      </c>
      <c r="AJ169" s="417" t="str">
        <f t="shared" ca="1" si="19"/>
        <v/>
      </c>
      <c r="AK169" s="1106" t="str">
        <f t="shared" ca="1" si="27"/>
        <v/>
      </c>
      <c r="AL169" s="1107" t="str">
        <f t="shared" ca="1" si="25"/>
        <v/>
      </c>
      <c r="BC169" s="40"/>
      <c r="BD169" s="40"/>
      <c r="BE169" s="40"/>
      <c r="BF169" s="40"/>
      <c r="BG169" s="40"/>
    </row>
    <row r="170" spans="1:59" ht="18" customHeight="1">
      <c r="A170" s="1095" t="str">
        <f ca="1"/>
        <v/>
      </c>
      <c r="B170" s="399" t="str">
        <f ca="1"/>
        <v/>
      </c>
      <c r="C170" s="399" t="str">
        <f ca="1"/>
        <v/>
      </c>
      <c r="D170" s="400" t="str">
        <f ca="1"/>
        <v/>
      </c>
      <c r="E170" s="401" t="str">
        <f t="shared" ca="1" si="10"/>
        <v/>
      </c>
      <c r="F170" s="411"/>
      <c r="G170" s="407"/>
      <c r="N170" s="376" t="str">
        <f t="shared" ca="1" si="20"/>
        <v/>
      </c>
      <c r="O170" s="377" t="str">
        <f t="shared" ca="1" si="11"/>
        <v/>
      </c>
      <c r="P170" s="371" t="str">
        <f t="shared" ca="1" si="21"/>
        <v/>
      </c>
      <c r="Q170" s="371" t="str">
        <f t="shared" ca="1" si="12"/>
        <v/>
      </c>
      <c r="R170" s="378" t="str">
        <f t="shared" ca="1" si="22"/>
        <v/>
      </c>
      <c r="S170" s="417" t="str">
        <f t="shared" ca="1" si="13"/>
        <v/>
      </c>
      <c r="U170" s="376" t="str">
        <f t="shared" ca="1" si="14"/>
        <v/>
      </c>
      <c r="V170" s="371" t="str">
        <f t="shared" ca="1" si="15"/>
        <v/>
      </c>
      <c r="W170" s="378" t="str">
        <f t="shared" ca="1" si="16"/>
        <v/>
      </c>
      <c r="X170" s="376" t="str">
        <f t="shared" ca="1" si="17"/>
        <v/>
      </c>
      <c r="Y170" s="1103" t="str">
        <f t="shared" ca="1" si="18"/>
        <v/>
      </c>
      <c r="Z170" s="1097"/>
      <c r="AA170" s="1108"/>
      <c r="AB170" s="1108"/>
      <c r="AC170" s="1108"/>
      <c r="AE170" s="1104" t="str">
        <f t="shared" ca="1" si="23"/>
        <v/>
      </c>
      <c r="AF170" s="371" t="str">
        <f t="shared" ca="1" si="4"/>
        <v/>
      </c>
      <c r="AG170" s="371" t="str">
        <f t="shared" ca="1" si="26"/>
        <v/>
      </c>
      <c r="AH170" s="371" t="str">
        <f t="shared" ca="1" si="24"/>
        <v/>
      </c>
      <c r="AI170" s="1105" t="str">
        <f t="shared" ca="1" si="8"/>
        <v/>
      </c>
      <c r="AJ170" s="417" t="str">
        <f t="shared" ca="1" si="19"/>
        <v/>
      </c>
      <c r="AK170" s="1106" t="str">
        <f t="shared" ca="1" si="27"/>
        <v/>
      </c>
      <c r="AL170" s="1107" t="str">
        <f t="shared" ca="1" si="25"/>
        <v/>
      </c>
      <c r="BC170" s="40"/>
      <c r="BD170" s="40"/>
      <c r="BE170" s="40"/>
      <c r="BF170" s="40"/>
      <c r="BG170" s="40"/>
    </row>
    <row r="171" spans="1:59" ht="18" customHeight="1">
      <c r="A171" s="1095" t="str">
        <f ca="1"/>
        <v/>
      </c>
      <c r="B171" s="399" t="str">
        <f ca="1"/>
        <v/>
      </c>
      <c r="C171" s="399" t="str">
        <f ca="1"/>
        <v/>
      </c>
      <c r="D171" s="400" t="str">
        <f ca="1"/>
        <v/>
      </c>
      <c r="E171" s="401" t="str">
        <f t="shared" ca="1" si="10"/>
        <v/>
      </c>
      <c r="F171" s="411"/>
      <c r="G171" s="407"/>
      <c r="N171" s="376" t="str">
        <f t="shared" ca="1" si="20"/>
        <v/>
      </c>
      <c r="O171" s="377" t="str">
        <f t="shared" ca="1" si="11"/>
        <v/>
      </c>
      <c r="P171" s="371" t="str">
        <f t="shared" ca="1" si="21"/>
        <v/>
      </c>
      <c r="Q171" s="371" t="str">
        <f t="shared" ca="1" si="12"/>
        <v/>
      </c>
      <c r="R171" s="378" t="str">
        <f t="shared" ca="1" si="22"/>
        <v/>
      </c>
      <c r="S171" s="417" t="str">
        <f t="shared" ca="1" si="13"/>
        <v/>
      </c>
      <c r="U171" s="376" t="str">
        <f t="shared" ca="1" si="14"/>
        <v/>
      </c>
      <c r="V171" s="371" t="str">
        <f t="shared" ca="1" si="15"/>
        <v/>
      </c>
      <c r="W171" s="378" t="str">
        <f t="shared" ca="1" si="16"/>
        <v/>
      </c>
      <c r="X171" s="376" t="str">
        <f t="shared" ca="1" si="17"/>
        <v/>
      </c>
      <c r="Y171" s="1103" t="str">
        <f t="shared" ca="1" si="18"/>
        <v/>
      </c>
      <c r="Z171" s="1097"/>
      <c r="AA171" s="1108"/>
      <c r="AB171" s="1108"/>
      <c r="AC171" s="1108"/>
      <c r="AE171" s="1104" t="str">
        <f t="shared" ca="1" si="23"/>
        <v/>
      </c>
      <c r="AF171" s="371" t="str">
        <f t="shared" ca="1" si="4"/>
        <v/>
      </c>
      <c r="AG171" s="371" t="str">
        <f t="shared" ca="1" si="26"/>
        <v/>
      </c>
      <c r="AH171" s="371" t="str">
        <f t="shared" ca="1" si="24"/>
        <v/>
      </c>
      <c r="AI171" s="1105" t="str">
        <f t="shared" ca="1" si="8"/>
        <v/>
      </c>
      <c r="AJ171" s="417" t="str">
        <f t="shared" ca="1" si="19"/>
        <v/>
      </c>
      <c r="AK171" s="1106" t="str">
        <f t="shared" ca="1" si="27"/>
        <v/>
      </c>
      <c r="AL171" s="1107" t="str">
        <f t="shared" ca="1" si="25"/>
        <v/>
      </c>
      <c r="BC171" s="40"/>
      <c r="BD171" s="40"/>
      <c r="BE171" s="40"/>
      <c r="BF171" s="40"/>
      <c r="BG171" s="40"/>
    </row>
    <row r="172" spans="1:59" ht="18" customHeight="1">
      <c r="A172" s="1095" t="str">
        <f ca="1"/>
        <v/>
      </c>
      <c r="B172" s="399" t="str">
        <f ca="1"/>
        <v/>
      </c>
      <c r="C172" s="399" t="str">
        <f ca="1"/>
        <v/>
      </c>
      <c r="D172" s="400" t="str">
        <f ca="1"/>
        <v/>
      </c>
      <c r="E172" s="401" t="str">
        <f t="shared" ca="1" si="10"/>
        <v/>
      </c>
      <c r="F172" s="411"/>
      <c r="G172" s="407"/>
      <c r="N172" s="376" t="str">
        <f t="shared" ca="1" si="20"/>
        <v/>
      </c>
      <c r="O172" s="377" t="str">
        <f t="shared" ca="1" si="11"/>
        <v/>
      </c>
      <c r="P172" s="371" t="str">
        <f t="shared" ca="1" si="21"/>
        <v/>
      </c>
      <c r="Q172" s="371" t="str">
        <f t="shared" ca="1" si="12"/>
        <v/>
      </c>
      <c r="R172" s="378" t="str">
        <f t="shared" ca="1" si="22"/>
        <v/>
      </c>
      <c r="S172" s="417" t="str">
        <f t="shared" ca="1" si="13"/>
        <v/>
      </c>
      <c r="U172" s="376" t="str">
        <f t="shared" ca="1" si="14"/>
        <v/>
      </c>
      <c r="V172" s="371" t="str">
        <f t="shared" ca="1" si="15"/>
        <v/>
      </c>
      <c r="W172" s="378" t="str">
        <f t="shared" ca="1" si="16"/>
        <v/>
      </c>
      <c r="X172" s="376" t="str">
        <f t="shared" ca="1" si="17"/>
        <v/>
      </c>
      <c r="Y172" s="1103" t="str">
        <f t="shared" ca="1" si="18"/>
        <v/>
      </c>
      <c r="Z172" s="1097"/>
      <c r="AA172" s="1108"/>
      <c r="AB172" s="1108"/>
      <c r="AC172" s="1108"/>
      <c r="AE172" s="1104" t="str">
        <f t="shared" ca="1" si="23"/>
        <v/>
      </c>
      <c r="AF172" s="371" t="str">
        <f t="shared" ca="1" si="4"/>
        <v/>
      </c>
      <c r="AG172" s="371" t="str">
        <f t="shared" ca="1" si="26"/>
        <v/>
      </c>
      <c r="AH172" s="371" t="str">
        <f t="shared" ca="1" si="24"/>
        <v/>
      </c>
      <c r="AI172" s="1105" t="str">
        <f t="shared" ca="1" si="8"/>
        <v/>
      </c>
      <c r="AJ172" s="417" t="str">
        <f t="shared" ca="1" si="19"/>
        <v/>
      </c>
      <c r="AK172" s="1106" t="str">
        <f t="shared" ca="1" si="27"/>
        <v/>
      </c>
      <c r="AL172" s="1107" t="str">
        <f t="shared" ca="1" si="25"/>
        <v/>
      </c>
      <c r="BC172" s="40"/>
      <c r="BD172" s="40"/>
      <c r="BE172" s="40"/>
      <c r="BF172" s="40"/>
      <c r="BG172" s="40"/>
    </row>
    <row r="173" spans="1:59" ht="18" customHeight="1">
      <c r="A173" s="1095" t="str">
        <f ca="1"/>
        <v/>
      </c>
      <c r="B173" s="399" t="str">
        <f ca="1"/>
        <v/>
      </c>
      <c r="C173" s="399" t="str">
        <f ca="1"/>
        <v/>
      </c>
      <c r="D173" s="400" t="str">
        <f ca="1"/>
        <v/>
      </c>
      <c r="E173" s="401" t="str">
        <f t="shared" ca="1" si="10"/>
        <v/>
      </c>
      <c r="F173" s="411"/>
      <c r="G173" s="407"/>
      <c r="N173" s="376" t="str">
        <f t="shared" ca="1" si="20"/>
        <v/>
      </c>
      <c r="O173" s="377" t="str">
        <f t="shared" ca="1" si="11"/>
        <v/>
      </c>
      <c r="P173" s="371" t="str">
        <f t="shared" ca="1" si="21"/>
        <v/>
      </c>
      <c r="Q173" s="371" t="str">
        <f t="shared" ca="1" si="12"/>
        <v/>
      </c>
      <c r="R173" s="378" t="str">
        <f t="shared" ca="1" si="22"/>
        <v/>
      </c>
      <c r="S173" s="417" t="str">
        <f t="shared" ca="1" si="13"/>
        <v/>
      </c>
      <c r="U173" s="376" t="str">
        <f t="shared" ca="1" si="14"/>
        <v/>
      </c>
      <c r="V173" s="371" t="str">
        <f t="shared" ca="1" si="15"/>
        <v/>
      </c>
      <c r="W173" s="378" t="str">
        <f t="shared" ca="1" si="16"/>
        <v/>
      </c>
      <c r="X173" s="376" t="str">
        <f t="shared" ca="1" si="17"/>
        <v/>
      </c>
      <c r="Y173" s="1103" t="str">
        <f t="shared" ca="1" si="18"/>
        <v/>
      </c>
      <c r="Z173" s="1097"/>
      <c r="AA173" s="1108"/>
      <c r="AB173" s="1108"/>
      <c r="AC173" s="1108"/>
      <c r="AE173" s="1104" t="str">
        <f t="shared" ca="1" si="23"/>
        <v/>
      </c>
      <c r="AF173" s="371" t="str">
        <f t="shared" ca="1" si="4"/>
        <v/>
      </c>
      <c r="AG173" s="371" t="str">
        <f t="shared" ca="1" si="26"/>
        <v/>
      </c>
      <c r="AH173" s="371" t="str">
        <f t="shared" ca="1" si="24"/>
        <v/>
      </c>
      <c r="AI173" s="1105" t="str">
        <f t="shared" ca="1" si="8"/>
        <v/>
      </c>
      <c r="AJ173" s="417" t="str">
        <f t="shared" ca="1" si="19"/>
        <v/>
      </c>
      <c r="AK173" s="1106" t="str">
        <f t="shared" ca="1" si="27"/>
        <v/>
      </c>
      <c r="AL173" s="1107" t="str">
        <f t="shared" ca="1" si="25"/>
        <v/>
      </c>
      <c r="BC173" s="40"/>
      <c r="BD173" s="40"/>
      <c r="BE173" s="40"/>
      <c r="BF173" s="40"/>
      <c r="BG173" s="40"/>
    </row>
    <row r="174" spans="1:59" ht="18" customHeight="1">
      <c r="A174" s="1095" t="str">
        <f ca="1"/>
        <v/>
      </c>
      <c r="B174" s="399" t="str">
        <f ca="1"/>
        <v/>
      </c>
      <c r="C174" s="399" t="str">
        <f ca="1"/>
        <v/>
      </c>
      <c r="D174" s="400" t="str">
        <f ca="1"/>
        <v/>
      </c>
      <c r="E174" s="401" t="str">
        <f t="shared" ca="1" si="10"/>
        <v/>
      </c>
      <c r="F174" s="411"/>
      <c r="G174" s="407"/>
      <c r="N174" s="376" t="str">
        <f t="shared" ca="1" si="20"/>
        <v/>
      </c>
      <c r="O174" s="377" t="str">
        <f t="shared" ca="1" si="11"/>
        <v/>
      </c>
      <c r="P174" s="371" t="str">
        <f t="shared" ca="1" si="21"/>
        <v/>
      </c>
      <c r="Q174" s="371" t="str">
        <f t="shared" ca="1" si="12"/>
        <v/>
      </c>
      <c r="R174" s="378" t="str">
        <f t="shared" ca="1" si="22"/>
        <v/>
      </c>
      <c r="S174" s="417" t="str">
        <f t="shared" ca="1" si="13"/>
        <v/>
      </c>
      <c r="U174" s="376" t="str">
        <f t="shared" ca="1" si="14"/>
        <v/>
      </c>
      <c r="V174" s="371" t="str">
        <f t="shared" ca="1" si="15"/>
        <v/>
      </c>
      <c r="W174" s="378" t="str">
        <f t="shared" ca="1" si="16"/>
        <v/>
      </c>
      <c r="X174" s="376" t="str">
        <f t="shared" ca="1" si="17"/>
        <v/>
      </c>
      <c r="Y174" s="1103" t="str">
        <f t="shared" ca="1" si="18"/>
        <v/>
      </c>
      <c r="Z174" s="1097"/>
      <c r="AA174" s="1108"/>
      <c r="AB174" s="1108"/>
      <c r="AC174" s="1108"/>
      <c r="AE174" s="1104" t="str">
        <f t="shared" ca="1" si="23"/>
        <v/>
      </c>
      <c r="AF174" s="371" t="str">
        <f t="shared" ca="1" si="4"/>
        <v/>
      </c>
      <c r="AG174" s="371" t="str">
        <f t="shared" ca="1" si="26"/>
        <v/>
      </c>
      <c r="AH174" s="371" t="str">
        <f t="shared" ca="1" si="24"/>
        <v/>
      </c>
      <c r="AI174" s="1105" t="str">
        <f t="shared" ca="1" si="8"/>
        <v/>
      </c>
      <c r="AJ174" s="417" t="str">
        <f t="shared" ca="1" si="19"/>
        <v/>
      </c>
      <c r="AK174" s="1106" t="str">
        <f t="shared" ca="1" si="27"/>
        <v/>
      </c>
      <c r="AL174" s="1107" t="str">
        <f t="shared" ca="1" si="25"/>
        <v/>
      </c>
      <c r="BC174" s="40"/>
      <c r="BD174" s="40"/>
      <c r="BE174" s="40"/>
      <c r="BF174" s="40"/>
      <c r="BG174" s="40"/>
    </row>
    <row r="175" spans="1:59" ht="18" customHeight="1">
      <c r="A175" s="1095" t="str">
        <f ca="1"/>
        <v/>
      </c>
      <c r="B175" s="399" t="str">
        <f ca="1"/>
        <v/>
      </c>
      <c r="C175" s="399" t="str">
        <f ca="1"/>
        <v/>
      </c>
      <c r="D175" s="400" t="str">
        <f ca="1"/>
        <v/>
      </c>
      <c r="E175" s="401" t="str">
        <f t="shared" ca="1" si="10"/>
        <v/>
      </c>
      <c r="F175" s="411"/>
      <c r="G175" s="407"/>
      <c r="N175" s="376" t="str">
        <f t="shared" ca="1" si="20"/>
        <v/>
      </c>
      <c r="O175" s="377" t="str">
        <f t="shared" ca="1" si="11"/>
        <v/>
      </c>
      <c r="P175" s="371" t="str">
        <f t="shared" ca="1" si="21"/>
        <v/>
      </c>
      <c r="Q175" s="371" t="str">
        <f t="shared" ca="1" si="12"/>
        <v/>
      </c>
      <c r="R175" s="378" t="str">
        <f t="shared" ca="1" si="22"/>
        <v/>
      </c>
      <c r="S175" s="417" t="str">
        <f t="shared" ca="1" si="13"/>
        <v/>
      </c>
      <c r="U175" s="376" t="str">
        <f t="shared" ca="1" si="14"/>
        <v/>
      </c>
      <c r="V175" s="371" t="str">
        <f t="shared" ca="1" si="15"/>
        <v/>
      </c>
      <c r="W175" s="378" t="str">
        <f t="shared" ca="1" si="16"/>
        <v/>
      </c>
      <c r="X175" s="376" t="str">
        <f t="shared" ca="1" si="17"/>
        <v/>
      </c>
      <c r="Y175" s="1103" t="str">
        <f t="shared" ca="1" si="18"/>
        <v/>
      </c>
      <c r="Z175" s="1097"/>
      <c r="AA175" s="1108"/>
      <c r="AB175" s="1108"/>
      <c r="AC175" s="1108"/>
      <c r="AE175" s="1104" t="str">
        <f t="shared" ca="1" si="23"/>
        <v/>
      </c>
      <c r="AF175" s="371" t="str">
        <f t="shared" ca="1" si="4"/>
        <v/>
      </c>
      <c r="AG175" s="371" t="str">
        <f t="shared" ca="1" si="26"/>
        <v/>
      </c>
      <c r="AH175" s="371" t="str">
        <f t="shared" ca="1" si="24"/>
        <v/>
      </c>
      <c r="AI175" s="1105" t="str">
        <f t="shared" ca="1" si="8"/>
        <v/>
      </c>
      <c r="AJ175" s="417" t="str">
        <f t="shared" ca="1" si="19"/>
        <v/>
      </c>
      <c r="AK175" s="1106" t="str">
        <f t="shared" ca="1" si="27"/>
        <v/>
      </c>
      <c r="AL175" s="1107" t="str">
        <f t="shared" ca="1" si="25"/>
        <v/>
      </c>
      <c r="BC175" s="40"/>
      <c r="BD175" s="40"/>
      <c r="BE175" s="40"/>
      <c r="BF175" s="40"/>
      <c r="BG175" s="40"/>
    </row>
    <row r="176" spans="1:59" ht="18" customHeight="1">
      <c r="A176" s="1095" t="str">
        <f ca="1"/>
        <v/>
      </c>
      <c r="B176" s="399" t="str">
        <f ca="1"/>
        <v/>
      </c>
      <c r="C176" s="399" t="str">
        <f ca="1"/>
        <v/>
      </c>
      <c r="D176" s="400" t="str">
        <f ca="1"/>
        <v/>
      </c>
      <c r="E176" s="401" t="str">
        <f t="shared" ca="1" si="10"/>
        <v/>
      </c>
      <c r="F176" s="411"/>
      <c r="G176" s="407"/>
      <c r="N176" s="376" t="str">
        <f t="shared" ca="1" si="20"/>
        <v/>
      </c>
      <c r="O176" s="377" t="str">
        <f t="shared" ca="1" si="11"/>
        <v/>
      </c>
      <c r="P176" s="371" t="str">
        <f t="shared" ca="1" si="21"/>
        <v/>
      </c>
      <c r="Q176" s="371" t="str">
        <f t="shared" ca="1" si="12"/>
        <v/>
      </c>
      <c r="R176" s="378" t="str">
        <f t="shared" ca="1" si="22"/>
        <v/>
      </c>
      <c r="S176" s="417" t="str">
        <f t="shared" ca="1" si="13"/>
        <v/>
      </c>
      <c r="U176" s="376" t="str">
        <f t="shared" ca="1" si="14"/>
        <v/>
      </c>
      <c r="V176" s="371" t="str">
        <f t="shared" ca="1" si="15"/>
        <v/>
      </c>
      <c r="W176" s="378" t="str">
        <f t="shared" ca="1" si="16"/>
        <v/>
      </c>
      <c r="X176" s="376" t="str">
        <f t="shared" ca="1" si="17"/>
        <v/>
      </c>
      <c r="Y176" s="1103" t="str">
        <f t="shared" ca="1" si="18"/>
        <v/>
      </c>
      <c r="Z176" s="1097"/>
      <c r="AA176" s="1108"/>
      <c r="AB176" s="1108"/>
      <c r="AC176" s="1108"/>
      <c r="AE176" s="1104" t="str">
        <f t="shared" ca="1" si="23"/>
        <v/>
      </c>
      <c r="AF176" s="371" t="str">
        <f t="shared" ca="1" si="4"/>
        <v/>
      </c>
      <c r="AG176" s="371" t="str">
        <f t="shared" ca="1" si="26"/>
        <v/>
      </c>
      <c r="AH176" s="371" t="str">
        <f t="shared" ca="1" si="24"/>
        <v/>
      </c>
      <c r="AI176" s="1105" t="str">
        <f t="shared" ca="1" si="8"/>
        <v/>
      </c>
      <c r="AJ176" s="417" t="str">
        <f t="shared" ca="1" si="19"/>
        <v/>
      </c>
      <c r="AK176" s="1106" t="str">
        <f t="shared" ca="1" si="27"/>
        <v/>
      </c>
      <c r="AL176" s="1107" t="str">
        <f t="shared" ca="1" si="25"/>
        <v/>
      </c>
      <c r="BC176" s="40"/>
      <c r="BD176" s="40"/>
      <c r="BE176" s="40"/>
      <c r="BF176" s="40"/>
      <c r="BG176" s="40"/>
    </row>
    <row r="177" spans="1:59" ht="18" customHeight="1">
      <c r="A177" s="1095" t="str">
        <f ca="1"/>
        <v/>
      </c>
      <c r="B177" s="399" t="str">
        <f ca="1"/>
        <v/>
      </c>
      <c r="C177" s="399" t="str">
        <f ca="1"/>
        <v/>
      </c>
      <c r="D177" s="400" t="str">
        <f ca="1"/>
        <v/>
      </c>
      <c r="E177" s="401" t="str">
        <f t="shared" ca="1" si="10"/>
        <v/>
      </c>
      <c r="F177" s="411"/>
      <c r="G177" s="407"/>
      <c r="N177" s="376" t="str">
        <f t="shared" ca="1" si="20"/>
        <v/>
      </c>
      <c r="O177" s="377" t="str">
        <f t="shared" ca="1" si="11"/>
        <v/>
      </c>
      <c r="P177" s="371" t="str">
        <f t="shared" ca="1" si="21"/>
        <v/>
      </c>
      <c r="Q177" s="371" t="str">
        <f t="shared" ca="1" si="12"/>
        <v/>
      </c>
      <c r="R177" s="378" t="str">
        <f t="shared" ca="1" si="22"/>
        <v/>
      </c>
      <c r="S177" s="417" t="str">
        <f t="shared" ca="1" si="13"/>
        <v/>
      </c>
      <c r="U177" s="376" t="str">
        <f t="shared" ca="1" si="14"/>
        <v/>
      </c>
      <c r="V177" s="371" t="str">
        <f t="shared" ca="1" si="15"/>
        <v/>
      </c>
      <c r="W177" s="378" t="str">
        <f t="shared" ca="1" si="16"/>
        <v/>
      </c>
      <c r="X177" s="376" t="str">
        <f t="shared" ca="1" si="17"/>
        <v/>
      </c>
      <c r="Y177" s="1103" t="str">
        <f t="shared" ca="1" si="18"/>
        <v/>
      </c>
      <c r="Z177" s="1097"/>
      <c r="AA177" s="1108"/>
      <c r="AB177" s="1108"/>
      <c r="AC177" s="1108"/>
      <c r="AE177" s="1104" t="str">
        <f t="shared" ca="1" si="23"/>
        <v/>
      </c>
      <c r="AF177" s="371" t="str">
        <f t="shared" ca="1" si="4"/>
        <v/>
      </c>
      <c r="AG177" s="371" t="str">
        <f t="shared" ca="1" si="26"/>
        <v/>
      </c>
      <c r="AH177" s="371" t="str">
        <f t="shared" ca="1" si="24"/>
        <v/>
      </c>
      <c r="AI177" s="1105" t="str">
        <f t="shared" ca="1" si="8"/>
        <v/>
      </c>
      <c r="AJ177" s="417" t="str">
        <f t="shared" ca="1" si="19"/>
        <v/>
      </c>
      <c r="AK177" s="1106" t="str">
        <f t="shared" ca="1" si="27"/>
        <v/>
      </c>
      <c r="AL177" s="1107" t="str">
        <f t="shared" ca="1" si="25"/>
        <v/>
      </c>
      <c r="BC177" s="40"/>
      <c r="BD177" s="40"/>
      <c r="BE177" s="40"/>
      <c r="BF177" s="40"/>
      <c r="BG177" s="40"/>
    </row>
    <row r="178" spans="1:59" ht="18" customHeight="1">
      <c r="A178" s="1095" t="str">
        <f ca="1"/>
        <v/>
      </c>
      <c r="B178" s="399" t="str">
        <f ca="1"/>
        <v/>
      </c>
      <c r="C178" s="399" t="str">
        <f ca="1"/>
        <v/>
      </c>
      <c r="D178" s="400" t="str">
        <f ca="1"/>
        <v/>
      </c>
      <c r="E178" s="401" t="str">
        <f t="shared" ca="1" si="10"/>
        <v/>
      </c>
      <c r="F178" s="411"/>
      <c r="G178" s="407"/>
      <c r="N178" s="376" t="str">
        <f t="shared" ca="1" si="20"/>
        <v/>
      </c>
      <c r="O178" s="377" t="str">
        <f t="shared" ca="1" si="11"/>
        <v/>
      </c>
      <c r="P178" s="371" t="str">
        <f t="shared" ca="1" si="21"/>
        <v/>
      </c>
      <c r="Q178" s="371" t="str">
        <f t="shared" ca="1" si="12"/>
        <v/>
      </c>
      <c r="R178" s="378" t="str">
        <f t="shared" ca="1" si="22"/>
        <v/>
      </c>
      <c r="S178" s="417" t="str">
        <f t="shared" ca="1" si="13"/>
        <v/>
      </c>
      <c r="U178" s="376" t="str">
        <f t="shared" ca="1" si="14"/>
        <v/>
      </c>
      <c r="V178" s="371" t="str">
        <f t="shared" ca="1" si="15"/>
        <v/>
      </c>
      <c r="W178" s="378" t="str">
        <f t="shared" ca="1" si="16"/>
        <v/>
      </c>
      <c r="X178" s="376" t="str">
        <f t="shared" ca="1" si="17"/>
        <v/>
      </c>
      <c r="Y178" s="1103" t="str">
        <f t="shared" ca="1" si="18"/>
        <v/>
      </c>
      <c r="Z178" s="1097"/>
      <c r="AA178" s="1108"/>
      <c r="AB178" s="1108"/>
      <c r="AC178" s="1108"/>
      <c r="AE178" s="1104" t="str">
        <f t="shared" ca="1" si="23"/>
        <v/>
      </c>
      <c r="AF178" s="371" t="str">
        <f t="shared" ca="1" si="4"/>
        <v/>
      </c>
      <c r="AG178" s="371" t="str">
        <f t="shared" ca="1" si="26"/>
        <v/>
      </c>
      <c r="AH178" s="371" t="str">
        <f t="shared" ca="1" si="24"/>
        <v/>
      </c>
      <c r="AI178" s="1105" t="str">
        <f t="shared" ca="1" si="8"/>
        <v/>
      </c>
      <c r="AJ178" s="417" t="str">
        <f t="shared" ca="1" si="19"/>
        <v/>
      </c>
      <c r="AK178" s="1106" t="str">
        <f t="shared" ca="1" si="27"/>
        <v/>
      </c>
      <c r="AL178" s="1107" t="str">
        <f t="shared" ca="1" si="25"/>
        <v/>
      </c>
      <c r="BC178" s="40"/>
      <c r="BD178" s="40"/>
      <c r="BE178" s="40"/>
      <c r="BF178" s="40"/>
      <c r="BG178" s="40"/>
    </row>
    <row r="179" spans="1:59" ht="18" customHeight="1">
      <c r="A179" s="1095" t="str">
        <f ca="1"/>
        <v/>
      </c>
      <c r="B179" s="399" t="str">
        <f ca="1"/>
        <v/>
      </c>
      <c r="C179" s="399" t="str">
        <f ca="1"/>
        <v/>
      </c>
      <c r="D179" s="400" t="str">
        <f ca="1"/>
        <v/>
      </c>
      <c r="E179" s="401" t="str">
        <f t="shared" ca="1" si="10"/>
        <v/>
      </c>
      <c r="F179" s="411"/>
      <c r="G179" s="407"/>
      <c r="N179" s="376" t="str">
        <f t="shared" ca="1" si="20"/>
        <v/>
      </c>
      <c r="O179" s="377" t="str">
        <f t="shared" ca="1" si="11"/>
        <v/>
      </c>
      <c r="P179" s="371" t="str">
        <f t="shared" ca="1" si="21"/>
        <v/>
      </c>
      <c r="Q179" s="371" t="str">
        <f t="shared" ca="1" si="12"/>
        <v/>
      </c>
      <c r="R179" s="378" t="str">
        <f t="shared" ca="1" si="22"/>
        <v/>
      </c>
      <c r="S179" s="417" t="str">
        <f t="shared" ca="1" si="13"/>
        <v/>
      </c>
      <c r="U179" s="376" t="str">
        <f t="shared" ca="1" si="14"/>
        <v/>
      </c>
      <c r="V179" s="371" t="str">
        <f t="shared" ca="1" si="15"/>
        <v/>
      </c>
      <c r="W179" s="378" t="str">
        <f t="shared" ca="1" si="16"/>
        <v/>
      </c>
      <c r="X179" s="376" t="str">
        <f t="shared" ca="1" si="17"/>
        <v/>
      </c>
      <c r="Y179" s="1103" t="str">
        <f t="shared" ca="1" si="18"/>
        <v/>
      </c>
      <c r="Z179" s="1097"/>
      <c r="AA179" s="1108"/>
      <c r="AB179" s="1108"/>
      <c r="AC179" s="1108"/>
      <c r="AE179" s="1104" t="str">
        <f t="shared" ca="1" si="23"/>
        <v/>
      </c>
      <c r="AF179" s="371" t="str">
        <f t="shared" ca="1" si="4"/>
        <v/>
      </c>
      <c r="AG179" s="371" t="str">
        <f t="shared" ca="1" si="26"/>
        <v/>
      </c>
      <c r="AH179" s="371" t="str">
        <f t="shared" ca="1" si="24"/>
        <v/>
      </c>
      <c r="AI179" s="1105" t="str">
        <f t="shared" ca="1" si="8"/>
        <v/>
      </c>
      <c r="AJ179" s="417" t="str">
        <f t="shared" ca="1" si="19"/>
        <v/>
      </c>
      <c r="AK179" s="1106" t="str">
        <f t="shared" ca="1" si="27"/>
        <v/>
      </c>
      <c r="AL179" s="1107" t="str">
        <f t="shared" ca="1" si="25"/>
        <v/>
      </c>
      <c r="BC179" s="40"/>
      <c r="BD179" s="40"/>
      <c r="BE179" s="40"/>
      <c r="BF179" s="40"/>
      <c r="BG179" s="40"/>
    </row>
    <row r="180" spans="1:59" ht="18" customHeight="1">
      <c r="A180" s="1095" t="str">
        <f ca="1"/>
        <v/>
      </c>
      <c r="B180" s="399" t="str">
        <f ca="1"/>
        <v/>
      </c>
      <c r="C180" s="399" t="str">
        <f ca="1"/>
        <v/>
      </c>
      <c r="D180" s="400" t="str">
        <f ca="1"/>
        <v/>
      </c>
      <c r="E180" s="401" t="str">
        <f t="shared" ca="1" si="10"/>
        <v/>
      </c>
      <c r="F180" s="411"/>
      <c r="G180" s="407"/>
      <c r="N180" s="376" t="str">
        <f t="shared" ca="1" si="20"/>
        <v/>
      </c>
      <c r="O180" s="377" t="str">
        <f t="shared" ca="1" si="11"/>
        <v/>
      </c>
      <c r="P180" s="371" t="str">
        <f t="shared" ca="1" si="21"/>
        <v/>
      </c>
      <c r="Q180" s="371" t="str">
        <f t="shared" ca="1" si="12"/>
        <v/>
      </c>
      <c r="R180" s="378" t="str">
        <f t="shared" ca="1" si="22"/>
        <v/>
      </c>
      <c r="S180" s="417" t="str">
        <f t="shared" ca="1" si="13"/>
        <v/>
      </c>
      <c r="U180" s="376" t="str">
        <f t="shared" ca="1" si="14"/>
        <v/>
      </c>
      <c r="V180" s="371" t="str">
        <f t="shared" ca="1" si="15"/>
        <v/>
      </c>
      <c r="W180" s="378" t="str">
        <f t="shared" ca="1" si="16"/>
        <v/>
      </c>
      <c r="X180" s="376" t="str">
        <f t="shared" ca="1" si="17"/>
        <v/>
      </c>
      <c r="Y180" s="1103" t="str">
        <f t="shared" ca="1" si="18"/>
        <v/>
      </c>
      <c r="Z180" s="1097"/>
      <c r="AA180" s="1108"/>
      <c r="AB180" s="1108"/>
      <c r="AC180" s="1108"/>
      <c r="AE180" s="1104" t="str">
        <f t="shared" ca="1" si="23"/>
        <v/>
      </c>
      <c r="AF180" s="371" t="str">
        <f t="shared" ca="1" si="4"/>
        <v/>
      </c>
      <c r="AG180" s="371" t="str">
        <f t="shared" ca="1" si="26"/>
        <v/>
      </c>
      <c r="AH180" s="371" t="str">
        <f t="shared" ca="1" si="24"/>
        <v/>
      </c>
      <c r="AI180" s="1105" t="str">
        <f t="shared" ca="1" si="8"/>
        <v/>
      </c>
      <c r="AJ180" s="417" t="str">
        <f t="shared" ca="1" si="19"/>
        <v/>
      </c>
      <c r="AK180" s="1106" t="str">
        <f t="shared" ca="1" si="27"/>
        <v/>
      </c>
      <c r="AL180" s="1107" t="str">
        <f t="shared" ca="1" si="25"/>
        <v/>
      </c>
      <c r="BC180" s="40"/>
      <c r="BD180" s="40"/>
      <c r="BE180" s="40"/>
      <c r="BF180" s="40"/>
      <c r="BG180" s="40"/>
    </row>
    <row r="181" spans="1:59" ht="18" customHeight="1">
      <c r="A181" s="1095" t="str">
        <f ca="1"/>
        <v/>
      </c>
      <c r="B181" s="399" t="str">
        <f ca="1"/>
        <v/>
      </c>
      <c r="C181" s="399" t="str">
        <f ca="1"/>
        <v/>
      </c>
      <c r="D181" s="400" t="str">
        <f ca="1"/>
        <v/>
      </c>
      <c r="E181" s="401" t="str">
        <f t="shared" ca="1" si="10"/>
        <v/>
      </c>
      <c r="F181" s="411"/>
      <c r="G181" s="407"/>
      <c r="N181" s="376" t="str">
        <f t="shared" ca="1" si="20"/>
        <v/>
      </c>
      <c r="O181" s="377" t="str">
        <f t="shared" ca="1" si="11"/>
        <v/>
      </c>
      <c r="P181" s="371" t="str">
        <f t="shared" ca="1" si="21"/>
        <v/>
      </c>
      <c r="Q181" s="371" t="str">
        <f t="shared" ca="1" si="12"/>
        <v/>
      </c>
      <c r="R181" s="378" t="str">
        <f t="shared" ca="1" si="22"/>
        <v/>
      </c>
      <c r="S181" s="417" t="str">
        <f t="shared" ca="1" si="13"/>
        <v/>
      </c>
      <c r="U181" s="376" t="str">
        <f t="shared" ca="1" si="14"/>
        <v/>
      </c>
      <c r="V181" s="371" t="str">
        <f t="shared" ca="1" si="15"/>
        <v/>
      </c>
      <c r="W181" s="378" t="str">
        <f t="shared" ca="1" si="16"/>
        <v/>
      </c>
      <c r="X181" s="376" t="str">
        <f t="shared" ca="1" si="17"/>
        <v/>
      </c>
      <c r="Y181" s="1103" t="str">
        <f t="shared" ca="1" si="18"/>
        <v/>
      </c>
      <c r="Z181" s="1097"/>
      <c r="AA181" s="1108"/>
      <c r="AB181" s="1108"/>
      <c r="AC181" s="1108"/>
      <c r="AE181" s="1104" t="str">
        <f t="shared" ca="1" si="23"/>
        <v/>
      </c>
      <c r="AF181" s="371" t="str">
        <f t="shared" ca="1" si="4"/>
        <v/>
      </c>
      <c r="AG181" s="371" t="str">
        <f t="shared" ca="1" si="26"/>
        <v/>
      </c>
      <c r="AH181" s="371" t="str">
        <f t="shared" ca="1" si="24"/>
        <v/>
      </c>
      <c r="AI181" s="1105" t="str">
        <f t="shared" ca="1" si="8"/>
        <v/>
      </c>
      <c r="AJ181" s="417" t="str">
        <f t="shared" ca="1" si="19"/>
        <v/>
      </c>
      <c r="AK181" s="1106" t="str">
        <f t="shared" ca="1" si="27"/>
        <v/>
      </c>
      <c r="AL181" s="1107" t="str">
        <f t="shared" ca="1" si="25"/>
        <v/>
      </c>
      <c r="BC181" s="40"/>
      <c r="BD181" s="40"/>
      <c r="BE181" s="40"/>
      <c r="BF181" s="40"/>
      <c r="BG181" s="40"/>
    </row>
    <row r="182" spans="1:59" ht="18" customHeight="1">
      <c r="A182" s="1095" t="str">
        <f ca="1"/>
        <v/>
      </c>
      <c r="B182" s="399" t="str">
        <f ca="1"/>
        <v/>
      </c>
      <c r="C182" s="399" t="str">
        <f ca="1"/>
        <v/>
      </c>
      <c r="D182" s="400" t="str">
        <f ca="1"/>
        <v/>
      </c>
      <c r="E182" s="401" t="str">
        <f t="shared" ca="1" si="10"/>
        <v/>
      </c>
      <c r="F182" s="411"/>
      <c r="G182" s="407"/>
      <c r="N182" s="376" t="str">
        <f t="shared" ca="1" si="20"/>
        <v/>
      </c>
      <c r="O182" s="377" t="str">
        <f t="shared" ca="1" si="11"/>
        <v/>
      </c>
      <c r="P182" s="371" t="str">
        <f t="shared" ca="1" si="21"/>
        <v/>
      </c>
      <c r="Q182" s="371" t="str">
        <f t="shared" ca="1" si="12"/>
        <v/>
      </c>
      <c r="R182" s="378" t="str">
        <f t="shared" ca="1" si="22"/>
        <v/>
      </c>
      <c r="S182" s="417" t="str">
        <f t="shared" ca="1" si="13"/>
        <v/>
      </c>
      <c r="U182" s="376" t="str">
        <f t="shared" ca="1" si="14"/>
        <v/>
      </c>
      <c r="V182" s="371" t="str">
        <f t="shared" ca="1" si="15"/>
        <v/>
      </c>
      <c r="W182" s="378" t="str">
        <f t="shared" ca="1" si="16"/>
        <v/>
      </c>
      <c r="X182" s="376" t="str">
        <f t="shared" ca="1" si="17"/>
        <v/>
      </c>
      <c r="Y182" s="1103" t="str">
        <f t="shared" ca="1" si="18"/>
        <v/>
      </c>
      <c r="Z182" s="1097"/>
      <c r="AA182" s="1108"/>
      <c r="AB182" s="1108"/>
      <c r="AC182" s="1108"/>
      <c r="AE182" s="1104" t="str">
        <f t="shared" ca="1" si="23"/>
        <v/>
      </c>
      <c r="AF182" s="371" t="str">
        <f t="shared" ca="1" si="4"/>
        <v/>
      </c>
      <c r="AG182" s="371" t="str">
        <f t="shared" ca="1" si="26"/>
        <v/>
      </c>
      <c r="AH182" s="371" t="str">
        <f t="shared" ca="1" si="24"/>
        <v/>
      </c>
      <c r="AI182" s="1105" t="str">
        <f t="shared" ca="1" si="8"/>
        <v/>
      </c>
      <c r="AJ182" s="417" t="str">
        <f t="shared" ca="1" si="19"/>
        <v/>
      </c>
      <c r="AK182" s="1106" t="str">
        <f t="shared" ca="1" si="27"/>
        <v/>
      </c>
      <c r="AL182" s="1107" t="str">
        <f t="shared" ca="1" si="25"/>
        <v/>
      </c>
      <c r="BC182" s="40"/>
      <c r="BD182" s="40"/>
      <c r="BE182" s="40"/>
      <c r="BF182" s="40"/>
      <c r="BG182" s="40"/>
    </row>
    <row r="183" spans="1:59" ht="18" customHeight="1">
      <c r="A183" s="1095" t="str">
        <f ca="1"/>
        <v/>
      </c>
      <c r="B183" s="399" t="str">
        <f ca="1"/>
        <v/>
      </c>
      <c r="C183" s="399" t="str">
        <f ca="1"/>
        <v/>
      </c>
      <c r="D183" s="400" t="str">
        <f ca="1"/>
        <v/>
      </c>
      <c r="E183" s="401" t="str">
        <f t="shared" ca="1" si="10"/>
        <v/>
      </c>
      <c r="F183" s="411"/>
      <c r="G183" s="407"/>
      <c r="N183" s="376" t="str">
        <f t="shared" ca="1" si="20"/>
        <v/>
      </c>
      <c r="O183" s="377" t="str">
        <f t="shared" ca="1" si="11"/>
        <v/>
      </c>
      <c r="P183" s="371" t="str">
        <f t="shared" ca="1" si="21"/>
        <v/>
      </c>
      <c r="Q183" s="371" t="str">
        <f t="shared" ca="1" si="12"/>
        <v/>
      </c>
      <c r="R183" s="378" t="str">
        <f t="shared" ca="1" si="22"/>
        <v/>
      </c>
      <c r="S183" s="417" t="str">
        <f t="shared" ca="1" si="13"/>
        <v/>
      </c>
      <c r="U183" s="376" t="str">
        <f t="shared" ca="1" si="14"/>
        <v/>
      </c>
      <c r="V183" s="371" t="str">
        <f t="shared" ca="1" si="15"/>
        <v/>
      </c>
      <c r="W183" s="378" t="str">
        <f t="shared" ca="1" si="16"/>
        <v/>
      </c>
      <c r="X183" s="376" t="str">
        <f t="shared" ca="1" si="17"/>
        <v/>
      </c>
      <c r="Y183" s="1103" t="str">
        <f t="shared" ca="1" si="18"/>
        <v/>
      </c>
      <c r="Z183" s="1097"/>
      <c r="AA183" s="1108"/>
      <c r="AB183" s="1108"/>
      <c r="AC183" s="1108"/>
      <c r="AE183" s="1104" t="str">
        <f t="shared" ca="1" si="23"/>
        <v/>
      </c>
      <c r="AF183" s="371" t="str">
        <f t="shared" ca="1" si="4"/>
        <v/>
      </c>
      <c r="AG183" s="371" t="str">
        <f t="shared" ca="1" si="26"/>
        <v/>
      </c>
      <c r="AH183" s="371" t="str">
        <f t="shared" ca="1" si="24"/>
        <v/>
      </c>
      <c r="AI183" s="1105" t="str">
        <f t="shared" ca="1" si="8"/>
        <v/>
      </c>
      <c r="AJ183" s="417" t="str">
        <f t="shared" ca="1" si="19"/>
        <v/>
      </c>
      <c r="AK183" s="1106" t="str">
        <f t="shared" ca="1" si="27"/>
        <v/>
      </c>
      <c r="AL183" s="1107" t="str">
        <f t="shared" ca="1" si="25"/>
        <v/>
      </c>
      <c r="BC183" s="40"/>
      <c r="BD183" s="40"/>
      <c r="BE183" s="40"/>
      <c r="BF183" s="40"/>
      <c r="BG183" s="40"/>
    </row>
    <row r="184" spans="1:59" ht="18" customHeight="1">
      <c r="A184" s="1095" t="str">
        <f ca="1"/>
        <v/>
      </c>
      <c r="B184" s="399" t="str">
        <f ca="1"/>
        <v/>
      </c>
      <c r="C184" s="399" t="str">
        <f ca="1"/>
        <v/>
      </c>
      <c r="D184" s="400" t="str">
        <f ca="1"/>
        <v/>
      </c>
      <c r="E184" s="401" t="str">
        <f t="shared" ca="1" si="10"/>
        <v/>
      </c>
      <c r="F184" s="411"/>
      <c r="G184" s="407"/>
      <c r="N184" s="376" t="str">
        <f t="shared" ca="1" si="20"/>
        <v/>
      </c>
      <c r="O184" s="377" t="str">
        <f t="shared" ca="1" si="11"/>
        <v/>
      </c>
      <c r="P184" s="371" t="str">
        <f t="shared" ca="1" si="21"/>
        <v/>
      </c>
      <c r="Q184" s="371" t="str">
        <f t="shared" ca="1" si="12"/>
        <v/>
      </c>
      <c r="R184" s="378" t="str">
        <f t="shared" ca="1" si="22"/>
        <v/>
      </c>
      <c r="S184" s="417" t="str">
        <f t="shared" ca="1" si="13"/>
        <v/>
      </c>
      <c r="U184" s="376" t="str">
        <f t="shared" ca="1" si="14"/>
        <v/>
      </c>
      <c r="V184" s="371" t="str">
        <f t="shared" ca="1" si="15"/>
        <v/>
      </c>
      <c r="W184" s="378" t="str">
        <f t="shared" ca="1" si="16"/>
        <v/>
      </c>
      <c r="X184" s="376" t="str">
        <f t="shared" ca="1" si="17"/>
        <v/>
      </c>
      <c r="Y184" s="1103" t="str">
        <f t="shared" ca="1" si="18"/>
        <v/>
      </c>
      <c r="Z184" s="1097"/>
      <c r="AA184" s="1108"/>
      <c r="AB184" s="1108"/>
      <c r="AC184" s="1108"/>
      <c r="AE184" s="1104" t="str">
        <f t="shared" ca="1" si="23"/>
        <v/>
      </c>
      <c r="AF184" s="371" t="str">
        <f t="shared" ca="1" si="4"/>
        <v/>
      </c>
      <c r="AG184" s="371" t="str">
        <f t="shared" ca="1" si="26"/>
        <v/>
      </c>
      <c r="AH184" s="371" t="str">
        <f t="shared" ca="1" si="24"/>
        <v/>
      </c>
      <c r="AI184" s="1105" t="str">
        <f t="shared" ca="1" si="8"/>
        <v/>
      </c>
      <c r="AJ184" s="417" t="str">
        <f t="shared" ca="1" si="19"/>
        <v/>
      </c>
      <c r="AK184" s="1106" t="str">
        <f t="shared" ca="1" si="27"/>
        <v/>
      </c>
      <c r="AL184" s="1107" t="str">
        <f t="shared" ca="1" si="25"/>
        <v/>
      </c>
      <c r="BC184" s="40"/>
      <c r="BD184" s="40"/>
      <c r="BE184" s="40"/>
      <c r="BF184" s="40"/>
      <c r="BG184" s="40"/>
    </row>
    <row r="185" spans="1:59" ht="18" customHeight="1">
      <c r="A185" s="1095" t="str">
        <f ca="1"/>
        <v/>
      </c>
      <c r="B185" s="399" t="str">
        <f ca="1"/>
        <v/>
      </c>
      <c r="C185" s="399" t="str">
        <f ca="1"/>
        <v/>
      </c>
      <c r="D185" s="400" t="str">
        <f ca="1"/>
        <v/>
      </c>
      <c r="E185" s="401" t="str">
        <f t="shared" ca="1" si="10"/>
        <v/>
      </c>
      <c r="F185" s="411"/>
      <c r="G185" s="407"/>
      <c r="N185" s="376" t="str">
        <f t="shared" ca="1" si="20"/>
        <v/>
      </c>
      <c r="O185" s="377" t="str">
        <f t="shared" ca="1" si="11"/>
        <v/>
      </c>
      <c r="P185" s="371" t="str">
        <f t="shared" ca="1" si="21"/>
        <v/>
      </c>
      <c r="Q185" s="371" t="str">
        <f t="shared" ca="1" si="12"/>
        <v/>
      </c>
      <c r="R185" s="378" t="str">
        <f t="shared" ca="1" si="22"/>
        <v/>
      </c>
      <c r="S185" s="417" t="str">
        <f t="shared" ca="1" si="13"/>
        <v/>
      </c>
      <c r="U185" s="376" t="str">
        <f t="shared" ca="1" si="14"/>
        <v/>
      </c>
      <c r="V185" s="371" t="str">
        <f t="shared" ca="1" si="15"/>
        <v/>
      </c>
      <c r="W185" s="378" t="str">
        <f t="shared" ca="1" si="16"/>
        <v/>
      </c>
      <c r="X185" s="376" t="str">
        <f t="shared" ca="1" si="17"/>
        <v/>
      </c>
      <c r="Y185" s="1103" t="str">
        <f t="shared" ca="1" si="18"/>
        <v/>
      </c>
      <c r="Z185" s="1097"/>
      <c r="AA185" s="1108"/>
      <c r="AB185" s="1108"/>
      <c r="AC185" s="1108"/>
      <c r="AE185" s="1104" t="str">
        <f t="shared" ca="1" si="23"/>
        <v/>
      </c>
      <c r="AF185" s="371" t="str">
        <f t="shared" ca="1" si="4"/>
        <v/>
      </c>
      <c r="AG185" s="371" t="str">
        <f t="shared" ca="1" si="26"/>
        <v/>
      </c>
      <c r="AH185" s="371" t="str">
        <f t="shared" ca="1" si="24"/>
        <v/>
      </c>
      <c r="AI185" s="1105" t="str">
        <f t="shared" ca="1" si="8"/>
        <v/>
      </c>
      <c r="AJ185" s="417" t="str">
        <f t="shared" ca="1" si="19"/>
        <v/>
      </c>
      <c r="AK185" s="1106" t="str">
        <f t="shared" ca="1" si="27"/>
        <v/>
      </c>
      <c r="AL185" s="1107" t="str">
        <f t="shared" ca="1" si="25"/>
        <v/>
      </c>
      <c r="BC185" s="40"/>
      <c r="BD185" s="40"/>
      <c r="BE185" s="40"/>
      <c r="BF185" s="40"/>
      <c r="BG185" s="40"/>
    </row>
    <row r="186" spans="1:59" ht="18" customHeight="1">
      <c r="A186" s="1095" t="str">
        <f ca="1"/>
        <v/>
      </c>
      <c r="B186" s="399" t="str">
        <f ca="1"/>
        <v/>
      </c>
      <c r="C186" s="399" t="str">
        <f ca="1"/>
        <v/>
      </c>
      <c r="D186" s="400" t="str">
        <f ca="1"/>
        <v/>
      </c>
      <c r="E186" s="401" t="str">
        <f t="shared" ca="1" si="10"/>
        <v/>
      </c>
      <c r="F186" s="411"/>
      <c r="G186" s="407"/>
      <c r="N186" s="376" t="str">
        <f t="shared" ca="1" si="20"/>
        <v/>
      </c>
      <c r="O186" s="377" t="str">
        <f t="shared" ca="1" si="11"/>
        <v/>
      </c>
      <c r="P186" s="371" t="str">
        <f t="shared" ca="1" si="21"/>
        <v/>
      </c>
      <c r="Q186" s="371" t="str">
        <f t="shared" ca="1" si="12"/>
        <v/>
      </c>
      <c r="R186" s="378" t="str">
        <f t="shared" ca="1" si="22"/>
        <v/>
      </c>
      <c r="S186" s="417" t="str">
        <f t="shared" ca="1" si="13"/>
        <v/>
      </c>
      <c r="U186" s="376" t="str">
        <f t="shared" ca="1" si="14"/>
        <v/>
      </c>
      <c r="V186" s="371" t="str">
        <f t="shared" ca="1" si="15"/>
        <v/>
      </c>
      <c r="W186" s="378" t="str">
        <f t="shared" ca="1" si="16"/>
        <v/>
      </c>
      <c r="X186" s="376" t="str">
        <f t="shared" ca="1" si="17"/>
        <v/>
      </c>
      <c r="Y186" s="1103" t="str">
        <f t="shared" ca="1" si="18"/>
        <v/>
      </c>
      <c r="Z186" s="1097"/>
      <c r="AA186" s="1108"/>
      <c r="AB186" s="1108"/>
      <c r="AC186" s="1108"/>
      <c r="AE186" s="1104" t="str">
        <f t="shared" ca="1" si="23"/>
        <v/>
      </c>
      <c r="AF186" s="371" t="str">
        <f t="shared" ca="1" si="4"/>
        <v/>
      </c>
      <c r="AG186" s="371" t="str">
        <f t="shared" ca="1" si="26"/>
        <v/>
      </c>
      <c r="AH186" s="371" t="str">
        <f t="shared" ca="1" si="24"/>
        <v/>
      </c>
      <c r="AI186" s="1105" t="str">
        <f t="shared" ca="1" si="8"/>
        <v/>
      </c>
      <c r="AJ186" s="417" t="str">
        <f t="shared" ca="1" si="19"/>
        <v/>
      </c>
      <c r="AK186" s="1106" t="str">
        <f t="shared" ca="1" si="27"/>
        <v/>
      </c>
      <c r="AL186" s="1107" t="str">
        <f t="shared" ca="1" si="25"/>
        <v/>
      </c>
      <c r="BC186" s="40"/>
      <c r="BD186" s="40"/>
      <c r="BE186" s="40"/>
      <c r="BF186" s="40"/>
      <c r="BG186" s="40"/>
    </row>
    <row r="187" spans="1:59" ht="18" customHeight="1">
      <c r="A187" s="1095" t="str">
        <f ca="1"/>
        <v/>
      </c>
      <c r="B187" s="399" t="str">
        <f ca="1"/>
        <v/>
      </c>
      <c r="C187" s="399" t="str">
        <f ca="1"/>
        <v/>
      </c>
      <c r="D187" s="400" t="str">
        <f ca="1"/>
        <v/>
      </c>
      <c r="E187" s="401" t="str">
        <f t="shared" ca="1" si="10"/>
        <v/>
      </c>
      <c r="F187" s="411"/>
      <c r="G187" s="407"/>
      <c r="N187" s="376" t="str">
        <f t="shared" ca="1" si="20"/>
        <v/>
      </c>
      <c r="O187" s="377" t="str">
        <f t="shared" ca="1" si="11"/>
        <v/>
      </c>
      <c r="P187" s="371" t="str">
        <f t="shared" ca="1" si="21"/>
        <v/>
      </c>
      <c r="Q187" s="371" t="str">
        <f t="shared" ca="1" si="12"/>
        <v/>
      </c>
      <c r="R187" s="378" t="str">
        <f t="shared" ca="1" si="22"/>
        <v/>
      </c>
      <c r="S187" s="417" t="str">
        <f t="shared" ca="1" si="13"/>
        <v/>
      </c>
      <c r="U187" s="376" t="str">
        <f t="shared" ca="1" si="14"/>
        <v/>
      </c>
      <c r="V187" s="371" t="str">
        <f t="shared" ca="1" si="15"/>
        <v/>
      </c>
      <c r="W187" s="378" t="str">
        <f t="shared" ca="1" si="16"/>
        <v/>
      </c>
      <c r="X187" s="376" t="str">
        <f t="shared" ca="1" si="17"/>
        <v/>
      </c>
      <c r="Y187" s="1103" t="str">
        <f t="shared" ca="1" si="18"/>
        <v/>
      </c>
      <c r="Z187" s="1097"/>
      <c r="AA187" s="1108"/>
      <c r="AB187" s="1108"/>
      <c r="AC187" s="1108"/>
      <c r="AE187" s="1104" t="str">
        <f t="shared" ca="1" si="23"/>
        <v/>
      </c>
      <c r="AF187" s="371" t="str">
        <f t="shared" ca="1" si="4"/>
        <v/>
      </c>
      <c r="AG187" s="371" t="str">
        <f t="shared" ca="1" si="26"/>
        <v/>
      </c>
      <c r="AH187" s="371" t="str">
        <f t="shared" ca="1" si="24"/>
        <v/>
      </c>
      <c r="AI187" s="1105" t="str">
        <f t="shared" ca="1" si="8"/>
        <v/>
      </c>
      <c r="AJ187" s="417" t="str">
        <f t="shared" ca="1" si="19"/>
        <v/>
      </c>
      <c r="AK187" s="1106" t="str">
        <f t="shared" ca="1" si="27"/>
        <v/>
      </c>
      <c r="AL187" s="1107" t="str">
        <f t="shared" ca="1" si="25"/>
        <v/>
      </c>
      <c r="BC187" s="40"/>
      <c r="BD187" s="40"/>
      <c r="BE187" s="40"/>
      <c r="BF187" s="40"/>
      <c r="BG187" s="40"/>
    </row>
    <row r="188" spans="1:59" ht="18" customHeight="1">
      <c r="A188" s="1095" t="str">
        <f ca="1"/>
        <v/>
      </c>
      <c r="B188" s="399" t="str">
        <f ca="1"/>
        <v/>
      </c>
      <c r="C188" s="399" t="str">
        <f ca="1"/>
        <v/>
      </c>
      <c r="D188" s="400" t="str">
        <f ca="1"/>
        <v/>
      </c>
      <c r="E188" s="401" t="str">
        <f t="shared" ca="1" si="10"/>
        <v/>
      </c>
      <c r="F188" s="411"/>
      <c r="G188" s="407"/>
      <c r="N188" s="376" t="str">
        <f t="shared" ca="1" si="20"/>
        <v/>
      </c>
      <c r="O188" s="377" t="str">
        <f t="shared" ca="1" si="11"/>
        <v/>
      </c>
      <c r="P188" s="371" t="str">
        <f t="shared" ca="1" si="21"/>
        <v/>
      </c>
      <c r="Q188" s="371" t="str">
        <f t="shared" ca="1" si="12"/>
        <v/>
      </c>
      <c r="R188" s="378" t="str">
        <f t="shared" ca="1" si="22"/>
        <v/>
      </c>
      <c r="S188" s="417" t="str">
        <f t="shared" ca="1" si="13"/>
        <v/>
      </c>
      <c r="U188" s="376" t="str">
        <f t="shared" ca="1" si="14"/>
        <v/>
      </c>
      <c r="V188" s="371" t="str">
        <f t="shared" ca="1" si="15"/>
        <v/>
      </c>
      <c r="W188" s="378" t="str">
        <f t="shared" ca="1" si="16"/>
        <v/>
      </c>
      <c r="X188" s="376" t="str">
        <f t="shared" ca="1" si="17"/>
        <v/>
      </c>
      <c r="Y188" s="1103" t="str">
        <f t="shared" ca="1" si="18"/>
        <v/>
      </c>
      <c r="Z188" s="1097"/>
      <c r="AA188" s="1108"/>
      <c r="AB188" s="1108"/>
      <c r="AC188" s="1108"/>
      <c r="AE188" s="1104" t="str">
        <f t="shared" ca="1" si="23"/>
        <v/>
      </c>
      <c r="AF188" s="371" t="str">
        <f t="shared" ca="1" si="4"/>
        <v/>
      </c>
      <c r="AG188" s="371" t="str">
        <f t="shared" ca="1" si="26"/>
        <v/>
      </c>
      <c r="AH188" s="371" t="str">
        <f t="shared" ca="1" si="24"/>
        <v/>
      </c>
      <c r="AI188" s="1105" t="str">
        <f t="shared" ca="1" si="8"/>
        <v/>
      </c>
      <c r="AJ188" s="417" t="str">
        <f t="shared" ca="1" si="19"/>
        <v/>
      </c>
      <c r="AK188" s="1106" t="str">
        <f t="shared" ca="1" si="27"/>
        <v/>
      </c>
      <c r="AL188" s="1107" t="str">
        <f t="shared" ca="1" si="25"/>
        <v/>
      </c>
      <c r="BC188" s="40"/>
      <c r="BD188" s="40"/>
      <c r="BE188" s="40"/>
      <c r="BF188" s="40"/>
      <c r="BG188" s="40"/>
    </row>
    <row r="189" spans="1:59" ht="18" customHeight="1">
      <c r="A189" s="1095" t="str">
        <f ca="1"/>
        <v/>
      </c>
      <c r="B189" s="399" t="str">
        <f ca="1"/>
        <v/>
      </c>
      <c r="C189" s="399" t="str">
        <f ca="1"/>
        <v/>
      </c>
      <c r="D189" s="400" t="str">
        <f ca="1"/>
        <v/>
      </c>
      <c r="E189" s="401" t="str">
        <f t="shared" ca="1" si="10"/>
        <v/>
      </c>
      <c r="F189" s="411"/>
      <c r="G189" s="407"/>
      <c r="N189" s="376" t="str">
        <f t="shared" ca="1" si="20"/>
        <v/>
      </c>
      <c r="O189" s="377" t="str">
        <f t="shared" ca="1" si="11"/>
        <v/>
      </c>
      <c r="P189" s="371" t="str">
        <f t="shared" ca="1" si="21"/>
        <v/>
      </c>
      <c r="Q189" s="371" t="str">
        <f t="shared" ca="1" si="12"/>
        <v/>
      </c>
      <c r="R189" s="378" t="str">
        <f t="shared" ca="1" si="22"/>
        <v/>
      </c>
      <c r="S189" s="417" t="str">
        <f t="shared" ca="1" si="13"/>
        <v/>
      </c>
      <c r="U189" s="376" t="str">
        <f t="shared" ca="1" si="14"/>
        <v/>
      </c>
      <c r="V189" s="371" t="str">
        <f t="shared" ca="1" si="15"/>
        <v/>
      </c>
      <c r="W189" s="378" t="str">
        <f t="shared" ca="1" si="16"/>
        <v/>
      </c>
      <c r="X189" s="376" t="str">
        <f t="shared" ca="1" si="17"/>
        <v/>
      </c>
      <c r="Y189" s="1103" t="str">
        <f t="shared" ca="1" si="18"/>
        <v/>
      </c>
      <c r="Z189" s="1097"/>
      <c r="AA189" s="1108"/>
      <c r="AB189" s="1108"/>
      <c r="AC189" s="1108"/>
      <c r="AE189" s="1104" t="str">
        <f t="shared" ca="1" si="23"/>
        <v/>
      </c>
      <c r="AF189" s="371" t="str">
        <f t="shared" ca="1" si="4"/>
        <v/>
      </c>
      <c r="AG189" s="371" t="str">
        <f t="shared" ca="1" si="26"/>
        <v/>
      </c>
      <c r="AH189" s="371" t="str">
        <f t="shared" ca="1" si="24"/>
        <v/>
      </c>
      <c r="AI189" s="1105" t="str">
        <f t="shared" ca="1" si="8"/>
        <v/>
      </c>
      <c r="AJ189" s="417" t="str">
        <f t="shared" ca="1" si="19"/>
        <v/>
      </c>
      <c r="AK189" s="1106" t="str">
        <f t="shared" ca="1" si="27"/>
        <v/>
      </c>
      <c r="AL189" s="1107" t="str">
        <f t="shared" ca="1" si="25"/>
        <v/>
      </c>
      <c r="BC189" s="40"/>
      <c r="BD189" s="40"/>
      <c r="BE189" s="40"/>
      <c r="BF189" s="40"/>
      <c r="BG189" s="40"/>
    </row>
    <row r="190" spans="1:59" ht="18" customHeight="1">
      <c r="A190" s="1095" t="str">
        <f ca="1"/>
        <v/>
      </c>
      <c r="B190" s="399" t="str">
        <f ca="1"/>
        <v/>
      </c>
      <c r="C190" s="399" t="str">
        <f ca="1"/>
        <v/>
      </c>
      <c r="D190" s="400" t="str">
        <f ca="1"/>
        <v/>
      </c>
      <c r="E190" s="401" t="str">
        <f t="shared" ca="1" si="10"/>
        <v/>
      </c>
      <c r="F190" s="411"/>
      <c r="G190" s="407"/>
      <c r="N190" s="376" t="str">
        <f t="shared" ca="1" si="20"/>
        <v/>
      </c>
      <c r="O190" s="377" t="str">
        <f t="shared" ca="1" si="11"/>
        <v/>
      </c>
      <c r="P190" s="371" t="str">
        <f t="shared" ca="1" si="21"/>
        <v/>
      </c>
      <c r="Q190" s="371" t="str">
        <f t="shared" ca="1" si="12"/>
        <v/>
      </c>
      <c r="R190" s="378" t="str">
        <f t="shared" ca="1" si="22"/>
        <v/>
      </c>
      <c r="S190" s="417" t="str">
        <f t="shared" ca="1" si="13"/>
        <v/>
      </c>
      <c r="U190" s="376" t="str">
        <f t="shared" ca="1" si="14"/>
        <v/>
      </c>
      <c r="V190" s="371" t="str">
        <f t="shared" ca="1" si="15"/>
        <v/>
      </c>
      <c r="W190" s="378" t="str">
        <f t="shared" ca="1" si="16"/>
        <v/>
      </c>
      <c r="X190" s="376" t="str">
        <f t="shared" ca="1" si="17"/>
        <v/>
      </c>
      <c r="Y190" s="1103" t="str">
        <f t="shared" ca="1" si="18"/>
        <v/>
      </c>
      <c r="Z190" s="1097"/>
      <c r="AA190" s="1108"/>
      <c r="AB190" s="1108"/>
      <c r="AC190" s="1108"/>
      <c r="AE190" s="1104" t="str">
        <f t="shared" ca="1" si="23"/>
        <v/>
      </c>
      <c r="AF190" s="371" t="str">
        <f t="shared" ca="1" si="4"/>
        <v/>
      </c>
      <c r="AG190" s="371" t="str">
        <f t="shared" ca="1" si="26"/>
        <v/>
      </c>
      <c r="AH190" s="371" t="str">
        <f t="shared" ca="1" si="24"/>
        <v/>
      </c>
      <c r="AI190" s="1105" t="str">
        <f t="shared" ca="1" si="8"/>
        <v/>
      </c>
      <c r="AJ190" s="417" t="str">
        <f t="shared" ca="1" si="19"/>
        <v/>
      </c>
      <c r="AK190" s="1106" t="str">
        <f t="shared" ca="1" si="27"/>
        <v/>
      </c>
      <c r="AL190" s="1107" t="str">
        <f t="shared" ca="1" si="25"/>
        <v/>
      </c>
      <c r="BC190" s="40"/>
      <c r="BD190" s="40"/>
      <c r="BE190" s="40"/>
      <c r="BF190" s="40"/>
      <c r="BG190" s="40"/>
    </row>
    <row r="191" spans="1:59" ht="18" customHeight="1">
      <c r="A191" s="1095" t="str">
        <f ca="1"/>
        <v/>
      </c>
      <c r="B191" s="399" t="str">
        <f ca="1"/>
        <v/>
      </c>
      <c r="C191" s="399" t="str">
        <f ca="1"/>
        <v/>
      </c>
      <c r="D191" s="400" t="str">
        <f ca="1"/>
        <v/>
      </c>
      <c r="E191" s="401" t="str">
        <f t="shared" ca="1" si="10"/>
        <v/>
      </c>
      <c r="F191" s="411"/>
      <c r="G191" s="407"/>
      <c r="N191" s="376" t="str">
        <f t="shared" ca="1" si="20"/>
        <v/>
      </c>
      <c r="O191" s="377" t="str">
        <f t="shared" ca="1" si="11"/>
        <v/>
      </c>
      <c r="P191" s="371" t="str">
        <f t="shared" ca="1" si="21"/>
        <v/>
      </c>
      <c r="Q191" s="371" t="str">
        <f t="shared" ca="1" si="12"/>
        <v/>
      </c>
      <c r="R191" s="378" t="str">
        <f t="shared" ca="1" si="22"/>
        <v/>
      </c>
      <c r="S191" s="417" t="str">
        <f t="shared" ca="1" si="13"/>
        <v/>
      </c>
      <c r="U191" s="376" t="str">
        <f t="shared" ca="1" si="14"/>
        <v/>
      </c>
      <c r="V191" s="371" t="str">
        <f t="shared" ca="1" si="15"/>
        <v/>
      </c>
      <c r="W191" s="378" t="str">
        <f t="shared" ca="1" si="16"/>
        <v/>
      </c>
      <c r="X191" s="376" t="str">
        <f t="shared" ca="1" si="17"/>
        <v/>
      </c>
      <c r="Y191" s="1103" t="str">
        <f t="shared" ca="1" si="18"/>
        <v/>
      </c>
      <c r="Z191" s="1097"/>
      <c r="AA191" s="1108"/>
      <c r="AB191" s="1108"/>
      <c r="AC191" s="1108"/>
      <c r="AE191" s="1104" t="str">
        <f t="shared" ca="1" si="23"/>
        <v/>
      </c>
      <c r="AF191" s="371" t="str">
        <f t="shared" ca="1" si="4"/>
        <v/>
      </c>
      <c r="AG191" s="371" t="str">
        <f t="shared" ca="1" si="26"/>
        <v/>
      </c>
      <c r="AH191" s="371" t="str">
        <f t="shared" ca="1" si="24"/>
        <v/>
      </c>
      <c r="AI191" s="1105" t="str">
        <f t="shared" ca="1" si="8"/>
        <v/>
      </c>
      <c r="AJ191" s="417" t="str">
        <f t="shared" ca="1" si="19"/>
        <v/>
      </c>
      <c r="AK191" s="1106" t="str">
        <f t="shared" ca="1" si="27"/>
        <v/>
      </c>
      <c r="AL191" s="1107" t="str">
        <f t="shared" ca="1" si="25"/>
        <v/>
      </c>
      <c r="BC191" s="40"/>
      <c r="BD191" s="40"/>
      <c r="BE191" s="40"/>
      <c r="BF191" s="40"/>
      <c r="BG191" s="40"/>
    </row>
    <row r="192" spans="1:59" ht="18" customHeight="1">
      <c r="A192" s="1095" t="str">
        <f ca="1"/>
        <v/>
      </c>
      <c r="B192" s="399" t="str">
        <f ca="1"/>
        <v/>
      </c>
      <c r="C192" s="399" t="str">
        <f ca="1"/>
        <v/>
      </c>
      <c r="D192" s="400" t="str">
        <f ca="1"/>
        <v/>
      </c>
      <c r="E192" s="401" t="str">
        <f t="shared" ca="1" si="10"/>
        <v/>
      </c>
      <c r="F192" s="411"/>
      <c r="G192" s="407"/>
      <c r="N192" s="376" t="str">
        <f t="shared" ca="1" si="20"/>
        <v/>
      </c>
      <c r="O192" s="377" t="str">
        <f t="shared" ca="1" si="11"/>
        <v/>
      </c>
      <c r="P192" s="371" t="str">
        <f t="shared" ca="1" si="21"/>
        <v/>
      </c>
      <c r="Q192" s="371" t="str">
        <f t="shared" ca="1" si="12"/>
        <v/>
      </c>
      <c r="R192" s="378" t="str">
        <f t="shared" ca="1" si="22"/>
        <v/>
      </c>
      <c r="S192" s="417" t="str">
        <f t="shared" ca="1" si="13"/>
        <v/>
      </c>
      <c r="U192" s="376" t="str">
        <f t="shared" ca="1" si="14"/>
        <v/>
      </c>
      <c r="V192" s="371" t="str">
        <f t="shared" ca="1" si="15"/>
        <v/>
      </c>
      <c r="W192" s="378" t="str">
        <f t="shared" ca="1" si="16"/>
        <v/>
      </c>
      <c r="X192" s="376" t="str">
        <f t="shared" ca="1" si="17"/>
        <v/>
      </c>
      <c r="Y192" s="1103" t="str">
        <f t="shared" ca="1" si="18"/>
        <v/>
      </c>
      <c r="Z192" s="1097"/>
      <c r="AA192" s="1108"/>
      <c r="AB192" s="1108"/>
      <c r="AC192" s="1108"/>
      <c r="AE192" s="1104" t="str">
        <f t="shared" ca="1" si="23"/>
        <v/>
      </c>
      <c r="AF192" s="371" t="str">
        <f t="shared" ca="1" si="4"/>
        <v/>
      </c>
      <c r="AG192" s="371" t="str">
        <f t="shared" ca="1" si="26"/>
        <v/>
      </c>
      <c r="AH192" s="371" t="str">
        <f t="shared" ca="1" si="24"/>
        <v/>
      </c>
      <c r="AI192" s="1105" t="str">
        <f t="shared" ca="1" si="8"/>
        <v/>
      </c>
      <c r="AJ192" s="417" t="str">
        <f t="shared" ca="1" si="19"/>
        <v/>
      </c>
      <c r="AK192" s="1106" t="str">
        <f t="shared" ca="1" si="27"/>
        <v/>
      </c>
      <c r="AL192" s="1107" t="str">
        <f t="shared" ca="1" si="25"/>
        <v/>
      </c>
      <c r="BC192" s="40"/>
      <c r="BD192" s="40"/>
      <c r="BE192" s="40"/>
      <c r="BF192" s="40"/>
      <c r="BG192" s="40"/>
    </row>
    <row r="193" spans="1:59" ht="18" customHeight="1">
      <c r="A193" s="1095" t="str">
        <f ca="1"/>
        <v/>
      </c>
      <c r="B193" s="399" t="str">
        <f ca="1"/>
        <v/>
      </c>
      <c r="C193" s="399" t="str">
        <f ca="1"/>
        <v/>
      </c>
      <c r="D193" s="400" t="str">
        <f ca="1"/>
        <v/>
      </c>
      <c r="E193" s="401" t="str">
        <f t="shared" ca="1" si="10"/>
        <v/>
      </c>
      <c r="F193" s="411"/>
      <c r="G193" s="407"/>
      <c r="N193" s="376" t="str">
        <f t="shared" ca="1" si="20"/>
        <v/>
      </c>
      <c r="O193" s="377" t="str">
        <f t="shared" ca="1" si="11"/>
        <v/>
      </c>
      <c r="P193" s="371" t="str">
        <f t="shared" ca="1" si="21"/>
        <v/>
      </c>
      <c r="Q193" s="371" t="str">
        <f t="shared" ca="1" si="12"/>
        <v/>
      </c>
      <c r="R193" s="378" t="str">
        <f t="shared" ca="1" si="22"/>
        <v/>
      </c>
      <c r="S193" s="417" t="str">
        <f t="shared" ca="1" si="13"/>
        <v/>
      </c>
      <c r="U193" s="376" t="str">
        <f t="shared" ca="1" si="14"/>
        <v/>
      </c>
      <c r="V193" s="371" t="str">
        <f t="shared" ca="1" si="15"/>
        <v/>
      </c>
      <c r="W193" s="378" t="str">
        <f t="shared" ca="1" si="16"/>
        <v/>
      </c>
      <c r="X193" s="376" t="str">
        <f t="shared" ca="1" si="17"/>
        <v/>
      </c>
      <c r="Y193" s="1103" t="str">
        <f t="shared" ca="1" si="18"/>
        <v/>
      </c>
      <c r="Z193" s="1097"/>
      <c r="AA193" s="1108"/>
      <c r="AB193" s="1108"/>
      <c r="AC193" s="1108"/>
      <c r="AE193" s="1104" t="str">
        <f t="shared" ca="1" si="23"/>
        <v/>
      </c>
      <c r="AF193" s="371" t="str">
        <f t="shared" ca="1" si="4"/>
        <v/>
      </c>
      <c r="AG193" s="371" t="str">
        <f t="shared" ca="1" si="26"/>
        <v/>
      </c>
      <c r="AH193" s="371" t="str">
        <f t="shared" ca="1" si="24"/>
        <v/>
      </c>
      <c r="AI193" s="1105" t="str">
        <f t="shared" ca="1" si="8"/>
        <v/>
      </c>
      <c r="AJ193" s="417" t="str">
        <f t="shared" ca="1" si="19"/>
        <v/>
      </c>
      <c r="AK193" s="1106" t="str">
        <f t="shared" ca="1" si="27"/>
        <v/>
      </c>
      <c r="AL193" s="1107" t="str">
        <f t="shared" ca="1" si="25"/>
        <v/>
      </c>
      <c r="BC193" s="40"/>
      <c r="BD193" s="40"/>
      <c r="BE193" s="40"/>
      <c r="BF193" s="40"/>
      <c r="BG193" s="40"/>
    </row>
    <row r="194" spans="1:59" ht="18" customHeight="1">
      <c r="A194" s="1095" t="str">
        <f ca="1"/>
        <v/>
      </c>
      <c r="B194" s="399" t="str">
        <f ca="1"/>
        <v/>
      </c>
      <c r="C194" s="399" t="str">
        <f ca="1"/>
        <v/>
      </c>
      <c r="D194" s="400" t="str">
        <f ca="1"/>
        <v/>
      </c>
      <c r="E194" s="401" t="str">
        <f t="shared" ca="1" si="10"/>
        <v/>
      </c>
      <c r="F194" s="411"/>
      <c r="G194" s="407"/>
      <c r="N194" s="376" t="str">
        <f t="shared" ca="1" si="20"/>
        <v/>
      </c>
      <c r="O194" s="377" t="str">
        <f t="shared" ca="1" si="11"/>
        <v/>
      </c>
      <c r="P194" s="371" t="str">
        <f t="shared" ca="1" si="21"/>
        <v/>
      </c>
      <c r="Q194" s="371" t="str">
        <f t="shared" ca="1" si="12"/>
        <v/>
      </c>
      <c r="R194" s="378" t="str">
        <f t="shared" ca="1" si="22"/>
        <v/>
      </c>
      <c r="S194" s="417" t="str">
        <f t="shared" ca="1" si="13"/>
        <v/>
      </c>
      <c r="U194" s="376" t="str">
        <f t="shared" ca="1" si="14"/>
        <v/>
      </c>
      <c r="V194" s="371" t="str">
        <f t="shared" ca="1" si="15"/>
        <v/>
      </c>
      <c r="W194" s="378" t="str">
        <f t="shared" ca="1" si="16"/>
        <v/>
      </c>
      <c r="X194" s="376" t="str">
        <f t="shared" ca="1" si="17"/>
        <v/>
      </c>
      <c r="Y194" s="1103" t="str">
        <f t="shared" ca="1" si="18"/>
        <v/>
      </c>
      <c r="Z194" s="1097"/>
      <c r="AA194" s="1108"/>
      <c r="AB194" s="1108"/>
      <c r="AC194" s="1108"/>
      <c r="AE194" s="1104" t="str">
        <f t="shared" ca="1" si="23"/>
        <v/>
      </c>
      <c r="AF194" s="371" t="str">
        <f t="shared" ca="1" si="4"/>
        <v/>
      </c>
      <c r="AG194" s="371" t="str">
        <f t="shared" ca="1" si="26"/>
        <v/>
      </c>
      <c r="AH194" s="371" t="str">
        <f t="shared" ca="1" si="24"/>
        <v/>
      </c>
      <c r="AI194" s="1105" t="str">
        <f t="shared" ca="1" si="8"/>
        <v/>
      </c>
      <c r="AJ194" s="417" t="str">
        <f t="shared" ca="1" si="19"/>
        <v/>
      </c>
      <c r="AK194" s="1106" t="str">
        <f t="shared" ca="1" si="27"/>
        <v/>
      </c>
      <c r="AL194" s="1107" t="str">
        <f t="shared" ca="1" si="25"/>
        <v/>
      </c>
      <c r="BC194" s="40"/>
      <c r="BD194" s="40"/>
      <c r="BE194" s="40"/>
      <c r="BF194" s="40"/>
      <c r="BG194" s="40"/>
    </row>
    <row r="195" spans="1:59" ht="18" customHeight="1">
      <c r="A195" s="1095" t="str">
        <f ca="1"/>
        <v/>
      </c>
      <c r="B195" s="399" t="str">
        <f ca="1"/>
        <v/>
      </c>
      <c r="C195" s="399" t="str">
        <f ca="1"/>
        <v/>
      </c>
      <c r="D195" s="400" t="str">
        <f ca="1"/>
        <v/>
      </c>
      <c r="E195" s="401" t="str">
        <f t="shared" ca="1" si="10"/>
        <v/>
      </c>
      <c r="F195" s="411"/>
      <c r="G195" s="407"/>
      <c r="N195" s="376" t="str">
        <f t="shared" ca="1" si="20"/>
        <v/>
      </c>
      <c r="O195" s="377" t="str">
        <f t="shared" ca="1" si="11"/>
        <v/>
      </c>
      <c r="P195" s="371" t="str">
        <f t="shared" ca="1" si="21"/>
        <v/>
      </c>
      <c r="Q195" s="371" t="str">
        <f t="shared" ca="1" si="12"/>
        <v/>
      </c>
      <c r="R195" s="378" t="str">
        <f t="shared" ca="1" si="22"/>
        <v/>
      </c>
      <c r="S195" s="417" t="str">
        <f t="shared" ca="1" si="13"/>
        <v/>
      </c>
      <c r="U195" s="376" t="str">
        <f t="shared" ca="1" si="14"/>
        <v/>
      </c>
      <c r="V195" s="371" t="str">
        <f t="shared" ca="1" si="15"/>
        <v/>
      </c>
      <c r="W195" s="378" t="str">
        <f t="shared" ca="1" si="16"/>
        <v/>
      </c>
      <c r="X195" s="376" t="str">
        <f t="shared" ca="1" si="17"/>
        <v/>
      </c>
      <c r="Y195" s="1103" t="str">
        <f t="shared" ca="1" si="18"/>
        <v/>
      </c>
      <c r="Z195" s="1097"/>
      <c r="AA195" s="1108"/>
      <c r="AB195" s="1108"/>
      <c r="AC195" s="1108"/>
      <c r="AE195" s="1104" t="str">
        <f t="shared" ca="1" si="23"/>
        <v/>
      </c>
      <c r="AF195" s="371" t="str">
        <f t="shared" ca="1" si="4"/>
        <v/>
      </c>
      <c r="AG195" s="371" t="str">
        <f t="shared" ca="1" si="26"/>
        <v/>
      </c>
      <c r="AH195" s="371" t="str">
        <f t="shared" ca="1" si="24"/>
        <v/>
      </c>
      <c r="AI195" s="1105" t="str">
        <f t="shared" ca="1" si="8"/>
        <v/>
      </c>
      <c r="AJ195" s="417" t="str">
        <f t="shared" ca="1" si="19"/>
        <v/>
      </c>
      <c r="AK195" s="1106" t="str">
        <f t="shared" ca="1" si="27"/>
        <v/>
      </c>
      <c r="AL195" s="1107" t="str">
        <f t="shared" ca="1" si="25"/>
        <v/>
      </c>
      <c r="BC195" s="40"/>
      <c r="BD195" s="40"/>
      <c r="BE195" s="40"/>
      <c r="BF195" s="40"/>
      <c r="BG195" s="40"/>
    </row>
    <row r="196" spans="1:59" ht="18" customHeight="1">
      <c r="A196" s="1095" t="str">
        <f ca="1"/>
        <v/>
      </c>
      <c r="B196" s="399" t="str">
        <f ca="1"/>
        <v/>
      </c>
      <c r="C196" s="399" t="str">
        <f ca="1"/>
        <v/>
      </c>
      <c r="D196" s="400" t="str">
        <f ca="1"/>
        <v/>
      </c>
      <c r="E196" s="401" t="str">
        <f t="shared" ca="1" si="10"/>
        <v/>
      </c>
      <c r="F196" s="411"/>
      <c r="G196" s="407"/>
      <c r="N196" s="376" t="str">
        <f t="shared" ca="1" si="20"/>
        <v/>
      </c>
      <c r="O196" s="377" t="str">
        <f t="shared" ca="1" si="11"/>
        <v/>
      </c>
      <c r="P196" s="371" t="str">
        <f t="shared" ca="1" si="21"/>
        <v/>
      </c>
      <c r="Q196" s="371" t="str">
        <f t="shared" ca="1" si="12"/>
        <v/>
      </c>
      <c r="R196" s="378" t="str">
        <f t="shared" ca="1" si="22"/>
        <v/>
      </c>
      <c r="S196" s="417" t="str">
        <f t="shared" ca="1" si="13"/>
        <v/>
      </c>
      <c r="U196" s="376" t="str">
        <f t="shared" ca="1" si="14"/>
        <v/>
      </c>
      <c r="V196" s="371" t="str">
        <f t="shared" ca="1" si="15"/>
        <v/>
      </c>
      <c r="W196" s="378" t="str">
        <f t="shared" ca="1" si="16"/>
        <v/>
      </c>
      <c r="X196" s="376" t="str">
        <f t="shared" ca="1" si="17"/>
        <v/>
      </c>
      <c r="Y196" s="1103" t="str">
        <f t="shared" ca="1" si="18"/>
        <v/>
      </c>
      <c r="Z196" s="1097"/>
      <c r="AA196" s="1108"/>
      <c r="AB196" s="1108"/>
      <c r="AC196" s="1108"/>
      <c r="AE196" s="1104" t="str">
        <f t="shared" ca="1" si="23"/>
        <v/>
      </c>
      <c r="AF196" s="371" t="str">
        <f t="shared" ref="AF196:AF217" ca="1" si="28">IF(AE196="","",IF($C$17="unten",C196,IF($C$17="oben",$C$14-C196)))</f>
        <v/>
      </c>
      <c r="AG196" s="371" t="str">
        <f t="shared" ca="1" si="26"/>
        <v/>
      </c>
      <c r="AH196" s="371" t="str">
        <f t="shared" ca="1" si="24"/>
        <v/>
      </c>
      <c r="AI196" s="1105" t="str">
        <f t="shared" ca="1" si="8"/>
        <v/>
      </c>
      <c r="AJ196" s="417" t="str">
        <f t="shared" ca="1" si="19"/>
        <v/>
      </c>
      <c r="AK196" s="1106" t="str">
        <f t="shared" ca="1" si="27"/>
        <v/>
      </c>
      <c r="AL196" s="1107" t="str">
        <f t="shared" ca="1" si="25"/>
        <v/>
      </c>
      <c r="BC196" s="40"/>
      <c r="BD196" s="40"/>
      <c r="BE196" s="40"/>
      <c r="BF196" s="40"/>
      <c r="BG196" s="40"/>
    </row>
    <row r="197" spans="1:59" ht="18" customHeight="1">
      <c r="A197" s="1095" t="str">
        <f ca="1"/>
        <v/>
      </c>
      <c r="B197" s="399" t="str">
        <f ca="1"/>
        <v/>
      </c>
      <c r="C197" s="399" t="str">
        <f ca="1"/>
        <v/>
      </c>
      <c r="D197" s="400" t="str">
        <f ca="1"/>
        <v/>
      </c>
      <c r="E197" s="401" t="str">
        <f t="shared" ca="1" si="10"/>
        <v/>
      </c>
      <c r="F197" s="411"/>
      <c r="G197" s="407"/>
      <c r="N197" s="376" t="str">
        <f t="shared" ca="1" si="20"/>
        <v/>
      </c>
      <c r="O197" s="377" t="str">
        <f t="shared" ca="1" si="11"/>
        <v/>
      </c>
      <c r="P197" s="371" t="str">
        <f t="shared" ca="1" si="21"/>
        <v/>
      </c>
      <c r="Q197" s="371" t="str">
        <f t="shared" ca="1" si="12"/>
        <v/>
      </c>
      <c r="R197" s="378" t="str">
        <f t="shared" ca="1" si="22"/>
        <v/>
      </c>
      <c r="S197" s="417" t="str">
        <f t="shared" ca="1" si="13"/>
        <v/>
      </c>
      <c r="U197" s="376" t="str">
        <f t="shared" ca="1" si="14"/>
        <v/>
      </c>
      <c r="V197" s="371" t="str">
        <f t="shared" ca="1" si="15"/>
        <v/>
      </c>
      <c r="W197" s="378" t="str">
        <f t="shared" ca="1" si="16"/>
        <v/>
      </c>
      <c r="X197" s="376" t="str">
        <f t="shared" ca="1" si="17"/>
        <v/>
      </c>
      <c r="Y197" s="1103" t="str">
        <f t="shared" ca="1" si="18"/>
        <v/>
      </c>
      <c r="Z197" s="1097"/>
      <c r="AA197" s="1108"/>
      <c r="AB197" s="1108"/>
      <c r="AC197" s="1108"/>
      <c r="AE197" s="1104" t="str">
        <f t="shared" ca="1" si="23"/>
        <v/>
      </c>
      <c r="AF197" s="371" t="str">
        <f t="shared" ca="1" si="28"/>
        <v/>
      </c>
      <c r="AG197" s="371" t="str">
        <f t="shared" ca="1" si="26"/>
        <v/>
      </c>
      <c r="AH197" s="371" t="str">
        <f t="shared" ca="1" si="24"/>
        <v/>
      </c>
      <c r="AI197" s="1105" t="str">
        <f t="shared" ca="1" si="8"/>
        <v/>
      </c>
      <c r="AJ197" s="417" t="str">
        <f t="shared" ca="1" si="19"/>
        <v/>
      </c>
      <c r="AK197" s="1106" t="str">
        <f t="shared" ca="1" si="27"/>
        <v/>
      </c>
      <c r="AL197" s="1107" t="str">
        <f t="shared" ca="1" si="25"/>
        <v/>
      </c>
      <c r="BC197" s="40"/>
      <c r="BD197" s="40"/>
      <c r="BE197" s="40"/>
      <c r="BF197" s="40"/>
      <c r="BG197" s="40"/>
    </row>
    <row r="198" spans="1:59" ht="18" customHeight="1">
      <c r="A198" s="1095" t="str">
        <f ca="1"/>
        <v/>
      </c>
      <c r="B198" s="399" t="str">
        <f ca="1"/>
        <v/>
      </c>
      <c r="C198" s="399" t="str">
        <f ca="1"/>
        <v/>
      </c>
      <c r="D198" s="400" t="str">
        <f ca="1"/>
        <v/>
      </c>
      <c r="E198" s="401" t="str">
        <f t="shared" ca="1" si="10"/>
        <v/>
      </c>
      <c r="F198" s="411"/>
      <c r="G198" s="407"/>
      <c r="N198" s="376" t="str">
        <f t="shared" ca="1" si="20"/>
        <v/>
      </c>
      <c r="O198" s="377" t="str">
        <f t="shared" ca="1" si="11"/>
        <v/>
      </c>
      <c r="P198" s="371" t="str">
        <f t="shared" ca="1" si="21"/>
        <v/>
      </c>
      <c r="Q198" s="371" t="str">
        <f t="shared" ca="1" si="12"/>
        <v/>
      </c>
      <c r="R198" s="378" t="str">
        <f t="shared" ca="1" si="22"/>
        <v/>
      </c>
      <c r="S198" s="417" t="str">
        <f t="shared" ca="1" si="13"/>
        <v/>
      </c>
      <c r="U198" s="376" t="str">
        <f t="shared" ca="1" si="14"/>
        <v/>
      </c>
      <c r="V198" s="371" t="str">
        <f t="shared" ca="1" si="15"/>
        <v/>
      </c>
      <c r="W198" s="378" t="str">
        <f t="shared" ca="1" si="16"/>
        <v/>
      </c>
      <c r="X198" s="376" t="str">
        <f t="shared" ca="1" si="17"/>
        <v/>
      </c>
      <c r="Y198" s="1103" t="str">
        <f t="shared" ca="1" si="18"/>
        <v/>
      </c>
      <c r="Z198" s="1097"/>
      <c r="AA198" s="1108"/>
      <c r="AB198" s="1108"/>
      <c r="AC198" s="1108"/>
      <c r="AE198" s="1104" t="str">
        <f t="shared" ca="1" si="23"/>
        <v/>
      </c>
      <c r="AF198" s="371" t="str">
        <f t="shared" ca="1" si="28"/>
        <v/>
      </c>
      <c r="AG198" s="371" t="str">
        <f t="shared" ca="1" si="26"/>
        <v/>
      </c>
      <c r="AH198" s="371" t="str">
        <f t="shared" ca="1" si="24"/>
        <v/>
      </c>
      <c r="AI198" s="1105" t="str">
        <f t="shared" ca="1" si="8"/>
        <v/>
      </c>
      <c r="AJ198" s="417" t="str">
        <f t="shared" ca="1" si="19"/>
        <v/>
      </c>
      <c r="AK198" s="1106" t="str">
        <f t="shared" ca="1" si="27"/>
        <v/>
      </c>
      <c r="AL198" s="1107" t="str">
        <f t="shared" ca="1" si="25"/>
        <v/>
      </c>
      <c r="BC198" s="40"/>
      <c r="BD198" s="40"/>
      <c r="BE198" s="40"/>
      <c r="BF198" s="40"/>
      <c r="BG198" s="40"/>
    </row>
    <row r="199" spans="1:59" ht="18" customHeight="1">
      <c r="A199" s="1095" t="str">
        <f ca="1"/>
        <v/>
      </c>
      <c r="B199" s="399" t="str">
        <f ca="1"/>
        <v/>
      </c>
      <c r="C199" s="399" t="str">
        <f ca="1"/>
        <v/>
      </c>
      <c r="D199" s="400" t="str">
        <f ca="1"/>
        <v/>
      </c>
      <c r="E199" s="401" t="str">
        <f t="shared" ca="1" si="10"/>
        <v/>
      </c>
      <c r="F199" s="411"/>
      <c r="G199" s="407"/>
      <c r="N199" s="376" t="str">
        <f t="shared" ca="1" si="20"/>
        <v/>
      </c>
      <c r="O199" s="377" t="str">
        <f t="shared" ca="1" si="11"/>
        <v/>
      </c>
      <c r="P199" s="371" t="str">
        <f t="shared" ca="1" si="21"/>
        <v/>
      </c>
      <c r="Q199" s="371" t="str">
        <f t="shared" ca="1" si="12"/>
        <v/>
      </c>
      <c r="R199" s="378" t="str">
        <f t="shared" ca="1" si="22"/>
        <v/>
      </c>
      <c r="S199" s="417" t="str">
        <f t="shared" ca="1" si="13"/>
        <v/>
      </c>
      <c r="U199" s="376" t="str">
        <f t="shared" ca="1" si="14"/>
        <v/>
      </c>
      <c r="V199" s="371" t="str">
        <f t="shared" ca="1" si="15"/>
        <v/>
      </c>
      <c r="W199" s="378" t="str">
        <f t="shared" ca="1" si="16"/>
        <v/>
      </c>
      <c r="X199" s="376" t="str">
        <f t="shared" ca="1" si="17"/>
        <v/>
      </c>
      <c r="Y199" s="1103" t="str">
        <f t="shared" ca="1" si="18"/>
        <v/>
      </c>
      <c r="Z199" s="1097"/>
      <c r="AA199" s="1108"/>
      <c r="AB199" s="1108"/>
      <c r="AC199" s="1108"/>
      <c r="AE199" s="1104" t="str">
        <f t="shared" ca="1" si="23"/>
        <v/>
      </c>
      <c r="AF199" s="371" t="str">
        <f t="shared" ca="1" si="28"/>
        <v/>
      </c>
      <c r="AG199" s="371" t="str">
        <f t="shared" ca="1" si="26"/>
        <v/>
      </c>
      <c r="AH199" s="371" t="str">
        <f t="shared" ca="1" si="24"/>
        <v/>
      </c>
      <c r="AI199" s="1105" t="str">
        <f t="shared" ca="1" si="8"/>
        <v/>
      </c>
      <c r="AJ199" s="417" t="str">
        <f t="shared" ca="1" si="19"/>
        <v/>
      </c>
      <c r="AK199" s="1106" t="str">
        <f t="shared" ca="1" si="27"/>
        <v/>
      </c>
      <c r="AL199" s="1107" t="str">
        <f t="shared" ca="1" si="25"/>
        <v/>
      </c>
      <c r="BC199" s="40"/>
      <c r="BD199" s="40"/>
      <c r="BE199" s="40"/>
      <c r="BF199" s="40"/>
      <c r="BG199" s="40"/>
    </row>
    <row r="200" spans="1:59" ht="18" customHeight="1">
      <c r="A200" s="1095" t="str">
        <f ca="1"/>
        <v/>
      </c>
      <c r="B200" s="399" t="str">
        <f ca="1"/>
        <v/>
      </c>
      <c r="C200" s="399" t="str">
        <f ca="1"/>
        <v/>
      </c>
      <c r="D200" s="400" t="str">
        <f ca="1"/>
        <v/>
      </c>
      <c r="E200" s="401" t="str">
        <f t="shared" ca="1" si="10"/>
        <v/>
      </c>
      <c r="F200" s="411"/>
      <c r="G200" s="407"/>
      <c r="N200" s="376" t="str">
        <f t="shared" ca="1" si="20"/>
        <v/>
      </c>
      <c r="O200" s="377" t="str">
        <f t="shared" ca="1" si="11"/>
        <v/>
      </c>
      <c r="P200" s="371" t="str">
        <f t="shared" ca="1" si="21"/>
        <v/>
      </c>
      <c r="Q200" s="371" t="str">
        <f t="shared" ca="1" si="12"/>
        <v/>
      </c>
      <c r="R200" s="378" t="str">
        <f t="shared" ca="1" si="22"/>
        <v/>
      </c>
      <c r="S200" s="417" t="str">
        <f t="shared" ca="1" si="13"/>
        <v/>
      </c>
      <c r="U200" s="376" t="str">
        <f t="shared" ca="1" si="14"/>
        <v/>
      </c>
      <c r="V200" s="371" t="str">
        <f t="shared" ca="1" si="15"/>
        <v/>
      </c>
      <c r="W200" s="378" t="str">
        <f t="shared" ca="1" si="16"/>
        <v/>
      </c>
      <c r="X200" s="376" t="str">
        <f t="shared" ca="1" si="17"/>
        <v/>
      </c>
      <c r="Y200" s="1103" t="str">
        <f t="shared" ca="1" si="18"/>
        <v/>
      </c>
      <c r="Z200" s="1097"/>
      <c r="AA200" s="1108"/>
      <c r="AB200" s="1108"/>
      <c r="AC200" s="1108"/>
      <c r="AE200" s="1104" t="str">
        <f t="shared" ca="1" si="23"/>
        <v/>
      </c>
      <c r="AF200" s="371" t="str">
        <f t="shared" ca="1" si="28"/>
        <v/>
      </c>
      <c r="AG200" s="371" t="str">
        <f t="shared" ca="1" si="26"/>
        <v/>
      </c>
      <c r="AH200" s="371" t="str">
        <f t="shared" ca="1" si="24"/>
        <v/>
      </c>
      <c r="AI200" s="1105" t="str">
        <f t="shared" ref="AI200:AI214" ca="1" si="29">IF(AF200="","",AL200*$AK$221/AK200)</f>
        <v/>
      </c>
      <c r="AJ200" s="417" t="str">
        <f t="shared" ca="1" si="19"/>
        <v/>
      </c>
      <c r="AK200" s="1106" t="str">
        <f t="shared" ca="1" si="27"/>
        <v/>
      </c>
      <c r="AL200" s="1107" t="str">
        <f t="shared" ca="1" si="25"/>
        <v/>
      </c>
      <c r="BC200" s="40"/>
      <c r="BD200" s="40"/>
      <c r="BE200" s="40"/>
      <c r="BF200" s="40"/>
      <c r="BG200" s="40"/>
    </row>
    <row r="201" spans="1:59" ht="18" customHeight="1">
      <c r="A201" s="1095" t="str">
        <f ca="1"/>
        <v/>
      </c>
      <c r="B201" s="399" t="str">
        <f ca="1"/>
        <v/>
      </c>
      <c r="C201" s="399" t="str">
        <f ca="1"/>
        <v/>
      </c>
      <c r="D201" s="400" t="str">
        <f ca="1"/>
        <v/>
      </c>
      <c r="E201" s="401" t="str">
        <f t="shared" ca="1" si="10"/>
        <v/>
      </c>
      <c r="F201" s="411"/>
      <c r="G201" s="407"/>
      <c r="N201" s="376" t="str">
        <f t="shared" ca="1" si="20"/>
        <v/>
      </c>
      <c r="O201" s="377" t="str">
        <f t="shared" ca="1" si="11"/>
        <v/>
      </c>
      <c r="P201" s="371" t="str">
        <f t="shared" ca="1" si="21"/>
        <v/>
      </c>
      <c r="Q201" s="371" t="str">
        <f t="shared" ca="1" si="12"/>
        <v/>
      </c>
      <c r="R201" s="378" t="str">
        <f t="shared" ca="1" si="22"/>
        <v/>
      </c>
      <c r="S201" s="417" t="str">
        <f t="shared" ca="1" si="13"/>
        <v/>
      </c>
      <c r="U201" s="376" t="str">
        <f t="shared" ca="1" si="14"/>
        <v/>
      </c>
      <c r="V201" s="371" t="str">
        <f t="shared" ca="1" si="15"/>
        <v/>
      </c>
      <c r="W201" s="378" t="str">
        <f t="shared" ca="1" si="16"/>
        <v/>
      </c>
      <c r="X201" s="376" t="str">
        <f t="shared" ca="1" si="17"/>
        <v/>
      </c>
      <c r="Y201" s="1103" t="str">
        <f t="shared" ca="1" si="18"/>
        <v/>
      </c>
      <c r="Z201" s="1097"/>
      <c r="AA201" s="1108"/>
      <c r="AB201" s="1108"/>
      <c r="AC201" s="1108"/>
      <c r="AE201" s="1104" t="str">
        <f t="shared" ca="1" si="23"/>
        <v/>
      </c>
      <c r="AF201" s="371" t="str">
        <f t="shared" ca="1" si="28"/>
        <v/>
      </c>
      <c r="AG201" s="371" t="str">
        <f t="shared" ca="1" si="26"/>
        <v/>
      </c>
      <c r="AH201" s="371" t="str">
        <f t="shared" ca="1" si="24"/>
        <v/>
      </c>
      <c r="AI201" s="1105" t="str">
        <f t="shared" ca="1" si="29"/>
        <v/>
      </c>
      <c r="AJ201" s="417" t="str">
        <f t="shared" ca="1" si="19"/>
        <v/>
      </c>
      <c r="AK201" s="1106" t="str">
        <f t="shared" ca="1" si="27"/>
        <v/>
      </c>
      <c r="AL201" s="1107" t="str">
        <f t="shared" ca="1" si="25"/>
        <v/>
      </c>
      <c r="BC201" s="40"/>
      <c r="BD201" s="40"/>
      <c r="BE201" s="40"/>
      <c r="BF201" s="40"/>
      <c r="BG201" s="40"/>
    </row>
    <row r="202" spans="1:59" ht="18" customHeight="1">
      <c r="A202" s="1095" t="str">
        <f ca="1"/>
        <v/>
      </c>
      <c r="B202" s="399" t="str">
        <f ca="1"/>
        <v/>
      </c>
      <c r="C202" s="399" t="str">
        <f ca="1"/>
        <v/>
      </c>
      <c r="D202" s="400" t="str">
        <f ca="1"/>
        <v/>
      </c>
      <c r="E202" s="401" t="str">
        <f t="shared" ref="E202:E211" ca="1" si="30">IF(A202=90,$C$28-D202,IF(A202=45,$C$27-D202,""))</f>
        <v/>
      </c>
      <c r="F202" s="411"/>
      <c r="G202" s="407"/>
      <c r="N202" s="376" t="str">
        <f t="shared" ref="N202:N211" ca="1" si="31">IF(OR(A202=90),IF($C$17="unten",IF($O$16&gt;C202,"",C202-$O$16),IF($C$17="oben",IF($O$16&gt;$C$14-C202,"",$C$14-C202-$O$16))),"")</f>
        <v/>
      </c>
      <c r="O202" s="377" t="str">
        <f t="shared" ref="O202:O211" ca="1" si="32">IF(N202="","",IF($C$17="unten",C202,IF($C$17="oben",$C$14-C202)))</f>
        <v/>
      </c>
      <c r="P202" s="371" t="str">
        <f t="shared" ref="P202:P211" ca="1" si="33">IF(N202="","",MIN($C$26*$C$32*E202,$C$34)*N202/MAX($N$138:$N$211))</f>
        <v/>
      </c>
      <c r="Q202" s="371" t="str">
        <f t="shared" ref="Q202:Q211" ca="1" si="34">IF(N202="","",$C$26*$C$32*E202/$C$33)</f>
        <v/>
      </c>
      <c r="R202" s="378" t="str">
        <f t="shared" ref="R202:R211" ca="1" si="35">IF(N202="","",P202/Q202)</f>
        <v/>
      </c>
      <c r="S202" s="417" t="str">
        <f t="shared" ref="S202:S211" ca="1" si="36">IF(N202="","",P202*$R$224/E202)</f>
        <v/>
      </c>
      <c r="U202" s="376" t="str">
        <f t="shared" ref="U202:U211" ca="1" si="37">IF(OR(A202=45),IF($C$17="unten",IF($O$16&gt;C202,"",C202-$O$16),IF($C$17="oben",IF($O$16&gt;$C$14-C202,"",$C$14-C202-$O$16))),"")</f>
        <v/>
      </c>
      <c r="V202" s="371" t="str">
        <f t="shared" ref="V202:V211" ca="1" si="38">IF(U202="","",MIN($C$26*$C$32*E202,$C$34)*U202/MAX($U$138:$U$211)/2^0.5)</f>
        <v/>
      </c>
      <c r="W202" s="378" t="str">
        <f t="shared" ref="W202:W211" ca="1" si="39">IF(U202="","",$C$33*U202/MAX($U$138:$U$211)/2^0.5)</f>
        <v/>
      </c>
      <c r="X202" s="376" t="str">
        <f t="shared" ref="X202:X211" ca="1" si="40">IF(A202=45,IF($C$17="unten",ABS(C202-$O$16),IF($C$17="oben",ABS($C$14-C202-$O$16))),"")</f>
        <v/>
      </c>
      <c r="Y202" s="1103" t="str">
        <f t="shared" ref="Y202:Y211" ca="1" si="41">IF(OR(A202=45),(X202)^2,"")</f>
        <v/>
      </c>
      <c r="Z202" s="1097"/>
      <c r="AA202" s="1108"/>
      <c r="AB202" s="1108"/>
      <c r="AC202" s="1108"/>
      <c r="AE202" s="1104" t="str">
        <f t="shared" ref="AE202:AE211" ca="1" si="42">IF(OR(A202=90),IF($C$17="unten",IF($AF$16&gt;=C202,"",C202-$AF$16),IF($C$17="oben",IF($AF$16&gt;=$C$14-C202,"",$C$14-C202-$AF$16))),"")</f>
        <v/>
      </c>
      <c r="AF202" s="371" t="str">
        <f t="shared" ca="1" si="28"/>
        <v/>
      </c>
      <c r="AG202" s="371" t="str">
        <f t="shared" ca="1" si="26"/>
        <v/>
      </c>
      <c r="AH202" s="371" t="str">
        <f t="shared" ca="1" si="24"/>
        <v/>
      </c>
      <c r="AI202" s="1105" t="str">
        <f t="shared" ca="1" si="29"/>
        <v/>
      </c>
      <c r="AJ202" s="417" t="str">
        <f t="shared" ref="AJ202:AJ211" ca="1" si="43">IF(AE202="","",AG202*$AJ$224/E202)</f>
        <v/>
      </c>
      <c r="AK202" s="1106" t="str">
        <f t="shared" ca="1" si="27"/>
        <v/>
      </c>
      <c r="AL202" s="1107" t="str">
        <f t="shared" ca="1" si="25"/>
        <v/>
      </c>
      <c r="BC202" s="40"/>
      <c r="BD202" s="40"/>
      <c r="BE202" s="40"/>
      <c r="BF202" s="40"/>
      <c r="BG202" s="40"/>
    </row>
    <row r="203" spans="1:59" ht="18" customHeight="1">
      <c r="A203" s="1095" t="str">
        <f ca="1"/>
        <v/>
      </c>
      <c r="B203" s="399" t="str">
        <f ca="1"/>
        <v/>
      </c>
      <c r="C203" s="399" t="str">
        <f ca="1"/>
        <v/>
      </c>
      <c r="D203" s="400" t="str">
        <f ca="1"/>
        <v/>
      </c>
      <c r="E203" s="401" t="str">
        <f t="shared" ca="1" si="30"/>
        <v/>
      </c>
      <c r="F203" s="411"/>
      <c r="G203" s="407"/>
      <c r="N203" s="376" t="str">
        <f t="shared" ca="1" si="31"/>
        <v/>
      </c>
      <c r="O203" s="377" t="str">
        <f t="shared" ca="1" si="32"/>
        <v/>
      </c>
      <c r="P203" s="371" t="str">
        <f t="shared" ca="1" si="33"/>
        <v/>
      </c>
      <c r="Q203" s="371" t="str">
        <f t="shared" ca="1" si="34"/>
        <v/>
      </c>
      <c r="R203" s="378" t="str">
        <f t="shared" ca="1" si="35"/>
        <v/>
      </c>
      <c r="S203" s="417" t="str">
        <f t="shared" ca="1" si="36"/>
        <v/>
      </c>
      <c r="U203" s="376" t="str">
        <f t="shared" ca="1" si="37"/>
        <v/>
      </c>
      <c r="V203" s="371" t="str">
        <f t="shared" ca="1" si="38"/>
        <v/>
      </c>
      <c r="W203" s="378" t="str">
        <f t="shared" ca="1" si="39"/>
        <v/>
      </c>
      <c r="X203" s="376" t="str">
        <f t="shared" ca="1" si="40"/>
        <v/>
      </c>
      <c r="Y203" s="1103" t="str">
        <f t="shared" ca="1" si="41"/>
        <v/>
      </c>
      <c r="Z203" s="1097"/>
      <c r="AA203" s="1108"/>
      <c r="AB203" s="1108"/>
      <c r="AC203" s="1108"/>
      <c r="AE203" s="1104" t="str">
        <f t="shared" ca="1" si="42"/>
        <v/>
      </c>
      <c r="AF203" s="371" t="str">
        <f t="shared" ca="1" si="28"/>
        <v/>
      </c>
      <c r="AG203" s="371" t="str">
        <f t="shared" ca="1" si="26"/>
        <v/>
      </c>
      <c r="AH203" s="371" t="str">
        <f t="shared" ref="AH203:AH211" ca="1" si="44">IF(AE203="","",$C$26*$C$32*E203/$C$33)</f>
        <v/>
      </c>
      <c r="AI203" s="1105" t="str">
        <f t="shared" ca="1" si="29"/>
        <v/>
      </c>
      <c r="AJ203" s="417" t="str">
        <f t="shared" ca="1" si="43"/>
        <v/>
      </c>
      <c r="AK203" s="1106" t="str">
        <f t="shared" ca="1" si="27"/>
        <v/>
      </c>
      <c r="AL203" s="1107" t="str">
        <f t="shared" ref="AL203:AL211" ca="1" si="45">IF(AE203="","",$AM$138*AE203/MAX($AE$138:$AE$211))</f>
        <v/>
      </c>
      <c r="BC203" s="40"/>
      <c r="BD203" s="40"/>
      <c r="BE203" s="40"/>
      <c r="BF203" s="40"/>
      <c r="BG203" s="40"/>
    </row>
    <row r="204" spans="1:59" ht="18" customHeight="1">
      <c r="A204" s="1095" t="str">
        <f ca="1"/>
        <v/>
      </c>
      <c r="B204" s="399" t="str">
        <f ca="1"/>
        <v/>
      </c>
      <c r="C204" s="399" t="str">
        <f ca="1"/>
        <v/>
      </c>
      <c r="D204" s="400" t="str">
        <f ca="1"/>
        <v/>
      </c>
      <c r="E204" s="401" t="str">
        <f t="shared" ca="1" si="30"/>
        <v/>
      </c>
      <c r="F204" s="411"/>
      <c r="G204" s="407"/>
      <c r="N204" s="376" t="str">
        <f t="shared" ca="1" si="31"/>
        <v/>
      </c>
      <c r="O204" s="377" t="str">
        <f t="shared" ca="1" si="32"/>
        <v/>
      </c>
      <c r="P204" s="371" t="str">
        <f t="shared" ca="1" si="33"/>
        <v/>
      </c>
      <c r="Q204" s="371" t="str">
        <f t="shared" ca="1" si="34"/>
        <v/>
      </c>
      <c r="R204" s="378" t="str">
        <f t="shared" ca="1" si="35"/>
        <v/>
      </c>
      <c r="S204" s="417" t="str">
        <f t="shared" ca="1" si="36"/>
        <v/>
      </c>
      <c r="U204" s="376" t="str">
        <f t="shared" ca="1" si="37"/>
        <v/>
      </c>
      <c r="V204" s="371" t="str">
        <f t="shared" ca="1" si="38"/>
        <v/>
      </c>
      <c r="W204" s="378" t="str">
        <f t="shared" ca="1" si="39"/>
        <v/>
      </c>
      <c r="X204" s="376" t="str">
        <f t="shared" ca="1" si="40"/>
        <v/>
      </c>
      <c r="Y204" s="1103" t="str">
        <f t="shared" ca="1" si="41"/>
        <v/>
      </c>
      <c r="Z204" s="1097"/>
      <c r="AA204" s="1108"/>
      <c r="AB204" s="1108"/>
      <c r="AC204" s="1108"/>
      <c r="AE204" s="1104" t="str">
        <f t="shared" ca="1" si="42"/>
        <v/>
      </c>
      <c r="AF204" s="371" t="str">
        <f t="shared" ca="1" si="28"/>
        <v/>
      </c>
      <c r="AG204" s="371" t="str">
        <f t="shared" ref="AG204:AG211" ca="1" si="46">IF(AF204="","",AH204*AI204)</f>
        <v/>
      </c>
      <c r="AH204" s="371" t="str">
        <f t="shared" ca="1" si="44"/>
        <v/>
      </c>
      <c r="AI204" s="1105" t="str">
        <f t="shared" ca="1" si="29"/>
        <v/>
      </c>
      <c r="AJ204" s="417" t="str">
        <f t="shared" ca="1" si="43"/>
        <v/>
      </c>
      <c r="AK204" s="1106" t="str">
        <f t="shared" ref="AK204:AK214" ca="1" si="47">IF(AE204="","",AL204/AE204)</f>
        <v/>
      </c>
      <c r="AL204" s="1107" t="str">
        <f t="shared" ca="1" si="45"/>
        <v/>
      </c>
      <c r="BC204" s="40"/>
      <c r="BD204" s="40"/>
      <c r="BE204" s="40"/>
      <c r="BF204" s="40"/>
      <c r="BG204" s="40"/>
    </row>
    <row r="205" spans="1:59" ht="18" customHeight="1">
      <c r="A205" s="1095" t="str">
        <f ca="1"/>
        <v/>
      </c>
      <c r="B205" s="399" t="str">
        <f ca="1"/>
        <v/>
      </c>
      <c r="C205" s="399" t="str">
        <f ca="1"/>
        <v/>
      </c>
      <c r="D205" s="400" t="str">
        <f ca="1"/>
        <v/>
      </c>
      <c r="E205" s="401" t="str">
        <f t="shared" ca="1" si="30"/>
        <v/>
      </c>
      <c r="F205" s="411"/>
      <c r="G205" s="407"/>
      <c r="N205" s="376" t="str">
        <f t="shared" ca="1" si="31"/>
        <v/>
      </c>
      <c r="O205" s="377" t="str">
        <f t="shared" ca="1" si="32"/>
        <v/>
      </c>
      <c r="P205" s="371" t="str">
        <f t="shared" ca="1" si="33"/>
        <v/>
      </c>
      <c r="Q205" s="371" t="str">
        <f t="shared" ca="1" si="34"/>
        <v/>
      </c>
      <c r="R205" s="378" t="str">
        <f t="shared" ca="1" si="35"/>
        <v/>
      </c>
      <c r="S205" s="417" t="str">
        <f t="shared" ca="1" si="36"/>
        <v/>
      </c>
      <c r="U205" s="376" t="str">
        <f t="shared" ca="1" si="37"/>
        <v/>
      </c>
      <c r="V205" s="371" t="str">
        <f t="shared" ca="1" si="38"/>
        <v/>
      </c>
      <c r="W205" s="378" t="str">
        <f t="shared" ca="1" si="39"/>
        <v/>
      </c>
      <c r="X205" s="376" t="str">
        <f t="shared" ca="1" si="40"/>
        <v/>
      </c>
      <c r="Y205" s="1103" t="str">
        <f t="shared" ca="1" si="41"/>
        <v/>
      </c>
      <c r="Z205" s="1097"/>
      <c r="AA205" s="1108"/>
      <c r="AB205" s="1108"/>
      <c r="AC205" s="1108"/>
      <c r="AE205" s="1104" t="str">
        <f t="shared" ca="1" si="42"/>
        <v/>
      </c>
      <c r="AF205" s="371" t="str">
        <f t="shared" ca="1" si="28"/>
        <v/>
      </c>
      <c r="AG205" s="371" t="str">
        <f t="shared" ca="1" si="46"/>
        <v/>
      </c>
      <c r="AH205" s="371" t="str">
        <f t="shared" ca="1" si="44"/>
        <v/>
      </c>
      <c r="AI205" s="1105" t="str">
        <f t="shared" ca="1" si="29"/>
        <v/>
      </c>
      <c r="AJ205" s="417" t="str">
        <f t="shared" ca="1" si="43"/>
        <v/>
      </c>
      <c r="AK205" s="1106" t="str">
        <f t="shared" ca="1" si="47"/>
        <v/>
      </c>
      <c r="AL205" s="1107" t="str">
        <f t="shared" ca="1" si="45"/>
        <v/>
      </c>
      <c r="BC205" s="40"/>
      <c r="BD205" s="40"/>
      <c r="BE205" s="40"/>
      <c r="BF205" s="40"/>
      <c r="BG205" s="40"/>
    </row>
    <row r="206" spans="1:59" ht="18" customHeight="1">
      <c r="A206" s="1095" t="str">
        <f ca="1"/>
        <v/>
      </c>
      <c r="B206" s="399" t="str">
        <f ca="1"/>
        <v/>
      </c>
      <c r="C206" s="399" t="str">
        <f ca="1"/>
        <v/>
      </c>
      <c r="D206" s="400" t="str">
        <f ca="1"/>
        <v/>
      </c>
      <c r="E206" s="401" t="str">
        <f t="shared" ca="1" si="30"/>
        <v/>
      </c>
      <c r="F206" s="411"/>
      <c r="G206" s="407"/>
      <c r="N206" s="376" t="str">
        <f t="shared" ca="1" si="31"/>
        <v/>
      </c>
      <c r="O206" s="377" t="str">
        <f t="shared" ca="1" si="32"/>
        <v/>
      </c>
      <c r="P206" s="371" t="str">
        <f t="shared" ca="1" si="33"/>
        <v/>
      </c>
      <c r="Q206" s="371" t="str">
        <f t="shared" ca="1" si="34"/>
        <v/>
      </c>
      <c r="R206" s="378" t="str">
        <f t="shared" ca="1" si="35"/>
        <v/>
      </c>
      <c r="S206" s="417" t="str">
        <f t="shared" ca="1" si="36"/>
        <v/>
      </c>
      <c r="U206" s="376" t="str">
        <f t="shared" ca="1" si="37"/>
        <v/>
      </c>
      <c r="V206" s="371" t="str">
        <f t="shared" ca="1" si="38"/>
        <v/>
      </c>
      <c r="W206" s="378" t="str">
        <f t="shared" ca="1" si="39"/>
        <v/>
      </c>
      <c r="X206" s="376" t="str">
        <f t="shared" ca="1" si="40"/>
        <v/>
      </c>
      <c r="Y206" s="1103" t="str">
        <f t="shared" ca="1" si="41"/>
        <v/>
      </c>
      <c r="Z206" s="1097"/>
      <c r="AA206" s="1108"/>
      <c r="AB206" s="1108"/>
      <c r="AC206" s="1108"/>
      <c r="AE206" s="1104" t="str">
        <f t="shared" ca="1" si="42"/>
        <v/>
      </c>
      <c r="AF206" s="371" t="str">
        <f t="shared" ca="1" si="28"/>
        <v/>
      </c>
      <c r="AG206" s="371" t="str">
        <f t="shared" ca="1" si="46"/>
        <v/>
      </c>
      <c r="AH206" s="371" t="str">
        <f t="shared" ca="1" si="44"/>
        <v/>
      </c>
      <c r="AI206" s="1105" t="str">
        <f t="shared" ca="1" si="29"/>
        <v/>
      </c>
      <c r="AJ206" s="417" t="str">
        <f t="shared" ca="1" si="43"/>
        <v/>
      </c>
      <c r="AK206" s="1106" t="str">
        <f t="shared" ca="1" si="47"/>
        <v/>
      </c>
      <c r="AL206" s="1107" t="str">
        <f t="shared" ca="1" si="45"/>
        <v/>
      </c>
      <c r="BC206" s="40"/>
      <c r="BD206" s="40"/>
      <c r="BE206" s="40"/>
      <c r="BF206" s="40"/>
      <c r="BG206" s="40"/>
    </row>
    <row r="207" spans="1:59" ht="18" customHeight="1">
      <c r="A207" s="1095" t="str">
        <f ca="1"/>
        <v/>
      </c>
      <c r="B207" s="399" t="str">
        <f ca="1"/>
        <v/>
      </c>
      <c r="C207" s="399" t="str">
        <f ca="1"/>
        <v/>
      </c>
      <c r="D207" s="400" t="str">
        <f ca="1"/>
        <v/>
      </c>
      <c r="E207" s="401" t="str">
        <f t="shared" ca="1" si="30"/>
        <v/>
      </c>
      <c r="F207" s="411"/>
      <c r="G207" s="407"/>
      <c r="N207" s="376" t="str">
        <f t="shared" ca="1" si="31"/>
        <v/>
      </c>
      <c r="O207" s="377" t="str">
        <f t="shared" ca="1" si="32"/>
        <v/>
      </c>
      <c r="P207" s="371" t="str">
        <f t="shared" ca="1" si="33"/>
        <v/>
      </c>
      <c r="Q207" s="371" t="str">
        <f t="shared" ca="1" si="34"/>
        <v/>
      </c>
      <c r="R207" s="378" t="str">
        <f t="shared" ca="1" si="35"/>
        <v/>
      </c>
      <c r="S207" s="417" t="str">
        <f t="shared" ca="1" si="36"/>
        <v/>
      </c>
      <c r="U207" s="376" t="str">
        <f t="shared" ca="1" si="37"/>
        <v/>
      </c>
      <c r="V207" s="371" t="str">
        <f t="shared" ca="1" si="38"/>
        <v/>
      </c>
      <c r="W207" s="378" t="str">
        <f t="shared" ca="1" si="39"/>
        <v/>
      </c>
      <c r="X207" s="376" t="str">
        <f t="shared" ca="1" si="40"/>
        <v/>
      </c>
      <c r="Y207" s="1103" t="str">
        <f t="shared" ca="1" si="41"/>
        <v/>
      </c>
      <c r="Z207" s="1097"/>
      <c r="AA207" s="1108"/>
      <c r="AB207" s="1108"/>
      <c r="AC207" s="1108"/>
      <c r="AE207" s="1104" t="str">
        <f t="shared" ca="1" si="42"/>
        <v/>
      </c>
      <c r="AF207" s="371" t="str">
        <f t="shared" ca="1" si="28"/>
        <v/>
      </c>
      <c r="AG207" s="371" t="str">
        <f t="shared" ca="1" si="46"/>
        <v/>
      </c>
      <c r="AH207" s="371" t="str">
        <f t="shared" ca="1" si="44"/>
        <v/>
      </c>
      <c r="AI207" s="1105" t="str">
        <f t="shared" ca="1" si="29"/>
        <v/>
      </c>
      <c r="AJ207" s="417" t="str">
        <f t="shared" ca="1" si="43"/>
        <v/>
      </c>
      <c r="AK207" s="1106" t="str">
        <f t="shared" ca="1" si="47"/>
        <v/>
      </c>
      <c r="AL207" s="1107" t="str">
        <f t="shared" ca="1" si="45"/>
        <v/>
      </c>
      <c r="BC207" s="40"/>
      <c r="BD207" s="40"/>
      <c r="BE207" s="40"/>
      <c r="BF207" s="40"/>
      <c r="BG207" s="40"/>
    </row>
    <row r="208" spans="1:59" ht="18" customHeight="1">
      <c r="A208" s="1095" t="str">
        <f ca="1"/>
        <v/>
      </c>
      <c r="B208" s="399" t="str">
        <f ca="1"/>
        <v/>
      </c>
      <c r="C208" s="399" t="str">
        <f ca="1"/>
        <v/>
      </c>
      <c r="D208" s="400" t="str">
        <f ca="1"/>
        <v/>
      </c>
      <c r="E208" s="401" t="str">
        <f t="shared" ca="1" si="30"/>
        <v/>
      </c>
      <c r="F208" s="411"/>
      <c r="G208" s="407"/>
      <c r="N208" s="376" t="str">
        <f t="shared" ca="1" si="31"/>
        <v/>
      </c>
      <c r="O208" s="377" t="str">
        <f t="shared" ca="1" si="32"/>
        <v/>
      </c>
      <c r="P208" s="371" t="str">
        <f t="shared" ca="1" si="33"/>
        <v/>
      </c>
      <c r="Q208" s="371" t="str">
        <f t="shared" ca="1" si="34"/>
        <v/>
      </c>
      <c r="R208" s="378" t="str">
        <f t="shared" ca="1" si="35"/>
        <v/>
      </c>
      <c r="S208" s="417" t="str">
        <f t="shared" ca="1" si="36"/>
        <v/>
      </c>
      <c r="U208" s="376" t="str">
        <f t="shared" ca="1" si="37"/>
        <v/>
      </c>
      <c r="V208" s="371" t="str">
        <f t="shared" ca="1" si="38"/>
        <v/>
      </c>
      <c r="W208" s="378" t="str">
        <f t="shared" ca="1" si="39"/>
        <v/>
      </c>
      <c r="X208" s="376" t="str">
        <f t="shared" ca="1" si="40"/>
        <v/>
      </c>
      <c r="Y208" s="1103" t="str">
        <f t="shared" ca="1" si="41"/>
        <v/>
      </c>
      <c r="Z208" s="1097"/>
      <c r="AA208" s="1108"/>
      <c r="AB208" s="1108"/>
      <c r="AC208" s="1108"/>
      <c r="AE208" s="1104" t="str">
        <f t="shared" ca="1" si="42"/>
        <v/>
      </c>
      <c r="AF208" s="371" t="str">
        <f t="shared" ca="1" si="28"/>
        <v/>
      </c>
      <c r="AG208" s="371" t="str">
        <f t="shared" ca="1" si="46"/>
        <v/>
      </c>
      <c r="AH208" s="371" t="str">
        <f t="shared" ca="1" si="44"/>
        <v/>
      </c>
      <c r="AI208" s="1105" t="str">
        <f t="shared" ca="1" si="29"/>
        <v/>
      </c>
      <c r="AJ208" s="417" t="str">
        <f t="shared" ca="1" si="43"/>
        <v/>
      </c>
      <c r="AK208" s="1106" t="str">
        <f t="shared" ca="1" si="47"/>
        <v/>
      </c>
      <c r="AL208" s="1107" t="str">
        <f t="shared" ca="1" si="45"/>
        <v/>
      </c>
      <c r="BC208" s="40"/>
      <c r="BD208" s="40"/>
      <c r="BE208" s="40"/>
      <c r="BF208" s="40"/>
      <c r="BG208" s="40"/>
    </row>
    <row r="209" spans="1:59" ht="18" customHeight="1">
      <c r="A209" s="1095" t="str">
        <f ca="1"/>
        <v/>
      </c>
      <c r="B209" s="399" t="str">
        <f ca="1"/>
        <v/>
      </c>
      <c r="C209" s="399" t="str">
        <f ca="1"/>
        <v/>
      </c>
      <c r="D209" s="400" t="str">
        <f ca="1"/>
        <v/>
      </c>
      <c r="E209" s="401" t="str">
        <f t="shared" ca="1" si="30"/>
        <v/>
      </c>
      <c r="F209" s="411"/>
      <c r="G209" s="407"/>
      <c r="N209" s="376" t="str">
        <f t="shared" ca="1" si="31"/>
        <v/>
      </c>
      <c r="O209" s="377" t="str">
        <f t="shared" ca="1" si="32"/>
        <v/>
      </c>
      <c r="P209" s="371" t="str">
        <f t="shared" ca="1" si="33"/>
        <v/>
      </c>
      <c r="Q209" s="371" t="str">
        <f t="shared" ca="1" si="34"/>
        <v/>
      </c>
      <c r="R209" s="378" t="str">
        <f t="shared" ca="1" si="35"/>
        <v/>
      </c>
      <c r="S209" s="417" t="str">
        <f t="shared" ca="1" si="36"/>
        <v/>
      </c>
      <c r="U209" s="376" t="str">
        <f t="shared" ca="1" si="37"/>
        <v/>
      </c>
      <c r="V209" s="371" t="str">
        <f t="shared" ca="1" si="38"/>
        <v/>
      </c>
      <c r="W209" s="378" t="str">
        <f t="shared" ca="1" si="39"/>
        <v/>
      </c>
      <c r="X209" s="376" t="str">
        <f t="shared" ca="1" si="40"/>
        <v/>
      </c>
      <c r="Y209" s="1103" t="str">
        <f t="shared" ca="1" si="41"/>
        <v/>
      </c>
      <c r="Z209" s="1097"/>
      <c r="AA209" s="1108"/>
      <c r="AB209" s="1108"/>
      <c r="AC209" s="1108"/>
      <c r="AE209" s="1104" t="str">
        <f t="shared" ca="1" si="42"/>
        <v/>
      </c>
      <c r="AF209" s="371" t="str">
        <f t="shared" ca="1" si="28"/>
        <v/>
      </c>
      <c r="AG209" s="371" t="str">
        <f t="shared" ca="1" si="46"/>
        <v/>
      </c>
      <c r="AH209" s="371" t="str">
        <f t="shared" ca="1" si="44"/>
        <v/>
      </c>
      <c r="AI209" s="1105" t="str">
        <f t="shared" ca="1" si="29"/>
        <v/>
      </c>
      <c r="AJ209" s="417" t="str">
        <f t="shared" ca="1" si="43"/>
        <v/>
      </c>
      <c r="AK209" s="1106" t="str">
        <f t="shared" ca="1" si="47"/>
        <v/>
      </c>
      <c r="AL209" s="1107" t="str">
        <f t="shared" ca="1" si="45"/>
        <v/>
      </c>
      <c r="BC209" s="40"/>
      <c r="BD209" s="40"/>
      <c r="BE209" s="40"/>
      <c r="BF209" s="40"/>
      <c r="BG209" s="40"/>
    </row>
    <row r="210" spans="1:59" ht="18" customHeight="1">
      <c r="A210" s="1095" t="str">
        <f ca="1"/>
        <v/>
      </c>
      <c r="B210" s="399" t="str">
        <f ca="1"/>
        <v/>
      </c>
      <c r="C210" s="399" t="str">
        <f ca="1"/>
        <v/>
      </c>
      <c r="D210" s="400" t="str">
        <f ca="1"/>
        <v/>
      </c>
      <c r="E210" s="401" t="str">
        <f t="shared" ca="1" si="30"/>
        <v/>
      </c>
      <c r="F210" s="411"/>
      <c r="G210" s="407"/>
      <c r="N210" s="376" t="str">
        <f t="shared" ca="1" si="31"/>
        <v/>
      </c>
      <c r="O210" s="377" t="str">
        <f t="shared" ca="1" si="32"/>
        <v/>
      </c>
      <c r="P210" s="371" t="str">
        <f t="shared" ca="1" si="33"/>
        <v/>
      </c>
      <c r="Q210" s="371" t="str">
        <f t="shared" ca="1" si="34"/>
        <v/>
      </c>
      <c r="R210" s="378" t="str">
        <f t="shared" ca="1" si="35"/>
        <v/>
      </c>
      <c r="S210" s="417" t="str">
        <f t="shared" ca="1" si="36"/>
        <v/>
      </c>
      <c r="U210" s="376" t="str">
        <f t="shared" ca="1" si="37"/>
        <v/>
      </c>
      <c r="V210" s="371" t="str">
        <f t="shared" ca="1" si="38"/>
        <v/>
      </c>
      <c r="W210" s="378" t="str">
        <f t="shared" ca="1" si="39"/>
        <v/>
      </c>
      <c r="X210" s="376" t="str">
        <f t="shared" ca="1" si="40"/>
        <v/>
      </c>
      <c r="Y210" s="1103" t="str">
        <f t="shared" ca="1" si="41"/>
        <v/>
      </c>
      <c r="Z210" s="1097"/>
      <c r="AA210" s="1108"/>
      <c r="AB210" s="1108"/>
      <c r="AC210" s="1108"/>
      <c r="AE210" s="1104" t="str">
        <f t="shared" ca="1" si="42"/>
        <v/>
      </c>
      <c r="AF210" s="371" t="str">
        <f t="shared" ca="1" si="28"/>
        <v/>
      </c>
      <c r="AG210" s="371" t="str">
        <f t="shared" ca="1" si="46"/>
        <v/>
      </c>
      <c r="AH210" s="371" t="str">
        <f t="shared" ca="1" si="44"/>
        <v/>
      </c>
      <c r="AI210" s="1105" t="str">
        <f t="shared" ca="1" si="29"/>
        <v/>
      </c>
      <c r="AJ210" s="417" t="str">
        <f t="shared" ca="1" si="43"/>
        <v/>
      </c>
      <c r="AK210" s="1106" t="str">
        <f t="shared" ca="1" si="47"/>
        <v/>
      </c>
      <c r="AL210" s="1107" t="str">
        <f t="shared" ca="1" si="45"/>
        <v/>
      </c>
      <c r="BC210" s="40"/>
      <c r="BD210" s="40"/>
      <c r="BE210" s="40"/>
      <c r="BF210" s="40"/>
      <c r="BG210" s="40"/>
    </row>
    <row r="211" spans="1:59" ht="18" customHeight="1">
      <c r="A211" s="1095" t="str">
        <f ca="1"/>
        <v/>
      </c>
      <c r="B211" s="399" t="str">
        <f ca="1"/>
        <v/>
      </c>
      <c r="C211" s="399" t="str">
        <f ca="1"/>
        <v/>
      </c>
      <c r="D211" s="400" t="str">
        <f ca="1"/>
        <v/>
      </c>
      <c r="E211" s="401" t="str">
        <f t="shared" ca="1" si="30"/>
        <v/>
      </c>
      <c r="F211" s="411"/>
      <c r="G211" s="407"/>
      <c r="N211" s="379" t="str">
        <f t="shared" ca="1" si="31"/>
        <v/>
      </c>
      <c r="O211" s="380" t="str">
        <f t="shared" ca="1" si="32"/>
        <v/>
      </c>
      <c r="P211" s="372" t="str">
        <f t="shared" ca="1" si="33"/>
        <v/>
      </c>
      <c r="Q211" s="372" t="str">
        <f t="shared" ca="1" si="34"/>
        <v/>
      </c>
      <c r="R211" s="381" t="str">
        <f t="shared" ca="1" si="35"/>
        <v/>
      </c>
      <c r="S211" s="418" t="str">
        <f t="shared" ca="1" si="36"/>
        <v/>
      </c>
      <c r="U211" s="379" t="str">
        <f t="shared" ca="1" si="37"/>
        <v/>
      </c>
      <c r="V211" s="372" t="str">
        <f t="shared" ca="1" si="38"/>
        <v/>
      </c>
      <c r="W211" s="381" t="str">
        <f t="shared" ca="1" si="39"/>
        <v/>
      </c>
      <c r="X211" s="376" t="str">
        <f t="shared" ca="1" si="40"/>
        <v/>
      </c>
      <c r="Y211" s="382" t="str">
        <f t="shared" ca="1" si="41"/>
        <v/>
      </c>
      <c r="Z211" s="1097"/>
      <c r="AA211" s="1108"/>
      <c r="AB211" s="1108"/>
      <c r="AC211" s="1108"/>
      <c r="AE211" s="1109" t="str">
        <f t="shared" ca="1" si="42"/>
        <v/>
      </c>
      <c r="AF211" s="372" t="str">
        <f t="shared" ca="1" si="28"/>
        <v/>
      </c>
      <c r="AG211" s="371" t="str">
        <f t="shared" ca="1" si="46"/>
        <v/>
      </c>
      <c r="AH211" s="372" t="str">
        <f t="shared" ca="1" si="44"/>
        <v/>
      </c>
      <c r="AI211" s="1110" t="str">
        <f t="shared" ca="1" si="29"/>
        <v/>
      </c>
      <c r="AJ211" s="418" t="str">
        <f t="shared" ca="1" si="43"/>
        <v/>
      </c>
      <c r="AK211" s="1106" t="str">
        <f t="shared" ca="1" si="47"/>
        <v/>
      </c>
      <c r="AL211" s="1107" t="str">
        <f t="shared" ca="1" si="45"/>
        <v/>
      </c>
      <c r="BC211" s="40"/>
      <c r="BD211" s="40"/>
      <c r="BE211" s="40"/>
      <c r="BF211" s="40"/>
      <c r="BG211" s="40"/>
    </row>
    <row r="212" spans="1:59" ht="18" customHeight="1">
      <c r="A212" s="1073" t="str">
        <f>IF(AND($C$74="ja",$C$17="unten"),"",IF(AND($C$56="ja",$C$17="unten",$C$58&gt;0),"Schraubenkreuz",""))</f>
        <v/>
      </c>
      <c r="B212" s="1074"/>
      <c r="C212" s="1074" t="str">
        <f>IF(A212="","",IF(A212="Schraubenkreuz",$C$14+25+0*$C$64,IF(A212="Zuglasche",$C$14+50)))</f>
        <v/>
      </c>
      <c r="D212" s="1074"/>
      <c r="E212" s="1075"/>
      <c r="F212" s="1233" t="s">
        <v>2328</v>
      </c>
      <c r="G212" s="407"/>
      <c r="N212" s="103"/>
      <c r="O212" s="54"/>
      <c r="P212" s="54"/>
      <c r="Q212" s="54"/>
      <c r="R212" s="54"/>
      <c r="S212" s="297"/>
      <c r="T212" s="39"/>
      <c r="U212" s="103"/>
      <c r="V212" s="54"/>
      <c r="W212" s="105"/>
      <c r="X212" s="103"/>
      <c r="Y212" s="105"/>
      <c r="Z212" s="39"/>
      <c r="AA212" s="39"/>
      <c r="AB212" s="39"/>
      <c r="AC212" s="39"/>
      <c r="AE212" s="1073" t="str">
        <f t="shared" ref="AE212:AE217" si="48">IF(C212="","",IF($C$17="unten",ABS(C212-$AF$16),IF($C$17="oben",ABS($C$14-C212-$AF$16))))</f>
        <v/>
      </c>
      <c r="AF212" s="1076" t="str">
        <f t="shared" si="28"/>
        <v/>
      </c>
      <c r="AG212" s="1076" t="str">
        <f t="shared" ref="AG212:AG217" si="49">IF(C212="","",AH212*AI212)</f>
        <v/>
      </c>
      <c r="AH212" s="1076" t="str">
        <f>IF(AE212="","",IF(A212="Schraubenkreuz",$C$69,IF(A212="Zuglasche",$C$87)))</f>
        <v/>
      </c>
      <c r="AI212" s="1077" t="str">
        <f t="shared" si="29"/>
        <v/>
      </c>
      <c r="AJ212" s="1078"/>
      <c r="AK212" s="1078" t="str">
        <f t="shared" si="47"/>
        <v/>
      </c>
      <c r="AL212" s="1078" t="str">
        <f t="shared" ref="AL212:AL213" si="50">IF(AE212="","",$AM$135*AE212/MAX($AE$135:$AE$137,$AE$212:$AE$214))</f>
        <v/>
      </c>
      <c r="BC212" s="40"/>
      <c r="BD212" s="40"/>
      <c r="BE212" s="40"/>
      <c r="BF212" s="40"/>
      <c r="BG212" s="40"/>
    </row>
    <row r="213" spans="1:59" ht="18" customHeight="1">
      <c r="A213" s="1081" t="str">
        <f>IF(AND($C$74="ja",$C$17="unten"),"",IF(AND($C$56="ja",$C$17="unten",$C$58&gt;1),"Schraubenkreuz",""))</f>
        <v/>
      </c>
      <c r="B213" s="1082"/>
      <c r="C213" s="1082" t="str">
        <f>IF(A213="","",IF(A213="Schraubenkreuz",$C$14+25+1*$C$64,IF(A213="Zuglasche",$C$14+50)))</f>
        <v/>
      </c>
      <c r="D213" s="1082"/>
      <c r="E213" s="1083"/>
      <c r="F213" s="411"/>
      <c r="G213" s="407"/>
      <c r="N213" s="68"/>
      <c r="O213" s="39"/>
      <c r="P213" s="39"/>
      <c r="Q213" s="39"/>
      <c r="R213" s="39"/>
      <c r="S213" s="53"/>
      <c r="T213" s="39"/>
      <c r="U213" s="68"/>
      <c r="V213" s="39"/>
      <c r="W213" s="104"/>
      <c r="X213" s="68"/>
      <c r="Y213" s="104"/>
      <c r="Z213" s="39"/>
      <c r="AA213" s="39"/>
      <c r="AB213" s="39"/>
      <c r="AC213" s="39"/>
      <c r="AE213" s="1081" t="str">
        <f t="shared" si="48"/>
        <v/>
      </c>
      <c r="AF213" s="1084" t="str">
        <f t="shared" si="28"/>
        <v/>
      </c>
      <c r="AG213" s="1084" t="str">
        <f t="shared" si="49"/>
        <v/>
      </c>
      <c r="AH213" s="1084" t="str">
        <f>IF(AE213="","",IF(A213="Schraubenkreuz",$C$69,IF(A213="Zuglasche",$C$87)))</f>
        <v/>
      </c>
      <c r="AI213" s="1085" t="str">
        <f t="shared" si="29"/>
        <v/>
      </c>
      <c r="AJ213" s="1086"/>
      <c r="AK213" s="1086" t="str">
        <f t="shared" si="47"/>
        <v/>
      </c>
      <c r="AL213" s="1086" t="str">
        <f t="shared" si="50"/>
        <v/>
      </c>
      <c r="BC213" s="40"/>
      <c r="BD213" s="40"/>
      <c r="BE213" s="40"/>
      <c r="BF213" s="40"/>
      <c r="BG213" s="40"/>
    </row>
    <row r="214" spans="1:59" ht="18" customHeight="1">
      <c r="A214" s="1088" t="str">
        <f>IF(AND($C$74="ja",$C$17="unten"),"Zuglasche",IF(AND($C$56="ja",$C$17="unten",$C$58&gt;2),"Schraubenkreuz",""))</f>
        <v/>
      </c>
      <c r="B214" s="1089"/>
      <c r="C214" s="1089" t="str">
        <f>IF(A214="","",IF(A214="Schraubenkreuz",$C$14+25+2*$C$64,IF(A214="Zuglasche",$C$14+50)))</f>
        <v/>
      </c>
      <c r="D214" s="1089"/>
      <c r="E214" s="1090"/>
      <c r="F214" s="411"/>
      <c r="G214" s="407"/>
      <c r="N214" s="68"/>
      <c r="O214" s="39"/>
      <c r="P214" s="39"/>
      <c r="Q214" s="39"/>
      <c r="R214" s="39"/>
      <c r="S214" s="53"/>
      <c r="T214" s="39"/>
      <c r="U214" s="68"/>
      <c r="V214" s="39"/>
      <c r="W214" s="104"/>
      <c r="X214" s="68"/>
      <c r="Y214" s="104"/>
      <c r="Z214" s="39"/>
      <c r="AA214" s="39"/>
      <c r="AB214" s="39"/>
      <c r="AC214" s="39"/>
      <c r="AE214" s="1088" t="str">
        <f t="shared" si="48"/>
        <v/>
      </c>
      <c r="AF214" s="1091" t="str">
        <f t="shared" si="28"/>
        <v/>
      </c>
      <c r="AG214" s="1091" t="str">
        <f t="shared" si="49"/>
        <v/>
      </c>
      <c r="AH214" s="1091" t="str">
        <f>IF(AE214="","",IF(A214="Schraubenkreuz",$C$69,IF(A214="Zuglasche",$C$87)))</f>
        <v/>
      </c>
      <c r="AI214" s="1092" t="str">
        <f t="shared" si="29"/>
        <v/>
      </c>
      <c r="AJ214" s="1093"/>
      <c r="AK214" s="1093" t="str">
        <f t="shared" si="47"/>
        <v/>
      </c>
      <c r="AL214" s="1093" t="str">
        <f>IF(AE214="","",$AM$135*AE214/MAX($AE$135:$AE$137,$AE$212:$AE$214))</f>
        <v/>
      </c>
      <c r="BC214" s="40"/>
      <c r="BD214" s="40"/>
      <c r="BE214" s="40"/>
      <c r="BF214" s="40"/>
      <c r="BG214" s="40"/>
    </row>
    <row r="215" spans="1:59" ht="18" customHeight="1">
      <c r="A215" s="1050" t="str">
        <f>IF(AND($C$92="ja",$C$17="oben",$C$97&gt;ROW(A215)-ROW($A$215)),90,"")</f>
        <v/>
      </c>
      <c r="B215" s="1051" t="str">
        <f>IF(AND($C$92="ja",$C$17="oben",$C$97&gt;ROW(A215)-ROW($A$215)),10,"")</f>
        <v/>
      </c>
      <c r="C215" s="1051" t="str">
        <f>IF(AND($C$92="ja",$C$17="oben",$C$97&gt;ROW(A215)-ROW($A$215)),$C$14-$C$98,"")</f>
        <v/>
      </c>
      <c r="D215" s="1051"/>
      <c r="E215" s="1052" t="str">
        <f>IF(AND($C$92="ja",$C$17="oben",$C$97&gt;ROW(A132)-ROW($A$132)),$C$96,"")</f>
        <v/>
      </c>
      <c r="F215" s="411"/>
      <c r="G215" s="407"/>
      <c r="N215" s="68"/>
      <c r="O215" s="39"/>
      <c r="P215" s="39"/>
      <c r="Q215" s="39"/>
      <c r="R215" s="39"/>
      <c r="S215" s="53"/>
      <c r="T215" s="39"/>
      <c r="U215" s="68"/>
      <c r="V215" s="39"/>
      <c r="W215" s="104"/>
      <c r="X215" s="68"/>
      <c r="Y215" s="104"/>
      <c r="Z215" s="39"/>
      <c r="AA215" s="39"/>
      <c r="AB215" s="39"/>
      <c r="AC215" s="39"/>
      <c r="AE215" s="1053" t="str">
        <f t="shared" si="48"/>
        <v/>
      </c>
      <c r="AF215" s="1054" t="str">
        <f t="shared" si="28"/>
        <v/>
      </c>
      <c r="AG215" s="1055" t="str">
        <f>IF(C215="","",AH215*AI215)</f>
        <v/>
      </c>
      <c r="AH215" s="1055" t="str">
        <f>IF(AE215="","",$C$102/$C$104)</f>
        <v/>
      </c>
      <c r="AI215" s="1056" t="str">
        <f>IF(AE215="","",$AM$132)</f>
        <v/>
      </c>
      <c r="AJ215" s="1056"/>
      <c r="AK215" s="1056"/>
      <c r="AL215" s="1056"/>
      <c r="BC215" s="40"/>
      <c r="BD215" s="40"/>
      <c r="BE215" s="40"/>
      <c r="BF215" s="40"/>
      <c r="BG215" s="40"/>
    </row>
    <row r="216" spans="1:59" ht="18" customHeight="1">
      <c r="A216" s="1058" t="str">
        <f>IF(AND($C$92="ja",$C$17="oben",$C$97&gt;ROW(A216)-ROW($A$215)),90,"")</f>
        <v/>
      </c>
      <c r="B216" s="1059" t="str">
        <f>IF(AND($C$92="ja",$C$17="oben",$C$97&gt;ROW(A216)-ROW($A$1508)),IF($C$13=60,$C$13-10,$C$13/2),"")</f>
        <v/>
      </c>
      <c r="C216" s="1059" t="str">
        <f>IF(AND($C$92="ja",$C$17="oben",$C$97&gt;ROW(A216)-ROW($A$215)),$C$14-$C$98,"")</f>
        <v/>
      </c>
      <c r="D216" s="1059"/>
      <c r="E216" s="1060" t="str">
        <f>IF(AND($C$92="ja",$C$17="oben",$C$97&gt;ROW(A133)-ROW($A$132)),$C$96,"")</f>
        <v/>
      </c>
      <c r="F216" s="411"/>
      <c r="G216" s="407"/>
      <c r="N216" s="68"/>
      <c r="O216" s="39"/>
      <c r="P216" s="39"/>
      <c r="Q216" s="39"/>
      <c r="R216" s="39"/>
      <c r="S216" s="53"/>
      <c r="T216" s="39"/>
      <c r="U216" s="68"/>
      <c r="V216" s="39"/>
      <c r="W216" s="104"/>
      <c r="X216" s="68"/>
      <c r="Y216" s="104"/>
      <c r="Z216" s="39"/>
      <c r="AA216" s="39"/>
      <c r="AB216" s="39"/>
      <c r="AC216" s="39"/>
      <c r="AE216" s="1061" t="str">
        <f t="shared" si="48"/>
        <v/>
      </c>
      <c r="AF216" s="1062" t="str">
        <f t="shared" si="28"/>
        <v/>
      </c>
      <c r="AG216" s="1063" t="str">
        <f t="shared" si="49"/>
        <v/>
      </c>
      <c r="AH216" s="1063" t="str">
        <f>IF(AE216="","",$C$102/$C$104)</f>
        <v/>
      </c>
      <c r="AI216" s="1064" t="str">
        <f t="shared" ref="AI216:AI217" si="51">IF(AE216="","",$AM$132)</f>
        <v/>
      </c>
      <c r="AJ216" s="1064"/>
      <c r="AK216" s="1064"/>
      <c r="AL216" s="1064"/>
      <c r="BC216" s="40"/>
      <c r="BD216" s="40"/>
      <c r="BE216" s="40"/>
      <c r="BF216" s="40"/>
      <c r="BG216" s="40"/>
    </row>
    <row r="217" spans="1:59" ht="18" customHeight="1">
      <c r="A217" s="1065" t="str">
        <f>IF(AND($C$92="ja",$C$17="oben",$C$97&gt;ROW(A217)-ROW($A$215)),90,"")</f>
        <v/>
      </c>
      <c r="B217" s="1066" t="str">
        <f>IF(AND($C$92="ja",$C$17="oben",$C$97&gt;ROW(A217)-ROW($A$215)),IF($C$13=60,"",$C$13-10),"")</f>
        <v/>
      </c>
      <c r="C217" s="1066" t="str">
        <f>IF(AND($C$92="ja",$C$17="oben",$C$97&gt;ROW(A217)-ROW($A$215)),$C$14-$C$98,"")</f>
        <v/>
      </c>
      <c r="D217" s="1066"/>
      <c r="E217" s="1067" t="str">
        <f>IF(AND($C$92="ja",$C$17="oben",$C$97&gt;ROW(A134)-ROW($A$132)),$C$96,"")</f>
        <v/>
      </c>
      <c r="F217" s="411"/>
      <c r="G217" s="407"/>
      <c r="N217" s="69"/>
      <c r="O217" s="37"/>
      <c r="P217" s="37"/>
      <c r="Q217" s="37"/>
      <c r="R217" s="37"/>
      <c r="S217" s="300"/>
      <c r="T217" s="39"/>
      <c r="U217" s="69"/>
      <c r="V217" s="37"/>
      <c r="W217" s="101"/>
      <c r="X217" s="69"/>
      <c r="Y217" s="101"/>
      <c r="Z217" s="39"/>
      <c r="AA217" s="39"/>
      <c r="AB217" s="39"/>
      <c r="AC217" s="39"/>
      <c r="AE217" s="1068" t="str">
        <f t="shared" si="48"/>
        <v/>
      </c>
      <c r="AF217" s="1069" t="str">
        <f t="shared" si="28"/>
        <v/>
      </c>
      <c r="AG217" s="1070" t="str">
        <f t="shared" si="49"/>
        <v/>
      </c>
      <c r="AH217" s="1070" t="str">
        <f>IF(AE217="","",$C$102/$C$104)</f>
        <v/>
      </c>
      <c r="AI217" s="1071" t="str">
        <f t="shared" si="51"/>
        <v/>
      </c>
      <c r="AJ217" s="1072"/>
      <c r="AK217" s="1072"/>
      <c r="AL217" s="1072"/>
      <c r="BC217" s="40"/>
      <c r="BD217" s="40"/>
      <c r="BE217" s="40"/>
      <c r="BF217" s="40"/>
      <c r="BG217" s="40"/>
    </row>
    <row r="218" spans="1:59" ht="18" customHeight="1">
      <c r="B218" s="47"/>
      <c r="N218" s="39"/>
      <c r="O218" s="43"/>
      <c r="P218" s="39"/>
      <c r="Q218" s="43"/>
      <c r="R218" s="43"/>
      <c r="U218" s="49"/>
      <c r="V218" s="49"/>
      <c r="W218" s="1111"/>
      <c r="X218" s="1112"/>
      <c r="Y218" s="39"/>
      <c r="Z218" s="39"/>
      <c r="AE218" s="43"/>
      <c r="BC218" s="40"/>
      <c r="BD218" s="40"/>
      <c r="BE218" s="40"/>
      <c r="BF218" s="40"/>
      <c r="BG218" s="40"/>
    </row>
    <row r="219" spans="1:59" ht="18" customHeight="1">
      <c r="A219" s="71" t="s">
        <v>10</v>
      </c>
      <c r="B219" s="72" t="s">
        <v>101</v>
      </c>
      <c r="C219" s="165" t="s">
        <v>246</v>
      </c>
      <c r="D219" s="72"/>
      <c r="E219" s="118" t="s">
        <v>100</v>
      </c>
      <c r="N219" s="353" t="s">
        <v>628</v>
      </c>
      <c r="O219" s="76" t="s">
        <v>265</v>
      </c>
      <c r="P219" s="99" t="s">
        <v>142</v>
      </c>
      <c r="Q219" s="123"/>
      <c r="R219" s="73" t="s">
        <v>259</v>
      </c>
      <c r="S219" s="419" t="s">
        <v>278</v>
      </c>
      <c r="U219" s="353"/>
      <c r="V219" s="99" t="s">
        <v>252</v>
      </c>
      <c r="W219" s="88" t="s">
        <v>259</v>
      </c>
      <c r="X219" s="98"/>
      <c r="Y219" s="1113" t="s">
        <v>1848</v>
      </c>
      <c r="Z219" s="39"/>
      <c r="AE219" s="353" t="s">
        <v>628</v>
      </c>
      <c r="AF219" s="76" t="s">
        <v>265</v>
      </c>
      <c r="AG219" s="99" t="s">
        <v>142</v>
      </c>
      <c r="AH219" s="1114"/>
      <c r="AI219" s="73" t="s">
        <v>259</v>
      </c>
      <c r="AJ219" s="419" t="s">
        <v>278</v>
      </c>
      <c r="AK219" s="414" t="s">
        <v>1849</v>
      </c>
      <c r="BC219" s="40"/>
      <c r="BD219" s="40"/>
      <c r="BE219" s="40"/>
      <c r="BF219" s="40"/>
      <c r="BG219" s="40"/>
    </row>
    <row r="220" spans="1:59" ht="18" customHeight="1">
      <c r="A220" s="100" t="s">
        <v>124</v>
      </c>
      <c r="B220" s="74" t="s">
        <v>99</v>
      </c>
      <c r="C220" s="166" t="s">
        <v>99</v>
      </c>
      <c r="D220" s="74"/>
      <c r="E220" s="120" t="s">
        <v>124</v>
      </c>
      <c r="N220" s="354" t="s">
        <v>99</v>
      </c>
      <c r="O220" s="78" t="s">
        <v>99</v>
      </c>
      <c r="P220" s="81" t="s">
        <v>126</v>
      </c>
      <c r="Q220" s="78"/>
      <c r="R220" s="75" t="s">
        <v>99</v>
      </c>
      <c r="S220" s="420" t="s">
        <v>126</v>
      </c>
      <c r="U220" s="354"/>
      <c r="V220" s="81" t="s">
        <v>126</v>
      </c>
      <c r="W220" s="121" t="s">
        <v>99</v>
      </c>
      <c r="X220" s="100"/>
      <c r="Y220" s="82" t="s">
        <v>99</v>
      </c>
      <c r="Z220" s="39"/>
      <c r="AE220" s="354" t="s">
        <v>99</v>
      </c>
      <c r="AF220" s="78" t="s">
        <v>99</v>
      </c>
      <c r="AG220" s="81" t="s">
        <v>126</v>
      </c>
      <c r="AH220" s="1115"/>
      <c r="AI220" s="75" t="s">
        <v>99</v>
      </c>
      <c r="AJ220" s="420" t="s">
        <v>126</v>
      </c>
      <c r="AK220" s="415" t="s">
        <v>124</v>
      </c>
      <c r="BC220" s="40"/>
      <c r="BD220" s="40"/>
      <c r="BE220" s="40"/>
      <c r="BF220" s="40"/>
      <c r="BG220" s="40"/>
    </row>
    <row r="221" spans="1:59" ht="18" customHeight="1">
      <c r="A221" s="1116">
        <f ca="1">COUNT(A138:A211)</f>
        <v>12</v>
      </c>
      <c r="B221" s="402">
        <f ca="1">SUM(B138:B211)/COUNT(B138:B211)</f>
        <v>30</v>
      </c>
      <c r="C221" s="403">
        <f ca="1">SUM(C138:C211)/COUNT(C138:C211)</f>
        <v>180.5</v>
      </c>
      <c r="D221" s="402"/>
      <c r="E221" s="404">
        <f ca="1">SUMIF(A138:A211,45)/45</f>
        <v>7</v>
      </c>
      <c r="N221" s="384">
        <f ca="1">MAX(N138:N211)</f>
        <v>0</v>
      </c>
      <c r="O221" s="371">
        <f ca="1">MAX(O138:O211)</f>
        <v>0</v>
      </c>
      <c r="P221" s="372">
        <f ca="1">MAX(P138:P211)</f>
        <v>0</v>
      </c>
      <c r="Q221" s="383"/>
      <c r="R221" s="378">
        <f ca="1">MAX(R132:R211)</f>
        <v>0</v>
      </c>
      <c r="S221" s="417">
        <f ca="1">SUM(S138:S217)</f>
        <v>0</v>
      </c>
      <c r="U221" s="384"/>
      <c r="V221" s="372">
        <f ca="1">MAX(V138:V211)</f>
        <v>0</v>
      </c>
      <c r="W221" s="1110">
        <f ca="1">MAX(W132:W211)</f>
        <v>0</v>
      </c>
      <c r="X221" s="1117"/>
      <c r="Y221" s="382">
        <f ca="1">MAX(X138:X211)</f>
        <v>208.93008411673691</v>
      </c>
      <c r="Z221" s="1097"/>
      <c r="AA221" s="1108"/>
      <c r="AB221" s="1108"/>
      <c r="AC221" s="1108"/>
      <c r="AE221" s="384">
        <f ca="1">IF(COUNT(AE138:AE211)=0,MAX(AE135:AE137,AE212:AE214),MAX(AE138:AE211))</f>
        <v>0</v>
      </c>
      <c r="AF221" s="371">
        <f ca="1">MAX(AF138:AF211)</f>
        <v>0</v>
      </c>
      <c r="AG221" s="371">
        <f ca="1">MAX(AG138:AG211)</f>
        <v>0</v>
      </c>
      <c r="AH221" s="377"/>
      <c r="AI221" s="378">
        <f ca="1">IF(COUNT(AE138:AE211)=0,MAX(AI135:AI137,AI212:AI214),MAX(AI138:AI211))</f>
        <v>0</v>
      </c>
      <c r="AJ221" s="417">
        <f ca="1">SUM(AJ138:AJ211)</f>
        <v>0</v>
      </c>
      <c r="AK221" s="1102">
        <f ca="1">MIN(AK135:AK214)</f>
        <v>0</v>
      </c>
      <c r="BC221" s="40"/>
      <c r="BD221" s="40"/>
      <c r="BE221" s="40"/>
      <c r="BF221" s="40"/>
      <c r="BG221" s="40"/>
    </row>
    <row r="222" spans="1:59" ht="18" customHeight="1">
      <c r="A222" s="1118"/>
      <c r="B222" s="76" t="s">
        <v>103</v>
      </c>
      <c r="C222" s="99" t="s">
        <v>104</v>
      </c>
      <c r="D222" s="99"/>
      <c r="E222" s="118"/>
      <c r="N222" s="355"/>
      <c r="O222" s="324" t="s">
        <v>253</v>
      </c>
      <c r="P222" s="123" t="s">
        <v>130</v>
      </c>
      <c r="Q222" s="322" t="s">
        <v>256</v>
      </c>
      <c r="R222" s="118" t="s">
        <v>281</v>
      </c>
      <c r="S222" s="416" t="s">
        <v>279</v>
      </c>
      <c r="U222" s="355"/>
      <c r="V222" s="123" t="s">
        <v>251</v>
      </c>
      <c r="W222" s="119"/>
      <c r="X222" s="98"/>
      <c r="Y222" s="1113" t="s">
        <v>1850</v>
      </c>
      <c r="Z222" s="39"/>
      <c r="AD222" s="355" t="s">
        <v>2207</v>
      </c>
      <c r="AE222" s="355" t="s">
        <v>1851</v>
      </c>
      <c r="AF222" s="324" t="s">
        <v>253</v>
      </c>
      <c r="AG222" s="123" t="s">
        <v>130</v>
      </c>
      <c r="AH222" s="123" t="s">
        <v>1852</v>
      </c>
      <c r="AI222" s="73" t="s">
        <v>1853</v>
      </c>
      <c r="AJ222" s="118" t="s">
        <v>281</v>
      </c>
      <c r="AK222" s="416" t="s">
        <v>279</v>
      </c>
      <c r="AL222" s="1119" t="s">
        <v>280</v>
      </c>
      <c r="BC222" s="40"/>
      <c r="BD222" s="40"/>
      <c r="BE222" s="40"/>
      <c r="BF222" s="40"/>
      <c r="BG222" s="40"/>
    </row>
    <row r="223" spans="1:59" ht="18" customHeight="1">
      <c r="A223" s="1120"/>
      <c r="B223" s="77" t="s">
        <v>99</v>
      </c>
      <c r="C223" s="81" t="s">
        <v>99</v>
      </c>
      <c r="D223" s="81"/>
      <c r="E223" s="82"/>
      <c r="N223" s="356"/>
      <c r="O223" s="325" t="s">
        <v>99</v>
      </c>
      <c r="P223" s="78" t="s">
        <v>126</v>
      </c>
      <c r="Q223" s="81" t="s">
        <v>163</v>
      </c>
      <c r="R223" s="82" t="s">
        <v>99</v>
      </c>
      <c r="S223" s="422" t="s">
        <v>280</v>
      </c>
      <c r="U223" s="356"/>
      <c r="V223" s="78" t="s">
        <v>126</v>
      </c>
      <c r="W223" s="83"/>
      <c r="X223" s="100"/>
      <c r="Y223" s="82" t="s">
        <v>1847</v>
      </c>
      <c r="Z223" s="39"/>
      <c r="AD223" s="356" t="s">
        <v>99</v>
      </c>
      <c r="AE223" s="356" t="s">
        <v>99</v>
      </c>
      <c r="AF223" s="325" t="s">
        <v>99</v>
      </c>
      <c r="AG223" s="78" t="s">
        <v>126</v>
      </c>
      <c r="AH223" s="81" t="s">
        <v>126</v>
      </c>
      <c r="AI223" s="75" t="s">
        <v>99</v>
      </c>
      <c r="AJ223" s="82" t="s">
        <v>99</v>
      </c>
      <c r="AK223" s="82" t="s">
        <v>124</v>
      </c>
      <c r="BC223" s="40"/>
      <c r="BD223" s="40"/>
      <c r="BE223" s="40"/>
      <c r="BF223" s="40"/>
      <c r="BG223" s="40"/>
    </row>
    <row r="224" spans="1:59" ht="18" customHeight="1">
      <c r="A224" s="1121"/>
      <c r="B224" s="405">
        <f ca="1">MAX(B138:B211)-MIN(B138:B211)</f>
        <v>40.5</v>
      </c>
      <c r="C224" s="405">
        <f ca="1">MAX(C138:C211)-MIN(C138:C211)</f>
        <v>240</v>
      </c>
      <c r="D224" s="405"/>
      <c r="E224" s="406"/>
      <c r="N224" s="387"/>
      <c r="O224" s="385">
        <f ca="1">SUM(O138:O211)</f>
        <v>0</v>
      </c>
      <c r="P224" s="372">
        <f ca="1">SUM(P138:P211)</f>
        <v>0</v>
      </c>
      <c r="Q224" s="386">
        <f ca="1">SUMPRODUCT(Q141:Q214,N141:N214,N141:N214)</f>
        <v>0</v>
      </c>
      <c r="R224" s="382" t="e">
        <f ca="1">INDEX($E138:$E211,MATCH(MAX(O138:O211),O138:O211,0))</f>
        <v>#N/A</v>
      </c>
      <c r="S224" s="421" t="e">
        <f ca="1">P224/S221</f>
        <v>#DIV/0!</v>
      </c>
      <c r="U224" s="387"/>
      <c r="V224" s="388">
        <f ca="1">SUM(V138:V211)</f>
        <v>0</v>
      </c>
      <c r="W224" s="1122"/>
      <c r="X224" s="1117"/>
      <c r="Y224" s="1123">
        <f ca="1">SUM(Y138:Y211)</f>
        <v>134443.84243130556</v>
      </c>
      <c r="Z224" s="1124"/>
      <c r="AA224" s="1108"/>
      <c r="AB224" s="1108"/>
      <c r="AC224" s="1108"/>
      <c r="AD224" s="387">
        <f>MAX(AE212:AE214,AE135:AE137)</f>
        <v>0</v>
      </c>
      <c r="AE224" s="387">
        <f>MAX(AE215:AE217,AE132:AE134)</f>
        <v>0</v>
      </c>
      <c r="AF224" s="385">
        <f ca="1">SUM(AF138:AF211)</f>
        <v>0</v>
      </c>
      <c r="AG224" s="372">
        <f ca="1">SUM(AG138:AG211)</f>
        <v>0</v>
      </c>
      <c r="AH224" s="372">
        <f>SUM(AG212:AG214,AG135:AG137)</f>
        <v>0</v>
      </c>
      <c r="AI224" s="381">
        <f>MAX(AI215:AI217,AI132:AI134)</f>
        <v>0</v>
      </c>
      <c r="AJ224" s="382" t="e">
        <f ca="1">INDEX($E138:$E211,MATCH(MAX(AF138:AF211),AF138:AF211,0))</f>
        <v>#N/A</v>
      </c>
      <c r="AK224" s="421" t="e">
        <f ca="1">AG224/AJ221</f>
        <v>#DIV/0!</v>
      </c>
      <c r="AL224" s="40" t="s">
        <v>1854</v>
      </c>
      <c r="BC224" s="40"/>
      <c r="BD224" s="40"/>
      <c r="BE224" s="40"/>
      <c r="BF224" s="40"/>
      <c r="BG224" s="40"/>
    </row>
    <row r="225" spans="1:59" ht="18" customHeight="1">
      <c r="A225" s="40"/>
      <c r="B225" s="43"/>
      <c r="C225" s="40"/>
      <c r="D225" s="40"/>
      <c r="E225" s="40"/>
      <c r="K225" s="40"/>
      <c r="N225" s="309"/>
      <c r="P225" s="41"/>
      <c r="Q225" s="43"/>
      <c r="R225" s="43"/>
      <c r="S225" s="102"/>
      <c r="X225" s="43"/>
      <c r="AE225" s="43"/>
      <c r="AJ225" s="102"/>
      <c r="BC225" s="40"/>
      <c r="BD225" s="40"/>
      <c r="BE225" s="40"/>
      <c r="BF225" s="40"/>
      <c r="BG225" s="40"/>
    </row>
    <row r="226" spans="1:59" ht="18" customHeight="1">
      <c r="B226" s="47"/>
      <c r="N226" s="40" t="s">
        <v>162</v>
      </c>
      <c r="U226" s="40" t="s">
        <v>161</v>
      </c>
      <c r="W226" s="309"/>
      <c r="X226" s="1125"/>
      <c r="Y226" s="309"/>
      <c r="Z226" s="309"/>
      <c r="AE226" s="40" t="s">
        <v>1838</v>
      </c>
      <c r="BC226" s="40"/>
      <c r="BD226" s="40"/>
      <c r="BE226" s="40"/>
      <c r="BF226" s="40"/>
      <c r="BG226" s="40"/>
    </row>
    <row r="227" spans="1:59" ht="18" customHeight="1">
      <c r="A227" s="1126" t="s">
        <v>11</v>
      </c>
      <c r="B227" s="330"/>
      <c r="C227" s="89"/>
      <c r="D227" s="89"/>
      <c r="E227" s="108"/>
      <c r="N227" s="125" t="s">
        <v>1</v>
      </c>
      <c r="O227" s="112"/>
      <c r="P227" s="112"/>
      <c r="Q227" s="112"/>
      <c r="R227" s="113"/>
      <c r="S227" s="113"/>
      <c r="U227" s="125" t="s">
        <v>1</v>
      </c>
      <c r="V227" s="326" t="s">
        <v>255</v>
      </c>
      <c r="W227" s="327"/>
      <c r="X227" s="1127"/>
      <c r="Y227" s="328"/>
      <c r="Z227" s="159"/>
      <c r="AE227" s="1128" t="s">
        <v>1</v>
      </c>
      <c r="AF227" s="112"/>
      <c r="AG227" s="112"/>
      <c r="AH227" s="112"/>
      <c r="AI227" s="113"/>
      <c r="AJ227" s="113"/>
      <c r="AK227" s="113"/>
      <c r="AL227" s="113"/>
      <c r="BC227" s="40"/>
      <c r="BD227" s="40"/>
      <c r="BE227" s="40"/>
      <c r="BF227" s="40"/>
      <c r="BG227" s="40"/>
    </row>
    <row r="228" spans="1:59" ht="18" customHeight="1">
      <c r="A228" s="114" t="s">
        <v>9</v>
      </c>
      <c r="B228" s="115" t="s">
        <v>105</v>
      </c>
      <c r="C228" s="115" t="s">
        <v>106</v>
      </c>
      <c r="D228" s="115"/>
      <c r="E228" s="129" t="s">
        <v>113</v>
      </c>
      <c r="N228" s="125" t="s">
        <v>257</v>
      </c>
      <c r="O228" s="116" t="s">
        <v>114</v>
      </c>
      <c r="P228" s="116" t="s">
        <v>131</v>
      </c>
      <c r="Q228" s="116" t="s">
        <v>132</v>
      </c>
      <c r="R228" s="124" t="s">
        <v>116</v>
      </c>
      <c r="S228" s="409" t="s">
        <v>277</v>
      </c>
      <c r="U228" s="125" t="s">
        <v>257</v>
      </c>
      <c r="V228" s="116" t="s">
        <v>250</v>
      </c>
      <c r="W228" s="116" t="s">
        <v>116</v>
      </c>
      <c r="X228" s="114" t="s">
        <v>107</v>
      </c>
      <c r="Y228" s="130" t="s">
        <v>1839</v>
      </c>
      <c r="Z228" s="163"/>
      <c r="AE228" s="1129" t="s">
        <v>1840</v>
      </c>
      <c r="AF228" s="1130" t="s">
        <v>1841</v>
      </c>
      <c r="AG228" s="1130" t="s">
        <v>1842</v>
      </c>
      <c r="AH228" s="1130" t="s">
        <v>1843</v>
      </c>
      <c r="AI228" s="409" t="s">
        <v>1855</v>
      </c>
      <c r="AJ228" s="409" t="s">
        <v>277</v>
      </c>
      <c r="AK228" s="1131" t="s">
        <v>1845</v>
      </c>
      <c r="AL228" s="1131" t="s">
        <v>1846</v>
      </c>
      <c r="BC228" s="40"/>
      <c r="BD228" s="40"/>
      <c r="BE228" s="40"/>
      <c r="BF228" s="40"/>
      <c r="BG228" s="40"/>
    </row>
    <row r="229" spans="1:59" ht="18" customHeight="1">
      <c r="A229" s="117" t="s">
        <v>125</v>
      </c>
      <c r="B229" s="94" t="s">
        <v>99</v>
      </c>
      <c r="C229" s="94" t="s">
        <v>99</v>
      </c>
      <c r="D229" s="94"/>
      <c r="E229" s="131" t="s">
        <v>99</v>
      </c>
      <c r="M229" s="40"/>
      <c r="N229" s="136" t="s">
        <v>99</v>
      </c>
      <c r="O229" s="95" t="s">
        <v>99</v>
      </c>
      <c r="P229" s="95" t="s">
        <v>126</v>
      </c>
      <c r="Q229" s="95" t="s">
        <v>127</v>
      </c>
      <c r="R229" s="128" t="s">
        <v>99</v>
      </c>
      <c r="S229" s="410" t="s">
        <v>126</v>
      </c>
      <c r="U229" s="136" t="s">
        <v>99</v>
      </c>
      <c r="V229" s="95" t="s">
        <v>126</v>
      </c>
      <c r="W229" s="95" t="s">
        <v>99</v>
      </c>
      <c r="X229" s="117" t="s">
        <v>99</v>
      </c>
      <c r="Y229" s="132" t="s">
        <v>1847</v>
      </c>
      <c r="Z229" s="163"/>
      <c r="AE229" s="1132" t="s">
        <v>99</v>
      </c>
      <c r="AF229" s="1133" t="s">
        <v>99</v>
      </c>
      <c r="AG229" s="1133" t="s">
        <v>126</v>
      </c>
      <c r="AH229" s="1133" t="s">
        <v>127</v>
      </c>
      <c r="AI229" s="410" t="s">
        <v>99</v>
      </c>
      <c r="AJ229" s="410" t="s">
        <v>126</v>
      </c>
      <c r="AK229" s="1134" t="s">
        <v>124</v>
      </c>
      <c r="AL229" s="1134" t="s">
        <v>99</v>
      </c>
      <c r="BC229" s="40"/>
      <c r="BD229" s="40"/>
      <c r="BE229" s="40"/>
      <c r="BF229" s="40"/>
      <c r="BG229" s="40"/>
    </row>
    <row r="230" spans="1:59" ht="18" customHeight="1">
      <c r="A230" s="1073" t="str">
        <f>IF(AND($D$74="ja",$C$17="oben"),"Zuglasche",IF(AND($D$56="ja",$C$17="oben",$D$58&gt;2),"Schraubenkreuz",""))</f>
        <v/>
      </c>
      <c r="B230" s="1074"/>
      <c r="C230" s="1074" t="str">
        <f>IF(A230="","",IF(A230="Schraubenkreuz",-$D$63-2*$D$64,IF(A230="Zuglasche",-50)))</f>
        <v/>
      </c>
      <c r="D230" s="1074"/>
      <c r="E230" s="1075"/>
      <c r="N230" s="103"/>
      <c r="O230" s="54"/>
      <c r="P230" s="54"/>
      <c r="Q230" s="54"/>
      <c r="R230" s="105"/>
      <c r="S230" s="105"/>
      <c r="T230" s="39"/>
      <c r="U230" s="103"/>
      <c r="V230" s="54"/>
      <c r="W230" s="54"/>
      <c r="X230" s="54"/>
      <c r="Y230" s="105"/>
      <c r="Z230" s="39"/>
      <c r="AA230" s="39"/>
      <c r="AB230" s="39"/>
      <c r="AC230" s="39"/>
      <c r="AE230" s="1073" t="str">
        <f>IF(C230="","",IF($C$17="unten",ABS(C230-$AL$16),IF($C$17="oben",ABS($C$14-C230-$AL$16))))</f>
        <v/>
      </c>
      <c r="AF230" s="1076" t="str">
        <f>IF(AE230="","",IF($C$17="unten",C230,IF($C$17="oben",$C$14-C230)))</f>
        <v/>
      </c>
      <c r="AG230" s="1076" t="str">
        <f>IF(C230="","",AH230*AI230)</f>
        <v/>
      </c>
      <c r="AH230" s="1076" t="str">
        <f>IF(AE230="","",IF(A230="Schraubenkreuz",$D$69,IF(A230="Zuglasche","FEHLER")))</f>
        <v/>
      </c>
      <c r="AI230" s="1078" t="str">
        <f>IF(AF230="","",AL230*$AK$313/AK230)</f>
        <v/>
      </c>
      <c r="AJ230" s="1135"/>
      <c r="AK230" s="1079" t="str">
        <f>IF(AE230="","",AL230/AE230)</f>
        <v/>
      </c>
      <c r="AL230" s="1078" t="str">
        <f>IF(AE230="","",IF(A230="Schraubenkreuz",$D$70*AE230/MAX($AE$230:$AE$232),IF(A230="Zuglasche","FEHLER")))</f>
        <v/>
      </c>
      <c r="AM230" s="1080" t="str">
        <f>IF(D56="ja",$D$70,"")</f>
        <v/>
      </c>
      <c r="BC230" s="40"/>
      <c r="BD230" s="40"/>
      <c r="BE230" s="40"/>
      <c r="BF230" s="40"/>
      <c r="BG230" s="40"/>
    </row>
    <row r="231" spans="1:59" ht="18" customHeight="1">
      <c r="A231" s="1081" t="str">
        <f>IF(AND($D$74="ja",$C$17="oben"),"",IF(AND($D$56="ja",$C$17="oben",$D$58&gt;1),"Schraubenkreuz",""))</f>
        <v/>
      </c>
      <c r="B231" s="1082"/>
      <c r="C231" s="1082" t="str">
        <f>IF(A231="","",IF(A231="Schraubenkreuz",-$D$63-1*$D$64,IF(A231="Zuglasche",-50)))</f>
        <v/>
      </c>
      <c r="D231" s="1082"/>
      <c r="E231" s="1083"/>
      <c r="N231" s="68"/>
      <c r="O231" s="39"/>
      <c r="P231" s="39"/>
      <c r="Q231" s="39"/>
      <c r="R231" s="104"/>
      <c r="S231" s="104"/>
      <c r="T231" s="39"/>
      <c r="U231" s="68"/>
      <c r="V231" s="39"/>
      <c r="W231" s="39"/>
      <c r="X231" s="39"/>
      <c r="Y231" s="104"/>
      <c r="Z231" s="39"/>
      <c r="AA231" s="39"/>
      <c r="AB231" s="39"/>
      <c r="AC231" s="39"/>
      <c r="AE231" s="1081" t="str">
        <f>IF(C231="","",IF($C$17="unten",ABS(C231-$AL$16),IF($C$17="oben",ABS($C$14-C231-$AL$16))))</f>
        <v/>
      </c>
      <c r="AF231" s="1084" t="str">
        <f t="shared" ref="AF231:AF293" si="52">IF(AE231="","",IF($C$17="unten",C231,IF($C$17="oben",$C$14-C231)))</f>
        <v/>
      </c>
      <c r="AG231" s="1084" t="str">
        <f>IF(C231="","",AH231*AI231)</f>
        <v/>
      </c>
      <c r="AH231" s="1084" t="str">
        <f>IF(AE231="","",IF(A231="Schraubenkreuz",$D$69,IF(A231="Zuglasche","FEHLER")))</f>
        <v/>
      </c>
      <c r="AI231" s="1086" t="str">
        <f t="shared" ref="AI231:AI294" si="53">IF(AF231="","",AL231*$AK$313/AK231)</f>
        <v/>
      </c>
      <c r="AJ231" s="1136"/>
      <c r="AK231" s="1087" t="str">
        <f t="shared" ref="AK231:AK232" si="54">IF(AE231="","",AL231/AE231)</f>
        <v/>
      </c>
      <c r="AL231" s="1086" t="str">
        <f>IF(AE231="","",IF(A231="Schraubenkreuz",$D$70*AE231/MAX($AE$230:$AE$232),IF(A231="Zuglasche","FEHLER")))</f>
        <v/>
      </c>
      <c r="BC231" s="40"/>
      <c r="BD231" s="40"/>
      <c r="BE231" s="40"/>
      <c r="BF231" s="40"/>
      <c r="BG231" s="40"/>
    </row>
    <row r="232" spans="1:59" ht="18" customHeight="1">
      <c r="A232" s="1088" t="str">
        <f>IF(AND($D$74="ja",$C$17="oben"),"",IF(AND($D$56="ja",$C$17="oben",$D$58&gt;0),"Schraubenkreuz",""))</f>
        <v/>
      </c>
      <c r="B232" s="1089"/>
      <c r="C232" s="1089" t="str">
        <f>IF(A232="","",IF(A232="Schraubenkreuz",-$D$63-0*$D$64,IF(A232="Zuglasche",-50)))</f>
        <v/>
      </c>
      <c r="D232" s="1089"/>
      <c r="E232" s="1090"/>
      <c r="N232" s="69"/>
      <c r="O232" s="37"/>
      <c r="P232" s="37"/>
      <c r="Q232" s="37"/>
      <c r="R232" s="101"/>
      <c r="S232" s="101"/>
      <c r="T232" s="39"/>
      <c r="U232" s="69"/>
      <c r="V232" s="37"/>
      <c r="W232" s="37"/>
      <c r="X232" s="37"/>
      <c r="Y232" s="101"/>
      <c r="Z232" s="39"/>
      <c r="AA232" s="39"/>
      <c r="AB232" s="39"/>
      <c r="AC232" s="39"/>
      <c r="AE232" s="1088" t="str">
        <f>IF(C232="","",IF($C$17="unten",ABS(C232-$AL$16),IF($C$17="oben",ABS($C$14-C232-$AL$16))))</f>
        <v/>
      </c>
      <c r="AF232" s="1091" t="str">
        <f t="shared" si="52"/>
        <v/>
      </c>
      <c r="AG232" s="1091" t="str">
        <f>IF(C232="","",AH232*AI232)</f>
        <v/>
      </c>
      <c r="AH232" s="1091" t="str">
        <f>IF(AE232="","",IF(A232="Schraubenkreuz",$D$69,IF(A232="Zuglasche","FEHLER")))</f>
        <v/>
      </c>
      <c r="AI232" s="1093" t="str">
        <f t="shared" si="53"/>
        <v/>
      </c>
      <c r="AJ232" s="1137"/>
      <c r="AK232" s="1094" t="str">
        <f t="shared" si="54"/>
        <v/>
      </c>
      <c r="AL232" s="1093" t="str">
        <f>IF(AE232="","",IF(A232="Schraubenkreuz",$D$70*AE232/MAX($AE$230:$AE$232),IF(A232="Zuglasche","FEHLER")))</f>
        <v/>
      </c>
      <c r="BC232" s="40"/>
      <c r="BD232" s="40"/>
      <c r="BE232" s="40"/>
      <c r="BF232" s="40"/>
      <c r="BG232" s="40"/>
    </row>
    <row r="233" spans="1:59" ht="18" customHeight="1">
      <c r="A233" s="1095" cm="1">
        <f t="array" aca="1" ref="A233:D306" ca="1">INDIRECT(E353):INDIRECT(E354)</f>
        <v>90</v>
      </c>
      <c r="B233" s="399">
        <f ca="1"/>
        <v>50</v>
      </c>
      <c r="C233" s="400">
        <f ca="1"/>
        <v>10</v>
      </c>
      <c r="D233" s="400">
        <f ca="1"/>
        <v>40</v>
      </c>
      <c r="E233" s="401">
        <f t="shared" ref="E233:E296" ca="1" si="55">IF(A233=90,$C$45-D233,IF(A233=45,$C$44-D233,""))</f>
        <v>200</v>
      </c>
      <c r="N233" s="389">
        <f t="shared" ref="N233:N296" ca="1" si="56">IF(OR(A233=90),IF($C$17="unten",IF($U$16&gt;C233,"",C233-$U$16),IF($C$17="oben",IF($U$16&gt;$C$14-C233,"",$C$14-C233-$U$16))),"")</f>
        <v>274.94363937632806</v>
      </c>
      <c r="O233" s="390">
        <f t="shared" ref="O233:O296" ca="1" si="57">IF(N233="","",IF($C$17="unten",C233,IF($C$17="oben",$C$14-C233)))</f>
        <v>300</v>
      </c>
      <c r="P233" s="390">
        <f ca="1">IF(N233="","",MIN($C$43*$C$49*E233,$C$51)*N233/MAX($N$233:$N$306))</f>
        <v>6036.7630563951825</v>
      </c>
      <c r="Q233" s="390">
        <f t="shared" ref="Q233:Q296" ca="1" si="58">IF(N233="","",$C$43*$C$49*E233/$C$50)</f>
        <v>8049.01740852691</v>
      </c>
      <c r="R233" s="391">
        <f ca="1">IF(N233="","",P233/Q233)</f>
        <v>0.75</v>
      </c>
      <c r="S233" s="395">
        <f t="shared" ref="S233:S296" ca="1" si="59">IF(N233="","",P233*$R$316/E233)</f>
        <v>6036.7630563951816</v>
      </c>
      <c r="U233" s="389" t="str">
        <f t="shared" ref="U233:U296" ca="1" si="60">IF(OR(A233=45),IF($C$17="unten",IF($U$16&gt;C233,"",C233-$U$16),IF($C$17="oben",IF($U$16&gt;$C$14-C233,"",$C$14-C233-$U$16))),"")</f>
        <v/>
      </c>
      <c r="V233" s="390" t="str">
        <f t="shared" ref="V233:V296" ca="1" si="61">IF(U233="","",MIN($C$26*$C$32*E233,$C$34)*U233/MAX($U$233:$U$306)/2^0.5)</f>
        <v/>
      </c>
      <c r="W233" s="394" t="str">
        <f t="shared" ref="W233:W296" ca="1" si="62">IF(U233="","",$C$50*U233/MAX($U$233:$U$306)/2^0.5)</f>
        <v/>
      </c>
      <c r="X233" s="389" t="str">
        <f t="shared" ref="X233:X296" ca="1" si="63">IF(A233=45,IF($C$17="unten",ABS(C233-$U$16),IF($C$17="oben",ABS($C$14-C233-$U$16))),"")</f>
        <v/>
      </c>
      <c r="Y233" s="1138" t="str">
        <f ca="1">IF(U233="","",(X233)^2)</f>
        <v/>
      </c>
      <c r="Z233" s="1097"/>
      <c r="AA233" s="1108"/>
      <c r="AB233" s="1108"/>
      <c r="AC233" s="1108"/>
      <c r="AE233" s="1139">
        <f t="shared" ref="AE233:AE296" ca="1" si="64">IF(OR(A233=90),IF($C$17="unten",IF($AL$16&gt;=C233,"",C233-$AL$16),IF($C$17="oben",IF($AL$16&gt;=$C$14-C233,"",$C$14-C233-$AL$16))),"")</f>
        <v>274.94334927742881</v>
      </c>
      <c r="AF233" s="393">
        <f t="shared" ca="1" si="52"/>
        <v>300</v>
      </c>
      <c r="AG233" s="393">
        <f ca="1">IF(AF233="","",AH233*AI233)</f>
        <v>6036.7630563951816</v>
      </c>
      <c r="AH233" s="393">
        <f t="shared" ref="AH233:AH296" ca="1" si="65">IF(AE233="","",$C$43*$C$49*E233/$C$50)</f>
        <v>8049.01740852691</v>
      </c>
      <c r="AI233" s="1140">
        <f t="shared" ca="1" si="53"/>
        <v>0.74999999999999989</v>
      </c>
      <c r="AJ233" s="395">
        <f t="shared" ref="AJ233:AJ296" ca="1" si="66">IF(AE233="","",AG233*$AJ$316/E233)</f>
        <v>6036.7630563951816</v>
      </c>
      <c r="AK233" s="1141">
        <f ca="1">IF(AE233="","",AL233/AE233)</f>
        <v>2.7278346683818856E-3</v>
      </c>
      <c r="AL233" s="1140">
        <f t="shared" ref="AL233:AL296" ca="1" si="67">IF(AE233="","",$C$33*AE233/MAX($AE$233:$AE$306))</f>
        <v>0.75</v>
      </c>
      <c r="AM233" s="1142">
        <f>C33</f>
        <v>0.75</v>
      </c>
      <c r="BC233" s="40"/>
      <c r="BD233" s="40"/>
      <c r="BE233" s="40"/>
      <c r="BF233" s="40"/>
      <c r="BG233" s="40"/>
    </row>
    <row r="234" spans="1:59" ht="18" customHeight="1">
      <c r="A234" s="1095">
        <f ca="1"/>
        <v>90</v>
      </c>
      <c r="B234" s="399">
        <f ca="1"/>
        <v>10</v>
      </c>
      <c r="C234" s="400">
        <f ca="1"/>
        <v>10</v>
      </c>
      <c r="D234" s="400">
        <f ca="1"/>
        <v>40</v>
      </c>
      <c r="E234" s="401">
        <f t="shared" ca="1" si="55"/>
        <v>200</v>
      </c>
      <c r="N234" s="392">
        <f t="shared" ca="1" si="56"/>
        <v>274.94363937632806</v>
      </c>
      <c r="O234" s="393">
        <f t="shared" ca="1" si="57"/>
        <v>300</v>
      </c>
      <c r="P234" s="393">
        <f t="shared" ref="P234:P296" ca="1" si="68">IF(N234="","",MIN($C$43*$C$49*E234,$C$51)*N234/MAX($N$233:$N$306))</f>
        <v>6036.7630563951825</v>
      </c>
      <c r="Q234" s="393">
        <f t="shared" ca="1" si="58"/>
        <v>8049.01740852691</v>
      </c>
      <c r="R234" s="394">
        <f t="shared" ref="R234:R297" ca="1" si="69">IF(N234="","",P234/Q234)</f>
        <v>0.75</v>
      </c>
      <c r="S234" s="395">
        <f t="shared" ca="1" si="59"/>
        <v>6036.7630563951816</v>
      </c>
      <c r="U234" s="392" t="str">
        <f t="shared" ca="1" si="60"/>
        <v/>
      </c>
      <c r="V234" s="393" t="str">
        <f t="shared" ca="1" si="61"/>
        <v/>
      </c>
      <c r="W234" s="394" t="str">
        <f t="shared" ca="1" si="62"/>
        <v/>
      </c>
      <c r="X234" s="392" t="str">
        <f t="shared" ca="1" si="63"/>
        <v/>
      </c>
      <c r="Y234" s="395" t="str">
        <f t="shared" ref="Y234:Y297" ca="1" si="70">IF(U234="","",(X234)^2)</f>
        <v/>
      </c>
      <c r="Z234" s="1097"/>
      <c r="AA234" s="1108"/>
      <c r="AB234" s="1108"/>
      <c r="AC234" s="1108"/>
      <c r="AE234" s="1139">
        <f t="shared" ca="1" si="64"/>
        <v>274.94334927742881</v>
      </c>
      <c r="AF234" s="393">
        <f t="shared" ca="1" si="52"/>
        <v>300</v>
      </c>
      <c r="AG234" s="393">
        <f ca="1">IF(AF234="","",AH234*AI234)</f>
        <v>6036.7630563951816</v>
      </c>
      <c r="AH234" s="393">
        <f t="shared" ca="1" si="65"/>
        <v>8049.01740852691</v>
      </c>
      <c r="AI234" s="1143">
        <f t="shared" ca="1" si="53"/>
        <v>0.74999999999999989</v>
      </c>
      <c r="AJ234" s="395">
        <f t="shared" ca="1" si="66"/>
        <v>6036.7630563951816</v>
      </c>
      <c r="AK234" s="1144">
        <f ca="1">IF(AE234="","",AL234/AE234)</f>
        <v>2.7278346683818856E-3</v>
      </c>
      <c r="AL234" s="1143">
        <f t="shared" ca="1" si="67"/>
        <v>0.75</v>
      </c>
      <c r="BC234" s="40"/>
      <c r="BD234" s="40"/>
      <c r="BE234" s="40"/>
      <c r="BF234" s="40"/>
      <c r="BG234" s="40"/>
    </row>
    <row r="235" spans="1:59" ht="18" customHeight="1">
      <c r="A235" s="1095">
        <f ca="1"/>
        <v>45</v>
      </c>
      <c r="B235" s="399">
        <f ca="1"/>
        <v>9.75</v>
      </c>
      <c r="C235" s="400">
        <f ca="1"/>
        <v>56</v>
      </c>
      <c r="D235" s="400">
        <f ca="1"/>
        <v>17.5</v>
      </c>
      <c r="E235" s="401">
        <f t="shared" ca="1" si="55"/>
        <v>142.5</v>
      </c>
      <c r="N235" s="392" t="str">
        <f t="shared" ca="1" si="56"/>
        <v/>
      </c>
      <c r="O235" s="393" t="str">
        <f t="shared" ca="1" si="57"/>
        <v/>
      </c>
      <c r="P235" s="393" t="str">
        <f t="shared" ca="1" si="68"/>
        <v/>
      </c>
      <c r="Q235" s="393" t="str">
        <f t="shared" ca="1" si="58"/>
        <v/>
      </c>
      <c r="R235" s="394" t="str">
        <f t="shared" ca="1" si="69"/>
        <v/>
      </c>
      <c r="S235" s="395" t="str">
        <f t="shared" ca="1" si="59"/>
        <v/>
      </c>
      <c r="U235" s="392">
        <f t="shared" ca="1" si="60"/>
        <v>228.94363937632804</v>
      </c>
      <c r="V235" s="393" t="e">
        <f t="shared" ca="1" si="61"/>
        <v>#DIV/0!</v>
      </c>
      <c r="W235" s="394">
        <f t="shared" ca="1" si="62"/>
        <v>0.5303300858899106</v>
      </c>
      <c r="X235" s="392">
        <f t="shared" ca="1" si="63"/>
        <v>228.94363937632804</v>
      </c>
      <c r="Y235" s="395">
        <f t="shared" ca="1" si="70"/>
        <v>52415.190010878141</v>
      </c>
      <c r="Z235" s="1097"/>
      <c r="AA235" s="1108"/>
      <c r="AB235" s="1108"/>
      <c r="AC235" s="1108"/>
      <c r="AE235" s="1139" t="str">
        <f t="shared" ca="1" si="64"/>
        <v/>
      </c>
      <c r="AF235" s="393" t="str">
        <f t="shared" ca="1" si="52"/>
        <v/>
      </c>
      <c r="AG235" s="393" t="str">
        <f t="shared" ref="AG235:AG298" ca="1" si="71">IF(AF235="","",AH235*AI235)</f>
        <v/>
      </c>
      <c r="AH235" s="393" t="str">
        <f t="shared" ca="1" si="65"/>
        <v/>
      </c>
      <c r="AI235" s="1143" t="str">
        <f t="shared" ca="1" si="53"/>
        <v/>
      </c>
      <c r="AJ235" s="395" t="str">
        <f t="shared" ca="1" si="66"/>
        <v/>
      </c>
      <c r="AK235" s="1144" t="str">
        <f t="shared" ref="AK235:AK298" ca="1" si="72">IF(AE235="","",AL235/AE235)</f>
        <v/>
      </c>
      <c r="AL235" s="1143" t="str">
        <f t="shared" ca="1" si="67"/>
        <v/>
      </c>
      <c r="BC235" s="40"/>
      <c r="BD235" s="40"/>
      <c r="BE235" s="40"/>
      <c r="BF235" s="40"/>
      <c r="BG235" s="40"/>
    </row>
    <row r="236" spans="1:59" ht="18" customHeight="1">
      <c r="A236" s="1095">
        <f ca="1"/>
        <v>90</v>
      </c>
      <c r="B236" s="399">
        <f ca="1"/>
        <v>30</v>
      </c>
      <c r="C236" s="400">
        <f ca="1"/>
        <v>70</v>
      </c>
      <c r="D236" s="400">
        <f ca="1"/>
        <v>14</v>
      </c>
      <c r="E236" s="401">
        <f t="shared" ca="1" si="55"/>
        <v>226</v>
      </c>
      <c r="N236" s="392">
        <f t="shared" ca="1" si="56"/>
        <v>214.94363937632804</v>
      </c>
      <c r="O236" s="393">
        <f t="shared" ca="1" si="57"/>
        <v>240</v>
      </c>
      <c r="P236" s="393">
        <f t="shared" ca="1" si="68"/>
        <v>5332.9006683019297</v>
      </c>
      <c r="Q236" s="393">
        <f t="shared" ca="1" si="58"/>
        <v>9095.3896716354084</v>
      </c>
      <c r="R236" s="394">
        <f t="shared" ca="1" si="69"/>
        <v>0.5863300925888798</v>
      </c>
      <c r="S236" s="395">
        <f t="shared" ca="1" si="59"/>
        <v>4719.381122391088</v>
      </c>
      <c r="U236" s="392" t="str">
        <f t="shared" ca="1" si="60"/>
        <v/>
      </c>
      <c r="V236" s="393" t="str">
        <f t="shared" ca="1" si="61"/>
        <v/>
      </c>
      <c r="W236" s="394" t="str">
        <f t="shared" ca="1" si="62"/>
        <v/>
      </c>
      <c r="X236" s="392" t="str">
        <f t="shared" ca="1" si="63"/>
        <v/>
      </c>
      <c r="Y236" s="395" t="str">
        <f t="shared" ca="1" si="70"/>
        <v/>
      </c>
      <c r="Z236" s="1097"/>
      <c r="AA236" s="1108"/>
      <c r="AB236" s="1108"/>
      <c r="AC236" s="1108"/>
      <c r="AE236" s="1139">
        <f t="shared" ca="1" si="64"/>
        <v>214.94334927742881</v>
      </c>
      <c r="AF236" s="393">
        <f t="shared" ca="1" si="52"/>
        <v>240</v>
      </c>
      <c r="AG236" s="393">
        <f t="shared" ca="1" si="71"/>
        <v>5332.8990976027799</v>
      </c>
      <c r="AH236" s="393">
        <f t="shared" ca="1" si="65"/>
        <v>9095.3896716354084</v>
      </c>
      <c r="AI236" s="1143">
        <f t="shared" ca="1" si="53"/>
        <v>0.58632991989708683</v>
      </c>
      <c r="AJ236" s="395">
        <f t="shared" ca="1" si="66"/>
        <v>4719.3797323918407</v>
      </c>
      <c r="AK236" s="1144">
        <f t="shared" ca="1" si="72"/>
        <v>2.727834668381886E-3</v>
      </c>
      <c r="AL236" s="1143">
        <f t="shared" ca="1" si="67"/>
        <v>0.58632991989708694</v>
      </c>
      <c r="BC236" s="40"/>
      <c r="BD236" s="40"/>
      <c r="BE236" s="40"/>
      <c r="BF236" s="40"/>
      <c r="BG236" s="40"/>
    </row>
    <row r="237" spans="1:59" ht="18" customHeight="1">
      <c r="A237" s="1095">
        <f ca="1"/>
        <v>45</v>
      </c>
      <c r="B237" s="399">
        <f ca="1"/>
        <v>50.25</v>
      </c>
      <c r="C237" s="400">
        <f ca="1"/>
        <v>76</v>
      </c>
      <c r="D237" s="400">
        <f ca="1"/>
        <v>17.5</v>
      </c>
      <c r="E237" s="401">
        <f t="shared" ca="1" si="55"/>
        <v>142.5</v>
      </c>
      <c r="N237" s="392" t="str">
        <f t="shared" ca="1" si="56"/>
        <v/>
      </c>
      <c r="O237" s="393" t="str">
        <f t="shared" ca="1" si="57"/>
        <v/>
      </c>
      <c r="P237" s="393" t="str">
        <f t="shared" ca="1" si="68"/>
        <v/>
      </c>
      <c r="Q237" s="393" t="str">
        <f t="shared" ca="1" si="58"/>
        <v/>
      </c>
      <c r="R237" s="394" t="str">
        <f t="shared" ca="1" si="69"/>
        <v/>
      </c>
      <c r="S237" s="395" t="str">
        <f t="shared" ca="1" si="59"/>
        <v/>
      </c>
      <c r="U237" s="392">
        <f t="shared" ca="1" si="60"/>
        <v>208.94363937632804</v>
      </c>
      <c r="V237" s="393" t="e">
        <f t="shared" ca="1" si="61"/>
        <v>#DIV/0!</v>
      </c>
      <c r="W237" s="394">
        <f t="shared" ca="1" si="62"/>
        <v>0.48400164563844977</v>
      </c>
      <c r="X237" s="392">
        <f ca="1">IF(A237=45,IF($C$17="unten",ABS(C237-$U$16),IF($C$17="oben",ABS($C$14-C237-$U$16))),"")</f>
        <v>208.94363937632804</v>
      </c>
      <c r="Y237" s="395">
        <f t="shared" ca="1" si="70"/>
        <v>43657.444435825018</v>
      </c>
      <c r="Z237" s="1097"/>
      <c r="AA237" s="1108"/>
      <c r="AB237" s="1108"/>
      <c r="AC237" s="1108"/>
      <c r="AE237" s="1139" t="str">
        <f t="shared" ca="1" si="64"/>
        <v/>
      </c>
      <c r="AF237" s="393" t="str">
        <f t="shared" ca="1" si="52"/>
        <v/>
      </c>
      <c r="AG237" s="393" t="str">
        <f t="shared" ca="1" si="71"/>
        <v/>
      </c>
      <c r="AH237" s="393" t="str">
        <f t="shared" ca="1" si="65"/>
        <v/>
      </c>
      <c r="AI237" s="1143" t="str">
        <f t="shared" ca="1" si="53"/>
        <v/>
      </c>
      <c r="AJ237" s="395" t="str">
        <f t="shared" ca="1" si="66"/>
        <v/>
      </c>
      <c r="AK237" s="1144" t="str">
        <f t="shared" ca="1" si="72"/>
        <v/>
      </c>
      <c r="AL237" s="1143" t="str">
        <f t="shared" ca="1" si="67"/>
        <v/>
      </c>
      <c r="BC237" s="40"/>
      <c r="BD237" s="40"/>
      <c r="BE237" s="40"/>
      <c r="BF237" s="40"/>
      <c r="BG237" s="40"/>
    </row>
    <row r="238" spans="1:59" ht="18" customHeight="1">
      <c r="A238" s="1095">
        <f ca="1"/>
        <v>45</v>
      </c>
      <c r="B238" s="399">
        <f ca="1"/>
        <v>9.75</v>
      </c>
      <c r="C238" s="400">
        <f ca="1"/>
        <v>114</v>
      </c>
      <c r="D238" s="400">
        <f ca="1"/>
        <v>17.5</v>
      </c>
      <c r="E238" s="401">
        <f t="shared" ca="1" si="55"/>
        <v>142.5</v>
      </c>
      <c r="N238" s="392" t="str">
        <f t="shared" ca="1" si="56"/>
        <v/>
      </c>
      <c r="O238" s="393" t="str">
        <f t="shared" ca="1" si="57"/>
        <v/>
      </c>
      <c r="P238" s="393" t="str">
        <f t="shared" ca="1" si="68"/>
        <v/>
      </c>
      <c r="Q238" s="393" t="str">
        <f t="shared" ca="1" si="58"/>
        <v/>
      </c>
      <c r="R238" s="394" t="str">
        <f t="shared" ca="1" si="69"/>
        <v/>
      </c>
      <c r="S238" s="395" t="str">
        <f t="shared" ca="1" si="59"/>
        <v/>
      </c>
      <c r="U238" s="392">
        <f t="shared" ca="1" si="60"/>
        <v>170.94363937632804</v>
      </c>
      <c r="V238" s="393" t="e">
        <f t="shared" ca="1" si="61"/>
        <v>#DIV/0!</v>
      </c>
      <c r="W238" s="394">
        <f t="shared" ca="1" si="62"/>
        <v>0.39597760916067415</v>
      </c>
      <c r="X238" s="392">
        <f t="shared" ca="1" si="63"/>
        <v>170.94363937632804</v>
      </c>
      <c r="Y238" s="395">
        <f t="shared" ca="1" si="70"/>
        <v>29221.727843224089</v>
      </c>
      <c r="Z238" s="1097"/>
      <c r="AA238" s="1108"/>
      <c r="AB238" s="1108"/>
      <c r="AC238" s="1108"/>
      <c r="AE238" s="1139" t="str">
        <f t="shared" ca="1" si="64"/>
        <v/>
      </c>
      <c r="AF238" s="393" t="str">
        <f t="shared" ca="1" si="52"/>
        <v/>
      </c>
      <c r="AG238" s="393" t="str">
        <f t="shared" ca="1" si="71"/>
        <v/>
      </c>
      <c r="AH238" s="393" t="str">
        <f t="shared" ca="1" si="65"/>
        <v/>
      </c>
      <c r="AI238" s="1143" t="str">
        <f t="shared" ca="1" si="53"/>
        <v/>
      </c>
      <c r="AJ238" s="395" t="str">
        <f t="shared" ca="1" si="66"/>
        <v/>
      </c>
      <c r="AK238" s="1144" t="str">
        <f t="shared" ca="1" si="72"/>
        <v/>
      </c>
      <c r="AL238" s="1143" t="str">
        <f t="shared" ca="1" si="67"/>
        <v/>
      </c>
      <c r="BC238" s="40"/>
      <c r="BD238" s="40"/>
      <c r="BE238" s="40"/>
      <c r="BF238" s="40"/>
      <c r="BG238" s="40"/>
    </row>
    <row r="239" spans="1:59" ht="18" customHeight="1">
      <c r="A239" s="1095">
        <f ca="1"/>
        <v>45</v>
      </c>
      <c r="B239" s="399">
        <f ca="1"/>
        <v>50.25</v>
      </c>
      <c r="C239" s="400">
        <f ca="1"/>
        <v>134</v>
      </c>
      <c r="D239" s="400">
        <f ca="1"/>
        <v>17.5</v>
      </c>
      <c r="E239" s="401">
        <f t="shared" ca="1" si="55"/>
        <v>142.5</v>
      </c>
      <c r="N239" s="392" t="str">
        <f t="shared" ca="1" si="56"/>
        <v/>
      </c>
      <c r="O239" s="393" t="str">
        <f t="shared" ca="1" si="57"/>
        <v/>
      </c>
      <c r="P239" s="393" t="str">
        <f t="shared" ca="1" si="68"/>
        <v/>
      </c>
      <c r="Q239" s="393" t="str">
        <f t="shared" ca="1" si="58"/>
        <v/>
      </c>
      <c r="R239" s="394" t="str">
        <f t="shared" ca="1" si="69"/>
        <v/>
      </c>
      <c r="S239" s="395" t="str">
        <f t="shared" ca="1" si="59"/>
        <v/>
      </c>
      <c r="U239" s="392">
        <f t="shared" ca="1" si="60"/>
        <v>150.94363937632804</v>
      </c>
      <c r="V239" s="393" t="e">
        <f t="shared" ca="1" si="61"/>
        <v>#DIV/0!</v>
      </c>
      <c r="W239" s="394">
        <f t="shared" ca="1" si="62"/>
        <v>0.34964916890921333</v>
      </c>
      <c r="X239" s="392">
        <f t="shared" ca="1" si="63"/>
        <v>150.94363937632804</v>
      </c>
      <c r="Y239" s="395">
        <f t="shared" ca="1" si="70"/>
        <v>22783.982268170967</v>
      </c>
      <c r="Z239" s="1097"/>
      <c r="AA239" s="1108"/>
      <c r="AB239" s="1108"/>
      <c r="AC239" s="1108"/>
      <c r="AE239" s="1139" t="str">
        <f t="shared" ca="1" si="64"/>
        <v/>
      </c>
      <c r="AF239" s="393" t="str">
        <f t="shared" ca="1" si="52"/>
        <v/>
      </c>
      <c r="AG239" s="393" t="str">
        <f t="shared" ca="1" si="71"/>
        <v/>
      </c>
      <c r="AH239" s="393" t="str">
        <f t="shared" ca="1" si="65"/>
        <v/>
      </c>
      <c r="AI239" s="1143" t="str">
        <f t="shared" ca="1" si="53"/>
        <v/>
      </c>
      <c r="AJ239" s="395" t="str">
        <f t="shared" ca="1" si="66"/>
        <v/>
      </c>
      <c r="AK239" s="1144" t="str">
        <f t="shared" ca="1" si="72"/>
        <v/>
      </c>
      <c r="AL239" s="1143" t="str">
        <f t="shared" ca="1" si="67"/>
        <v/>
      </c>
      <c r="BC239" s="40"/>
      <c r="BD239" s="40"/>
      <c r="BE239" s="40"/>
      <c r="BF239" s="40"/>
      <c r="BG239" s="40"/>
    </row>
    <row r="240" spans="1:59" ht="18" customHeight="1">
      <c r="A240" s="1095">
        <f ca="1"/>
        <v>45</v>
      </c>
      <c r="B240" s="399">
        <f ca="1"/>
        <v>9.75</v>
      </c>
      <c r="C240" s="400">
        <f ca="1"/>
        <v>172</v>
      </c>
      <c r="D240" s="400">
        <f ca="1"/>
        <v>17.5</v>
      </c>
      <c r="E240" s="401">
        <f t="shared" ca="1" si="55"/>
        <v>142.5</v>
      </c>
      <c r="N240" s="392" t="str">
        <f t="shared" ca="1" si="56"/>
        <v/>
      </c>
      <c r="O240" s="393" t="str">
        <f t="shared" ca="1" si="57"/>
        <v/>
      </c>
      <c r="P240" s="393" t="str">
        <f t="shared" ca="1" si="68"/>
        <v/>
      </c>
      <c r="Q240" s="393" t="str">
        <f t="shared" ca="1" si="58"/>
        <v/>
      </c>
      <c r="R240" s="394" t="str">
        <f t="shared" ca="1" si="69"/>
        <v/>
      </c>
      <c r="S240" s="395" t="str">
        <f t="shared" ca="1" si="59"/>
        <v/>
      </c>
      <c r="U240" s="392">
        <f t="shared" ca="1" si="60"/>
        <v>112.94363937632804</v>
      </c>
      <c r="V240" s="393" t="e">
        <f t="shared" ca="1" si="61"/>
        <v>#DIV/0!</v>
      </c>
      <c r="W240" s="394">
        <f t="shared" ca="1" si="62"/>
        <v>0.2616251324314377</v>
      </c>
      <c r="X240" s="392">
        <f t="shared" ca="1" si="63"/>
        <v>112.94363937632804</v>
      </c>
      <c r="Y240" s="395">
        <f t="shared" ca="1" si="70"/>
        <v>12756.265675570037</v>
      </c>
      <c r="Z240" s="1097"/>
      <c r="AA240" s="1108"/>
      <c r="AB240" s="1108"/>
      <c r="AC240" s="1108"/>
      <c r="AE240" s="1139" t="str">
        <f t="shared" ca="1" si="64"/>
        <v/>
      </c>
      <c r="AF240" s="393" t="str">
        <f t="shared" ca="1" si="52"/>
        <v/>
      </c>
      <c r="AG240" s="393" t="str">
        <f t="shared" ca="1" si="71"/>
        <v/>
      </c>
      <c r="AH240" s="393" t="str">
        <f t="shared" ca="1" si="65"/>
        <v/>
      </c>
      <c r="AI240" s="1143" t="str">
        <f t="shared" ca="1" si="53"/>
        <v/>
      </c>
      <c r="AJ240" s="395" t="str">
        <f t="shared" ca="1" si="66"/>
        <v/>
      </c>
      <c r="AK240" s="1144" t="str">
        <f t="shared" ca="1" si="72"/>
        <v/>
      </c>
      <c r="AL240" s="1143" t="str">
        <f t="shared" ca="1" si="67"/>
        <v/>
      </c>
      <c r="BC240" s="40"/>
      <c r="BD240" s="40"/>
      <c r="BE240" s="40"/>
      <c r="BF240" s="40"/>
      <c r="BG240" s="40"/>
    </row>
    <row r="241" spans="1:59" s="39" customFormat="1" ht="18" customHeight="1">
      <c r="A241" s="1095">
        <f ca="1"/>
        <v>45</v>
      </c>
      <c r="B241" s="399">
        <f ca="1"/>
        <v>50.25</v>
      </c>
      <c r="C241" s="400">
        <f ca="1"/>
        <v>192</v>
      </c>
      <c r="D241" s="400">
        <f ca="1"/>
        <v>17.5</v>
      </c>
      <c r="E241" s="401">
        <f t="shared" ca="1" si="55"/>
        <v>142.5</v>
      </c>
      <c r="H241" s="46"/>
      <c r="N241" s="392" t="str">
        <f t="shared" ca="1" si="56"/>
        <v/>
      </c>
      <c r="O241" s="393" t="str">
        <f t="shared" ca="1" si="57"/>
        <v/>
      </c>
      <c r="P241" s="393" t="str">
        <f t="shared" ca="1" si="68"/>
        <v/>
      </c>
      <c r="Q241" s="393" t="str">
        <f t="shared" ca="1" si="58"/>
        <v/>
      </c>
      <c r="R241" s="394" t="str">
        <f t="shared" ca="1" si="69"/>
        <v/>
      </c>
      <c r="S241" s="395" t="str">
        <f t="shared" ca="1" si="59"/>
        <v/>
      </c>
      <c r="T241" s="40"/>
      <c r="U241" s="392">
        <f t="shared" ca="1" si="60"/>
        <v>92.943639376328036</v>
      </c>
      <c r="V241" s="393" t="e">
        <f t="shared" ca="1" si="61"/>
        <v>#DIV/0!</v>
      </c>
      <c r="W241" s="394">
        <f t="shared" ca="1" si="62"/>
        <v>0.21529669217997685</v>
      </c>
      <c r="X241" s="392">
        <f t="shared" ca="1" si="63"/>
        <v>92.943639376328036</v>
      </c>
      <c r="Y241" s="395">
        <f t="shared" ca="1" si="70"/>
        <v>8638.5201005169147</v>
      </c>
      <c r="Z241" s="1097"/>
      <c r="AA241" s="1108"/>
      <c r="AB241" s="1108"/>
      <c r="AC241" s="1108"/>
      <c r="AD241" s="43"/>
      <c r="AE241" s="1139" t="str">
        <f t="shared" ca="1" si="64"/>
        <v/>
      </c>
      <c r="AF241" s="393" t="str">
        <f t="shared" ca="1" si="52"/>
        <v/>
      </c>
      <c r="AG241" s="393" t="str">
        <f t="shared" ca="1" si="71"/>
        <v/>
      </c>
      <c r="AH241" s="393" t="str">
        <f t="shared" ca="1" si="65"/>
        <v/>
      </c>
      <c r="AI241" s="1143" t="str">
        <f t="shared" ca="1" si="53"/>
        <v/>
      </c>
      <c r="AJ241" s="395" t="str">
        <f t="shared" ca="1" si="66"/>
        <v/>
      </c>
      <c r="AK241" s="1144" t="str">
        <f t="shared" ca="1" si="72"/>
        <v/>
      </c>
      <c r="AL241" s="1143" t="str">
        <f t="shared" ca="1" si="67"/>
        <v/>
      </c>
      <c r="AM241" s="40"/>
      <c r="AN241" s="40"/>
      <c r="AO241" s="40"/>
      <c r="AP241" s="40"/>
      <c r="AQ241" s="40"/>
      <c r="AR241" s="40"/>
      <c r="AS241" s="40"/>
      <c r="AT241" s="40"/>
      <c r="AU241" s="40"/>
      <c r="AV241" s="40"/>
      <c r="AW241" s="40"/>
      <c r="AX241" s="40"/>
      <c r="AY241" s="307"/>
      <c r="AZ241" s="40"/>
    </row>
    <row r="242" spans="1:59" s="39" customFormat="1" ht="18" customHeight="1">
      <c r="A242" s="1095">
        <f ca="1"/>
        <v>45</v>
      </c>
      <c r="B242" s="399">
        <f ca="1"/>
        <v>9.75</v>
      </c>
      <c r="C242" s="400">
        <f ca="1"/>
        <v>230</v>
      </c>
      <c r="D242" s="400">
        <f ca="1"/>
        <v>17.5</v>
      </c>
      <c r="E242" s="401">
        <f t="shared" ca="1" si="55"/>
        <v>142.5</v>
      </c>
      <c r="H242" s="46"/>
      <c r="N242" s="392" t="str">
        <f t="shared" ca="1" si="56"/>
        <v/>
      </c>
      <c r="O242" s="393" t="str">
        <f t="shared" ca="1" si="57"/>
        <v/>
      </c>
      <c r="P242" s="393" t="str">
        <f t="shared" ca="1" si="68"/>
        <v/>
      </c>
      <c r="Q242" s="393" t="str">
        <f t="shared" ca="1" si="58"/>
        <v/>
      </c>
      <c r="R242" s="394" t="str">
        <f t="shared" ca="1" si="69"/>
        <v/>
      </c>
      <c r="S242" s="395" t="str">
        <f t="shared" ca="1" si="59"/>
        <v/>
      </c>
      <c r="T242" s="40"/>
      <c r="U242" s="392">
        <f t="shared" ca="1" si="60"/>
        <v>54.943639376328044</v>
      </c>
      <c r="V242" s="393" t="e">
        <f t="shared" ca="1" si="61"/>
        <v>#DIV/0!</v>
      </c>
      <c r="W242" s="394">
        <f t="shared" ca="1" si="62"/>
        <v>0.12727265570220128</v>
      </c>
      <c r="X242" s="392">
        <f t="shared" ca="1" si="63"/>
        <v>54.943639376328044</v>
      </c>
      <c r="Y242" s="395">
        <f t="shared" ca="1" si="70"/>
        <v>3018.8035079159854</v>
      </c>
      <c r="Z242" s="1097"/>
      <c r="AA242" s="1108"/>
      <c r="AB242" s="1108"/>
      <c r="AC242" s="1108"/>
      <c r="AD242" s="43"/>
      <c r="AE242" s="1139" t="str">
        <f t="shared" ca="1" si="64"/>
        <v/>
      </c>
      <c r="AF242" s="393" t="str">
        <f t="shared" ca="1" si="52"/>
        <v/>
      </c>
      <c r="AG242" s="393" t="str">
        <f t="shared" ca="1" si="71"/>
        <v/>
      </c>
      <c r="AH242" s="393" t="str">
        <f t="shared" ca="1" si="65"/>
        <v/>
      </c>
      <c r="AI242" s="1143" t="str">
        <f t="shared" ca="1" si="53"/>
        <v/>
      </c>
      <c r="AJ242" s="395" t="str">
        <f t="shared" ca="1" si="66"/>
        <v/>
      </c>
      <c r="AK242" s="1144" t="str">
        <f t="shared" ca="1" si="72"/>
        <v/>
      </c>
      <c r="AL242" s="1143" t="str">
        <f t="shared" ca="1" si="67"/>
        <v/>
      </c>
      <c r="AM242" s="40"/>
      <c r="AN242" s="40"/>
      <c r="AO242" s="40"/>
      <c r="AP242" s="40"/>
      <c r="AQ242" s="40"/>
      <c r="AR242" s="40"/>
      <c r="AS242" s="40"/>
      <c r="AT242" s="40"/>
      <c r="AU242" s="40"/>
      <c r="AV242" s="40"/>
      <c r="AW242" s="40"/>
      <c r="AX242" s="40"/>
      <c r="AY242" s="307"/>
      <c r="AZ242" s="40"/>
    </row>
    <row r="243" spans="1:59" s="39" customFormat="1" ht="18" customHeight="1">
      <c r="A243" s="1095">
        <f ca="1"/>
        <v>90</v>
      </c>
      <c r="B243" s="399">
        <f ca="1"/>
        <v>30</v>
      </c>
      <c r="C243" s="400">
        <f ca="1"/>
        <v>240</v>
      </c>
      <c r="D243" s="400">
        <f ca="1"/>
        <v>14</v>
      </c>
      <c r="E243" s="401">
        <f t="shared" ca="1" si="55"/>
        <v>226</v>
      </c>
      <c r="H243" s="46"/>
      <c r="N243" s="392">
        <f t="shared" ca="1" si="56"/>
        <v>44.943639376328044</v>
      </c>
      <c r="O243" s="393">
        <f t="shared" ca="1" si="57"/>
        <v>70</v>
      </c>
      <c r="P243" s="393">
        <f t="shared" ca="1" si="68"/>
        <v>1115.0828429321598</v>
      </c>
      <c r="Q243" s="393">
        <f t="shared" ca="1" si="58"/>
        <v>9095.3896716354084</v>
      </c>
      <c r="R243" s="394">
        <f t="shared" ca="1" si="69"/>
        <v>0.12259868825737302</v>
      </c>
      <c r="S243" s="395">
        <f t="shared" ca="1" si="59"/>
        <v>986.79897604615917</v>
      </c>
      <c r="T243" s="40"/>
      <c r="U243" s="392" t="str">
        <f t="shared" ca="1" si="60"/>
        <v/>
      </c>
      <c r="V243" s="393" t="str">
        <f t="shared" ca="1" si="61"/>
        <v/>
      </c>
      <c r="W243" s="394" t="str">
        <f t="shared" ca="1" si="62"/>
        <v/>
      </c>
      <c r="X243" s="392" t="str">
        <f t="shared" ca="1" si="63"/>
        <v/>
      </c>
      <c r="Y243" s="395" t="str">
        <f t="shared" ca="1" si="70"/>
        <v/>
      </c>
      <c r="Z243" s="1097"/>
      <c r="AA243" s="1108"/>
      <c r="AB243" s="1108"/>
      <c r="AC243" s="1108"/>
      <c r="AD243" s="43"/>
      <c r="AE243" s="1139">
        <f t="shared" ca="1" si="64"/>
        <v>44.943349277428823</v>
      </c>
      <c r="AF243" s="393">
        <f t="shared" ca="1" si="52"/>
        <v>70</v>
      </c>
      <c r="AG243" s="393">
        <f t="shared" ca="1" si="71"/>
        <v>1115.0768219187478</v>
      </c>
      <c r="AH243" s="393">
        <f t="shared" ca="1" si="65"/>
        <v>9095.3896716354084</v>
      </c>
      <c r="AI243" s="1143">
        <f t="shared" ca="1" si="53"/>
        <v>0.1225980262721663</v>
      </c>
      <c r="AJ243" s="395">
        <f t="shared" ca="1" si="66"/>
        <v>986.79364771570602</v>
      </c>
      <c r="AK243" s="1144">
        <f t="shared" ca="1" si="72"/>
        <v>2.727834668381886E-3</v>
      </c>
      <c r="AL243" s="1143">
        <f t="shared" ca="1" si="67"/>
        <v>0.12259802627216633</v>
      </c>
      <c r="AM243" s="40"/>
      <c r="AN243" s="40"/>
      <c r="AO243" s="40"/>
      <c r="AP243" s="40"/>
      <c r="AQ243" s="40"/>
      <c r="AR243" s="40"/>
      <c r="AS243" s="40"/>
      <c r="AT243" s="40"/>
      <c r="AU243" s="40"/>
      <c r="AV243" s="40"/>
      <c r="AW243" s="40"/>
      <c r="AX243" s="40"/>
      <c r="AY243" s="307"/>
      <c r="AZ243" s="40"/>
    </row>
    <row r="244" spans="1:59" s="39" customFormat="1" ht="18" customHeight="1">
      <c r="A244" s="1095">
        <f ca="1"/>
        <v>90</v>
      </c>
      <c r="B244" s="399">
        <f ca="1"/>
        <v>50.25</v>
      </c>
      <c r="C244" s="400">
        <f ca="1"/>
        <v>250</v>
      </c>
      <c r="D244" s="400">
        <f ca="1"/>
        <v>16.5</v>
      </c>
      <c r="E244" s="401">
        <f t="shared" ca="1" si="55"/>
        <v>223.5</v>
      </c>
      <c r="H244" s="46"/>
      <c r="N244" s="392">
        <f t="shared" ca="1" si="56"/>
        <v>34.943639376328044</v>
      </c>
      <c r="O244" s="393">
        <f t="shared" ca="1" si="57"/>
        <v>60</v>
      </c>
      <c r="P244" s="393">
        <f t="shared" ca="1" si="68"/>
        <v>857.38547052332035</v>
      </c>
      <c r="Q244" s="393">
        <f t="shared" ca="1" si="58"/>
        <v>8994.7769540288209</v>
      </c>
      <c r="R244" s="394">
        <f t="shared" ca="1" si="69"/>
        <v>9.5320370355519671E-2</v>
      </c>
      <c r="S244" s="395">
        <f t="shared" ca="1" si="59"/>
        <v>767.23532037881023</v>
      </c>
      <c r="T244" s="40"/>
      <c r="U244" s="392" t="str">
        <f t="shared" ca="1" si="60"/>
        <v/>
      </c>
      <c r="V244" s="393" t="str">
        <f t="shared" ca="1" si="61"/>
        <v/>
      </c>
      <c r="W244" s="394" t="str">
        <f t="shared" ca="1" si="62"/>
        <v/>
      </c>
      <c r="X244" s="392" t="str">
        <f t="shared" ca="1" si="63"/>
        <v/>
      </c>
      <c r="Y244" s="395" t="str">
        <f t="shared" ca="1" si="70"/>
        <v/>
      </c>
      <c r="Z244" s="1097"/>
      <c r="AA244" s="1108"/>
      <c r="AB244" s="1108"/>
      <c r="AC244" s="1108"/>
      <c r="AD244" s="43"/>
      <c r="AE244" s="1139">
        <f t="shared" ca="1" si="64"/>
        <v>34.943349277428823</v>
      </c>
      <c r="AF244" s="393">
        <f t="shared" ca="1" si="52"/>
        <v>60</v>
      </c>
      <c r="AG244" s="393">
        <f t="shared" ca="1" si="71"/>
        <v>857.3792572266791</v>
      </c>
      <c r="AH244" s="393">
        <f t="shared" ca="1" si="65"/>
        <v>8994.7769540288209</v>
      </c>
      <c r="AI244" s="1143">
        <f t="shared" ca="1" si="53"/>
        <v>9.5319679588347458E-2</v>
      </c>
      <c r="AJ244" s="395">
        <f t="shared" ca="1" si="66"/>
        <v>767.22976038181571</v>
      </c>
      <c r="AK244" s="1144">
        <f t="shared" ca="1" si="72"/>
        <v>2.7278346683818856E-3</v>
      </c>
      <c r="AL244" s="1143">
        <f t="shared" ca="1" si="67"/>
        <v>9.5319679588347458E-2</v>
      </c>
      <c r="AM244" s="40"/>
      <c r="AN244" s="40"/>
      <c r="AO244" s="40"/>
      <c r="AP244" s="40"/>
      <c r="AQ244" s="40"/>
      <c r="AR244" s="40"/>
      <c r="AS244" s="40"/>
      <c r="AT244" s="40"/>
      <c r="AU244" s="40"/>
      <c r="AV244" s="40"/>
      <c r="AW244" s="40"/>
      <c r="AX244" s="40"/>
      <c r="AY244" s="307"/>
      <c r="AZ244" s="40"/>
    </row>
    <row r="245" spans="1:59" s="39" customFormat="1" ht="18" customHeight="1">
      <c r="A245" s="1095" t="str">
        <f ca="1"/>
        <v/>
      </c>
      <c r="B245" s="399" t="str">
        <f ca="1"/>
        <v/>
      </c>
      <c r="C245" s="400" t="str">
        <f ca="1"/>
        <v/>
      </c>
      <c r="D245" s="400" t="str">
        <f ca="1"/>
        <v/>
      </c>
      <c r="E245" s="401" t="str">
        <f t="shared" ca="1" si="55"/>
        <v/>
      </c>
      <c r="H245" s="46"/>
      <c r="N245" s="392" t="str">
        <f t="shared" ca="1" si="56"/>
        <v/>
      </c>
      <c r="O245" s="393" t="str">
        <f t="shared" ca="1" si="57"/>
        <v/>
      </c>
      <c r="P245" s="393" t="str">
        <f t="shared" ca="1" si="68"/>
        <v/>
      </c>
      <c r="Q245" s="393" t="str">
        <f t="shared" ca="1" si="58"/>
        <v/>
      </c>
      <c r="R245" s="394" t="str">
        <f t="shared" ca="1" si="69"/>
        <v/>
      </c>
      <c r="S245" s="395" t="str">
        <f t="shared" ca="1" si="59"/>
        <v/>
      </c>
      <c r="T245" s="40"/>
      <c r="U245" s="392" t="str">
        <f t="shared" ca="1" si="60"/>
        <v/>
      </c>
      <c r="V245" s="393" t="str">
        <f t="shared" ca="1" si="61"/>
        <v/>
      </c>
      <c r="W245" s="394" t="str">
        <f t="shared" ca="1" si="62"/>
        <v/>
      </c>
      <c r="X245" s="392" t="str">
        <f t="shared" ca="1" si="63"/>
        <v/>
      </c>
      <c r="Y245" s="395" t="str">
        <f t="shared" ca="1" si="70"/>
        <v/>
      </c>
      <c r="Z245" s="1097"/>
      <c r="AA245" s="1108"/>
      <c r="AB245" s="1108"/>
      <c r="AC245" s="1108"/>
      <c r="AD245" s="43"/>
      <c r="AE245" s="1139" t="str">
        <f t="shared" ca="1" si="64"/>
        <v/>
      </c>
      <c r="AF245" s="393" t="str">
        <f t="shared" ca="1" si="52"/>
        <v/>
      </c>
      <c r="AG245" s="393" t="str">
        <f t="shared" ca="1" si="71"/>
        <v/>
      </c>
      <c r="AH245" s="393" t="str">
        <f t="shared" ca="1" si="65"/>
        <v/>
      </c>
      <c r="AI245" s="1143" t="str">
        <f t="shared" ca="1" si="53"/>
        <v/>
      </c>
      <c r="AJ245" s="395" t="str">
        <f t="shared" ca="1" si="66"/>
        <v/>
      </c>
      <c r="AK245" s="1144" t="str">
        <f t="shared" ca="1" si="72"/>
        <v/>
      </c>
      <c r="AL245" s="1143" t="str">
        <f t="shared" ca="1" si="67"/>
        <v/>
      </c>
      <c r="AM245" s="40"/>
      <c r="AN245" s="40"/>
      <c r="AO245" s="40"/>
      <c r="AP245" s="40"/>
      <c r="AQ245" s="40"/>
      <c r="AR245" s="40"/>
      <c r="AS245" s="40"/>
      <c r="AT245" s="40"/>
      <c r="AU245" s="40"/>
      <c r="AV245" s="40"/>
      <c r="AW245" s="40"/>
      <c r="AX245" s="40"/>
      <c r="AY245" s="307"/>
      <c r="AZ245" s="40"/>
    </row>
    <row r="246" spans="1:59" s="39" customFormat="1" ht="18" customHeight="1">
      <c r="A246" s="1095" t="str">
        <f ca="1"/>
        <v/>
      </c>
      <c r="B246" s="399" t="str">
        <f ca="1"/>
        <v/>
      </c>
      <c r="C246" s="400" t="str">
        <f ca="1"/>
        <v/>
      </c>
      <c r="D246" s="400" t="str">
        <f ca="1"/>
        <v/>
      </c>
      <c r="E246" s="401" t="str">
        <f t="shared" ca="1" si="55"/>
        <v/>
      </c>
      <c r="H246" s="46"/>
      <c r="N246" s="392" t="str">
        <f t="shared" ca="1" si="56"/>
        <v/>
      </c>
      <c r="O246" s="393" t="str">
        <f t="shared" ca="1" si="57"/>
        <v/>
      </c>
      <c r="P246" s="393" t="str">
        <f t="shared" ca="1" si="68"/>
        <v/>
      </c>
      <c r="Q246" s="393" t="str">
        <f t="shared" ca="1" si="58"/>
        <v/>
      </c>
      <c r="R246" s="394" t="str">
        <f t="shared" ca="1" si="69"/>
        <v/>
      </c>
      <c r="S246" s="395" t="str">
        <f t="shared" ca="1" si="59"/>
        <v/>
      </c>
      <c r="T246" s="40"/>
      <c r="U246" s="392" t="str">
        <f t="shared" ca="1" si="60"/>
        <v/>
      </c>
      <c r="V246" s="393" t="str">
        <f t="shared" ca="1" si="61"/>
        <v/>
      </c>
      <c r="W246" s="394" t="str">
        <f t="shared" ca="1" si="62"/>
        <v/>
      </c>
      <c r="X246" s="392" t="str">
        <f t="shared" ca="1" si="63"/>
        <v/>
      </c>
      <c r="Y246" s="395" t="str">
        <f t="shared" ca="1" si="70"/>
        <v/>
      </c>
      <c r="Z246" s="1097"/>
      <c r="AA246" s="1108"/>
      <c r="AB246" s="1108"/>
      <c r="AC246" s="1108"/>
      <c r="AD246" s="43"/>
      <c r="AE246" s="1139" t="str">
        <f t="shared" ca="1" si="64"/>
        <v/>
      </c>
      <c r="AF246" s="393" t="str">
        <f t="shared" ca="1" si="52"/>
        <v/>
      </c>
      <c r="AG246" s="393" t="str">
        <f t="shared" ca="1" si="71"/>
        <v/>
      </c>
      <c r="AH246" s="393" t="str">
        <f t="shared" ca="1" si="65"/>
        <v/>
      </c>
      <c r="AI246" s="1143" t="str">
        <f t="shared" ca="1" si="53"/>
        <v/>
      </c>
      <c r="AJ246" s="395" t="str">
        <f t="shared" ca="1" si="66"/>
        <v/>
      </c>
      <c r="AK246" s="1144" t="str">
        <f t="shared" ca="1" si="72"/>
        <v/>
      </c>
      <c r="AL246" s="1143" t="str">
        <f t="shared" ca="1" si="67"/>
        <v/>
      </c>
      <c r="AM246" s="40"/>
      <c r="AN246" s="40"/>
      <c r="AO246" s="40"/>
      <c r="AP246" s="40"/>
      <c r="AQ246" s="40"/>
      <c r="AR246" s="40"/>
      <c r="AS246" s="40"/>
      <c r="AT246" s="40"/>
      <c r="AU246" s="40"/>
      <c r="AV246" s="40"/>
      <c r="AW246" s="40"/>
      <c r="AX246" s="40"/>
      <c r="AY246" s="307"/>
      <c r="AZ246" s="40"/>
    </row>
    <row r="247" spans="1:59" ht="18" customHeight="1">
      <c r="A247" s="1095" t="str">
        <f ca="1"/>
        <v/>
      </c>
      <c r="B247" s="399" t="str">
        <f ca="1"/>
        <v/>
      </c>
      <c r="C247" s="400" t="str">
        <f ca="1"/>
        <v/>
      </c>
      <c r="D247" s="400" t="str">
        <f ca="1"/>
        <v/>
      </c>
      <c r="E247" s="401" t="str">
        <f t="shared" ca="1" si="55"/>
        <v/>
      </c>
      <c r="N247" s="392" t="str">
        <f t="shared" ca="1" si="56"/>
        <v/>
      </c>
      <c r="O247" s="393" t="str">
        <f t="shared" ca="1" si="57"/>
        <v/>
      </c>
      <c r="P247" s="393" t="str">
        <f t="shared" ca="1" si="68"/>
        <v/>
      </c>
      <c r="Q247" s="393" t="str">
        <f t="shared" ca="1" si="58"/>
        <v/>
      </c>
      <c r="R247" s="394" t="str">
        <f t="shared" ca="1" si="69"/>
        <v/>
      </c>
      <c r="S247" s="395" t="str">
        <f t="shared" ca="1" si="59"/>
        <v/>
      </c>
      <c r="U247" s="392" t="str">
        <f t="shared" ca="1" si="60"/>
        <v/>
      </c>
      <c r="V247" s="393" t="str">
        <f t="shared" ca="1" si="61"/>
        <v/>
      </c>
      <c r="W247" s="394" t="str">
        <f t="shared" ca="1" si="62"/>
        <v/>
      </c>
      <c r="X247" s="392" t="str">
        <f t="shared" ca="1" si="63"/>
        <v/>
      </c>
      <c r="Y247" s="395" t="str">
        <f t="shared" ca="1" si="70"/>
        <v/>
      </c>
      <c r="Z247" s="1097"/>
      <c r="AA247" s="1108"/>
      <c r="AB247" s="1108"/>
      <c r="AC247" s="1108"/>
      <c r="AE247" s="1139" t="str">
        <f t="shared" ca="1" si="64"/>
        <v/>
      </c>
      <c r="AF247" s="393" t="str">
        <f t="shared" ca="1" si="52"/>
        <v/>
      </c>
      <c r="AG247" s="393" t="str">
        <f t="shared" ca="1" si="71"/>
        <v/>
      </c>
      <c r="AH247" s="393" t="str">
        <f t="shared" ca="1" si="65"/>
        <v/>
      </c>
      <c r="AI247" s="1143" t="str">
        <f t="shared" ca="1" si="53"/>
        <v/>
      </c>
      <c r="AJ247" s="395" t="str">
        <f t="shared" ca="1" si="66"/>
        <v/>
      </c>
      <c r="AK247" s="1144" t="str">
        <f t="shared" ca="1" si="72"/>
        <v/>
      </c>
      <c r="AL247" s="1143" t="str">
        <f t="shared" ca="1" si="67"/>
        <v/>
      </c>
      <c r="BC247" s="40"/>
      <c r="BD247" s="40"/>
      <c r="BE247" s="40"/>
      <c r="BF247" s="40"/>
      <c r="BG247" s="40"/>
    </row>
    <row r="248" spans="1:59" ht="18" customHeight="1">
      <c r="A248" s="1095" t="str">
        <f ca="1"/>
        <v/>
      </c>
      <c r="B248" s="399" t="str">
        <f ca="1"/>
        <v/>
      </c>
      <c r="C248" s="400" t="str">
        <f ca="1"/>
        <v/>
      </c>
      <c r="D248" s="400" t="str">
        <f ca="1"/>
        <v/>
      </c>
      <c r="E248" s="401" t="str">
        <f t="shared" ca="1" si="55"/>
        <v/>
      </c>
      <c r="N248" s="392" t="str">
        <f t="shared" ca="1" si="56"/>
        <v/>
      </c>
      <c r="O248" s="393" t="str">
        <f t="shared" ca="1" si="57"/>
        <v/>
      </c>
      <c r="P248" s="393" t="str">
        <f t="shared" ca="1" si="68"/>
        <v/>
      </c>
      <c r="Q248" s="393" t="str">
        <f t="shared" ca="1" si="58"/>
        <v/>
      </c>
      <c r="R248" s="394" t="str">
        <f t="shared" ca="1" si="69"/>
        <v/>
      </c>
      <c r="S248" s="395" t="str">
        <f t="shared" ca="1" si="59"/>
        <v/>
      </c>
      <c r="U248" s="392" t="str">
        <f t="shared" ca="1" si="60"/>
        <v/>
      </c>
      <c r="V248" s="393" t="str">
        <f t="shared" ca="1" si="61"/>
        <v/>
      </c>
      <c r="W248" s="394" t="str">
        <f t="shared" ca="1" si="62"/>
        <v/>
      </c>
      <c r="X248" s="392" t="str">
        <f t="shared" ca="1" si="63"/>
        <v/>
      </c>
      <c r="Y248" s="395" t="str">
        <f t="shared" ca="1" si="70"/>
        <v/>
      </c>
      <c r="Z248" s="1097"/>
      <c r="AA248" s="1108"/>
      <c r="AB248" s="1108"/>
      <c r="AC248" s="1108"/>
      <c r="AE248" s="1139" t="str">
        <f t="shared" ca="1" si="64"/>
        <v/>
      </c>
      <c r="AF248" s="393" t="str">
        <f t="shared" ca="1" si="52"/>
        <v/>
      </c>
      <c r="AG248" s="393" t="str">
        <f t="shared" ca="1" si="71"/>
        <v/>
      </c>
      <c r="AH248" s="393" t="str">
        <f t="shared" ca="1" si="65"/>
        <v/>
      </c>
      <c r="AI248" s="1143" t="str">
        <f t="shared" ca="1" si="53"/>
        <v/>
      </c>
      <c r="AJ248" s="395" t="str">
        <f t="shared" ca="1" si="66"/>
        <v/>
      </c>
      <c r="AK248" s="1144" t="str">
        <f t="shared" ca="1" si="72"/>
        <v/>
      </c>
      <c r="AL248" s="1143" t="str">
        <f t="shared" ca="1" si="67"/>
        <v/>
      </c>
      <c r="BC248" s="40"/>
      <c r="BD248" s="40"/>
      <c r="BE248" s="40"/>
      <c r="BF248" s="40"/>
      <c r="BG248" s="40"/>
    </row>
    <row r="249" spans="1:59" ht="18" customHeight="1">
      <c r="A249" s="1095" t="str">
        <f ca="1"/>
        <v/>
      </c>
      <c r="B249" s="399" t="str">
        <f ca="1"/>
        <v/>
      </c>
      <c r="C249" s="400" t="str">
        <f ca="1"/>
        <v/>
      </c>
      <c r="D249" s="400" t="str">
        <f ca="1"/>
        <v/>
      </c>
      <c r="E249" s="401" t="str">
        <f t="shared" ca="1" si="55"/>
        <v/>
      </c>
      <c r="N249" s="392" t="str">
        <f t="shared" ca="1" si="56"/>
        <v/>
      </c>
      <c r="O249" s="393" t="str">
        <f t="shared" ca="1" si="57"/>
        <v/>
      </c>
      <c r="P249" s="393" t="str">
        <f t="shared" ca="1" si="68"/>
        <v/>
      </c>
      <c r="Q249" s="393" t="str">
        <f t="shared" ca="1" si="58"/>
        <v/>
      </c>
      <c r="R249" s="394" t="str">
        <f t="shared" ca="1" si="69"/>
        <v/>
      </c>
      <c r="S249" s="395" t="str">
        <f t="shared" ca="1" si="59"/>
        <v/>
      </c>
      <c r="U249" s="392" t="str">
        <f t="shared" ca="1" si="60"/>
        <v/>
      </c>
      <c r="V249" s="393" t="str">
        <f t="shared" ca="1" si="61"/>
        <v/>
      </c>
      <c r="W249" s="394" t="str">
        <f t="shared" ca="1" si="62"/>
        <v/>
      </c>
      <c r="X249" s="392" t="str">
        <f t="shared" ca="1" si="63"/>
        <v/>
      </c>
      <c r="Y249" s="395" t="str">
        <f t="shared" ca="1" si="70"/>
        <v/>
      </c>
      <c r="Z249" s="1097"/>
      <c r="AA249" s="1108"/>
      <c r="AB249" s="1108"/>
      <c r="AC249" s="1108"/>
      <c r="AE249" s="1139" t="str">
        <f t="shared" ca="1" si="64"/>
        <v/>
      </c>
      <c r="AF249" s="393" t="str">
        <f t="shared" ca="1" si="52"/>
        <v/>
      </c>
      <c r="AG249" s="393" t="str">
        <f t="shared" ca="1" si="71"/>
        <v/>
      </c>
      <c r="AH249" s="393" t="str">
        <f t="shared" ca="1" si="65"/>
        <v/>
      </c>
      <c r="AI249" s="1143" t="str">
        <f t="shared" ca="1" si="53"/>
        <v/>
      </c>
      <c r="AJ249" s="395" t="str">
        <f t="shared" ca="1" si="66"/>
        <v/>
      </c>
      <c r="AK249" s="1144" t="str">
        <f t="shared" ca="1" si="72"/>
        <v/>
      </c>
      <c r="AL249" s="1143" t="str">
        <f t="shared" ca="1" si="67"/>
        <v/>
      </c>
      <c r="BC249" s="40"/>
      <c r="BD249" s="40"/>
      <c r="BE249" s="40"/>
      <c r="BF249" s="40"/>
      <c r="BG249" s="40"/>
    </row>
    <row r="250" spans="1:59" ht="18" customHeight="1">
      <c r="A250" s="1095" t="str">
        <f ca="1"/>
        <v/>
      </c>
      <c r="B250" s="399" t="str">
        <f ca="1"/>
        <v/>
      </c>
      <c r="C250" s="400" t="str">
        <f ca="1"/>
        <v/>
      </c>
      <c r="D250" s="400" t="str">
        <f ca="1"/>
        <v/>
      </c>
      <c r="E250" s="401" t="str">
        <f t="shared" ca="1" si="55"/>
        <v/>
      </c>
      <c r="N250" s="392" t="str">
        <f t="shared" ca="1" si="56"/>
        <v/>
      </c>
      <c r="O250" s="393" t="str">
        <f t="shared" ca="1" si="57"/>
        <v/>
      </c>
      <c r="P250" s="393" t="str">
        <f t="shared" ca="1" si="68"/>
        <v/>
      </c>
      <c r="Q250" s="393" t="str">
        <f t="shared" ca="1" si="58"/>
        <v/>
      </c>
      <c r="R250" s="394" t="str">
        <f t="shared" ca="1" si="69"/>
        <v/>
      </c>
      <c r="S250" s="395" t="str">
        <f t="shared" ca="1" si="59"/>
        <v/>
      </c>
      <c r="U250" s="392" t="str">
        <f t="shared" ca="1" si="60"/>
        <v/>
      </c>
      <c r="V250" s="393" t="str">
        <f t="shared" ca="1" si="61"/>
        <v/>
      </c>
      <c r="W250" s="394" t="str">
        <f t="shared" ca="1" si="62"/>
        <v/>
      </c>
      <c r="X250" s="392" t="str">
        <f t="shared" ca="1" si="63"/>
        <v/>
      </c>
      <c r="Y250" s="395" t="str">
        <f t="shared" ca="1" si="70"/>
        <v/>
      </c>
      <c r="Z250" s="1097"/>
      <c r="AA250" s="1108"/>
      <c r="AB250" s="1108"/>
      <c r="AC250" s="1108"/>
      <c r="AE250" s="1139" t="str">
        <f t="shared" ca="1" si="64"/>
        <v/>
      </c>
      <c r="AF250" s="393" t="str">
        <f t="shared" ca="1" si="52"/>
        <v/>
      </c>
      <c r="AG250" s="393" t="str">
        <f t="shared" ca="1" si="71"/>
        <v/>
      </c>
      <c r="AH250" s="393" t="str">
        <f t="shared" ca="1" si="65"/>
        <v/>
      </c>
      <c r="AI250" s="1143" t="str">
        <f t="shared" ca="1" si="53"/>
        <v/>
      </c>
      <c r="AJ250" s="395" t="str">
        <f t="shared" ca="1" si="66"/>
        <v/>
      </c>
      <c r="AK250" s="1144" t="str">
        <f t="shared" ca="1" si="72"/>
        <v/>
      </c>
      <c r="AL250" s="1143" t="str">
        <f t="shared" ca="1" si="67"/>
        <v/>
      </c>
      <c r="BC250" s="40"/>
      <c r="BD250" s="40"/>
      <c r="BE250" s="40"/>
      <c r="BF250" s="40"/>
      <c r="BG250" s="40"/>
    </row>
    <row r="251" spans="1:59" ht="18" customHeight="1">
      <c r="A251" s="1095" t="str">
        <f ca="1"/>
        <v/>
      </c>
      <c r="B251" s="399" t="str">
        <f ca="1"/>
        <v/>
      </c>
      <c r="C251" s="400" t="str">
        <f ca="1"/>
        <v/>
      </c>
      <c r="D251" s="400" t="str">
        <f ca="1"/>
        <v/>
      </c>
      <c r="E251" s="401" t="str">
        <f t="shared" ca="1" si="55"/>
        <v/>
      </c>
      <c r="N251" s="392" t="str">
        <f t="shared" ca="1" si="56"/>
        <v/>
      </c>
      <c r="O251" s="393" t="str">
        <f t="shared" ca="1" si="57"/>
        <v/>
      </c>
      <c r="P251" s="393" t="str">
        <f t="shared" ca="1" si="68"/>
        <v/>
      </c>
      <c r="Q251" s="393" t="str">
        <f t="shared" ca="1" si="58"/>
        <v/>
      </c>
      <c r="R251" s="394" t="str">
        <f t="shared" ca="1" si="69"/>
        <v/>
      </c>
      <c r="S251" s="395" t="str">
        <f t="shared" ca="1" si="59"/>
        <v/>
      </c>
      <c r="U251" s="392" t="str">
        <f t="shared" ca="1" si="60"/>
        <v/>
      </c>
      <c r="V251" s="393" t="str">
        <f t="shared" ca="1" si="61"/>
        <v/>
      </c>
      <c r="W251" s="394" t="str">
        <f t="shared" ca="1" si="62"/>
        <v/>
      </c>
      <c r="X251" s="392" t="str">
        <f t="shared" ca="1" si="63"/>
        <v/>
      </c>
      <c r="Y251" s="395" t="str">
        <f t="shared" ca="1" si="70"/>
        <v/>
      </c>
      <c r="Z251" s="1097"/>
      <c r="AA251" s="1108"/>
      <c r="AB251" s="1108"/>
      <c r="AC251" s="1108"/>
      <c r="AE251" s="1139" t="str">
        <f t="shared" ca="1" si="64"/>
        <v/>
      </c>
      <c r="AF251" s="393" t="str">
        <f t="shared" ca="1" si="52"/>
        <v/>
      </c>
      <c r="AG251" s="393" t="str">
        <f t="shared" ca="1" si="71"/>
        <v/>
      </c>
      <c r="AH251" s="393" t="str">
        <f t="shared" ca="1" si="65"/>
        <v/>
      </c>
      <c r="AI251" s="1143" t="str">
        <f t="shared" ca="1" si="53"/>
        <v/>
      </c>
      <c r="AJ251" s="395" t="str">
        <f t="shared" ca="1" si="66"/>
        <v/>
      </c>
      <c r="AK251" s="1144" t="str">
        <f t="shared" ca="1" si="72"/>
        <v/>
      </c>
      <c r="AL251" s="1143" t="str">
        <f t="shared" ca="1" si="67"/>
        <v/>
      </c>
      <c r="BC251" s="40"/>
      <c r="BD251" s="40"/>
      <c r="BE251" s="40"/>
      <c r="BF251" s="40"/>
      <c r="BG251" s="40"/>
    </row>
    <row r="252" spans="1:59" ht="18" customHeight="1">
      <c r="A252" s="1095" t="str">
        <f ca="1"/>
        <v/>
      </c>
      <c r="B252" s="399" t="str">
        <f ca="1"/>
        <v/>
      </c>
      <c r="C252" s="400" t="str">
        <f ca="1"/>
        <v/>
      </c>
      <c r="D252" s="400" t="str">
        <f ca="1"/>
        <v/>
      </c>
      <c r="E252" s="401" t="str">
        <f t="shared" ca="1" si="55"/>
        <v/>
      </c>
      <c r="N252" s="392" t="str">
        <f t="shared" ca="1" si="56"/>
        <v/>
      </c>
      <c r="O252" s="393" t="str">
        <f t="shared" ca="1" si="57"/>
        <v/>
      </c>
      <c r="P252" s="393" t="str">
        <f t="shared" ca="1" si="68"/>
        <v/>
      </c>
      <c r="Q252" s="393" t="str">
        <f t="shared" ca="1" si="58"/>
        <v/>
      </c>
      <c r="R252" s="394" t="str">
        <f t="shared" ca="1" si="69"/>
        <v/>
      </c>
      <c r="S252" s="395" t="str">
        <f t="shared" ca="1" si="59"/>
        <v/>
      </c>
      <c r="U252" s="392" t="str">
        <f t="shared" ca="1" si="60"/>
        <v/>
      </c>
      <c r="V252" s="393" t="str">
        <f t="shared" ca="1" si="61"/>
        <v/>
      </c>
      <c r="W252" s="394" t="str">
        <f t="shared" ca="1" si="62"/>
        <v/>
      </c>
      <c r="X252" s="392" t="str">
        <f t="shared" ca="1" si="63"/>
        <v/>
      </c>
      <c r="Y252" s="395" t="str">
        <f t="shared" ca="1" si="70"/>
        <v/>
      </c>
      <c r="Z252" s="1097"/>
      <c r="AA252" s="1108"/>
      <c r="AB252" s="1108"/>
      <c r="AC252" s="1108"/>
      <c r="AE252" s="1139" t="str">
        <f t="shared" ca="1" si="64"/>
        <v/>
      </c>
      <c r="AF252" s="393" t="str">
        <f t="shared" ca="1" si="52"/>
        <v/>
      </c>
      <c r="AG252" s="393" t="str">
        <f t="shared" ca="1" si="71"/>
        <v/>
      </c>
      <c r="AH252" s="393" t="str">
        <f t="shared" ca="1" si="65"/>
        <v/>
      </c>
      <c r="AI252" s="1143" t="str">
        <f t="shared" ca="1" si="53"/>
        <v/>
      </c>
      <c r="AJ252" s="395" t="str">
        <f t="shared" ca="1" si="66"/>
        <v/>
      </c>
      <c r="AK252" s="1144" t="str">
        <f t="shared" ca="1" si="72"/>
        <v/>
      </c>
      <c r="AL252" s="1143" t="str">
        <f t="shared" ca="1" si="67"/>
        <v/>
      </c>
      <c r="BC252" s="40"/>
      <c r="BD252" s="40"/>
      <c r="BE252" s="40"/>
      <c r="BF252" s="40"/>
      <c r="BG252" s="40"/>
    </row>
    <row r="253" spans="1:59" ht="18" customHeight="1">
      <c r="A253" s="1095" t="str">
        <f ca="1"/>
        <v/>
      </c>
      <c r="B253" s="399" t="str">
        <f ca="1"/>
        <v/>
      </c>
      <c r="C253" s="400" t="str">
        <f ca="1"/>
        <v/>
      </c>
      <c r="D253" s="400" t="str">
        <f ca="1"/>
        <v/>
      </c>
      <c r="E253" s="401" t="str">
        <f t="shared" ca="1" si="55"/>
        <v/>
      </c>
      <c r="N253" s="392" t="str">
        <f t="shared" ca="1" si="56"/>
        <v/>
      </c>
      <c r="O253" s="393" t="str">
        <f t="shared" ca="1" si="57"/>
        <v/>
      </c>
      <c r="P253" s="393" t="str">
        <f t="shared" ca="1" si="68"/>
        <v/>
      </c>
      <c r="Q253" s="393" t="str">
        <f t="shared" ca="1" si="58"/>
        <v/>
      </c>
      <c r="R253" s="394" t="str">
        <f t="shared" ca="1" si="69"/>
        <v/>
      </c>
      <c r="S253" s="395" t="str">
        <f t="shared" ca="1" si="59"/>
        <v/>
      </c>
      <c r="U253" s="392" t="str">
        <f t="shared" ca="1" si="60"/>
        <v/>
      </c>
      <c r="V253" s="393" t="str">
        <f t="shared" ca="1" si="61"/>
        <v/>
      </c>
      <c r="W253" s="394" t="str">
        <f t="shared" ca="1" si="62"/>
        <v/>
      </c>
      <c r="X253" s="392" t="str">
        <f t="shared" ca="1" si="63"/>
        <v/>
      </c>
      <c r="Y253" s="395" t="str">
        <f t="shared" ca="1" si="70"/>
        <v/>
      </c>
      <c r="Z253" s="1097"/>
      <c r="AA253" s="1108"/>
      <c r="AB253" s="1108"/>
      <c r="AC253" s="1108"/>
      <c r="AE253" s="1139" t="str">
        <f t="shared" ca="1" si="64"/>
        <v/>
      </c>
      <c r="AF253" s="393" t="str">
        <f t="shared" ca="1" si="52"/>
        <v/>
      </c>
      <c r="AG253" s="393" t="str">
        <f t="shared" ca="1" si="71"/>
        <v/>
      </c>
      <c r="AH253" s="393" t="str">
        <f t="shared" ca="1" si="65"/>
        <v/>
      </c>
      <c r="AI253" s="1143" t="str">
        <f t="shared" ca="1" si="53"/>
        <v/>
      </c>
      <c r="AJ253" s="395" t="str">
        <f t="shared" ca="1" si="66"/>
        <v/>
      </c>
      <c r="AK253" s="1144" t="str">
        <f t="shared" ca="1" si="72"/>
        <v/>
      </c>
      <c r="AL253" s="1143" t="str">
        <f t="shared" ca="1" si="67"/>
        <v/>
      </c>
      <c r="BC253" s="40"/>
      <c r="BD253" s="40"/>
      <c r="BE253" s="40"/>
      <c r="BF253" s="40"/>
      <c r="BG253" s="40"/>
    </row>
    <row r="254" spans="1:59" ht="18" customHeight="1">
      <c r="A254" s="1095" t="str">
        <f ca="1"/>
        <v/>
      </c>
      <c r="B254" s="399" t="str">
        <f ca="1"/>
        <v/>
      </c>
      <c r="C254" s="400" t="str">
        <f ca="1"/>
        <v/>
      </c>
      <c r="D254" s="400" t="str">
        <f ca="1"/>
        <v/>
      </c>
      <c r="E254" s="401" t="str">
        <f t="shared" ca="1" si="55"/>
        <v/>
      </c>
      <c r="N254" s="392" t="str">
        <f t="shared" ca="1" si="56"/>
        <v/>
      </c>
      <c r="O254" s="393" t="str">
        <f t="shared" ca="1" si="57"/>
        <v/>
      </c>
      <c r="P254" s="393" t="str">
        <f t="shared" ca="1" si="68"/>
        <v/>
      </c>
      <c r="Q254" s="393" t="str">
        <f t="shared" ca="1" si="58"/>
        <v/>
      </c>
      <c r="R254" s="394" t="str">
        <f t="shared" ca="1" si="69"/>
        <v/>
      </c>
      <c r="S254" s="395" t="str">
        <f t="shared" ca="1" si="59"/>
        <v/>
      </c>
      <c r="U254" s="392" t="str">
        <f t="shared" ca="1" si="60"/>
        <v/>
      </c>
      <c r="V254" s="393" t="str">
        <f t="shared" ca="1" si="61"/>
        <v/>
      </c>
      <c r="W254" s="394" t="str">
        <f t="shared" ca="1" si="62"/>
        <v/>
      </c>
      <c r="X254" s="392" t="str">
        <f t="shared" ca="1" si="63"/>
        <v/>
      </c>
      <c r="Y254" s="395" t="str">
        <f t="shared" ca="1" si="70"/>
        <v/>
      </c>
      <c r="Z254" s="1097"/>
      <c r="AA254" s="1108"/>
      <c r="AB254" s="1108"/>
      <c r="AC254" s="1108"/>
      <c r="AE254" s="1139" t="str">
        <f t="shared" ca="1" si="64"/>
        <v/>
      </c>
      <c r="AF254" s="393" t="str">
        <f t="shared" ca="1" si="52"/>
        <v/>
      </c>
      <c r="AG254" s="393" t="str">
        <f t="shared" ca="1" si="71"/>
        <v/>
      </c>
      <c r="AH254" s="393" t="str">
        <f t="shared" ca="1" si="65"/>
        <v/>
      </c>
      <c r="AI254" s="1143" t="str">
        <f t="shared" ca="1" si="53"/>
        <v/>
      </c>
      <c r="AJ254" s="395" t="str">
        <f t="shared" ca="1" si="66"/>
        <v/>
      </c>
      <c r="AK254" s="1144" t="str">
        <f t="shared" ca="1" si="72"/>
        <v/>
      </c>
      <c r="AL254" s="1143" t="str">
        <f t="shared" ca="1" si="67"/>
        <v/>
      </c>
      <c r="BC254" s="40"/>
      <c r="BD254" s="40"/>
      <c r="BE254" s="40"/>
      <c r="BF254" s="40"/>
      <c r="BG254" s="40"/>
    </row>
    <row r="255" spans="1:59" ht="18" customHeight="1">
      <c r="A255" s="1095" t="str">
        <f ca="1"/>
        <v/>
      </c>
      <c r="B255" s="399" t="str">
        <f ca="1"/>
        <v/>
      </c>
      <c r="C255" s="400" t="str">
        <f ca="1"/>
        <v/>
      </c>
      <c r="D255" s="400" t="str">
        <f ca="1"/>
        <v/>
      </c>
      <c r="E255" s="401" t="str">
        <f t="shared" ca="1" si="55"/>
        <v/>
      </c>
      <c r="N255" s="392" t="str">
        <f t="shared" ca="1" si="56"/>
        <v/>
      </c>
      <c r="O255" s="393" t="str">
        <f t="shared" ca="1" si="57"/>
        <v/>
      </c>
      <c r="P255" s="393" t="str">
        <f t="shared" ca="1" si="68"/>
        <v/>
      </c>
      <c r="Q255" s="393" t="str">
        <f t="shared" ca="1" si="58"/>
        <v/>
      </c>
      <c r="R255" s="394" t="str">
        <f t="shared" ca="1" si="69"/>
        <v/>
      </c>
      <c r="S255" s="395" t="str">
        <f t="shared" ca="1" si="59"/>
        <v/>
      </c>
      <c r="U255" s="392" t="str">
        <f t="shared" ca="1" si="60"/>
        <v/>
      </c>
      <c r="V255" s="393" t="str">
        <f t="shared" ca="1" si="61"/>
        <v/>
      </c>
      <c r="W255" s="394" t="str">
        <f t="shared" ca="1" si="62"/>
        <v/>
      </c>
      <c r="X255" s="392" t="str">
        <f t="shared" ca="1" si="63"/>
        <v/>
      </c>
      <c r="Y255" s="395" t="str">
        <f t="shared" ca="1" si="70"/>
        <v/>
      </c>
      <c r="Z255" s="1097"/>
      <c r="AA255" s="1108"/>
      <c r="AB255" s="1108"/>
      <c r="AC255" s="1108"/>
      <c r="AE255" s="1139" t="str">
        <f t="shared" ca="1" si="64"/>
        <v/>
      </c>
      <c r="AF255" s="393" t="str">
        <f t="shared" ca="1" si="52"/>
        <v/>
      </c>
      <c r="AG255" s="393" t="str">
        <f t="shared" ca="1" si="71"/>
        <v/>
      </c>
      <c r="AH255" s="393" t="str">
        <f t="shared" ca="1" si="65"/>
        <v/>
      </c>
      <c r="AI255" s="1143" t="str">
        <f t="shared" ca="1" si="53"/>
        <v/>
      </c>
      <c r="AJ255" s="395" t="str">
        <f t="shared" ca="1" si="66"/>
        <v/>
      </c>
      <c r="AK255" s="1144" t="str">
        <f t="shared" ca="1" si="72"/>
        <v/>
      </c>
      <c r="AL255" s="1143" t="str">
        <f t="shared" ca="1" si="67"/>
        <v/>
      </c>
      <c r="BC255" s="40"/>
      <c r="BD255" s="40"/>
      <c r="BE255" s="40"/>
      <c r="BF255" s="40"/>
      <c r="BG255" s="40"/>
    </row>
    <row r="256" spans="1:59" ht="18" customHeight="1">
      <c r="A256" s="1095" t="str">
        <f ca="1"/>
        <v/>
      </c>
      <c r="B256" s="399" t="str">
        <f ca="1"/>
        <v/>
      </c>
      <c r="C256" s="400" t="str">
        <f ca="1"/>
        <v/>
      </c>
      <c r="D256" s="400" t="str">
        <f ca="1"/>
        <v/>
      </c>
      <c r="E256" s="401" t="str">
        <f t="shared" ca="1" si="55"/>
        <v/>
      </c>
      <c r="N256" s="392" t="str">
        <f t="shared" ca="1" si="56"/>
        <v/>
      </c>
      <c r="O256" s="393" t="str">
        <f t="shared" ca="1" si="57"/>
        <v/>
      </c>
      <c r="P256" s="393" t="str">
        <f t="shared" ca="1" si="68"/>
        <v/>
      </c>
      <c r="Q256" s="393" t="str">
        <f t="shared" ca="1" si="58"/>
        <v/>
      </c>
      <c r="R256" s="394" t="str">
        <f t="shared" ca="1" si="69"/>
        <v/>
      </c>
      <c r="S256" s="395" t="str">
        <f t="shared" ca="1" si="59"/>
        <v/>
      </c>
      <c r="U256" s="392" t="str">
        <f t="shared" ca="1" si="60"/>
        <v/>
      </c>
      <c r="V256" s="393" t="str">
        <f t="shared" ca="1" si="61"/>
        <v/>
      </c>
      <c r="W256" s="394" t="str">
        <f t="shared" ca="1" si="62"/>
        <v/>
      </c>
      <c r="X256" s="392" t="str">
        <f t="shared" ca="1" si="63"/>
        <v/>
      </c>
      <c r="Y256" s="395" t="str">
        <f t="shared" ca="1" si="70"/>
        <v/>
      </c>
      <c r="Z256" s="1097"/>
      <c r="AA256" s="1108"/>
      <c r="AB256" s="1108"/>
      <c r="AC256" s="1108"/>
      <c r="AE256" s="1139" t="str">
        <f t="shared" ca="1" si="64"/>
        <v/>
      </c>
      <c r="AF256" s="393" t="str">
        <f t="shared" ca="1" si="52"/>
        <v/>
      </c>
      <c r="AG256" s="393" t="str">
        <f t="shared" ca="1" si="71"/>
        <v/>
      </c>
      <c r="AH256" s="393" t="str">
        <f t="shared" ca="1" si="65"/>
        <v/>
      </c>
      <c r="AI256" s="1143" t="str">
        <f t="shared" ca="1" si="53"/>
        <v/>
      </c>
      <c r="AJ256" s="395" t="str">
        <f t="shared" ca="1" si="66"/>
        <v/>
      </c>
      <c r="AK256" s="1144" t="str">
        <f t="shared" ca="1" si="72"/>
        <v/>
      </c>
      <c r="AL256" s="1143" t="str">
        <f t="shared" ca="1" si="67"/>
        <v/>
      </c>
      <c r="BC256" s="40"/>
      <c r="BD256" s="40"/>
      <c r="BE256" s="40"/>
      <c r="BF256" s="40"/>
      <c r="BG256" s="40"/>
    </row>
    <row r="257" spans="1:59" ht="18" customHeight="1">
      <c r="A257" s="1095" t="str">
        <f ca="1"/>
        <v/>
      </c>
      <c r="B257" s="399" t="str">
        <f ca="1"/>
        <v/>
      </c>
      <c r="C257" s="400" t="str">
        <f ca="1"/>
        <v/>
      </c>
      <c r="D257" s="400" t="str">
        <f ca="1"/>
        <v/>
      </c>
      <c r="E257" s="401" t="str">
        <f t="shared" ca="1" si="55"/>
        <v/>
      </c>
      <c r="N257" s="392" t="str">
        <f t="shared" ca="1" si="56"/>
        <v/>
      </c>
      <c r="O257" s="393" t="str">
        <f t="shared" ca="1" si="57"/>
        <v/>
      </c>
      <c r="P257" s="393" t="str">
        <f t="shared" ca="1" si="68"/>
        <v/>
      </c>
      <c r="Q257" s="393" t="str">
        <f t="shared" ca="1" si="58"/>
        <v/>
      </c>
      <c r="R257" s="394" t="str">
        <f t="shared" ca="1" si="69"/>
        <v/>
      </c>
      <c r="S257" s="395" t="str">
        <f t="shared" ca="1" si="59"/>
        <v/>
      </c>
      <c r="U257" s="392" t="str">
        <f t="shared" ca="1" si="60"/>
        <v/>
      </c>
      <c r="V257" s="393" t="str">
        <f t="shared" ca="1" si="61"/>
        <v/>
      </c>
      <c r="W257" s="394" t="str">
        <f t="shared" ca="1" si="62"/>
        <v/>
      </c>
      <c r="X257" s="392" t="str">
        <f t="shared" ca="1" si="63"/>
        <v/>
      </c>
      <c r="Y257" s="395" t="str">
        <f t="shared" ca="1" si="70"/>
        <v/>
      </c>
      <c r="Z257" s="1097"/>
      <c r="AA257" s="1108"/>
      <c r="AB257" s="1108"/>
      <c r="AC257" s="1108"/>
      <c r="AE257" s="1139" t="str">
        <f t="shared" ca="1" si="64"/>
        <v/>
      </c>
      <c r="AF257" s="393" t="str">
        <f t="shared" ca="1" si="52"/>
        <v/>
      </c>
      <c r="AG257" s="393" t="str">
        <f t="shared" ca="1" si="71"/>
        <v/>
      </c>
      <c r="AH257" s="393" t="str">
        <f t="shared" ca="1" si="65"/>
        <v/>
      </c>
      <c r="AI257" s="1143" t="str">
        <f t="shared" ca="1" si="53"/>
        <v/>
      </c>
      <c r="AJ257" s="395" t="str">
        <f t="shared" ca="1" si="66"/>
        <v/>
      </c>
      <c r="AK257" s="1144" t="str">
        <f t="shared" ca="1" si="72"/>
        <v/>
      </c>
      <c r="AL257" s="1143" t="str">
        <f t="shared" ca="1" si="67"/>
        <v/>
      </c>
      <c r="BC257" s="40"/>
      <c r="BD257" s="40"/>
      <c r="BE257" s="40"/>
      <c r="BF257" s="40"/>
      <c r="BG257" s="40"/>
    </row>
    <row r="258" spans="1:59" ht="18" customHeight="1">
      <c r="A258" s="1095" t="str">
        <f ca="1"/>
        <v/>
      </c>
      <c r="B258" s="399" t="str">
        <f ca="1"/>
        <v/>
      </c>
      <c r="C258" s="400" t="str">
        <f ca="1"/>
        <v/>
      </c>
      <c r="D258" s="400" t="str">
        <f ca="1"/>
        <v/>
      </c>
      <c r="E258" s="401" t="str">
        <f t="shared" ca="1" si="55"/>
        <v/>
      </c>
      <c r="N258" s="392" t="str">
        <f t="shared" ca="1" si="56"/>
        <v/>
      </c>
      <c r="O258" s="393" t="str">
        <f t="shared" ca="1" si="57"/>
        <v/>
      </c>
      <c r="P258" s="393" t="str">
        <f t="shared" ca="1" si="68"/>
        <v/>
      </c>
      <c r="Q258" s="393" t="str">
        <f t="shared" ca="1" si="58"/>
        <v/>
      </c>
      <c r="R258" s="394" t="str">
        <f t="shared" ca="1" si="69"/>
        <v/>
      </c>
      <c r="S258" s="395" t="str">
        <f t="shared" ca="1" si="59"/>
        <v/>
      </c>
      <c r="U258" s="392" t="str">
        <f t="shared" ca="1" si="60"/>
        <v/>
      </c>
      <c r="V258" s="393" t="str">
        <f t="shared" ca="1" si="61"/>
        <v/>
      </c>
      <c r="W258" s="394" t="str">
        <f t="shared" ca="1" si="62"/>
        <v/>
      </c>
      <c r="X258" s="392" t="str">
        <f t="shared" ca="1" si="63"/>
        <v/>
      </c>
      <c r="Y258" s="395" t="str">
        <f t="shared" ca="1" si="70"/>
        <v/>
      </c>
      <c r="Z258" s="1097"/>
      <c r="AA258" s="1108"/>
      <c r="AB258" s="1108"/>
      <c r="AC258" s="1108"/>
      <c r="AE258" s="1139" t="str">
        <f t="shared" ca="1" si="64"/>
        <v/>
      </c>
      <c r="AF258" s="393" t="str">
        <f t="shared" ca="1" si="52"/>
        <v/>
      </c>
      <c r="AG258" s="393" t="str">
        <f t="shared" ca="1" si="71"/>
        <v/>
      </c>
      <c r="AH258" s="393" t="str">
        <f t="shared" ca="1" si="65"/>
        <v/>
      </c>
      <c r="AI258" s="1143" t="str">
        <f t="shared" ca="1" si="53"/>
        <v/>
      </c>
      <c r="AJ258" s="395" t="str">
        <f t="shared" ca="1" si="66"/>
        <v/>
      </c>
      <c r="AK258" s="1144" t="str">
        <f t="shared" ca="1" si="72"/>
        <v/>
      </c>
      <c r="AL258" s="1143" t="str">
        <f t="shared" ca="1" si="67"/>
        <v/>
      </c>
      <c r="BC258" s="40"/>
      <c r="BD258" s="40"/>
      <c r="BE258" s="40"/>
      <c r="BF258" s="40"/>
      <c r="BG258" s="40"/>
    </row>
    <row r="259" spans="1:59" ht="18" customHeight="1">
      <c r="A259" s="1095" t="str">
        <f ca="1"/>
        <v/>
      </c>
      <c r="B259" s="399" t="str">
        <f ca="1"/>
        <v/>
      </c>
      <c r="C259" s="400" t="str">
        <f ca="1"/>
        <v/>
      </c>
      <c r="D259" s="400" t="str">
        <f ca="1"/>
        <v/>
      </c>
      <c r="E259" s="401" t="str">
        <f t="shared" ca="1" si="55"/>
        <v/>
      </c>
      <c r="N259" s="392" t="str">
        <f t="shared" ca="1" si="56"/>
        <v/>
      </c>
      <c r="O259" s="393" t="str">
        <f t="shared" ca="1" si="57"/>
        <v/>
      </c>
      <c r="P259" s="393" t="str">
        <f t="shared" ca="1" si="68"/>
        <v/>
      </c>
      <c r="Q259" s="393" t="str">
        <f t="shared" ca="1" si="58"/>
        <v/>
      </c>
      <c r="R259" s="394" t="str">
        <f t="shared" ca="1" si="69"/>
        <v/>
      </c>
      <c r="S259" s="395" t="str">
        <f t="shared" ca="1" si="59"/>
        <v/>
      </c>
      <c r="U259" s="392" t="str">
        <f t="shared" ca="1" si="60"/>
        <v/>
      </c>
      <c r="V259" s="393" t="str">
        <f t="shared" ca="1" si="61"/>
        <v/>
      </c>
      <c r="W259" s="394" t="str">
        <f t="shared" ca="1" si="62"/>
        <v/>
      </c>
      <c r="X259" s="392" t="str">
        <f t="shared" ca="1" si="63"/>
        <v/>
      </c>
      <c r="Y259" s="395" t="str">
        <f t="shared" ca="1" si="70"/>
        <v/>
      </c>
      <c r="Z259" s="1097"/>
      <c r="AA259" s="1108"/>
      <c r="AB259" s="1108"/>
      <c r="AC259" s="1108"/>
      <c r="AE259" s="1139" t="str">
        <f t="shared" ca="1" si="64"/>
        <v/>
      </c>
      <c r="AF259" s="393" t="str">
        <f t="shared" ca="1" si="52"/>
        <v/>
      </c>
      <c r="AG259" s="393" t="str">
        <f t="shared" ca="1" si="71"/>
        <v/>
      </c>
      <c r="AH259" s="393" t="str">
        <f t="shared" ca="1" si="65"/>
        <v/>
      </c>
      <c r="AI259" s="1143" t="str">
        <f t="shared" ca="1" si="53"/>
        <v/>
      </c>
      <c r="AJ259" s="395" t="str">
        <f t="shared" ca="1" si="66"/>
        <v/>
      </c>
      <c r="AK259" s="1144" t="str">
        <f t="shared" ca="1" si="72"/>
        <v/>
      </c>
      <c r="AL259" s="1143" t="str">
        <f t="shared" ca="1" si="67"/>
        <v/>
      </c>
      <c r="BC259" s="40"/>
      <c r="BD259" s="40"/>
      <c r="BE259" s="40"/>
      <c r="BF259" s="40"/>
      <c r="BG259" s="40"/>
    </row>
    <row r="260" spans="1:59" ht="18" customHeight="1">
      <c r="A260" s="1095" t="str">
        <f ca="1"/>
        <v/>
      </c>
      <c r="B260" s="399" t="str">
        <f ca="1"/>
        <v/>
      </c>
      <c r="C260" s="400" t="str">
        <f ca="1"/>
        <v/>
      </c>
      <c r="D260" s="400" t="str">
        <f ca="1"/>
        <v/>
      </c>
      <c r="E260" s="401" t="str">
        <f t="shared" ca="1" si="55"/>
        <v/>
      </c>
      <c r="N260" s="392" t="str">
        <f t="shared" ca="1" si="56"/>
        <v/>
      </c>
      <c r="O260" s="393" t="str">
        <f t="shared" ca="1" si="57"/>
        <v/>
      </c>
      <c r="P260" s="393" t="str">
        <f t="shared" ca="1" si="68"/>
        <v/>
      </c>
      <c r="Q260" s="393" t="str">
        <f t="shared" ca="1" si="58"/>
        <v/>
      </c>
      <c r="R260" s="394" t="str">
        <f t="shared" ca="1" si="69"/>
        <v/>
      </c>
      <c r="S260" s="395" t="str">
        <f t="shared" ca="1" si="59"/>
        <v/>
      </c>
      <c r="U260" s="392" t="str">
        <f t="shared" ca="1" si="60"/>
        <v/>
      </c>
      <c r="V260" s="393" t="str">
        <f t="shared" ca="1" si="61"/>
        <v/>
      </c>
      <c r="W260" s="394" t="str">
        <f t="shared" ca="1" si="62"/>
        <v/>
      </c>
      <c r="X260" s="392" t="str">
        <f t="shared" ca="1" si="63"/>
        <v/>
      </c>
      <c r="Y260" s="395" t="str">
        <f t="shared" ca="1" si="70"/>
        <v/>
      </c>
      <c r="Z260" s="1097"/>
      <c r="AA260" s="1108"/>
      <c r="AB260" s="1108"/>
      <c r="AC260" s="1108"/>
      <c r="AE260" s="1139" t="str">
        <f t="shared" ca="1" si="64"/>
        <v/>
      </c>
      <c r="AF260" s="393" t="str">
        <f t="shared" ca="1" si="52"/>
        <v/>
      </c>
      <c r="AG260" s="393" t="str">
        <f t="shared" ca="1" si="71"/>
        <v/>
      </c>
      <c r="AH260" s="393" t="str">
        <f t="shared" ca="1" si="65"/>
        <v/>
      </c>
      <c r="AI260" s="1143" t="str">
        <f t="shared" ca="1" si="53"/>
        <v/>
      </c>
      <c r="AJ260" s="395" t="str">
        <f t="shared" ca="1" si="66"/>
        <v/>
      </c>
      <c r="AK260" s="1144" t="str">
        <f t="shared" ca="1" si="72"/>
        <v/>
      </c>
      <c r="AL260" s="1143" t="str">
        <f t="shared" ca="1" si="67"/>
        <v/>
      </c>
      <c r="BC260" s="40"/>
      <c r="BD260" s="40"/>
      <c r="BE260" s="40"/>
      <c r="BF260" s="40"/>
      <c r="BG260" s="40"/>
    </row>
    <row r="261" spans="1:59" ht="18" customHeight="1">
      <c r="A261" s="1095" t="str">
        <f ca="1"/>
        <v/>
      </c>
      <c r="B261" s="399" t="str">
        <f ca="1"/>
        <v/>
      </c>
      <c r="C261" s="400" t="str">
        <f ca="1"/>
        <v/>
      </c>
      <c r="D261" s="400" t="str">
        <f ca="1"/>
        <v/>
      </c>
      <c r="E261" s="401" t="str">
        <f t="shared" ca="1" si="55"/>
        <v/>
      </c>
      <c r="N261" s="392" t="str">
        <f t="shared" ca="1" si="56"/>
        <v/>
      </c>
      <c r="O261" s="393" t="str">
        <f t="shared" ca="1" si="57"/>
        <v/>
      </c>
      <c r="P261" s="393" t="str">
        <f t="shared" ca="1" si="68"/>
        <v/>
      </c>
      <c r="Q261" s="393" t="str">
        <f t="shared" ca="1" si="58"/>
        <v/>
      </c>
      <c r="R261" s="394" t="str">
        <f t="shared" ca="1" si="69"/>
        <v/>
      </c>
      <c r="S261" s="395" t="str">
        <f t="shared" ca="1" si="59"/>
        <v/>
      </c>
      <c r="U261" s="392" t="str">
        <f t="shared" ca="1" si="60"/>
        <v/>
      </c>
      <c r="V261" s="393" t="str">
        <f t="shared" ca="1" si="61"/>
        <v/>
      </c>
      <c r="W261" s="394" t="str">
        <f t="shared" ca="1" si="62"/>
        <v/>
      </c>
      <c r="X261" s="392" t="str">
        <f t="shared" ca="1" si="63"/>
        <v/>
      </c>
      <c r="Y261" s="395" t="str">
        <f t="shared" ca="1" si="70"/>
        <v/>
      </c>
      <c r="Z261" s="1097"/>
      <c r="AA261" s="1108"/>
      <c r="AB261" s="1108"/>
      <c r="AC261" s="1108"/>
      <c r="AE261" s="1139" t="str">
        <f t="shared" ca="1" si="64"/>
        <v/>
      </c>
      <c r="AF261" s="393" t="str">
        <f t="shared" ca="1" si="52"/>
        <v/>
      </c>
      <c r="AG261" s="393" t="str">
        <f t="shared" ca="1" si="71"/>
        <v/>
      </c>
      <c r="AH261" s="393" t="str">
        <f t="shared" ca="1" si="65"/>
        <v/>
      </c>
      <c r="AI261" s="1143" t="str">
        <f t="shared" ca="1" si="53"/>
        <v/>
      </c>
      <c r="AJ261" s="395" t="str">
        <f t="shared" ca="1" si="66"/>
        <v/>
      </c>
      <c r="AK261" s="1144" t="str">
        <f t="shared" ca="1" si="72"/>
        <v/>
      </c>
      <c r="AL261" s="1143" t="str">
        <f t="shared" ca="1" si="67"/>
        <v/>
      </c>
      <c r="BC261" s="40"/>
      <c r="BD261" s="40"/>
      <c r="BE261" s="40"/>
      <c r="BF261" s="40"/>
      <c r="BG261" s="40"/>
    </row>
    <row r="262" spans="1:59" ht="18" customHeight="1">
      <c r="A262" s="1095" t="str">
        <f ca="1"/>
        <v/>
      </c>
      <c r="B262" s="399" t="str">
        <f ca="1"/>
        <v/>
      </c>
      <c r="C262" s="400" t="str">
        <f ca="1"/>
        <v/>
      </c>
      <c r="D262" s="400" t="str">
        <f ca="1"/>
        <v/>
      </c>
      <c r="E262" s="401" t="str">
        <f t="shared" ca="1" si="55"/>
        <v/>
      </c>
      <c r="N262" s="392" t="str">
        <f t="shared" ca="1" si="56"/>
        <v/>
      </c>
      <c r="O262" s="393" t="str">
        <f t="shared" ca="1" si="57"/>
        <v/>
      </c>
      <c r="P262" s="393" t="str">
        <f t="shared" ca="1" si="68"/>
        <v/>
      </c>
      <c r="Q262" s="393" t="str">
        <f t="shared" ca="1" si="58"/>
        <v/>
      </c>
      <c r="R262" s="394" t="str">
        <f t="shared" ca="1" si="69"/>
        <v/>
      </c>
      <c r="S262" s="395" t="str">
        <f t="shared" ca="1" si="59"/>
        <v/>
      </c>
      <c r="U262" s="392" t="str">
        <f t="shared" ca="1" si="60"/>
        <v/>
      </c>
      <c r="V262" s="393" t="str">
        <f t="shared" ca="1" si="61"/>
        <v/>
      </c>
      <c r="W262" s="394" t="str">
        <f t="shared" ca="1" si="62"/>
        <v/>
      </c>
      <c r="X262" s="392" t="str">
        <f t="shared" ca="1" si="63"/>
        <v/>
      </c>
      <c r="Y262" s="395" t="str">
        <f t="shared" ca="1" si="70"/>
        <v/>
      </c>
      <c r="Z262" s="1097"/>
      <c r="AA262" s="1108"/>
      <c r="AB262" s="1108"/>
      <c r="AC262" s="1108"/>
      <c r="AE262" s="1139" t="str">
        <f t="shared" ca="1" si="64"/>
        <v/>
      </c>
      <c r="AF262" s="393" t="str">
        <f t="shared" ca="1" si="52"/>
        <v/>
      </c>
      <c r="AG262" s="393" t="str">
        <f t="shared" ca="1" si="71"/>
        <v/>
      </c>
      <c r="AH262" s="393" t="str">
        <f t="shared" ca="1" si="65"/>
        <v/>
      </c>
      <c r="AI262" s="1143" t="str">
        <f t="shared" ca="1" si="53"/>
        <v/>
      </c>
      <c r="AJ262" s="395" t="str">
        <f t="shared" ca="1" si="66"/>
        <v/>
      </c>
      <c r="AK262" s="1144" t="str">
        <f t="shared" ca="1" si="72"/>
        <v/>
      </c>
      <c r="AL262" s="1143" t="str">
        <f t="shared" ca="1" si="67"/>
        <v/>
      </c>
      <c r="BC262" s="40"/>
      <c r="BD262" s="40"/>
      <c r="BE262" s="40"/>
      <c r="BF262" s="40"/>
      <c r="BG262" s="40"/>
    </row>
    <row r="263" spans="1:59" ht="18" customHeight="1">
      <c r="A263" s="1095" t="str">
        <f ca="1"/>
        <v/>
      </c>
      <c r="B263" s="399" t="str">
        <f ca="1"/>
        <v/>
      </c>
      <c r="C263" s="400" t="str">
        <f ca="1"/>
        <v/>
      </c>
      <c r="D263" s="400" t="str">
        <f ca="1"/>
        <v/>
      </c>
      <c r="E263" s="401" t="str">
        <f t="shared" ca="1" si="55"/>
        <v/>
      </c>
      <c r="N263" s="392" t="str">
        <f t="shared" ca="1" si="56"/>
        <v/>
      </c>
      <c r="O263" s="393" t="str">
        <f t="shared" ca="1" si="57"/>
        <v/>
      </c>
      <c r="P263" s="393" t="str">
        <f t="shared" ca="1" si="68"/>
        <v/>
      </c>
      <c r="Q263" s="393" t="str">
        <f t="shared" ca="1" si="58"/>
        <v/>
      </c>
      <c r="R263" s="394" t="str">
        <f t="shared" ca="1" si="69"/>
        <v/>
      </c>
      <c r="S263" s="395" t="str">
        <f t="shared" ca="1" si="59"/>
        <v/>
      </c>
      <c r="U263" s="392" t="str">
        <f t="shared" ca="1" si="60"/>
        <v/>
      </c>
      <c r="V263" s="393" t="str">
        <f t="shared" ca="1" si="61"/>
        <v/>
      </c>
      <c r="W263" s="394" t="str">
        <f t="shared" ca="1" si="62"/>
        <v/>
      </c>
      <c r="X263" s="392" t="str">
        <f t="shared" ca="1" si="63"/>
        <v/>
      </c>
      <c r="Y263" s="395" t="str">
        <f t="shared" ca="1" si="70"/>
        <v/>
      </c>
      <c r="Z263" s="1097"/>
      <c r="AA263" s="1108"/>
      <c r="AB263" s="1108"/>
      <c r="AC263" s="1108"/>
      <c r="AE263" s="1139" t="str">
        <f t="shared" ca="1" si="64"/>
        <v/>
      </c>
      <c r="AF263" s="393" t="str">
        <f t="shared" ca="1" si="52"/>
        <v/>
      </c>
      <c r="AG263" s="393" t="str">
        <f t="shared" ca="1" si="71"/>
        <v/>
      </c>
      <c r="AH263" s="393" t="str">
        <f t="shared" ca="1" si="65"/>
        <v/>
      </c>
      <c r="AI263" s="1143" t="str">
        <f t="shared" ca="1" si="53"/>
        <v/>
      </c>
      <c r="AJ263" s="395" t="str">
        <f t="shared" ca="1" si="66"/>
        <v/>
      </c>
      <c r="AK263" s="1144" t="str">
        <f t="shared" ca="1" si="72"/>
        <v/>
      </c>
      <c r="AL263" s="1143" t="str">
        <f t="shared" ca="1" si="67"/>
        <v/>
      </c>
      <c r="BC263" s="40"/>
      <c r="BD263" s="40"/>
      <c r="BE263" s="40"/>
      <c r="BF263" s="40"/>
      <c r="BG263" s="40"/>
    </row>
    <row r="264" spans="1:59" ht="18" customHeight="1">
      <c r="A264" s="1095" t="str">
        <f ca="1"/>
        <v/>
      </c>
      <c r="B264" s="399" t="str">
        <f ca="1"/>
        <v/>
      </c>
      <c r="C264" s="400" t="str">
        <f ca="1"/>
        <v/>
      </c>
      <c r="D264" s="400" t="str">
        <f ca="1"/>
        <v/>
      </c>
      <c r="E264" s="401" t="str">
        <f t="shared" ca="1" si="55"/>
        <v/>
      </c>
      <c r="N264" s="392" t="str">
        <f t="shared" ca="1" si="56"/>
        <v/>
      </c>
      <c r="O264" s="393" t="str">
        <f t="shared" ca="1" si="57"/>
        <v/>
      </c>
      <c r="P264" s="393" t="str">
        <f t="shared" ca="1" si="68"/>
        <v/>
      </c>
      <c r="Q264" s="393" t="str">
        <f t="shared" ca="1" si="58"/>
        <v/>
      </c>
      <c r="R264" s="394" t="str">
        <f t="shared" ca="1" si="69"/>
        <v/>
      </c>
      <c r="S264" s="395" t="str">
        <f t="shared" ca="1" si="59"/>
        <v/>
      </c>
      <c r="U264" s="392" t="str">
        <f t="shared" ca="1" si="60"/>
        <v/>
      </c>
      <c r="V264" s="393" t="str">
        <f t="shared" ca="1" si="61"/>
        <v/>
      </c>
      <c r="W264" s="394" t="str">
        <f t="shared" ca="1" si="62"/>
        <v/>
      </c>
      <c r="X264" s="392" t="str">
        <f t="shared" ca="1" si="63"/>
        <v/>
      </c>
      <c r="Y264" s="395" t="str">
        <f t="shared" ca="1" si="70"/>
        <v/>
      </c>
      <c r="Z264" s="1097"/>
      <c r="AA264" s="1108"/>
      <c r="AB264" s="1108"/>
      <c r="AC264" s="1108"/>
      <c r="AE264" s="1139" t="str">
        <f t="shared" ca="1" si="64"/>
        <v/>
      </c>
      <c r="AF264" s="393" t="str">
        <f t="shared" ca="1" si="52"/>
        <v/>
      </c>
      <c r="AG264" s="393" t="str">
        <f t="shared" ca="1" si="71"/>
        <v/>
      </c>
      <c r="AH264" s="393" t="str">
        <f t="shared" ca="1" si="65"/>
        <v/>
      </c>
      <c r="AI264" s="1143" t="str">
        <f t="shared" ca="1" si="53"/>
        <v/>
      </c>
      <c r="AJ264" s="395" t="str">
        <f t="shared" ca="1" si="66"/>
        <v/>
      </c>
      <c r="AK264" s="1144" t="str">
        <f t="shared" ca="1" si="72"/>
        <v/>
      </c>
      <c r="AL264" s="1143" t="str">
        <f t="shared" ca="1" si="67"/>
        <v/>
      </c>
      <c r="BC264" s="40"/>
      <c r="BD264" s="40"/>
      <c r="BE264" s="40"/>
      <c r="BF264" s="40"/>
      <c r="BG264" s="40"/>
    </row>
    <row r="265" spans="1:59" ht="18" customHeight="1">
      <c r="A265" s="1095" t="str">
        <f ca="1"/>
        <v/>
      </c>
      <c r="B265" s="399" t="str">
        <f ca="1"/>
        <v/>
      </c>
      <c r="C265" s="400" t="str">
        <f ca="1"/>
        <v/>
      </c>
      <c r="D265" s="400" t="str">
        <f ca="1"/>
        <v/>
      </c>
      <c r="E265" s="401" t="str">
        <f t="shared" ca="1" si="55"/>
        <v/>
      </c>
      <c r="N265" s="392" t="str">
        <f t="shared" ca="1" si="56"/>
        <v/>
      </c>
      <c r="O265" s="393" t="str">
        <f t="shared" ca="1" si="57"/>
        <v/>
      </c>
      <c r="P265" s="393" t="str">
        <f t="shared" ca="1" si="68"/>
        <v/>
      </c>
      <c r="Q265" s="393" t="str">
        <f t="shared" ca="1" si="58"/>
        <v/>
      </c>
      <c r="R265" s="394" t="str">
        <f t="shared" ca="1" si="69"/>
        <v/>
      </c>
      <c r="S265" s="395" t="str">
        <f t="shared" ca="1" si="59"/>
        <v/>
      </c>
      <c r="U265" s="392" t="str">
        <f t="shared" ca="1" si="60"/>
        <v/>
      </c>
      <c r="V265" s="393" t="str">
        <f t="shared" ca="1" si="61"/>
        <v/>
      </c>
      <c r="W265" s="394" t="str">
        <f t="shared" ca="1" si="62"/>
        <v/>
      </c>
      <c r="X265" s="392" t="str">
        <f t="shared" ca="1" si="63"/>
        <v/>
      </c>
      <c r="Y265" s="395" t="str">
        <f t="shared" ca="1" si="70"/>
        <v/>
      </c>
      <c r="Z265" s="1097"/>
      <c r="AA265" s="1108"/>
      <c r="AB265" s="1108"/>
      <c r="AC265" s="1108"/>
      <c r="AE265" s="1139" t="str">
        <f t="shared" ca="1" si="64"/>
        <v/>
      </c>
      <c r="AF265" s="393" t="str">
        <f t="shared" ca="1" si="52"/>
        <v/>
      </c>
      <c r="AG265" s="393" t="str">
        <f t="shared" ca="1" si="71"/>
        <v/>
      </c>
      <c r="AH265" s="393" t="str">
        <f t="shared" ca="1" si="65"/>
        <v/>
      </c>
      <c r="AI265" s="1143" t="str">
        <f t="shared" ca="1" si="53"/>
        <v/>
      </c>
      <c r="AJ265" s="395" t="str">
        <f t="shared" ca="1" si="66"/>
        <v/>
      </c>
      <c r="AK265" s="1144" t="str">
        <f t="shared" ca="1" si="72"/>
        <v/>
      </c>
      <c r="AL265" s="1143" t="str">
        <f t="shared" ca="1" si="67"/>
        <v/>
      </c>
      <c r="BC265" s="40"/>
      <c r="BD265" s="40"/>
      <c r="BE265" s="40"/>
      <c r="BF265" s="40"/>
      <c r="BG265" s="40"/>
    </row>
    <row r="266" spans="1:59" ht="18" customHeight="1">
      <c r="A266" s="1095" t="str">
        <f ca="1"/>
        <v/>
      </c>
      <c r="B266" s="399" t="str">
        <f ca="1"/>
        <v/>
      </c>
      <c r="C266" s="400" t="str">
        <f ca="1"/>
        <v/>
      </c>
      <c r="D266" s="400" t="str">
        <f ca="1"/>
        <v/>
      </c>
      <c r="E266" s="401" t="str">
        <f t="shared" ca="1" si="55"/>
        <v/>
      </c>
      <c r="N266" s="392" t="str">
        <f t="shared" ca="1" si="56"/>
        <v/>
      </c>
      <c r="O266" s="393" t="str">
        <f t="shared" ca="1" si="57"/>
        <v/>
      </c>
      <c r="P266" s="393" t="str">
        <f t="shared" ca="1" si="68"/>
        <v/>
      </c>
      <c r="Q266" s="393" t="str">
        <f t="shared" ca="1" si="58"/>
        <v/>
      </c>
      <c r="R266" s="394" t="str">
        <f t="shared" ca="1" si="69"/>
        <v/>
      </c>
      <c r="S266" s="395" t="str">
        <f t="shared" ca="1" si="59"/>
        <v/>
      </c>
      <c r="U266" s="392" t="str">
        <f t="shared" ca="1" si="60"/>
        <v/>
      </c>
      <c r="V266" s="393" t="str">
        <f t="shared" ca="1" si="61"/>
        <v/>
      </c>
      <c r="W266" s="394" t="str">
        <f t="shared" ca="1" si="62"/>
        <v/>
      </c>
      <c r="X266" s="392" t="str">
        <f t="shared" ca="1" si="63"/>
        <v/>
      </c>
      <c r="Y266" s="395" t="str">
        <f t="shared" ca="1" si="70"/>
        <v/>
      </c>
      <c r="Z266" s="1097"/>
      <c r="AA266" s="1108"/>
      <c r="AB266" s="1108"/>
      <c r="AC266" s="1108"/>
      <c r="AE266" s="1139" t="str">
        <f t="shared" ca="1" si="64"/>
        <v/>
      </c>
      <c r="AF266" s="393" t="str">
        <f t="shared" ca="1" si="52"/>
        <v/>
      </c>
      <c r="AG266" s="393" t="str">
        <f t="shared" ca="1" si="71"/>
        <v/>
      </c>
      <c r="AH266" s="393" t="str">
        <f t="shared" ca="1" si="65"/>
        <v/>
      </c>
      <c r="AI266" s="1143" t="str">
        <f t="shared" ca="1" si="53"/>
        <v/>
      </c>
      <c r="AJ266" s="395" t="str">
        <f t="shared" ca="1" si="66"/>
        <v/>
      </c>
      <c r="AK266" s="1144" t="str">
        <f t="shared" ca="1" si="72"/>
        <v/>
      </c>
      <c r="AL266" s="1143" t="str">
        <f t="shared" ca="1" si="67"/>
        <v/>
      </c>
      <c r="BC266" s="40"/>
      <c r="BD266" s="40"/>
      <c r="BE266" s="40"/>
      <c r="BF266" s="40"/>
      <c r="BG266" s="40"/>
    </row>
    <row r="267" spans="1:59" ht="18" customHeight="1">
      <c r="A267" s="1095" t="str">
        <f ca="1"/>
        <v/>
      </c>
      <c r="B267" s="399" t="str">
        <f ca="1"/>
        <v/>
      </c>
      <c r="C267" s="400" t="str">
        <f ca="1"/>
        <v/>
      </c>
      <c r="D267" s="400" t="str">
        <f ca="1"/>
        <v/>
      </c>
      <c r="E267" s="401" t="str">
        <f t="shared" ca="1" si="55"/>
        <v/>
      </c>
      <c r="N267" s="392" t="str">
        <f t="shared" ca="1" si="56"/>
        <v/>
      </c>
      <c r="O267" s="393" t="str">
        <f t="shared" ca="1" si="57"/>
        <v/>
      </c>
      <c r="P267" s="393" t="str">
        <f t="shared" ca="1" si="68"/>
        <v/>
      </c>
      <c r="Q267" s="393" t="str">
        <f t="shared" ca="1" si="58"/>
        <v/>
      </c>
      <c r="R267" s="394" t="str">
        <f t="shared" ca="1" si="69"/>
        <v/>
      </c>
      <c r="S267" s="395" t="str">
        <f t="shared" ca="1" si="59"/>
        <v/>
      </c>
      <c r="U267" s="392" t="str">
        <f t="shared" ca="1" si="60"/>
        <v/>
      </c>
      <c r="V267" s="393" t="str">
        <f t="shared" ca="1" si="61"/>
        <v/>
      </c>
      <c r="W267" s="394" t="str">
        <f t="shared" ca="1" si="62"/>
        <v/>
      </c>
      <c r="X267" s="392" t="str">
        <f t="shared" ca="1" si="63"/>
        <v/>
      </c>
      <c r="Y267" s="395" t="str">
        <f t="shared" ca="1" si="70"/>
        <v/>
      </c>
      <c r="Z267" s="1097"/>
      <c r="AA267" s="1108"/>
      <c r="AB267" s="1108"/>
      <c r="AC267" s="1108"/>
      <c r="AE267" s="1139" t="str">
        <f t="shared" ca="1" si="64"/>
        <v/>
      </c>
      <c r="AF267" s="393" t="str">
        <f t="shared" ca="1" si="52"/>
        <v/>
      </c>
      <c r="AG267" s="393" t="str">
        <f t="shared" ca="1" si="71"/>
        <v/>
      </c>
      <c r="AH267" s="393" t="str">
        <f t="shared" ca="1" si="65"/>
        <v/>
      </c>
      <c r="AI267" s="1143" t="str">
        <f t="shared" ca="1" si="53"/>
        <v/>
      </c>
      <c r="AJ267" s="395" t="str">
        <f t="shared" ca="1" si="66"/>
        <v/>
      </c>
      <c r="AK267" s="1144" t="str">
        <f t="shared" ca="1" si="72"/>
        <v/>
      </c>
      <c r="AL267" s="1143" t="str">
        <f t="shared" ca="1" si="67"/>
        <v/>
      </c>
      <c r="BC267" s="40"/>
      <c r="BD267" s="40"/>
      <c r="BE267" s="40"/>
      <c r="BF267" s="40"/>
      <c r="BG267" s="40"/>
    </row>
    <row r="268" spans="1:59" ht="18" customHeight="1">
      <c r="A268" s="1095" t="str">
        <f ca="1"/>
        <v/>
      </c>
      <c r="B268" s="399" t="str">
        <f ca="1"/>
        <v/>
      </c>
      <c r="C268" s="400" t="str">
        <f ca="1"/>
        <v/>
      </c>
      <c r="D268" s="400" t="str">
        <f ca="1"/>
        <v/>
      </c>
      <c r="E268" s="401" t="str">
        <f t="shared" ca="1" si="55"/>
        <v/>
      </c>
      <c r="N268" s="392" t="str">
        <f t="shared" ca="1" si="56"/>
        <v/>
      </c>
      <c r="O268" s="393" t="str">
        <f t="shared" ca="1" si="57"/>
        <v/>
      </c>
      <c r="P268" s="393" t="str">
        <f t="shared" ca="1" si="68"/>
        <v/>
      </c>
      <c r="Q268" s="393" t="str">
        <f t="shared" ca="1" si="58"/>
        <v/>
      </c>
      <c r="R268" s="394" t="str">
        <f t="shared" ca="1" si="69"/>
        <v/>
      </c>
      <c r="S268" s="395" t="str">
        <f t="shared" ca="1" si="59"/>
        <v/>
      </c>
      <c r="U268" s="392" t="str">
        <f t="shared" ca="1" si="60"/>
        <v/>
      </c>
      <c r="V268" s="393" t="str">
        <f t="shared" ca="1" si="61"/>
        <v/>
      </c>
      <c r="W268" s="394" t="str">
        <f t="shared" ca="1" si="62"/>
        <v/>
      </c>
      <c r="X268" s="392" t="str">
        <f t="shared" ca="1" si="63"/>
        <v/>
      </c>
      <c r="Y268" s="395" t="str">
        <f t="shared" ca="1" si="70"/>
        <v/>
      </c>
      <c r="Z268" s="1097"/>
      <c r="AA268" s="1108"/>
      <c r="AB268" s="1108"/>
      <c r="AC268" s="1108"/>
      <c r="AE268" s="1139" t="str">
        <f t="shared" ca="1" si="64"/>
        <v/>
      </c>
      <c r="AF268" s="393" t="str">
        <f t="shared" ca="1" si="52"/>
        <v/>
      </c>
      <c r="AG268" s="393" t="str">
        <f t="shared" ca="1" si="71"/>
        <v/>
      </c>
      <c r="AH268" s="393" t="str">
        <f t="shared" ca="1" si="65"/>
        <v/>
      </c>
      <c r="AI268" s="1143" t="str">
        <f t="shared" ca="1" si="53"/>
        <v/>
      </c>
      <c r="AJ268" s="395" t="str">
        <f t="shared" ca="1" si="66"/>
        <v/>
      </c>
      <c r="AK268" s="1144" t="str">
        <f t="shared" ca="1" si="72"/>
        <v/>
      </c>
      <c r="AL268" s="1143" t="str">
        <f t="shared" ca="1" si="67"/>
        <v/>
      </c>
      <c r="BC268" s="40"/>
      <c r="BD268" s="40"/>
      <c r="BE268" s="40"/>
      <c r="BF268" s="40"/>
      <c r="BG268" s="40"/>
    </row>
    <row r="269" spans="1:59" ht="18" customHeight="1">
      <c r="A269" s="1095" t="str">
        <f ca="1"/>
        <v/>
      </c>
      <c r="B269" s="399" t="str">
        <f ca="1"/>
        <v/>
      </c>
      <c r="C269" s="400" t="str">
        <f ca="1"/>
        <v/>
      </c>
      <c r="D269" s="400" t="str">
        <f ca="1"/>
        <v/>
      </c>
      <c r="E269" s="401" t="str">
        <f t="shared" ca="1" si="55"/>
        <v/>
      </c>
      <c r="N269" s="392" t="str">
        <f t="shared" ca="1" si="56"/>
        <v/>
      </c>
      <c r="O269" s="393" t="str">
        <f t="shared" ca="1" si="57"/>
        <v/>
      </c>
      <c r="P269" s="393" t="str">
        <f t="shared" ca="1" si="68"/>
        <v/>
      </c>
      <c r="Q269" s="393" t="str">
        <f t="shared" ca="1" si="58"/>
        <v/>
      </c>
      <c r="R269" s="394" t="str">
        <f t="shared" ca="1" si="69"/>
        <v/>
      </c>
      <c r="S269" s="395" t="str">
        <f t="shared" ca="1" si="59"/>
        <v/>
      </c>
      <c r="U269" s="392" t="str">
        <f t="shared" ca="1" si="60"/>
        <v/>
      </c>
      <c r="V269" s="393" t="str">
        <f t="shared" ca="1" si="61"/>
        <v/>
      </c>
      <c r="W269" s="394" t="str">
        <f t="shared" ca="1" si="62"/>
        <v/>
      </c>
      <c r="X269" s="392" t="str">
        <f t="shared" ca="1" si="63"/>
        <v/>
      </c>
      <c r="Y269" s="395" t="str">
        <f t="shared" ca="1" si="70"/>
        <v/>
      </c>
      <c r="Z269" s="1097"/>
      <c r="AA269" s="1108"/>
      <c r="AB269" s="1108"/>
      <c r="AC269" s="1108"/>
      <c r="AE269" s="1139" t="str">
        <f t="shared" ca="1" si="64"/>
        <v/>
      </c>
      <c r="AF269" s="393" t="str">
        <f t="shared" ca="1" si="52"/>
        <v/>
      </c>
      <c r="AG269" s="393" t="str">
        <f t="shared" ca="1" si="71"/>
        <v/>
      </c>
      <c r="AH269" s="393" t="str">
        <f t="shared" ca="1" si="65"/>
        <v/>
      </c>
      <c r="AI269" s="1143" t="str">
        <f t="shared" ca="1" si="53"/>
        <v/>
      </c>
      <c r="AJ269" s="395" t="str">
        <f t="shared" ca="1" si="66"/>
        <v/>
      </c>
      <c r="AK269" s="1144" t="str">
        <f t="shared" ca="1" si="72"/>
        <v/>
      </c>
      <c r="AL269" s="1143" t="str">
        <f t="shared" ca="1" si="67"/>
        <v/>
      </c>
      <c r="BC269" s="40"/>
      <c r="BD269" s="40"/>
      <c r="BE269" s="40"/>
      <c r="BF269" s="40"/>
      <c r="BG269" s="40"/>
    </row>
    <row r="270" spans="1:59" ht="18" customHeight="1">
      <c r="A270" s="1095" t="str">
        <f ca="1"/>
        <v/>
      </c>
      <c r="B270" s="399" t="str">
        <f ca="1"/>
        <v/>
      </c>
      <c r="C270" s="400" t="str">
        <f ca="1"/>
        <v/>
      </c>
      <c r="D270" s="400" t="str">
        <f ca="1"/>
        <v/>
      </c>
      <c r="E270" s="401" t="str">
        <f t="shared" ca="1" si="55"/>
        <v/>
      </c>
      <c r="N270" s="392" t="str">
        <f t="shared" ca="1" si="56"/>
        <v/>
      </c>
      <c r="O270" s="393" t="str">
        <f t="shared" ca="1" si="57"/>
        <v/>
      </c>
      <c r="P270" s="393" t="str">
        <f t="shared" ca="1" si="68"/>
        <v/>
      </c>
      <c r="Q270" s="393" t="str">
        <f t="shared" ca="1" si="58"/>
        <v/>
      </c>
      <c r="R270" s="394" t="str">
        <f t="shared" ca="1" si="69"/>
        <v/>
      </c>
      <c r="S270" s="395" t="str">
        <f t="shared" ca="1" si="59"/>
        <v/>
      </c>
      <c r="U270" s="392" t="str">
        <f t="shared" ca="1" si="60"/>
        <v/>
      </c>
      <c r="V270" s="393" t="str">
        <f t="shared" ca="1" si="61"/>
        <v/>
      </c>
      <c r="W270" s="394" t="str">
        <f t="shared" ca="1" si="62"/>
        <v/>
      </c>
      <c r="X270" s="392" t="str">
        <f t="shared" ca="1" si="63"/>
        <v/>
      </c>
      <c r="Y270" s="395" t="str">
        <f t="shared" ca="1" si="70"/>
        <v/>
      </c>
      <c r="Z270" s="1097"/>
      <c r="AA270" s="1108"/>
      <c r="AB270" s="1108"/>
      <c r="AC270" s="1108"/>
      <c r="AE270" s="1139" t="str">
        <f t="shared" ca="1" si="64"/>
        <v/>
      </c>
      <c r="AF270" s="393" t="str">
        <f t="shared" ca="1" si="52"/>
        <v/>
      </c>
      <c r="AG270" s="393" t="str">
        <f t="shared" ca="1" si="71"/>
        <v/>
      </c>
      <c r="AH270" s="393" t="str">
        <f t="shared" ca="1" si="65"/>
        <v/>
      </c>
      <c r="AI270" s="1143" t="str">
        <f t="shared" ca="1" si="53"/>
        <v/>
      </c>
      <c r="AJ270" s="395" t="str">
        <f t="shared" ca="1" si="66"/>
        <v/>
      </c>
      <c r="AK270" s="1144" t="str">
        <f t="shared" ca="1" si="72"/>
        <v/>
      </c>
      <c r="AL270" s="1143" t="str">
        <f t="shared" ca="1" si="67"/>
        <v/>
      </c>
      <c r="BC270" s="40"/>
      <c r="BD270" s="40"/>
      <c r="BE270" s="40"/>
      <c r="BF270" s="40"/>
      <c r="BG270" s="40"/>
    </row>
    <row r="271" spans="1:59" ht="18" customHeight="1">
      <c r="A271" s="1095" t="str">
        <f ca="1"/>
        <v/>
      </c>
      <c r="B271" s="399" t="str">
        <f ca="1"/>
        <v/>
      </c>
      <c r="C271" s="400" t="str">
        <f ca="1"/>
        <v/>
      </c>
      <c r="D271" s="400" t="str">
        <f ca="1"/>
        <v/>
      </c>
      <c r="E271" s="401" t="str">
        <f t="shared" ca="1" si="55"/>
        <v/>
      </c>
      <c r="N271" s="392" t="str">
        <f t="shared" ca="1" si="56"/>
        <v/>
      </c>
      <c r="O271" s="393" t="str">
        <f t="shared" ca="1" si="57"/>
        <v/>
      </c>
      <c r="P271" s="393" t="str">
        <f t="shared" ca="1" si="68"/>
        <v/>
      </c>
      <c r="Q271" s="393" t="str">
        <f t="shared" ca="1" si="58"/>
        <v/>
      </c>
      <c r="R271" s="394" t="str">
        <f t="shared" ca="1" si="69"/>
        <v/>
      </c>
      <c r="S271" s="395" t="str">
        <f t="shared" ca="1" si="59"/>
        <v/>
      </c>
      <c r="U271" s="392" t="str">
        <f t="shared" ca="1" si="60"/>
        <v/>
      </c>
      <c r="V271" s="393" t="str">
        <f t="shared" ca="1" si="61"/>
        <v/>
      </c>
      <c r="W271" s="394" t="str">
        <f t="shared" ca="1" si="62"/>
        <v/>
      </c>
      <c r="X271" s="392" t="str">
        <f t="shared" ca="1" si="63"/>
        <v/>
      </c>
      <c r="Y271" s="395" t="str">
        <f t="shared" ca="1" si="70"/>
        <v/>
      </c>
      <c r="Z271" s="1097"/>
      <c r="AA271" s="1108"/>
      <c r="AB271" s="1108"/>
      <c r="AC271" s="1108"/>
      <c r="AE271" s="1139" t="str">
        <f t="shared" ca="1" si="64"/>
        <v/>
      </c>
      <c r="AF271" s="393" t="str">
        <f t="shared" ca="1" si="52"/>
        <v/>
      </c>
      <c r="AG271" s="393" t="str">
        <f t="shared" ca="1" si="71"/>
        <v/>
      </c>
      <c r="AH271" s="393" t="str">
        <f t="shared" ca="1" si="65"/>
        <v/>
      </c>
      <c r="AI271" s="1143" t="str">
        <f t="shared" ca="1" si="53"/>
        <v/>
      </c>
      <c r="AJ271" s="395" t="str">
        <f t="shared" ca="1" si="66"/>
        <v/>
      </c>
      <c r="AK271" s="1144" t="str">
        <f t="shared" ca="1" si="72"/>
        <v/>
      </c>
      <c r="AL271" s="1143" t="str">
        <f t="shared" ca="1" si="67"/>
        <v/>
      </c>
      <c r="BC271" s="40"/>
      <c r="BD271" s="40"/>
      <c r="BE271" s="40"/>
      <c r="BF271" s="40"/>
      <c r="BG271" s="40"/>
    </row>
    <row r="272" spans="1:59" ht="18" customHeight="1">
      <c r="A272" s="1095" t="str">
        <f ca="1"/>
        <v/>
      </c>
      <c r="B272" s="399" t="str">
        <f ca="1"/>
        <v/>
      </c>
      <c r="C272" s="400" t="str">
        <f ca="1"/>
        <v/>
      </c>
      <c r="D272" s="400" t="str">
        <f ca="1"/>
        <v/>
      </c>
      <c r="E272" s="401" t="str">
        <f t="shared" ca="1" si="55"/>
        <v/>
      </c>
      <c r="N272" s="392" t="str">
        <f t="shared" ca="1" si="56"/>
        <v/>
      </c>
      <c r="O272" s="393" t="str">
        <f t="shared" ca="1" si="57"/>
        <v/>
      </c>
      <c r="P272" s="393" t="str">
        <f t="shared" ca="1" si="68"/>
        <v/>
      </c>
      <c r="Q272" s="393" t="str">
        <f t="shared" ca="1" si="58"/>
        <v/>
      </c>
      <c r="R272" s="394" t="str">
        <f t="shared" ca="1" si="69"/>
        <v/>
      </c>
      <c r="S272" s="395" t="str">
        <f t="shared" ca="1" si="59"/>
        <v/>
      </c>
      <c r="U272" s="392" t="str">
        <f t="shared" ca="1" si="60"/>
        <v/>
      </c>
      <c r="V272" s="393" t="str">
        <f t="shared" ca="1" si="61"/>
        <v/>
      </c>
      <c r="W272" s="394" t="str">
        <f t="shared" ca="1" si="62"/>
        <v/>
      </c>
      <c r="X272" s="392" t="str">
        <f t="shared" ca="1" si="63"/>
        <v/>
      </c>
      <c r="Y272" s="395" t="str">
        <f t="shared" ca="1" si="70"/>
        <v/>
      </c>
      <c r="Z272" s="1097"/>
      <c r="AA272" s="1108"/>
      <c r="AB272" s="1108"/>
      <c r="AC272" s="1108"/>
      <c r="AE272" s="1139" t="str">
        <f t="shared" ca="1" si="64"/>
        <v/>
      </c>
      <c r="AF272" s="393" t="str">
        <f t="shared" ca="1" si="52"/>
        <v/>
      </c>
      <c r="AG272" s="393" t="str">
        <f t="shared" ca="1" si="71"/>
        <v/>
      </c>
      <c r="AH272" s="393" t="str">
        <f t="shared" ca="1" si="65"/>
        <v/>
      </c>
      <c r="AI272" s="1143" t="str">
        <f t="shared" ca="1" si="53"/>
        <v/>
      </c>
      <c r="AJ272" s="395" t="str">
        <f t="shared" ca="1" si="66"/>
        <v/>
      </c>
      <c r="AK272" s="1144" t="str">
        <f t="shared" ca="1" si="72"/>
        <v/>
      </c>
      <c r="AL272" s="1143" t="str">
        <f t="shared" ca="1" si="67"/>
        <v/>
      </c>
      <c r="BC272" s="40"/>
      <c r="BD272" s="40"/>
      <c r="BE272" s="40"/>
      <c r="BF272" s="40"/>
      <c r="BG272" s="40"/>
    </row>
    <row r="273" spans="1:59" ht="18" customHeight="1">
      <c r="A273" s="1095" t="str">
        <f ca="1"/>
        <v/>
      </c>
      <c r="B273" s="399" t="str">
        <f ca="1"/>
        <v/>
      </c>
      <c r="C273" s="400" t="str">
        <f ca="1"/>
        <v/>
      </c>
      <c r="D273" s="400" t="str">
        <f ca="1"/>
        <v/>
      </c>
      <c r="E273" s="401" t="str">
        <f t="shared" ca="1" si="55"/>
        <v/>
      </c>
      <c r="N273" s="392" t="str">
        <f t="shared" ca="1" si="56"/>
        <v/>
      </c>
      <c r="O273" s="393" t="str">
        <f t="shared" ca="1" si="57"/>
        <v/>
      </c>
      <c r="P273" s="393" t="str">
        <f t="shared" ca="1" si="68"/>
        <v/>
      </c>
      <c r="Q273" s="393" t="str">
        <f t="shared" ca="1" si="58"/>
        <v/>
      </c>
      <c r="R273" s="394" t="str">
        <f t="shared" ca="1" si="69"/>
        <v/>
      </c>
      <c r="S273" s="395" t="str">
        <f t="shared" ca="1" si="59"/>
        <v/>
      </c>
      <c r="U273" s="392" t="str">
        <f t="shared" ca="1" si="60"/>
        <v/>
      </c>
      <c r="V273" s="393" t="str">
        <f t="shared" ca="1" si="61"/>
        <v/>
      </c>
      <c r="W273" s="394" t="str">
        <f t="shared" ca="1" si="62"/>
        <v/>
      </c>
      <c r="X273" s="392" t="str">
        <f t="shared" ca="1" si="63"/>
        <v/>
      </c>
      <c r="Y273" s="395" t="str">
        <f t="shared" ca="1" si="70"/>
        <v/>
      </c>
      <c r="Z273" s="1097"/>
      <c r="AA273" s="1108"/>
      <c r="AB273" s="1108"/>
      <c r="AC273" s="1108"/>
      <c r="AE273" s="1139" t="str">
        <f t="shared" ca="1" si="64"/>
        <v/>
      </c>
      <c r="AF273" s="393" t="str">
        <f t="shared" ca="1" si="52"/>
        <v/>
      </c>
      <c r="AG273" s="393" t="str">
        <f t="shared" ca="1" si="71"/>
        <v/>
      </c>
      <c r="AH273" s="393" t="str">
        <f t="shared" ca="1" si="65"/>
        <v/>
      </c>
      <c r="AI273" s="1143" t="str">
        <f t="shared" ca="1" si="53"/>
        <v/>
      </c>
      <c r="AJ273" s="395" t="str">
        <f t="shared" ca="1" si="66"/>
        <v/>
      </c>
      <c r="AK273" s="1144" t="str">
        <f t="shared" ca="1" si="72"/>
        <v/>
      </c>
      <c r="AL273" s="1143" t="str">
        <f t="shared" ca="1" si="67"/>
        <v/>
      </c>
      <c r="BC273" s="40"/>
      <c r="BD273" s="40"/>
      <c r="BE273" s="40"/>
      <c r="BF273" s="40"/>
      <c r="BG273" s="40"/>
    </row>
    <row r="274" spans="1:59" ht="18" customHeight="1">
      <c r="A274" s="1095" t="str">
        <f ca="1"/>
        <v/>
      </c>
      <c r="B274" s="399" t="str">
        <f ca="1"/>
        <v/>
      </c>
      <c r="C274" s="400" t="str">
        <f ca="1"/>
        <v/>
      </c>
      <c r="D274" s="400" t="str">
        <f ca="1"/>
        <v/>
      </c>
      <c r="E274" s="401" t="str">
        <f t="shared" ca="1" si="55"/>
        <v/>
      </c>
      <c r="N274" s="392" t="str">
        <f t="shared" ca="1" si="56"/>
        <v/>
      </c>
      <c r="O274" s="393" t="str">
        <f t="shared" ca="1" si="57"/>
        <v/>
      </c>
      <c r="P274" s="393" t="str">
        <f t="shared" ca="1" si="68"/>
        <v/>
      </c>
      <c r="Q274" s="393" t="str">
        <f t="shared" ca="1" si="58"/>
        <v/>
      </c>
      <c r="R274" s="394" t="str">
        <f t="shared" ca="1" si="69"/>
        <v/>
      </c>
      <c r="S274" s="395" t="str">
        <f t="shared" ca="1" si="59"/>
        <v/>
      </c>
      <c r="U274" s="392" t="str">
        <f t="shared" ca="1" si="60"/>
        <v/>
      </c>
      <c r="V274" s="393" t="str">
        <f t="shared" ca="1" si="61"/>
        <v/>
      </c>
      <c r="W274" s="394" t="str">
        <f t="shared" ca="1" si="62"/>
        <v/>
      </c>
      <c r="X274" s="392" t="str">
        <f t="shared" ca="1" si="63"/>
        <v/>
      </c>
      <c r="Y274" s="395" t="str">
        <f t="shared" ca="1" si="70"/>
        <v/>
      </c>
      <c r="Z274" s="1097"/>
      <c r="AA274" s="1108"/>
      <c r="AB274" s="1108"/>
      <c r="AC274" s="1108"/>
      <c r="AE274" s="1139" t="str">
        <f t="shared" ca="1" si="64"/>
        <v/>
      </c>
      <c r="AF274" s="393" t="str">
        <f t="shared" ca="1" si="52"/>
        <v/>
      </c>
      <c r="AG274" s="393" t="str">
        <f t="shared" ca="1" si="71"/>
        <v/>
      </c>
      <c r="AH274" s="393" t="str">
        <f t="shared" ca="1" si="65"/>
        <v/>
      </c>
      <c r="AI274" s="1143" t="str">
        <f t="shared" ca="1" si="53"/>
        <v/>
      </c>
      <c r="AJ274" s="395" t="str">
        <f t="shared" ca="1" si="66"/>
        <v/>
      </c>
      <c r="AK274" s="1144" t="str">
        <f t="shared" ca="1" si="72"/>
        <v/>
      </c>
      <c r="AL274" s="1143" t="str">
        <f t="shared" ca="1" si="67"/>
        <v/>
      </c>
      <c r="BC274" s="40"/>
      <c r="BD274" s="40"/>
      <c r="BE274" s="40"/>
      <c r="BF274" s="40"/>
      <c r="BG274" s="40"/>
    </row>
    <row r="275" spans="1:59" ht="18" customHeight="1">
      <c r="A275" s="1095" t="str">
        <f ca="1"/>
        <v/>
      </c>
      <c r="B275" s="399" t="str">
        <f ca="1"/>
        <v/>
      </c>
      <c r="C275" s="400" t="str">
        <f ca="1"/>
        <v/>
      </c>
      <c r="D275" s="400" t="str">
        <f ca="1"/>
        <v/>
      </c>
      <c r="E275" s="401" t="str">
        <f t="shared" ca="1" si="55"/>
        <v/>
      </c>
      <c r="N275" s="392" t="str">
        <f t="shared" ca="1" si="56"/>
        <v/>
      </c>
      <c r="O275" s="393" t="str">
        <f t="shared" ca="1" si="57"/>
        <v/>
      </c>
      <c r="P275" s="393" t="str">
        <f t="shared" ca="1" si="68"/>
        <v/>
      </c>
      <c r="Q275" s="393" t="str">
        <f t="shared" ca="1" si="58"/>
        <v/>
      </c>
      <c r="R275" s="394" t="str">
        <f t="shared" ca="1" si="69"/>
        <v/>
      </c>
      <c r="S275" s="395" t="str">
        <f t="shared" ca="1" si="59"/>
        <v/>
      </c>
      <c r="U275" s="392" t="str">
        <f t="shared" ca="1" si="60"/>
        <v/>
      </c>
      <c r="V275" s="393" t="str">
        <f t="shared" ca="1" si="61"/>
        <v/>
      </c>
      <c r="W275" s="394" t="str">
        <f t="shared" ca="1" si="62"/>
        <v/>
      </c>
      <c r="X275" s="392" t="str">
        <f t="shared" ca="1" si="63"/>
        <v/>
      </c>
      <c r="Y275" s="395" t="str">
        <f t="shared" ca="1" si="70"/>
        <v/>
      </c>
      <c r="Z275" s="1097"/>
      <c r="AA275" s="1108"/>
      <c r="AB275" s="1108"/>
      <c r="AC275" s="1108"/>
      <c r="AE275" s="1139" t="str">
        <f t="shared" ca="1" si="64"/>
        <v/>
      </c>
      <c r="AF275" s="393" t="str">
        <f t="shared" ca="1" si="52"/>
        <v/>
      </c>
      <c r="AG275" s="393" t="str">
        <f t="shared" ca="1" si="71"/>
        <v/>
      </c>
      <c r="AH275" s="393" t="str">
        <f t="shared" ca="1" si="65"/>
        <v/>
      </c>
      <c r="AI275" s="1143" t="str">
        <f t="shared" ca="1" si="53"/>
        <v/>
      </c>
      <c r="AJ275" s="395" t="str">
        <f t="shared" ca="1" si="66"/>
        <v/>
      </c>
      <c r="AK275" s="1144" t="str">
        <f t="shared" ca="1" si="72"/>
        <v/>
      </c>
      <c r="AL275" s="1143" t="str">
        <f t="shared" ca="1" si="67"/>
        <v/>
      </c>
      <c r="BC275" s="40"/>
      <c r="BD275" s="40"/>
      <c r="BE275" s="40"/>
      <c r="BF275" s="40"/>
      <c r="BG275" s="40"/>
    </row>
    <row r="276" spans="1:59" ht="18" customHeight="1">
      <c r="A276" s="1095" t="str">
        <f ca="1"/>
        <v/>
      </c>
      <c r="B276" s="399" t="str">
        <f ca="1"/>
        <v/>
      </c>
      <c r="C276" s="400" t="str">
        <f ca="1"/>
        <v/>
      </c>
      <c r="D276" s="400" t="str">
        <f ca="1"/>
        <v/>
      </c>
      <c r="E276" s="401" t="str">
        <f t="shared" ca="1" si="55"/>
        <v/>
      </c>
      <c r="N276" s="392" t="str">
        <f t="shared" ca="1" si="56"/>
        <v/>
      </c>
      <c r="O276" s="393" t="str">
        <f t="shared" ca="1" si="57"/>
        <v/>
      </c>
      <c r="P276" s="393" t="str">
        <f t="shared" ca="1" si="68"/>
        <v/>
      </c>
      <c r="Q276" s="393" t="str">
        <f t="shared" ca="1" si="58"/>
        <v/>
      </c>
      <c r="R276" s="394" t="str">
        <f t="shared" ca="1" si="69"/>
        <v/>
      </c>
      <c r="S276" s="395" t="str">
        <f t="shared" ca="1" si="59"/>
        <v/>
      </c>
      <c r="U276" s="392" t="str">
        <f t="shared" ca="1" si="60"/>
        <v/>
      </c>
      <c r="V276" s="393" t="str">
        <f t="shared" ca="1" si="61"/>
        <v/>
      </c>
      <c r="W276" s="394" t="str">
        <f t="shared" ca="1" si="62"/>
        <v/>
      </c>
      <c r="X276" s="392" t="str">
        <f t="shared" ca="1" si="63"/>
        <v/>
      </c>
      <c r="Y276" s="395" t="str">
        <f t="shared" ca="1" si="70"/>
        <v/>
      </c>
      <c r="Z276" s="1097"/>
      <c r="AA276" s="1108"/>
      <c r="AB276" s="1108"/>
      <c r="AC276" s="1108"/>
      <c r="AE276" s="1139" t="str">
        <f t="shared" ca="1" si="64"/>
        <v/>
      </c>
      <c r="AF276" s="393" t="str">
        <f t="shared" ca="1" si="52"/>
        <v/>
      </c>
      <c r="AG276" s="393" t="str">
        <f t="shared" ca="1" si="71"/>
        <v/>
      </c>
      <c r="AH276" s="393" t="str">
        <f t="shared" ca="1" si="65"/>
        <v/>
      </c>
      <c r="AI276" s="1143" t="str">
        <f t="shared" ca="1" si="53"/>
        <v/>
      </c>
      <c r="AJ276" s="395" t="str">
        <f t="shared" ca="1" si="66"/>
        <v/>
      </c>
      <c r="AK276" s="1144" t="str">
        <f t="shared" ca="1" si="72"/>
        <v/>
      </c>
      <c r="AL276" s="1143" t="str">
        <f t="shared" ca="1" si="67"/>
        <v/>
      </c>
      <c r="BC276" s="40"/>
      <c r="BD276" s="40"/>
      <c r="BE276" s="40"/>
      <c r="BF276" s="40"/>
      <c r="BG276" s="40"/>
    </row>
    <row r="277" spans="1:59" ht="18" customHeight="1">
      <c r="A277" s="1095" t="str">
        <f ca="1"/>
        <v/>
      </c>
      <c r="B277" s="399" t="str">
        <f ca="1"/>
        <v/>
      </c>
      <c r="C277" s="400" t="str">
        <f ca="1"/>
        <v/>
      </c>
      <c r="D277" s="400" t="str">
        <f ca="1"/>
        <v/>
      </c>
      <c r="E277" s="401" t="str">
        <f t="shared" ca="1" si="55"/>
        <v/>
      </c>
      <c r="N277" s="392" t="str">
        <f t="shared" ca="1" si="56"/>
        <v/>
      </c>
      <c r="O277" s="393" t="str">
        <f t="shared" ca="1" si="57"/>
        <v/>
      </c>
      <c r="P277" s="393" t="str">
        <f t="shared" ca="1" si="68"/>
        <v/>
      </c>
      <c r="Q277" s="393" t="str">
        <f t="shared" ca="1" si="58"/>
        <v/>
      </c>
      <c r="R277" s="394" t="str">
        <f t="shared" ca="1" si="69"/>
        <v/>
      </c>
      <c r="S277" s="395" t="str">
        <f t="shared" ca="1" si="59"/>
        <v/>
      </c>
      <c r="U277" s="392" t="str">
        <f t="shared" ca="1" si="60"/>
        <v/>
      </c>
      <c r="V277" s="393" t="str">
        <f t="shared" ca="1" si="61"/>
        <v/>
      </c>
      <c r="W277" s="394" t="str">
        <f t="shared" ca="1" si="62"/>
        <v/>
      </c>
      <c r="X277" s="392" t="str">
        <f t="shared" ca="1" si="63"/>
        <v/>
      </c>
      <c r="Y277" s="395" t="str">
        <f t="shared" ca="1" si="70"/>
        <v/>
      </c>
      <c r="Z277" s="1097"/>
      <c r="AA277" s="1108"/>
      <c r="AB277" s="1108"/>
      <c r="AC277" s="1108"/>
      <c r="AE277" s="1139" t="str">
        <f t="shared" ca="1" si="64"/>
        <v/>
      </c>
      <c r="AF277" s="393" t="str">
        <f t="shared" ca="1" si="52"/>
        <v/>
      </c>
      <c r="AG277" s="393" t="str">
        <f t="shared" ca="1" si="71"/>
        <v/>
      </c>
      <c r="AH277" s="393" t="str">
        <f t="shared" ca="1" si="65"/>
        <v/>
      </c>
      <c r="AI277" s="1143" t="str">
        <f t="shared" ca="1" si="53"/>
        <v/>
      </c>
      <c r="AJ277" s="395" t="str">
        <f t="shared" ca="1" si="66"/>
        <v/>
      </c>
      <c r="AK277" s="1144" t="str">
        <f t="shared" ca="1" si="72"/>
        <v/>
      </c>
      <c r="AL277" s="1143" t="str">
        <f t="shared" ca="1" si="67"/>
        <v/>
      </c>
      <c r="BC277" s="40"/>
      <c r="BD277" s="40"/>
      <c r="BE277" s="40"/>
      <c r="BF277" s="40"/>
      <c r="BG277" s="40"/>
    </row>
    <row r="278" spans="1:59" ht="18" customHeight="1">
      <c r="A278" s="1095" t="str">
        <f ca="1"/>
        <v/>
      </c>
      <c r="B278" s="399" t="str">
        <f ca="1"/>
        <v/>
      </c>
      <c r="C278" s="400" t="str">
        <f ca="1"/>
        <v/>
      </c>
      <c r="D278" s="400" t="str">
        <f ca="1"/>
        <v/>
      </c>
      <c r="E278" s="401" t="str">
        <f t="shared" ca="1" si="55"/>
        <v/>
      </c>
      <c r="N278" s="392" t="str">
        <f t="shared" ca="1" si="56"/>
        <v/>
      </c>
      <c r="O278" s="393" t="str">
        <f t="shared" ca="1" si="57"/>
        <v/>
      </c>
      <c r="P278" s="393" t="str">
        <f t="shared" ca="1" si="68"/>
        <v/>
      </c>
      <c r="Q278" s="393" t="str">
        <f t="shared" ca="1" si="58"/>
        <v/>
      </c>
      <c r="R278" s="394" t="str">
        <f t="shared" ca="1" si="69"/>
        <v/>
      </c>
      <c r="S278" s="395" t="str">
        <f t="shared" ca="1" si="59"/>
        <v/>
      </c>
      <c r="U278" s="392" t="str">
        <f t="shared" ca="1" si="60"/>
        <v/>
      </c>
      <c r="V278" s="393" t="str">
        <f t="shared" ca="1" si="61"/>
        <v/>
      </c>
      <c r="W278" s="394" t="str">
        <f t="shared" ca="1" si="62"/>
        <v/>
      </c>
      <c r="X278" s="392" t="str">
        <f t="shared" ca="1" si="63"/>
        <v/>
      </c>
      <c r="Y278" s="395" t="str">
        <f t="shared" ca="1" si="70"/>
        <v/>
      </c>
      <c r="Z278" s="1097"/>
      <c r="AA278" s="1108"/>
      <c r="AB278" s="1108"/>
      <c r="AC278" s="1108"/>
      <c r="AE278" s="1139" t="str">
        <f t="shared" ca="1" si="64"/>
        <v/>
      </c>
      <c r="AF278" s="393" t="str">
        <f t="shared" ca="1" si="52"/>
        <v/>
      </c>
      <c r="AG278" s="393" t="str">
        <f t="shared" ca="1" si="71"/>
        <v/>
      </c>
      <c r="AH278" s="393" t="str">
        <f t="shared" ca="1" si="65"/>
        <v/>
      </c>
      <c r="AI278" s="1143" t="str">
        <f t="shared" ca="1" si="53"/>
        <v/>
      </c>
      <c r="AJ278" s="395" t="str">
        <f t="shared" ca="1" si="66"/>
        <v/>
      </c>
      <c r="AK278" s="1144" t="str">
        <f t="shared" ca="1" si="72"/>
        <v/>
      </c>
      <c r="AL278" s="1143" t="str">
        <f t="shared" ca="1" si="67"/>
        <v/>
      </c>
      <c r="BC278" s="40"/>
      <c r="BD278" s="40"/>
      <c r="BE278" s="40"/>
      <c r="BF278" s="40"/>
      <c r="BG278" s="40"/>
    </row>
    <row r="279" spans="1:59" ht="18" customHeight="1">
      <c r="A279" s="1095" t="str">
        <f ca="1"/>
        <v/>
      </c>
      <c r="B279" s="399" t="str">
        <f ca="1"/>
        <v/>
      </c>
      <c r="C279" s="400" t="str">
        <f ca="1"/>
        <v/>
      </c>
      <c r="D279" s="400" t="str">
        <f ca="1"/>
        <v/>
      </c>
      <c r="E279" s="401" t="str">
        <f t="shared" ca="1" si="55"/>
        <v/>
      </c>
      <c r="N279" s="392" t="str">
        <f t="shared" ca="1" si="56"/>
        <v/>
      </c>
      <c r="O279" s="393" t="str">
        <f t="shared" ca="1" si="57"/>
        <v/>
      </c>
      <c r="P279" s="393" t="str">
        <f t="shared" ca="1" si="68"/>
        <v/>
      </c>
      <c r="Q279" s="393" t="str">
        <f t="shared" ca="1" si="58"/>
        <v/>
      </c>
      <c r="R279" s="394" t="str">
        <f t="shared" ca="1" si="69"/>
        <v/>
      </c>
      <c r="S279" s="395" t="str">
        <f t="shared" ca="1" si="59"/>
        <v/>
      </c>
      <c r="U279" s="392" t="str">
        <f t="shared" ca="1" si="60"/>
        <v/>
      </c>
      <c r="V279" s="393" t="str">
        <f t="shared" ca="1" si="61"/>
        <v/>
      </c>
      <c r="W279" s="394" t="str">
        <f t="shared" ca="1" si="62"/>
        <v/>
      </c>
      <c r="X279" s="392" t="str">
        <f t="shared" ca="1" si="63"/>
        <v/>
      </c>
      <c r="Y279" s="395" t="str">
        <f t="shared" ca="1" si="70"/>
        <v/>
      </c>
      <c r="Z279" s="1097"/>
      <c r="AA279" s="1108"/>
      <c r="AB279" s="1108"/>
      <c r="AC279" s="1108"/>
      <c r="AE279" s="1139" t="str">
        <f t="shared" ca="1" si="64"/>
        <v/>
      </c>
      <c r="AF279" s="393" t="str">
        <f t="shared" ca="1" si="52"/>
        <v/>
      </c>
      <c r="AG279" s="393" t="str">
        <f t="shared" ca="1" si="71"/>
        <v/>
      </c>
      <c r="AH279" s="393" t="str">
        <f t="shared" ca="1" si="65"/>
        <v/>
      </c>
      <c r="AI279" s="1143" t="str">
        <f t="shared" ca="1" si="53"/>
        <v/>
      </c>
      <c r="AJ279" s="395" t="str">
        <f t="shared" ca="1" si="66"/>
        <v/>
      </c>
      <c r="AK279" s="1144" t="str">
        <f t="shared" ca="1" si="72"/>
        <v/>
      </c>
      <c r="AL279" s="1143" t="str">
        <f t="shared" ca="1" si="67"/>
        <v/>
      </c>
      <c r="BC279" s="40"/>
      <c r="BD279" s="40"/>
      <c r="BE279" s="40"/>
      <c r="BF279" s="40"/>
      <c r="BG279" s="40"/>
    </row>
    <row r="280" spans="1:59" ht="18" customHeight="1">
      <c r="A280" s="1095" t="str">
        <f ca="1"/>
        <v/>
      </c>
      <c r="B280" s="399" t="str">
        <f ca="1"/>
        <v/>
      </c>
      <c r="C280" s="400" t="str">
        <f ca="1"/>
        <v/>
      </c>
      <c r="D280" s="400" t="str">
        <f ca="1"/>
        <v/>
      </c>
      <c r="E280" s="401" t="str">
        <f t="shared" ca="1" si="55"/>
        <v/>
      </c>
      <c r="N280" s="392" t="str">
        <f t="shared" ca="1" si="56"/>
        <v/>
      </c>
      <c r="O280" s="393" t="str">
        <f t="shared" ca="1" si="57"/>
        <v/>
      </c>
      <c r="P280" s="393" t="str">
        <f t="shared" ca="1" si="68"/>
        <v/>
      </c>
      <c r="Q280" s="393" t="str">
        <f t="shared" ca="1" si="58"/>
        <v/>
      </c>
      <c r="R280" s="394" t="str">
        <f t="shared" ca="1" si="69"/>
        <v/>
      </c>
      <c r="S280" s="395" t="str">
        <f t="shared" ca="1" si="59"/>
        <v/>
      </c>
      <c r="U280" s="392" t="str">
        <f t="shared" ca="1" si="60"/>
        <v/>
      </c>
      <c r="V280" s="393" t="str">
        <f t="shared" ca="1" si="61"/>
        <v/>
      </c>
      <c r="W280" s="394" t="str">
        <f t="shared" ca="1" si="62"/>
        <v/>
      </c>
      <c r="X280" s="392" t="str">
        <f t="shared" ca="1" si="63"/>
        <v/>
      </c>
      <c r="Y280" s="395" t="str">
        <f t="shared" ca="1" si="70"/>
        <v/>
      </c>
      <c r="Z280" s="1097"/>
      <c r="AA280" s="1108"/>
      <c r="AB280" s="1108"/>
      <c r="AC280" s="1108"/>
      <c r="AE280" s="1139" t="str">
        <f t="shared" ca="1" si="64"/>
        <v/>
      </c>
      <c r="AF280" s="393" t="str">
        <f t="shared" ca="1" si="52"/>
        <v/>
      </c>
      <c r="AG280" s="393" t="str">
        <f t="shared" ca="1" si="71"/>
        <v/>
      </c>
      <c r="AH280" s="393" t="str">
        <f t="shared" ca="1" si="65"/>
        <v/>
      </c>
      <c r="AI280" s="1143" t="str">
        <f t="shared" ca="1" si="53"/>
        <v/>
      </c>
      <c r="AJ280" s="395" t="str">
        <f t="shared" ca="1" si="66"/>
        <v/>
      </c>
      <c r="AK280" s="1144" t="str">
        <f t="shared" ca="1" si="72"/>
        <v/>
      </c>
      <c r="AL280" s="1143" t="str">
        <f t="shared" ca="1" si="67"/>
        <v/>
      </c>
      <c r="BC280" s="40"/>
      <c r="BD280" s="40"/>
      <c r="BE280" s="40"/>
      <c r="BF280" s="40"/>
      <c r="BG280" s="40"/>
    </row>
    <row r="281" spans="1:59" ht="18" customHeight="1">
      <c r="A281" s="1095" t="str">
        <f ca="1"/>
        <v/>
      </c>
      <c r="B281" s="399" t="str">
        <f ca="1"/>
        <v/>
      </c>
      <c r="C281" s="400" t="str">
        <f ca="1"/>
        <v/>
      </c>
      <c r="D281" s="400" t="str">
        <f ca="1"/>
        <v/>
      </c>
      <c r="E281" s="401" t="str">
        <f t="shared" ca="1" si="55"/>
        <v/>
      </c>
      <c r="N281" s="392" t="str">
        <f t="shared" ca="1" si="56"/>
        <v/>
      </c>
      <c r="O281" s="393" t="str">
        <f t="shared" ca="1" si="57"/>
        <v/>
      </c>
      <c r="P281" s="393" t="str">
        <f t="shared" ca="1" si="68"/>
        <v/>
      </c>
      <c r="Q281" s="393" t="str">
        <f t="shared" ca="1" si="58"/>
        <v/>
      </c>
      <c r="R281" s="394" t="str">
        <f t="shared" ca="1" si="69"/>
        <v/>
      </c>
      <c r="S281" s="395" t="str">
        <f t="shared" ca="1" si="59"/>
        <v/>
      </c>
      <c r="U281" s="392" t="str">
        <f t="shared" ca="1" si="60"/>
        <v/>
      </c>
      <c r="V281" s="393" t="str">
        <f t="shared" ca="1" si="61"/>
        <v/>
      </c>
      <c r="W281" s="394" t="str">
        <f t="shared" ca="1" si="62"/>
        <v/>
      </c>
      <c r="X281" s="392" t="str">
        <f t="shared" ca="1" si="63"/>
        <v/>
      </c>
      <c r="Y281" s="395" t="str">
        <f t="shared" ca="1" si="70"/>
        <v/>
      </c>
      <c r="Z281" s="1097"/>
      <c r="AA281" s="1108"/>
      <c r="AB281" s="1108"/>
      <c r="AC281" s="1108"/>
      <c r="AE281" s="1139" t="str">
        <f t="shared" ca="1" si="64"/>
        <v/>
      </c>
      <c r="AF281" s="393" t="str">
        <f t="shared" ca="1" si="52"/>
        <v/>
      </c>
      <c r="AG281" s="393" t="str">
        <f t="shared" ca="1" si="71"/>
        <v/>
      </c>
      <c r="AH281" s="393" t="str">
        <f t="shared" ca="1" si="65"/>
        <v/>
      </c>
      <c r="AI281" s="1143" t="str">
        <f t="shared" ca="1" si="53"/>
        <v/>
      </c>
      <c r="AJ281" s="395" t="str">
        <f t="shared" ca="1" si="66"/>
        <v/>
      </c>
      <c r="AK281" s="1144" t="str">
        <f t="shared" ca="1" si="72"/>
        <v/>
      </c>
      <c r="AL281" s="1143" t="str">
        <f t="shared" ca="1" si="67"/>
        <v/>
      </c>
      <c r="BC281" s="40"/>
      <c r="BD281" s="40"/>
      <c r="BE281" s="40"/>
      <c r="BF281" s="40"/>
      <c r="BG281" s="40"/>
    </row>
    <row r="282" spans="1:59" ht="18" customHeight="1">
      <c r="A282" s="1095" t="str">
        <f ca="1"/>
        <v/>
      </c>
      <c r="B282" s="399" t="str">
        <f ca="1"/>
        <v/>
      </c>
      <c r="C282" s="400" t="str">
        <f ca="1"/>
        <v/>
      </c>
      <c r="D282" s="400" t="str">
        <f ca="1"/>
        <v/>
      </c>
      <c r="E282" s="401" t="str">
        <f t="shared" ca="1" si="55"/>
        <v/>
      </c>
      <c r="N282" s="392" t="str">
        <f t="shared" ca="1" si="56"/>
        <v/>
      </c>
      <c r="O282" s="393" t="str">
        <f t="shared" ca="1" si="57"/>
        <v/>
      </c>
      <c r="P282" s="393" t="str">
        <f t="shared" ca="1" si="68"/>
        <v/>
      </c>
      <c r="Q282" s="393" t="str">
        <f t="shared" ca="1" si="58"/>
        <v/>
      </c>
      <c r="R282" s="394" t="str">
        <f t="shared" ca="1" si="69"/>
        <v/>
      </c>
      <c r="S282" s="395" t="str">
        <f t="shared" ca="1" si="59"/>
        <v/>
      </c>
      <c r="U282" s="392" t="str">
        <f t="shared" ca="1" si="60"/>
        <v/>
      </c>
      <c r="V282" s="393" t="str">
        <f t="shared" ca="1" si="61"/>
        <v/>
      </c>
      <c r="W282" s="394" t="str">
        <f t="shared" ca="1" si="62"/>
        <v/>
      </c>
      <c r="X282" s="392" t="str">
        <f t="shared" ca="1" si="63"/>
        <v/>
      </c>
      <c r="Y282" s="395" t="str">
        <f t="shared" ca="1" si="70"/>
        <v/>
      </c>
      <c r="Z282" s="1097"/>
      <c r="AA282" s="1108"/>
      <c r="AB282" s="1108"/>
      <c r="AC282" s="1108"/>
      <c r="AE282" s="1139" t="str">
        <f t="shared" ca="1" si="64"/>
        <v/>
      </c>
      <c r="AF282" s="393" t="str">
        <f t="shared" ca="1" si="52"/>
        <v/>
      </c>
      <c r="AG282" s="393" t="str">
        <f t="shared" ca="1" si="71"/>
        <v/>
      </c>
      <c r="AH282" s="393" t="str">
        <f t="shared" ca="1" si="65"/>
        <v/>
      </c>
      <c r="AI282" s="1143" t="str">
        <f t="shared" ca="1" si="53"/>
        <v/>
      </c>
      <c r="AJ282" s="395" t="str">
        <f t="shared" ca="1" si="66"/>
        <v/>
      </c>
      <c r="AK282" s="1144" t="str">
        <f t="shared" ca="1" si="72"/>
        <v/>
      </c>
      <c r="AL282" s="1143" t="str">
        <f t="shared" ca="1" si="67"/>
        <v/>
      </c>
      <c r="BC282" s="40"/>
      <c r="BD282" s="40"/>
      <c r="BE282" s="40"/>
      <c r="BF282" s="40"/>
      <c r="BG282" s="40"/>
    </row>
    <row r="283" spans="1:59" ht="18" customHeight="1">
      <c r="A283" s="1095" t="str">
        <f ca="1"/>
        <v/>
      </c>
      <c r="B283" s="399" t="str">
        <f ca="1"/>
        <v/>
      </c>
      <c r="C283" s="400" t="str">
        <f ca="1"/>
        <v/>
      </c>
      <c r="D283" s="400" t="str">
        <f ca="1"/>
        <v/>
      </c>
      <c r="E283" s="401" t="str">
        <f t="shared" ca="1" si="55"/>
        <v/>
      </c>
      <c r="N283" s="392" t="str">
        <f t="shared" ca="1" si="56"/>
        <v/>
      </c>
      <c r="O283" s="393" t="str">
        <f t="shared" ca="1" si="57"/>
        <v/>
      </c>
      <c r="P283" s="393" t="str">
        <f t="shared" ca="1" si="68"/>
        <v/>
      </c>
      <c r="Q283" s="393" t="str">
        <f t="shared" ca="1" si="58"/>
        <v/>
      </c>
      <c r="R283" s="394" t="str">
        <f t="shared" ca="1" si="69"/>
        <v/>
      </c>
      <c r="S283" s="395" t="str">
        <f t="shared" ca="1" si="59"/>
        <v/>
      </c>
      <c r="U283" s="392" t="str">
        <f t="shared" ca="1" si="60"/>
        <v/>
      </c>
      <c r="V283" s="393" t="str">
        <f t="shared" ca="1" si="61"/>
        <v/>
      </c>
      <c r="W283" s="394" t="str">
        <f t="shared" ca="1" si="62"/>
        <v/>
      </c>
      <c r="X283" s="392" t="str">
        <f t="shared" ca="1" si="63"/>
        <v/>
      </c>
      <c r="Y283" s="395" t="str">
        <f t="shared" ca="1" si="70"/>
        <v/>
      </c>
      <c r="Z283" s="1097"/>
      <c r="AA283" s="1108"/>
      <c r="AB283" s="1108"/>
      <c r="AC283" s="1108"/>
      <c r="AE283" s="1139" t="str">
        <f t="shared" ca="1" si="64"/>
        <v/>
      </c>
      <c r="AF283" s="393" t="str">
        <f t="shared" ca="1" si="52"/>
        <v/>
      </c>
      <c r="AG283" s="393" t="str">
        <f t="shared" ca="1" si="71"/>
        <v/>
      </c>
      <c r="AH283" s="393" t="str">
        <f t="shared" ca="1" si="65"/>
        <v/>
      </c>
      <c r="AI283" s="1143" t="str">
        <f t="shared" ca="1" si="53"/>
        <v/>
      </c>
      <c r="AJ283" s="395" t="str">
        <f t="shared" ca="1" si="66"/>
        <v/>
      </c>
      <c r="AK283" s="1144" t="str">
        <f t="shared" ca="1" si="72"/>
        <v/>
      </c>
      <c r="AL283" s="1143" t="str">
        <f t="shared" ca="1" si="67"/>
        <v/>
      </c>
      <c r="BC283" s="40"/>
      <c r="BD283" s="40"/>
      <c r="BE283" s="40"/>
      <c r="BF283" s="40"/>
      <c r="BG283" s="40"/>
    </row>
    <row r="284" spans="1:59" ht="18" customHeight="1">
      <c r="A284" s="1095" t="str">
        <f ca="1"/>
        <v/>
      </c>
      <c r="B284" s="399" t="str">
        <f ca="1"/>
        <v/>
      </c>
      <c r="C284" s="400" t="str">
        <f ca="1"/>
        <v/>
      </c>
      <c r="D284" s="400" t="str">
        <f ca="1"/>
        <v/>
      </c>
      <c r="E284" s="401" t="str">
        <f t="shared" ca="1" si="55"/>
        <v/>
      </c>
      <c r="N284" s="392" t="str">
        <f t="shared" ca="1" si="56"/>
        <v/>
      </c>
      <c r="O284" s="393" t="str">
        <f t="shared" ca="1" si="57"/>
        <v/>
      </c>
      <c r="P284" s="393" t="str">
        <f t="shared" ca="1" si="68"/>
        <v/>
      </c>
      <c r="Q284" s="393" t="str">
        <f t="shared" ca="1" si="58"/>
        <v/>
      </c>
      <c r="R284" s="394" t="str">
        <f t="shared" ca="1" si="69"/>
        <v/>
      </c>
      <c r="S284" s="395" t="str">
        <f t="shared" ca="1" si="59"/>
        <v/>
      </c>
      <c r="U284" s="392" t="str">
        <f t="shared" ca="1" si="60"/>
        <v/>
      </c>
      <c r="V284" s="393" t="str">
        <f t="shared" ca="1" si="61"/>
        <v/>
      </c>
      <c r="W284" s="394" t="str">
        <f t="shared" ca="1" si="62"/>
        <v/>
      </c>
      <c r="X284" s="392" t="str">
        <f t="shared" ca="1" si="63"/>
        <v/>
      </c>
      <c r="Y284" s="395" t="str">
        <f t="shared" ca="1" si="70"/>
        <v/>
      </c>
      <c r="Z284" s="1097"/>
      <c r="AA284" s="1108"/>
      <c r="AB284" s="1108"/>
      <c r="AC284" s="1108"/>
      <c r="AE284" s="1139" t="str">
        <f t="shared" ca="1" si="64"/>
        <v/>
      </c>
      <c r="AF284" s="393" t="str">
        <f t="shared" ca="1" si="52"/>
        <v/>
      </c>
      <c r="AG284" s="393" t="str">
        <f t="shared" ca="1" si="71"/>
        <v/>
      </c>
      <c r="AH284" s="393" t="str">
        <f t="shared" ca="1" si="65"/>
        <v/>
      </c>
      <c r="AI284" s="1143" t="str">
        <f t="shared" ca="1" si="53"/>
        <v/>
      </c>
      <c r="AJ284" s="395" t="str">
        <f t="shared" ca="1" si="66"/>
        <v/>
      </c>
      <c r="AK284" s="1144" t="str">
        <f t="shared" ca="1" si="72"/>
        <v/>
      </c>
      <c r="AL284" s="1143" t="str">
        <f t="shared" ca="1" si="67"/>
        <v/>
      </c>
      <c r="BC284" s="40"/>
      <c r="BD284" s="40"/>
      <c r="BE284" s="40"/>
      <c r="BF284" s="40"/>
      <c r="BG284" s="40"/>
    </row>
    <row r="285" spans="1:59" ht="18" customHeight="1">
      <c r="A285" s="1095" t="str">
        <f ca="1"/>
        <v/>
      </c>
      <c r="B285" s="399" t="str">
        <f ca="1"/>
        <v/>
      </c>
      <c r="C285" s="400" t="str">
        <f ca="1"/>
        <v/>
      </c>
      <c r="D285" s="400" t="str">
        <f ca="1"/>
        <v/>
      </c>
      <c r="E285" s="401" t="str">
        <f t="shared" ca="1" si="55"/>
        <v/>
      </c>
      <c r="N285" s="392" t="str">
        <f t="shared" ca="1" si="56"/>
        <v/>
      </c>
      <c r="O285" s="393" t="str">
        <f t="shared" ca="1" si="57"/>
        <v/>
      </c>
      <c r="P285" s="393" t="str">
        <f t="shared" ca="1" si="68"/>
        <v/>
      </c>
      <c r="Q285" s="393" t="str">
        <f t="shared" ca="1" si="58"/>
        <v/>
      </c>
      <c r="R285" s="394" t="str">
        <f t="shared" ca="1" si="69"/>
        <v/>
      </c>
      <c r="S285" s="395" t="str">
        <f t="shared" ca="1" si="59"/>
        <v/>
      </c>
      <c r="U285" s="392" t="str">
        <f t="shared" ca="1" si="60"/>
        <v/>
      </c>
      <c r="V285" s="393" t="str">
        <f t="shared" ca="1" si="61"/>
        <v/>
      </c>
      <c r="W285" s="394" t="str">
        <f t="shared" ca="1" si="62"/>
        <v/>
      </c>
      <c r="X285" s="392" t="str">
        <f t="shared" ca="1" si="63"/>
        <v/>
      </c>
      <c r="Y285" s="395" t="str">
        <f t="shared" ca="1" si="70"/>
        <v/>
      </c>
      <c r="Z285" s="1097"/>
      <c r="AA285" s="1108"/>
      <c r="AB285" s="1108"/>
      <c r="AC285" s="1108"/>
      <c r="AE285" s="1139" t="str">
        <f t="shared" ca="1" si="64"/>
        <v/>
      </c>
      <c r="AF285" s="393" t="str">
        <f t="shared" ca="1" si="52"/>
        <v/>
      </c>
      <c r="AG285" s="393" t="str">
        <f t="shared" ca="1" si="71"/>
        <v/>
      </c>
      <c r="AH285" s="393" t="str">
        <f t="shared" ca="1" si="65"/>
        <v/>
      </c>
      <c r="AI285" s="1143" t="str">
        <f t="shared" ca="1" si="53"/>
        <v/>
      </c>
      <c r="AJ285" s="395" t="str">
        <f t="shared" ca="1" si="66"/>
        <v/>
      </c>
      <c r="AK285" s="1144" t="str">
        <f t="shared" ca="1" si="72"/>
        <v/>
      </c>
      <c r="AL285" s="1143" t="str">
        <f t="shared" ca="1" si="67"/>
        <v/>
      </c>
      <c r="BC285" s="40"/>
      <c r="BD285" s="40"/>
      <c r="BE285" s="40"/>
      <c r="BF285" s="40"/>
      <c r="BG285" s="40"/>
    </row>
    <row r="286" spans="1:59" ht="18" customHeight="1">
      <c r="A286" s="1095" t="str">
        <f ca="1"/>
        <v/>
      </c>
      <c r="B286" s="399" t="str">
        <f ca="1"/>
        <v/>
      </c>
      <c r="C286" s="400" t="str">
        <f ca="1"/>
        <v/>
      </c>
      <c r="D286" s="400" t="str">
        <f ca="1"/>
        <v/>
      </c>
      <c r="E286" s="401" t="str">
        <f t="shared" ca="1" si="55"/>
        <v/>
      </c>
      <c r="N286" s="392" t="str">
        <f t="shared" ca="1" si="56"/>
        <v/>
      </c>
      <c r="O286" s="393" t="str">
        <f t="shared" ca="1" si="57"/>
        <v/>
      </c>
      <c r="P286" s="393" t="str">
        <f t="shared" ca="1" si="68"/>
        <v/>
      </c>
      <c r="Q286" s="393" t="str">
        <f t="shared" ca="1" si="58"/>
        <v/>
      </c>
      <c r="R286" s="394" t="str">
        <f t="shared" ca="1" si="69"/>
        <v/>
      </c>
      <c r="S286" s="395" t="str">
        <f t="shared" ca="1" si="59"/>
        <v/>
      </c>
      <c r="U286" s="392" t="str">
        <f t="shared" ca="1" si="60"/>
        <v/>
      </c>
      <c r="V286" s="393" t="str">
        <f t="shared" ca="1" si="61"/>
        <v/>
      </c>
      <c r="W286" s="394" t="str">
        <f t="shared" ca="1" si="62"/>
        <v/>
      </c>
      <c r="X286" s="392" t="str">
        <f t="shared" ca="1" si="63"/>
        <v/>
      </c>
      <c r="Y286" s="395" t="str">
        <f t="shared" ca="1" si="70"/>
        <v/>
      </c>
      <c r="Z286" s="1097"/>
      <c r="AA286" s="1108"/>
      <c r="AB286" s="1108"/>
      <c r="AC286" s="1108"/>
      <c r="AE286" s="1139" t="str">
        <f t="shared" ca="1" si="64"/>
        <v/>
      </c>
      <c r="AF286" s="393" t="str">
        <f t="shared" ca="1" si="52"/>
        <v/>
      </c>
      <c r="AG286" s="393" t="str">
        <f t="shared" ca="1" si="71"/>
        <v/>
      </c>
      <c r="AH286" s="393" t="str">
        <f t="shared" ca="1" si="65"/>
        <v/>
      </c>
      <c r="AI286" s="1143" t="str">
        <f t="shared" ca="1" si="53"/>
        <v/>
      </c>
      <c r="AJ286" s="395" t="str">
        <f t="shared" ca="1" si="66"/>
        <v/>
      </c>
      <c r="AK286" s="1144" t="str">
        <f t="shared" ca="1" si="72"/>
        <v/>
      </c>
      <c r="AL286" s="1143" t="str">
        <f t="shared" ca="1" si="67"/>
        <v/>
      </c>
      <c r="BC286" s="40"/>
      <c r="BD286" s="40"/>
      <c r="BE286" s="40"/>
      <c r="BF286" s="40"/>
      <c r="BG286" s="40"/>
    </row>
    <row r="287" spans="1:59" ht="18" customHeight="1">
      <c r="A287" s="1095" t="str">
        <f ca="1"/>
        <v/>
      </c>
      <c r="B287" s="399" t="str">
        <f ca="1"/>
        <v/>
      </c>
      <c r="C287" s="400" t="str">
        <f ca="1"/>
        <v/>
      </c>
      <c r="D287" s="400" t="str">
        <f ca="1"/>
        <v/>
      </c>
      <c r="E287" s="401" t="str">
        <f t="shared" ca="1" si="55"/>
        <v/>
      </c>
      <c r="N287" s="392" t="str">
        <f t="shared" ca="1" si="56"/>
        <v/>
      </c>
      <c r="O287" s="393" t="str">
        <f t="shared" ca="1" si="57"/>
        <v/>
      </c>
      <c r="P287" s="393" t="str">
        <f t="shared" ca="1" si="68"/>
        <v/>
      </c>
      <c r="Q287" s="393" t="str">
        <f t="shared" ca="1" si="58"/>
        <v/>
      </c>
      <c r="R287" s="394" t="str">
        <f t="shared" ca="1" si="69"/>
        <v/>
      </c>
      <c r="S287" s="395" t="str">
        <f t="shared" ca="1" si="59"/>
        <v/>
      </c>
      <c r="U287" s="392" t="str">
        <f t="shared" ca="1" si="60"/>
        <v/>
      </c>
      <c r="V287" s="393" t="str">
        <f t="shared" ca="1" si="61"/>
        <v/>
      </c>
      <c r="W287" s="394" t="str">
        <f t="shared" ca="1" si="62"/>
        <v/>
      </c>
      <c r="X287" s="392" t="str">
        <f t="shared" ca="1" si="63"/>
        <v/>
      </c>
      <c r="Y287" s="395" t="str">
        <f t="shared" ca="1" si="70"/>
        <v/>
      </c>
      <c r="Z287" s="1097"/>
      <c r="AA287" s="1108"/>
      <c r="AB287" s="1108"/>
      <c r="AC287" s="1108"/>
      <c r="AE287" s="1139" t="str">
        <f t="shared" ca="1" si="64"/>
        <v/>
      </c>
      <c r="AF287" s="393" t="str">
        <f t="shared" ca="1" si="52"/>
        <v/>
      </c>
      <c r="AG287" s="393" t="str">
        <f t="shared" ca="1" si="71"/>
        <v/>
      </c>
      <c r="AH287" s="393" t="str">
        <f t="shared" ca="1" si="65"/>
        <v/>
      </c>
      <c r="AI287" s="1143" t="str">
        <f t="shared" ca="1" si="53"/>
        <v/>
      </c>
      <c r="AJ287" s="395" t="str">
        <f t="shared" ca="1" si="66"/>
        <v/>
      </c>
      <c r="AK287" s="1144" t="str">
        <f t="shared" ca="1" si="72"/>
        <v/>
      </c>
      <c r="AL287" s="1143" t="str">
        <f t="shared" ca="1" si="67"/>
        <v/>
      </c>
      <c r="BC287" s="40"/>
      <c r="BD287" s="40"/>
      <c r="BE287" s="40"/>
      <c r="BF287" s="40"/>
      <c r="BG287" s="40"/>
    </row>
    <row r="288" spans="1:59" ht="18" customHeight="1">
      <c r="A288" s="1095" t="str">
        <f ca="1"/>
        <v/>
      </c>
      <c r="B288" s="399" t="str">
        <f ca="1"/>
        <v/>
      </c>
      <c r="C288" s="400" t="str">
        <f ca="1"/>
        <v/>
      </c>
      <c r="D288" s="400" t="str">
        <f ca="1"/>
        <v/>
      </c>
      <c r="E288" s="401" t="str">
        <f t="shared" ca="1" si="55"/>
        <v/>
      </c>
      <c r="N288" s="392" t="str">
        <f t="shared" ca="1" si="56"/>
        <v/>
      </c>
      <c r="O288" s="393" t="str">
        <f t="shared" ca="1" si="57"/>
        <v/>
      </c>
      <c r="P288" s="393" t="str">
        <f t="shared" ca="1" si="68"/>
        <v/>
      </c>
      <c r="Q288" s="393" t="str">
        <f t="shared" ca="1" si="58"/>
        <v/>
      </c>
      <c r="R288" s="394" t="str">
        <f t="shared" ca="1" si="69"/>
        <v/>
      </c>
      <c r="S288" s="395" t="str">
        <f t="shared" ca="1" si="59"/>
        <v/>
      </c>
      <c r="U288" s="392" t="str">
        <f t="shared" ca="1" si="60"/>
        <v/>
      </c>
      <c r="V288" s="393" t="str">
        <f t="shared" ca="1" si="61"/>
        <v/>
      </c>
      <c r="W288" s="394" t="str">
        <f t="shared" ca="1" si="62"/>
        <v/>
      </c>
      <c r="X288" s="392" t="str">
        <f t="shared" ca="1" si="63"/>
        <v/>
      </c>
      <c r="Y288" s="395" t="str">
        <f t="shared" ca="1" si="70"/>
        <v/>
      </c>
      <c r="Z288" s="1097"/>
      <c r="AA288" s="1108"/>
      <c r="AB288" s="1108"/>
      <c r="AC288" s="1108"/>
      <c r="AE288" s="1139" t="str">
        <f t="shared" ca="1" si="64"/>
        <v/>
      </c>
      <c r="AF288" s="393" t="str">
        <f t="shared" ca="1" si="52"/>
        <v/>
      </c>
      <c r="AG288" s="393" t="str">
        <f t="shared" ca="1" si="71"/>
        <v/>
      </c>
      <c r="AH288" s="393" t="str">
        <f t="shared" ca="1" si="65"/>
        <v/>
      </c>
      <c r="AI288" s="1143" t="str">
        <f t="shared" ca="1" si="53"/>
        <v/>
      </c>
      <c r="AJ288" s="395" t="str">
        <f t="shared" ca="1" si="66"/>
        <v/>
      </c>
      <c r="AK288" s="1144" t="str">
        <f t="shared" ca="1" si="72"/>
        <v/>
      </c>
      <c r="AL288" s="1143" t="str">
        <f t="shared" ca="1" si="67"/>
        <v/>
      </c>
      <c r="BC288" s="40"/>
      <c r="BD288" s="40"/>
      <c r="BE288" s="40"/>
      <c r="BF288" s="40"/>
      <c r="BG288" s="40"/>
    </row>
    <row r="289" spans="1:38" ht="18" customHeight="1">
      <c r="A289" s="1095" t="str">
        <f ca="1"/>
        <v/>
      </c>
      <c r="B289" s="399" t="str">
        <f ca="1"/>
        <v/>
      </c>
      <c r="C289" s="400" t="str">
        <f ca="1"/>
        <v/>
      </c>
      <c r="D289" s="400" t="str">
        <f ca="1"/>
        <v/>
      </c>
      <c r="E289" s="401" t="str">
        <f t="shared" ca="1" si="55"/>
        <v/>
      </c>
      <c r="N289" s="392" t="str">
        <f t="shared" ca="1" si="56"/>
        <v/>
      </c>
      <c r="O289" s="393" t="str">
        <f t="shared" ca="1" si="57"/>
        <v/>
      </c>
      <c r="P289" s="393" t="str">
        <f t="shared" ca="1" si="68"/>
        <v/>
      </c>
      <c r="Q289" s="393" t="str">
        <f t="shared" ca="1" si="58"/>
        <v/>
      </c>
      <c r="R289" s="394" t="str">
        <f t="shared" ca="1" si="69"/>
        <v/>
      </c>
      <c r="S289" s="395" t="str">
        <f t="shared" ca="1" si="59"/>
        <v/>
      </c>
      <c r="U289" s="392" t="str">
        <f t="shared" ca="1" si="60"/>
        <v/>
      </c>
      <c r="V289" s="393" t="str">
        <f t="shared" ca="1" si="61"/>
        <v/>
      </c>
      <c r="W289" s="394" t="str">
        <f t="shared" ca="1" si="62"/>
        <v/>
      </c>
      <c r="X289" s="392" t="str">
        <f t="shared" ca="1" si="63"/>
        <v/>
      </c>
      <c r="Y289" s="395" t="str">
        <f t="shared" ca="1" si="70"/>
        <v/>
      </c>
      <c r="Z289" s="1097"/>
      <c r="AA289" s="1108"/>
      <c r="AB289" s="1108"/>
      <c r="AC289" s="1108"/>
      <c r="AE289" s="1139" t="str">
        <f t="shared" ca="1" si="64"/>
        <v/>
      </c>
      <c r="AF289" s="393" t="str">
        <f t="shared" ca="1" si="52"/>
        <v/>
      </c>
      <c r="AG289" s="393" t="str">
        <f t="shared" ca="1" si="71"/>
        <v/>
      </c>
      <c r="AH289" s="393" t="str">
        <f t="shared" ca="1" si="65"/>
        <v/>
      </c>
      <c r="AI289" s="1143" t="str">
        <f t="shared" ca="1" si="53"/>
        <v/>
      </c>
      <c r="AJ289" s="395" t="str">
        <f t="shared" ca="1" si="66"/>
        <v/>
      </c>
      <c r="AK289" s="1144" t="str">
        <f t="shared" ca="1" si="72"/>
        <v/>
      </c>
      <c r="AL289" s="1143" t="str">
        <f t="shared" ca="1" si="67"/>
        <v/>
      </c>
    </row>
    <row r="290" spans="1:38" ht="18" customHeight="1">
      <c r="A290" s="1095" t="str">
        <f ca="1"/>
        <v/>
      </c>
      <c r="B290" s="399" t="str">
        <f ca="1"/>
        <v/>
      </c>
      <c r="C290" s="400" t="str">
        <f ca="1"/>
        <v/>
      </c>
      <c r="D290" s="400" t="str">
        <f ca="1"/>
        <v/>
      </c>
      <c r="E290" s="401" t="str">
        <f t="shared" ca="1" si="55"/>
        <v/>
      </c>
      <c r="N290" s="392" t="str">
        <f t="shared" ca="1" si="56"/>
        <v/>
      </c>
      <c r="O290" s="393" t="str">
        <f t="shared" ca="1" si="57"/>
        <v/>
      </c>
      <c r="P290" s="393" t="str">
        <f t="shared" ca="1" si="68"/>
        <v/>
      </c>
      <c r="Q290" s="393" t="str">
        <f t="shared" ca="1" si="58"/>
        <v/>
      </c>
      <c r="R290" s="394" t="str">
        <f t="shared" ca="1" si="69"/>
        <v/>
      </c>
      <c r="S290" s="395" t="str">
        <f t="shared" ca="1" si="59"/>
        <v/>
      </c>
      <c r="U290" s="392" t="str">
        <f t="shared" ca="1" si="60"/>
        <v/>
      </c>
      <c r="V290" s="393" t="str">
        <f t="shared" ca="1" si="61"/>
        <v/>
      </c>
      <c r="W290" s="394" t="str">
        <f t="shared" ca="1" si="62"/>
        <v/>
      </c>
      <c r="X290" s="392" t="str">
        <f t="shared" ca="1" si="63"/>
        <v/>
      </c>
      <c r="Y290" s="395" t="str">
        <f t="shared" ca="1" si="70"/>
        <v/>
      </c>
      <c r="Z290" s="1097"/>
      <c r="AA290" s="1108"/>
      <c r="AB290" s="1108"/>
      <c r="AC290" s="1108"/>
      <c r="AE290" s="1139" t="str">
        <f t="shared" ca="1" si="64"/>
        <v/>
      </c>
      <c r="AF290" s="393" t="str">
        <f t="shared" ca="1" si="52"/>
        <v/>
      </c>
      <c r="AG290" s="393" t="str">
        <f t="shared" ca="1" si="71"/>
        <v/>
      </c>
      <c r="AH290" s="393" t="str">
        <f t="shared" ca="1" si="65"/>
        <v/>
      </c>
      <c r="AI290" s="1143" t="str">
        <f t="shared" ca="1" si="53"/>
        <v/>
      </c>
      <c r="AJ290" s="395" t="str">
        <f t="shared" ca="1" si="66"/>
        <v/>
      </c>
      <c r="AK290" s="1144" t="str">
        <f t="shared" ca="1" si="72"/>
        <v/>
      </c>
      <c r="AL290" s="1143" t="str">
        <f t="shared" ca="1" si="67"/>
        <v/>
      </c>
    </row>
    <row r="291" spans="1:38" ht="18" customHeight="1">
      <c r="A291" s="1095" t="str">
        <f ca="1"/>
        <v/>
      </c>
      <c r="B291" s="399" t="str">
        <f ca="1"/>
        <v/>
      </c>
      <c r="C291" s="400" t="str">
        <f ca="1"/>
        <v/>
      </c>
      <c r="D291" s="400" t="str">
        <f ca="1"/>
        <v/>
      </c>
      <c r="E291" s="401" t="str">
        <f t="shared" ca="1" si="55"/>
        <v/>
      </c>
      <c r="N291" s="392" t="str">
        <f t="shared" ca="1" si="56"/>
        <v/>
      </c>
      <c r="O291" s="393" t="str">
        <f t="shared" ca="1" si="57"/>
        <v/>
      </c>
      <c r="P291" s="393" t="str">
        <f t="shared" ca="1" si="68"/>
        <v/>
      </c>
      <c r="Q291" s="393" t="str">
        <f t="shared" ca="1" si="58"/>
        <v/>
      </c>
      <c r="R291" s="394" t="str">
        <f t="shared" ca="1" si="69"/>
        <v/>
      </c>
      <c r="S291" s="395" t="str">
        <f t="shared" ca="1" si="59"/>
        <v/>
      </c>
      <c r="U291" s="392" t="str">
        <f t="shared" ca="1" si="60"/>
        <v/>
      </c>
      <c r="V291" s="393" t="str">
        <f t="shared" ca="1" si="61"/>
        <v/>
      </c>
      <c r="W291" s="394" t="str">
        <f t="shared" ca="1" si="62"/>
        <v/>
      </c>
      <c r="X291" s="392" t="str">
        <f t="shared" ca="1" si="63"/>
        <v/>
      </c>
      <c r="Y291" s="395" t="str">
        <f t="shared" ca="1" si="70"/>
        <v/>
      </c>
      <c r="Z291" s="1097"/>
      <c r="AA291" s="1108"/>
      <c r="AB291" s="1108"/>
      <c r="AC291" s="1108"/>
      <c r="AE291" s="1139" t="str">
        <f t="shared" ca="1" si="64"/>
        <v/>
      </c>
      <c r="AF291" s="393" t="str">
        <f t="shared" ca="1" si="52"/>
        <v/>
      </c>
      <c r="AG291" s="393" t="str">
        <f t="shared" ca="1" si="71"/>
        <v/>
      </c>
      <c r="AH291" s="393" t="str">
        <f t="shared" ca="1" si="65"/>
        <v/>
      </c>
      <c r="AI291" s="1143" t="str">
        <f t="shared" ca="1" si="53"/>
        <v/>
      </c>
      <c r="AJ291" s="395" t="str">
        <f t="shared" ca="1" si="66"/>
        <v/>
      </c>
      <c r="AK291" s="1144" t="str">
        <f t="shared" ca="1" si="72"/>
        <v/>
      </c>
      <c r="AL291" s="1143" t="str">
        <f t="shared" ca="1" si="67"/>
        <v/>
      </c>
    </row>
    <row r="292" spans="1:38" ht="18" customHeight="1">
      <c r="A292" s="1095" t="str">
        <f ca="1"/>
        <v/>
      </c>
      <c r="B292" s="399" t="str">
        <f ca="1"/>
        <v/>
      </c>
      <c r="C292" s="400" t="str">
        <f ca="1"/>
        <v/>
      </c>
      <c r="D292" s="400" t="str">
        <f ca="1"/>
        <v/>
      </c>
      <c r="E292" s="401" t="str">
        <f t="shared" ca="1" si="55"/>
        <v/>
      </c>
      <c r="N292" s="392" t="str">
        <f t="shared" ca="1" si="56"/>
        <v/>
      </c>
      <c r="O292" s="393" t="str">
        <f t="shared" ca="1" si="57"/>
        <v/>
      </c>
      <c r="P292" s="393" t="str">
        <f t="shared" ca="1" si="68"/>
        <v/>
      </c>
      <c r="Q292" s="393" t="str">
        <f t="shared" ca="1" si="58"/>
        <v/>
      </c>
      <c r="R292" s="394" t="str">
        <f t="shared" ca="1" si="69"/>
        <v/>
      </c>
      <c r="S292" s="395" t="str">
        <f t="shared" ca="1" si="59"/>
        <v/>
      </c>
      <c r="U292" s="392" t="str">
        <f t="shared" ca="1" si="60"/>
        <v/>
      </c>
      <c r="V292" s="393" t="str">
        <f t="shared" ca="1" si="61"/>
        <v/>
      </c>
      <c r="W292" s="394" t="str">
        <f t="shared" ca="1" si="62"/>
        <v/>
      </c>
      <c r="X292" s="392" t="str">
        <f t="shared" ca="1" si="63"/>
        <v/>
      </c>
      <c r="Y292" s="395" t="str">
        <f t="shared" ca="1" si="70"/>
        <v/>
      </c>
      <c r="Z292" s="1097"/>
      <c r="AA292" s="1108"/>
      <c r="AB292" s="1108"/>
      <c r="AC292" s="1108"/>
      <c r="AE292" s="1139" t="str">
        <f t="shared" ca="1" si="64"/>
        <v/>
      </c>
      <c r="AF292" s="393" t="str">
        <f t="shared" ca="1" si="52"/>
        <v/>
      </c>
      <c r="AG292" s="393" t="str">
        <f t="shared" ca="1" si="71"/>
        <v/>
      </c>
      <c r="AH292" s="393" t="str">
        <f t="shared" ca="1" si="65"/>
        <v/>
      </c>
      <c r="AI292" s="1143" t="str">
        <f t="shared" ca="1" si="53"/>
        <v/>
      </c>
      <c r="AJ292" s="395" t="str">
        <f t="shared" ca="1" si="66"/>
        <v/>
      </c>
      <c r="AK292" s="1144" t="str">
        <f t="shared" ca="1" si="72"/>
        <v/>
      </c>
      <c r="AL292" s="1143" t="str">
        <f t="shared" ca="1" si="67"/>
        <v/>
      </c>
    </row>
    <row r="293" spans="1:38" ht="18" customHeight="1">
      <c r="A293" s="1095" t="str">
        <f ca="1"/>
        <v/>
      </c>
      <c r="B293" s="399" t="str">
        <f ca="1"/>
        <v/>
      </c>
      <c r="C293" s="400" t="str">
        <f ca="1"/>
        <v/>
      </c>
      <c r="D293" s="400" t="str">
        <f ca="1"/>
        <v/>
      </c>
      <c r="E293" s="401" t="str">
        <f t="shared" ca="1" si="55"/>
        <v/>
      </c>
      <c r="N293" s="392" t="str">
        <f t="shared" ca="1" si="56"/>
        <v/>
      </c>
      <c r="O293" s="393" t="str">
        <f t="shared" ca="1" si="57"/>
        <v/>
      </c>
      <c r="P293" s="393" t="str">
        <f t="shared" ca="1" si="68"/>
        <v/>
      </c>
      <c r="Q293" s="393" t="str">
        <f t="shared" ca="1" si="58"/>
        <v/>
      </c>
      <c r="R293" s="394" t="str">
        <f t="shared" ca="1" si="69"/>
        <v/>
      </c>
      <c r="S293" s="395" t="str">
        <f t="shared" ca="1" si="59"/>
        <v/>
      </c>
      <c r="U293" s="392" t="str">
        <f t="shared" ca="1" si="60"/>
        <v/>
      </c>
      <c r="V293" s="393" t="str">
        <f t="shared" ca="1" si="61"/>
        <v/>
      </c>
      <c r="W293" s="394" t="str">
        <f t="shared" ca="1" si="62"/>
        <v/>
      </c>
      <c r="X293" s="392" t="str">
        <f t="shared" ca="1" si="63"/>
        <v/>
      </c>
      <c r="Y293" s="395" t="str">
        <f t="shared" ca="1" si="70"/>
        <v/>
      </c>
      <c r="Z293" s="1097"/>
      <c r="AA293" s="1108"/>
      <c r="AB293" s="1108"/>
      <c r="AC293" s="1108"/>
      <c r="AE293" s="1139" t="str">
        <f t="shared" ca="1" si="64"/>
        <v/>
      </c>
      <c r="AF293" s="393" t="str">
        <f t="shared" ca="1" si="52"/>
        <v/>
      </c>
      <c r="AG293" s="393" t="str">
        <f t="shared" ca="1" si="71"/>
        <v/>
      </c>
      <c r="AH293" s="393" t="str">
        <f t="shared" ca="1" si="65"/>
        <v/>
      </c>
      <c r="AI293" s="1143" t="str">
        <f t="shared" ca="1" si="53"/>
        <v/>
      </c>
      <c r="AJ293" s="395" t="str">
        <f t="shared" ca="1" si="66"/>
        <v/>
      </c>
      <c r="AK293" s="1144" t="str">
        <f t="shared" ca="1" si="72"/>
        <v/>
      </c>
      <c r="AL293" s="1143" t="str">
        <f t="shared" ca="1" si="67"/>
        <v/>
      </c>
    </row>
    <row r="294" spans="1:38" ht="18" customHeight="1">
      <c r="A294" s="1095" t="str">
        <f ca="1"/>
        <v/>
      </c>
      <c r="B294" s="399" t="str">
        <f ca="1"/>
        <v/>
      </c>
      <c r="C294" s="400" t="str">
        <f ca="1"/>
        <v/>
      </c>
      <c r="D294" s="400" t="str">
        <f ca="1"/>
        <v/>
      </c>
      <c r="E294" s="401" t="str">
        <f t="shared" ca="1" si="55"/>
        <v/>
      </c>
      <c r="N294" s="392" t="str">
        <f t="shared" ca="1" si="56"/>
        <v/>
      </c>
      <c r="O294" s="393" t="str">
        <f t="shared" ca="1" si="57"/>
        <v/>
      </c>
      <c r="P294" s="393" t="str">
        <f t="shared" ca="1" si="68"/>
        <v/>
      </c>
      <c r="Q294" s="393" t="str">
        <f t="shared" ca="1" si="58"/>
        <v/>
      </c>
      <c r="R294" s="394" t="str">
        <f t="shared" ca="1" si="69"/>
        <v/>
      </c>
      <c r="S294" s="395" t="str">
        <f t="shared" ca="1" si="59"/>
        <v/>
      </c>
      <c r="U294" s="392" t="str">
        <f t="shared" ca="1" si="60"/>
        <v/>
      </c>
      <c r="V294" s="393" t="str">
        <f ca="1">IF(U294="","",MIN($C$26*$C$32*E294,$C$34)*U294/MAX($U$233:$U$306)/2^0.5)</f>
        <v/>
      </c>
      <c r="W294" s="394" t="str">
        <f t="shared" ca="1" si="62"/>
        <v/>
      </c>
      <c r="X294" s="392" t="str">
        <f t="shared" ca="1" si="63"/>
        <v/>
      </c>
      <c r="Y294" s="395" t="str">
        <f t="shared" ca="1" si="70"/>
        <v/>
      </c>
      <c r="Z294" s="1097"/>
      <c r="AA294" s="1108"/>
      <c r="AB294" s="1108"/>
      <c r="AC294" s="1108"/>
      <c r="AE294" s="1139" t="str">
        <f t="shared" ca="1" si="64"/>
        <v/>
      </c>
      <c r="AF294" s="393" t="str">
        <f t="shared" ref="AF294:AF309" ca="1" si="73">IF(AE294="","",IF($C$17="unten",C294,IF($C$17="oben",$C$14-C294)))</f>
        <v/>
      </c>
      <c r="AG294" s="393" t="str">
        <f t="shared" ca="1" si="71"/>
        <v/>
      </c>
      <c r="AH294" s="393" t="str">
        <f t="shared" ca="1" si="65"/>
        <v/>
      </c>
      <c r="AI294" s="1143" t="str">
        <f t="shared" ca="1" si="53"/>
        <v/>
      </c>
      <c r="AJ294" s="395" t="str">
        <f t="shared" ca="1" si="66"/>
        <v/>
      </c>
      <c r="AK294" s="1144" t="str">
        <f t="shared" ca="1" si="72"/>
        <v/>
      </c>
      <c r="AL294" s="1143" t="str">
        <f t="shared" ca="1" si="67"/>
        <v/>
      </c>
    </row>
    <row r="295" spans="1:38" ht="18" customHeight="1">
      <c r="A295" s="1095" t="str">
        <f ca="1"/>
        <v/>
      </c>
      <c r="B295" s="399" t="str">
        <f ca="1"/>
        <v/>
      </c>
      <c r="C295" s="400" t="str">
        <f ca="1"/>
        <v/>
      </c>
      <c r="D295" s="400" t="str">
        <f ca="1"/>
        <v/>
      </c>
      <c r="E295" s="401" t="str">
        <f t="shared" ca="1" si="55"/>
        <v/>
      </c>
      <c r="N295" s="392" t="str">
        <f t="shared" ca="1" si="56"/>
        <v/>
      </c>
      <c r="O295" s="393" t="str">
        <f t="shared" ca="1" si="57"/>
        <v/>
      </c>
      <c r="P295" s="393" t="str">
        <f t="shared" ca="1" si="68"/>
        <v/>
      </c>
      <c r="Q295" s="393" t="str">
        <f t="shared" ca="1" si="58"/>
        <v/>
      </c>
      <c r="R295" s="394" t="str">
        <f t="shared" ca="1" si="69"/>
        <v/>
      </c>
      <c r="S295" s="395" t="str">
        <f t="shared" ca="1" si="59"/>
        <v/>
      </c>
      <c r="U295" s="392" t="str">
        <f t="shared" ca="1" si="60"/>
        <v/>
      </c>
      <c r="V295" s="393" t="str">
        <f t="shared" ca="1" si="61"/>
        <v/>
      </c>
      <c r="W295" s="394" t="str">
        <f t="shared" ca="1" si="62"/>
        <v/>
      </c>
      <c r="X295" s="392" t="str">
        <f t="shared" ca="1" si="63"/>
        <v/>
      </c>
      <c r="Y295" s="395" t="str">
        <f t="shared" ca="1" si="70"/>
        <v/>
      </c>
      <c r="Z295" s="1097"/>
      <c r="AA295" s="1108"/>
      <c r="AB295" s="1108"/>
      <c r="AC295" s="1108"/>
      <c r="AE295" s="1139" t="str">
        <f t="shared" ca="1" si="64"/>
        <v/>
      </c>
      <c r="AF295" s="393" t="str">
        <f t="shared" ca="1" si="73"/>
        <v/>
      </c>
      <c r="AG295" s="393" t="str">
        <f t="shared" ca="1" si="71"/>
        <v/>
      </c>
      <c r="AH295" s="393" t="str">
        <f t="shared" ca="1" si="65"/>
        <v/>
      </c>
      <c r="AI295" s="1143" t="str">
        <f t="shared" ref="AI295:AI306" ca="1" si="74">IF(AF295="","",AL295*$AK$313/AK295)</f>
        <v/>
      </c>
      <c r="AJ295" s="395" t="str">
        <f t="shared" ca="1" si="66"/>
        <v/>
      </c>
      <c r="AK295" s="1144" t="str">
        <f t="shared" ca="1" si="72"/>
        <v/>
      </c>
      <c r="AL295" s="1143" t="str">
        <f t="shared" ca="1" si="67"/>
        <v/>
      </c>
    </row>
    <row r="296" spans="1:38" ht="18" customHeight="1">
      <c r="A296" s="1095" t="str">
        <f ca="1"/>
        <v/>
      </c>
      <c r="B296" s="399" t="str">
        <f ca="1"/>
        <v/>
      </c>
      <c r="C296" s="400" t="str">
        <f ca="1"/>
        <v/>
      </c>
      <c r="D296" s="400" t="str">
        <f ca="1"/>
        <v/>
      </c>
      <c r="E296" s="401" t="str">
        <f t="shared" ca="1" si="55"/>
        <v/>
      </c>
      <c r="N296" s="392" t="str">
        <f t="shared" ca="1" si="56"/>
        <v/>
      </c>
      <c r="O296" s="393" t="str">
        <f t="shared" ca="1" si="57"/>
        <v/>
      </c>
      <c r="P296" s="393" t="str">
        <f t="shared" ca="1" si="68"/>
        <v/>
      </c>
      <c r="Q296" s="393" t="str">
        <f t="shared" ca="1" si="58"/>
        <v/>
      </c>
      <c r="R296" s="394" t="str">
        <f t="shared" ca="1" si="69"/>
        <v/>
      </c>
      <c r="S296" s="395" t="str">
        <f t="shared" ca="1" si="59"/>
        <v/>
      </c>
      <c r="U296" s="392" t="str">
        <f t="shared" ca="1" si="60"/>
        <v/>
      </c>
      <c r="V296" s="393" t="str">
        <f t="shared" ca="1" si="61"/>
        <v/>
      </c>
      <c r="W296" s="394" t="str">
        <f t="shared" ca="1" si="62"/>
        <v/>
      </c>
      <c r="X296" s="392" t="str">
        <f t="shared" ca="1" si="63"/>
        <v/>
      </c>
      <c r="Y296" s="395" t="str">
        <f t="shared" ca="1" si="70"/>
        <v/>
      </c>
      <c r="Z296" s="1097"/>
      <c r="AA296" s="1108"/>
      <c r="AB296" s="1108"/>
      <c r="AC296" s="1108"/>
      <c r="AE296" s="1139" t="str">
        <f t="shared" ca="1" si="64"/>
        <v/>
      </c>
      <c r="AF296" s="393" t="str">
        <f t="shared" ca="1" si="73"/>
        <v/>
      </c>
      <c r="AG296" s="393" t="str">
        <f t="shared" ca="1" si="71"/>
        <v/>
      </c>
      <c r="AH296" s="393" t="str">
        <f t="shared" ca="1" si="65"/>
        <v/>
      </c>
      <c r="AI296" s="1143" t="str">
        <f t="shared" ca="1" si="74"/>
        <v/>
      </c>
      <c r="AJ296" s="395" t="str">
        <f t="shared" ca="1" si="66"/>
        <v/>
      </c>
      <c r="AK296" s="1144" t="str">
        <f t="shared" ca="1" si="72"/>
        <v/>
      </c>
      <c r="AL296" s="1143" t="str">
        <f t="shared" ca="1" si="67"/>
        <v/>
      </c>
    </row>
    <row r="297" spans="1:38" ht="18" customHeight="1">
      <c r="A297" s="1095" t="str">
        <f ca="1"/>
        <v/>
      </c>
      <c r="B297" s="399" t="str">
        <f ca="1"/>
        <v/>
      </c>
      <c r="C297" s="400" t="str">
        <f ca="1"/>
        <v/>
      </c>
      <c r="D297" s="400" t="str">
        <f ca="1"/>
        <v/>
      </c>
      <c r="E297" s="401" t="str">
        <f t="shared" ref="E297:E306" ca="1" si="75">IF(A297=90,$C$45-D297,IF(A297=45,$C$44-D297,""))</f>
        <v/>
      </c>
      <c r="N297" s="392" t="str">
        <f t="shared" ref="N297:N306" ca="1" si="76">IF(OR(A297=90),IF($C$17="unten",IF($U$16&gt;C297,"",C297-$U$16),IF($C$17="oben",IF($U$16&gt;$C$14-C297,"",$C$14-C297-$U$16))),"")</f>
        <v/>
      </c>
      <c r="O297" s="393" t="str">
        <f t="shared" ref="O297:O306" ca="1" si="77">IF(N297="","",IF($C$17="unten",C297,IF($C$17="oben",$C$14-C297)))</f>
        <v/>
      </c>
      <c r="P297" s="393" t="str">
        <f t="shared" ref="P297:P306" ca="1" si="78">IF(N297="","",MIN($C$43*$C$49*E297,$C$51)*N297/MAX($N$233:$N$306))</f>
        <v/>
      </c>
      <c r="Q297" s="393" t="str">
        <f t="shared" ref="Q297:Q306" ca="1" si="79">IF(N297="","",$C$43*$C$49*E297/$C$50)</f>
        <v/>
      </c>
      <c r="R297" s="394" t="str">
        <f t="shared" ca="1" si="69"/>
        <v/>
      </c>
      <c r="S297" s="395" t="str">
        <f t="shared" ref="S297:S306" ca="1" si="80">IF(N297="","",P297*$R$316/E297)</f>
        <v/>
      </c>
      <c r="U297" s="392" t="str">
        <f t="shared" ref="U297:U306" ca="1" si="81">IF(OR(A297=45),IF($C$17="unten",IF($U$16&gt;C297,"",C297-$U$16),IF($C$17="oben",IF($U$16&gt;$C$14-C297,"",$C$14-C297-$U$16))),"")</f>
        <v/>
      </c>
      <c r="V297" s="393" t="str">
        <f t="shared" ref="V297:V306" ca="1" si="82">IF(U297="","",MIN($C$26*$C$32*E297,$C$34)*U297/MAX($U$233:$U$306)/2^0.5)</f>
        <v/>
      </c>
      <c r="W297" s="394" t="str">
        <f t="shared" ref="W297:W306" ca="1" si="83">IF(U297="","",$C$50*U297/MAX($U$233:$U$306)/2^0.5)</f>
        <v/>
      </c>
      <c r="X297" s="392" t="str">
        <f t="shared" ref="X297:X306" ca="1" si="84">IF(A297=45,IF($C$17="unten",ABS(C297-$U$16),IF($C$17="oben",ABS($C$14-C297-$U$16))),"")</f>
        <v/>
      </c>
      <c r="Y297" s="395" t="str">
        <f t="shared" ca="1" si="70"/>
        <v/>
      </c>
      <c r="Z297" s="1097"/>
      <c r="AA297" s="1108"/>
      <c r="AB297" s="1108"/>
      <c r="AC297" s="1108"/>
      <c r="AE297" s="1139" t="str">
        <f t="shared" ref="AE297:AE306" ca="1" si="85">IF(OR(A297=90),IF($C$17="unten",IF($AL$16&gt;=C297,"",C297-$AL$16),IF($C$17="oben",IF($AL$16&gt;=$C$14-C297,"",$C$14-C297-$AL$16))),"")</f>
        <v/>
      </c>
      <c r="AF297" s="393" t="str">
        <f t="shared" ca="1" si="73"/>
        <v/>
      </c>
      <c r="AG297" s="393" t="str">
        <f t="shared" ca="1" si="71"/>
        <v/>
      </c>
      <c r="AH297" s="393" t="str">
        <f t="shared" ref="AH297:AH306" ca="1" si="86">IF(AE297="","",$C$43*$C$49*E297/$C$50)</f>
        <v/>
      </c>
      <c r="AI297" s="1143" t="str">
        <f t="shared" ca="1" si="74"/>
        <v/>
      </c>
      <c r="AJ297" s="395" t="str">
        <f t="shared" ref="AJ297:AJ306" ca="1" si="87">IF(AE297="","",AG297*$AJ$316/E297)</f>
        <v/>
      </c>
      <c r="AK297" s="1144" t="str">
        <f t="shared" ca="1" si="72"/>
        <v/>
      </c>
      <c r="AL297" s="1143" t="str">
        <f t="shared" ref="AL297:AL306" ca="1" si="88">IF(AE297="","",$C$33*AE297/MAX($AE$233:$AE$306))</f>
        <v/>
      </c>
    </row>
    <row r="298" spans="1:38" ht="18" customHeight="1">
      <c r="A298" s="1095" t="str">
        <f ca="1"/>
        <v/>
      </c>
      <c r="B298" s="399" t="str">
        <f ca="1"/>
        <v/>
      </c>
      <c r="C298" s="400" t="str">
        <f ca="1"/>
        <v/>
      </c>
      <c r="D298" s="400" t="str">
        <f ca="1"/>
        <v/>
      </c>
      <c r="E298" s="401" t="str">
        <f t="shared" ca="1" si="75"/>
        <v/>
      </c>
      <c r="N298" s="392" t="str">
        <f t="shared" ca="1" si="76"/>
        <v/>
      </c>
      <c r="O298" s="393" t="str">
        <f t="shared" ca="1" si="77"/>
        <v/>
      </c>
      <c r="P298" s="393" t="str">
        <f t="shared" ca="1" si="78"/>
        <v/>
      </c>
      <c r="Q298" s="393" t="str">
        <f t="shared" ca="1" si="79"/>
        <v/>
      </c>
      <c r="R298" s="394" t="str">
        <f t="shared" ref="R298:R306" ca="1" si="89">IF(N298="","",P298/Q298)</f>
        <v/>
      </c>
      <c r="S298" s="395" t="str">
        <f t="shared" ca="1" si="80"/>
        <v/>
      </c>
      <c r="U298" s="392" t="str">
        <f t="shared" ca="1" si="81"/>
        <v/>
      </c>
      <c r="V298" s="393" t="str">
        <f t="shared" ca="1" si="82"/>
        <v/>
      </c>
      <c r="W298" s="394" t="str">
        <f t="shared" ca="1" si="83"/>
        <v/>
      </c>
      <c r="X298" s="392" t="str">
        <f t="shared" ca="1" si="84"/>
        <v/>
      </c>
      <c r="Y298" s="395" t="str">
        <f t="shared" ref="Y298:Y306" ca="1" si="90">IF(U298="","",(X298)^2)</f>
        <v/>
      </c>
      <c r="Z298" s="1097"/>
      <c r="AA298" s="1108"/>
      <c r="AB298" s="1108"/>
      <c r="AC298" s="1108"/>
      <c r="AE298" s="1139" t="str">
        <f t="shared" ca="1" si="85"/>
        <v/>
      </c>
      <c r="AF298" s="393" t="str">
        <f t="shared" ca="1" si="73"/>
        <v/>
      </c>
      <c r="AG298" s="393" t="str">
        <f t="shared" ca="1" si="71"/>
        <v/>
      </c>
      <c r="AH298" s="393" t="str">
        <f t="shared" ca="1" si="86"/>
        <v/>
      </c>
      <c r="AI298" s="1143" t="str">
        <f t="shared" ca="1" si="74"/>
        <v/>
      </c>
      <c r="AJ298" s="395" t="str">
        <f t="shared" ca="1" si="87"/>
        <v/>
      </c>
      <c r="AK298" s="1144" t="str">
        <f t="shared" ca="1" si="72"/>
        <v/>
      </c>
      <c r="AL298" s="1143" t="str">
        <f t="shared" ca="1" si="88"/>
        <v/>
      </c>
    </row>
    <row r="299" spans="1:38" ht="18" customHeight="1">
      <c r="A299" s="1095" t="str">
        <f ca="1"/>
        <v/>
      </c>
      <c r="B299" s="399" t="str">
        <f ca="1"/>
        <v/>
      </c>
      <c r="C299" s="400" t="str">
        <f ca="1"/>
        <v/>
      </c>
      <c r="D299" s="400" t="str">
        <f ca="1"/>
        <v/>
      </c>
      <c r="E299" s="401" t="str">
        <f t="shared" ca="1" si="75"/>
        <v/>
      </c>
      <c r="N299" s="392" t="str">
        <f t="shared" ca="1" si="76"/>
        <v/>
      </c>
      <c r="O299" s="393" t="str">
        <f t="shared" ca="1" si="77"/>
        <v/>
      </c>
      <c r="P299" s="393" t="str">
        <f t="shared" ca="1" si="78"/>
        <v/>
      </c>
      <c r="Q299" s="393" t="str">
        <f t="shared" ca="1" si="79"/>
        <v/>
      </c>
      <c r="R299" s="394" t="str">
        <f t="shared" ca="1" si="89"/>
        <v/>
      </c>
      <c r="S299" s="395" t="str">
        <f t="shared" ca="1" si="80"/>
        <v/>
      </c>
      <c r="U299" s="392" t="str">
        <f t="shared" ca="1" si="81"/>
        <v/>
      </c>
      <c r="V299" s="393" t="str">
        <f t="shared" ca="1" si="82"/>
        <v/>
      </c>
      <c r="W299" s="394" t="str">
        <f t="shared" ca="1" si="83"/>
        <v/>
      </c>
      <c r="X299" s="392" t="str">
        <f t="shared" ca="1" si="84"/>
        <v/>
      </c>
      <c r="Y299" s="395" t="str">
        <f t="shared" ca="1" si="90"/>
        <v/>
      </c>
      <c r="Z299" s="1097"/>
      <c r="AA299" s="1108"/>
      <c r="AB299" s="1108"/>
      <c r="AC299" s="1108"/>
      <c r="AE299" s="1139" t="str">
        <f t="shared" ca="1" si="85"/>
        <v/>
      </c>
      <c r="AF299" s="393" t="str">
        <f t="shared" ca="1" si="73"/>
        <v/>
      </c>
      <c r="AG299" s="393" t="str">
        <f t="shared" ref="AG299:AG306" ca="1" si="91">IF(AF299="","",AH299*AI299)</f>
        <v/>
      </c>
      <c r="AH299" s="393" t="str">
        <f t="shared" ca="1" si="86"/>
        <v/>
      </c>
      <c r="AI299" s="1143" t="str">
        <f t="shared" ca="1" si="74"/>
        <v/>
      </c>
      <c r="AJ299" s="395" t="str">
        <f t="shared" ca="1" si="87"/>
        <v/>
      </c>
      <c r="AK299" s="1144" t="str">
        <f t="shared" ref="AK299:AK309" ca="1" si="92">IF(AE299="","",AL299/AE299)</f>
        <v/>
      </c>
      <c r="AL299" s="1143" t="str">
        <f t="shared" ca="1" si="88"/>
        <v/>
      </c>
    </row>
    <row r="300" spans="1:38" ht="18" customHeight="1">
      <c r="A300" s="1095" t="str">
        <f ca="1"/>
        <v/>
      </c>
      <c r="B300" s="399" t="str">
        <f ca="1"/>
        <v/>
      </c>
      <c r="C300" s="400" t="str">
        <f ca="1"/>
        <v/>
      </c>
      <c r="D300" s="400" t="str">
        <f ca="1"/>
        <v/>
      </c>
      <c r="E300" s="401" t="str">
        <f t="shared" ca="1" si="75"/>
        <v/>
      </c>
      <c r="N300" s="392" t="str">
        <f t="shared" ca="1" si="76"/>
        <v/>
      </c>
      <c r="O300" s="393" t="str">
        <f t="shared" ca="1" si="77"/>
        <v/>
      </c>
      <c r="P300" s="393" t="str">
        <f t="shared" ca="1" si="78"/>
        <v/>
      </c>
      <c r="Q300" s="393" t="str">
        <f t="shared" ca="1" si="79"/>
        <v/>
      </c>
      <c r="R300" s="394" t="str">
        <f t="shared" ca="1" si="89"/>
        <v/>
      </c>
      <c r="S300" s="395" t="str">
        <f t="shared" ca="1" si="80"/>
        <v/>
      </c>
      <c r="U300" s="392" t="str">
        <f t="shared" ca="1" si="81"/>
        <v/>
      </c>
      <c r="V300" s="393" t="str">
        <f t="shared" ca="1" si="82"/>
        <v/>
      </c>
      <c r="W300" s="394" t="str">
        <f t="shared" ca="1" si="83"/>
        <v/>
      </c>
      <c r="X300" s="392" t="str">
        <f t="shared" ca="1" si="84"/>
        <v/>
      </c>
      <c r="Y300" s="395" t="str">
        <f t="shared" ca="1" si="90"/>
        <v/>
      </c>
      <c r="Z300" s="1097"/>
      <c r="AA300" s="1108"/>
      <c r="AB300" s="1108"/>
      <c r="AC300" s="1108"/>
      <c r="AE300" s="1139" t="str">
        <f t="shared" ca="1" si="85"/>
        <v/>
      </c>
      <c r="AF300" s="393" t="str">
        <f t="shared" ca="1" si="73"/>
        <v/>
      </c>
      <c r="AG300" s="393" t="str">
        <f t="shared" ca="1" si="91"/>
        <v/>
      </c>
      <c r="AH300" s="393" t="str">
        <f t="shared" ca="1" si="86"/>
        <v/>
      </c>
      <c r="AI300" s="1143" t="str">
        <f t="shared" ca="1" si="74"/>
        <v/>
      </c>
      <c r="AJ300" s="395" t="str">
        <f t="shared" ca="1" si="87"/>
        <v/>
      </c>
      <c r="AK300" s="1144" t="str">
        <f t="shared" ca="1" si="92"/>
        <v/>
      </c>
      <c r="AL300" s="1143" t="str">
        <f t="shared" ca="1" si="88"/>
        <v/>
      </c>
    </row>
    <row r="301" spans="1:38" ht="18" customHeight="1">
      <c r="A301" s="1095" t="str">
        <f ca="1"/>
        <v/>
      </c>
      <c r="B301" s="399" t="str">
        <f ca="1"/>
        <v/>
      </c>
      <c r="C301" s="400" t="str">
        <f ca="1"/>
        <v/>
      </c>
      <c r="D301" s="400" t="str">
        <f ca="1"/>
        <v/>
      </c>
      <c r="E301" s="401" t="str">
        <f t="shared" ca="1" si="75"/>
        <v/>
      </c>
      <c r="N301" s="392" t="str">
        <f t="shared" ca="1" si="76"/>
        <v/>
      </c>
      <c r="O301" s="393" t="str">
        <f t="shared" ca="1" si="77"/>
        <v/>
      </c>
      <c r="P301" s="393" t="str">
        <f t="shared" ca="1" si="78"/>
        <v/>
      </c>
      <c r="Q301" s="393" t="str">
        <f t="shared" ca="1" si="79"/>
        <v/>
      </c>
      <c r="R301" s="394" t="str">
        <f t="shared" ca="1" si="89"/>
        <v/>
      </c>
      <c r="S301" s="395" t="str">
        <f t="shared" ca="1" si="80"/>
        <v/>
      </c>
      <c r="U301" s="392" t="str">
        <f t="shared" ca="1" si="81"/>
        <v/>
      </c>
      <c r="V301" s="393" t="str">
        <f t="shared" ca="1" si="82"/>
        <v/>
      </c>
      <c r="W301" s="394" t="str">
        <f t="shared" ca="1" si="83"/>
        <v/>
      </c>
      <c r="X301" s="392" t="str">
        <f t="shared" ca="1" si="84"/>
        <v/>
      </c>
      <c r="Y301" s="395" t="str">
        <f t="shared" ca="1" si="90"/>
        <v/>
      </c>
      <c r="Z301" s="1097"/>
      <c r="AA301" s="1108"/>
      <c r="AB301" s="1108"/>
      <c r="AC301" s="1108"/>
      <c r="AE301" s="1139" t="str">
        <f t="shared" ca="1" si="85"/>
        <v/>
      </c>
      <c r="AF301" s="393" t="str">
        <f t="shared" ca="1" si="73"/>
        <v/>
      </c>
      <c r="AG301" s="393" t="str">
        <f t="shared" ca="1" si="91"/>
        <v/>
      </c>
      <c r="AH301" s="393" t="str">
        <f t="shared" ca="1" si="86"/>
        <v/>
      </c>
      <c r="AI301" s="1143" t="str">
        <f t="shared" ca="1" si="74"/>
        <v/>
      </c>
      <c r="AJ301" s="395" t="str">
        <f t="shared" ca="1" si="87"/>
        <v/>
      </c>
      <c r="AK301" s="1144" t="str">
        <f t="shared" ca="1" si="92"/>
        <v/>
      </c>
      <c r="AL301" s="1143" t="str">
        <f t="shared" ca="1" si="88"/>
        <v/>
      </c>
    </row>
    <row r="302" spans="1:38" ht="18" customHeight="1">
      <c r="A302" s="1095" t="str">
        <f ca="1"/>
        <v/>
      </c>
      <c r="B302" s="399" t="str">
        <f ca="1"/>
        <v/>
      </c>
      <c r="C302" s="400" t="str">
        <f ca="1"/>
        <v/>
      </c>
      <c r="D302" s="400" t="str">
        <f ca="1"/>
        <v/>
      </c>
      <c r="E302" s="401" t="str">
        <f t="shared" ca="1" si="75"/>
        <v/>
      </c>
      <c r="N302" s="392" t="str">
        <f t="shared" ca="1" si="76"/>
        <v/>
      </c>
      <c r="O302" s="393" t="str">
        <f t="shared" ca="1" si="77"/>
        <v/>
      </c>
      <c r="P302" s="393" t="str">
        <f t="shared" ca="1" si="78"/>
        <v/>
      </c>
      <c r="Q302" s="393" t="str">
        <f t="shared" ca="1" si="79"/>
        <v/>
      </c>
      <c r="R302" s="394" t="str">
        <f t="shared" ca="1" si="89"/>
        <v/>
      </c>
      <c r="S302" s="395" t="str">
        <f t="shared" ca="1" si="80"/>
        <v/>
      </c>
      <c r="U302" s="392" t="str">
        <f t="shared" ca="1" si="81"/>
        <v/>
      </c>
      <c r="V302" s="393" t="str">
        <f t="shared" ca="1" si="82"/>
        <v/>
      </c>
      <c r="W302" s="394" t="str">
        <f t="shared" ca="1" si="83"/>
        <v/>
      </c>
      <c r="X302" s="392" t="str">
        <f t="shared" ca="1" si="84"/>
        <v/>
      </c>
      <c r="Y302" s="395" t="str">
        <f t="shared" ca="1" si="90"/>
        <v/>
      </c>
      <c r="Z302" s="1097"/>
      <c r="AA302" s="1108"/>
      <c r="AB302" s="1108"/>
      <c r="AC302" s="1108"/>
      <c r="AE302" s="1139" t="str">
        <f t="shared" ca="1" si="85"/>
        <v/>
      </c>
      <c r="AF302" s="393" t="str">
        <f t="shared" ca="1" si="73"/>
        <v/>
      </c>
      <c r="AG302" s="393" t="str">
        <f t="shared" ca="1" si="91"/>
        <v/>
      </c>
      <c r="AH302" s="393" t="str">
        <f t="shared" ca="1" si="86"/>
        <v/>
      </c>
      <c r="AI302" s="1143" t="str">
        <f t="shared" ca="1" si="74"/>
        <v/>
      </c>
      <c r="AJ302" s="395" t="str">
        <f t="shared" ca="1" si="87"/>
        <v/>
      </c>
      <c r="AK302" s="1144" t="str">
        <f t="shared" ca="1" si="92"/>
        <v/>
      </c>
      <c r="AL302" s="1143" t="str">
        <f t="shared" ca="1" si="88"/>
        <v/>
      </c>
    </row>
    <row r="303" spans="1:38" ht="18" customHeight="1">
      <c r="A303" s="1095" t="str">
        <f ca="1"/>
        <v/>
      </c>
      <c r="B303" s="399" t="str">
        <f ca="1"/>
        <v/>
      </c>
      <c r="C303" s="400" t="str">
        <f ca="1"/>
        <v/>
      </c>
      <c r="D303" s="400" t="str">
        <f ca="1"/>
        <v/>
      </c>
      <c r="E303" s="401" t="str">
        <f t="shared" ca="1" si="75"/>
        <v/>
      </c>
      <c r="N303" s="392" t="str">
        <f t="shared" ca="1" si="76"/>
        <v/>
      </c>
      <c r="O303" s="393" t="str">
        <f t="shared" ca="1" si="77"/>
        <v/>
      </c>
      <c r="P303" s="393" t="str">
        <f t="shared" ca="1" si="78"/>
        <v/>
      </c>
      <c r="Q303" s="393" t="str">
        <f t="shared" ca="1" si="79"/>
        <v/>
      </c>
      <c r="R303" s="394" t="str">
        <f t="shared" ca="1" si="89"/>
        <v/>
      </c>
      <c r="S303" s="395" t="str">
        <f t="shared" ca="1" si="80"/>
        <v/>
      </c>
      <c r="U303" s="392" t="str">
        <f t="shared" ca="1" si="81"/>
        <v/>
      </c>
      <c r="V303" s="393" t="str">
        <f t="shared" ca="1" si="82"/>
        <v/>
      </c>
      <c r="W303" s="394" t="str">
        <f t="shared" ca="1" si="83"/>
        <v/>
      </c>
      <c r="X303" s="392" t="str">
        <f t="shared" ca="1" si="84"/>
        <v/>
      </c>
      <c r="Y303" s="395" t="str">
        <f t="shared" ca="1" si="90"/>
        <v/>
      </c>
      <c r="Z303" s="1097"/>
      <c r="AA303" s="1108"/>
      <c r="AB303" s="1108"/>
      <c r="AC303" s="1108"/>
      <c r="AE303" s="1139" t="str">
        <f t="shared" ca="1" si="85"/>
        <v/>
      </c>
      <c r="AF303" s="393" t="str">
        <f t="shared" ca="1" si="73"/>
        <v/>
      </c>
      <c r="AG303" s="393" t="str">
        <f t="shared" ca="1" si="91"/>
        <v/>
      </c>
      <c r="AH303" s="393" t="str">
        <f t="shared" ca="1" si="86"/>
        <v/>
      </c>
      <c r="AI303" s="1143" t="str">
        <f t="shared" ca="1" si="74"/>
        <v/>
      </c>
      <c r="AJ303" s="395" t="str">
        <f t="shared" ca="1" si="87"/>
        <v/>
      </c>
      <c r="AK303" s="1144" t="str">
        <f t="shared" ca="1" si="92"/>
        <v/>
      </c>
      <c r="AL303" s="1143" t="str">
        <f t="shared" ca="1" si="88"/>
        <v/>
      </c>
    </row>
    <row r="304" spans="1:38" ht="18" customHeight="1">
      <c r="A304" s="1095" t="str">
        <f ca="1"/>
        <v/>
      </c>
      <c r="B304" s="399" t="str">
        <f ca="1"/>
        <v/>
      </c>
      <c r="C304" s="400" t="str">
        <f ca="1"/>
        <v/>
      </c>
      <c r="D304" s="400" t="str">
        <f ca="1"/>
        <v/>
      </c>
      <c r="E304" s="401" t="str">
        <f t="shared" ca="1" si="75"/>
        <v/>
      </c>
      <c r="N304" s="392" t="str">
        <f t="shared" ca="1" si="76"/>
        <v/>
      </c>
      <c r="O304" s="393" t="str">
        <f t="shared" ca="1" si="77"/>
        <v/>
      </c>
      <c r="P304" s="393" t="str">
        <f t="shared" ca="1" si="78"/>
        <v/>
      </c>
      <c r="Q304" s="393" t="str">
        <f t="shared" ca="1" si="79"/>
        <v/>
      </c>
      <c r="R304" s="394" t="str">
        <f t="shared" ca="1" si="89"/>
        <v/>
      </c>
      <c r="S304" s="395" t="str">
        <f t="shared" ca="1" si="80"/>
        <v/>
      </c>
      <c r="U304" s="392" t="str">
        <f t="shared" ca="1" si="81"/>
        <v/>
      </c>
      <c r="V304" s="393" t="str">
        <f t="shared" ca="1" si="82"/>
        <v/>
      </c>
      <c r="W304" s="394" t="str">
        <f t="shared" ca="1" si="83"/>
        <v/>
      </c>
      <c r="X304" s="392" t="str">
        <f t="shared" ca="1" si="84"/>
        <v/>
      </c>
      <c r="Y304" s="395" t="str">
        <f t="shared" ca="1" si="90"/>
        <v/>
      </c>
      <c r="Z304" s="1097"/>
      <c r="AA304" s="1108"/>
      <c r="AB304" s="1108"/>
      <c r="AC304" s="1108"/>
      <c r="AE304" s="1139" t="str">
        <f t="shared" ca="1" si="85"/>
        <v/>
      </c>
      <c r="AF304" s="393" t="str">
        <f t="shared" ca="1" si="73"/>
        <v/>
      </c>
      <c r="AG304" s="393" t="str">
        <f t="shared" ca="1" si="91"/>
        <v/>
      </c>
      <c r="AH304" s="393" t="str">
        <f t="shared" ca="1" si="86"/>
        <v/>
      </c>
      <c r="AI304" s="1143" t="str">
        <f t="shared" ca="1" si="74"/>
        <v/>
      </c>
      <c r="AJ304" s="395" t="str">
        <f t="shared" ca="1" si="87"/>
        <v/>
      </c>
      <c r="AK304" s="1144" t="str">
        <f t="shared" ca="1" si="92"/>
        <v/>
      </c>
      <c r="AL304" s="1143" t="str">
        <f t="shared" ca="1" si="88"/>
        <v/>
      </c>
    </row>
    <row r="305" spans="1:51" ht="18" customHeight="1">
      <c r="A305" s="1095" t="str">
        <f ca="1"/>
        <v/>
      </c>
      <c r="B305" s="399" t="str">
        <f ca="1"/>
        <v/>
      </c>
      <c r="C305" s="400" t="str">
        <f ca="1"/>
        <v/>
      </c>
      <c r="D305" s="400" t="str">
        <f ca="1"/>
        <v/>
      </c>
      <c r="E305" s="401" t="str">
        <f t="shared" ca="1" si="75"/>
        <v/>
      </c>
      <c r="N305" s="392" t="str">
        <f t="shared" ca="1" si="76"/>
        <v/>
      </c>
      <c r="O305" s="393" t="str">
        <f t="shared" ca="1" si="77"/>
        <v/>
      </c>
      <c r="P305" s="393" t="str">
        <f t="shared" ca="1" si="78"/>
        <v/>
      </c>
      <c r="Q305" s="393" t="str">
        <f t="shared" ca="1" si="79"/>
        <v/>
      </c>
      <c r="R305" s="394" t="str">
        <f t="shared" ca="1" si="89"/>
        <v/>
      </c>
      <c r="S305" s="395" t="str">
        <f t="shared" ca="1" si="80"/>
        <v/>
      </c>
      <c r="U305" s="392" t="str">
        <f t="shared" ca="1" si="81"/>
        <v/>
      </c>
      <c r="V305" s="393" t="str">
        <f t="shared" ca="1" si="82"/>
        <v/>
      </c>
      <c r="W305" s="394" t="str">
        <f t="shared" ca="1" si="83"/>
        <v/>
      </c>
      <c r="X305" s="392" t="str">
        <f t="shared" ca="1" si="84"/>
        <v/>
      </c>
      <c r="Y305" s="395" t="str">
        <f t="shared" ca="1" si="90"/>
        <v/>
      </c>
      <c r="Z305" s="1097"/>
      <c r="AA305" s="1108"/>
      <c r="AB305" s="1108"/>
      <c r="AC305" s="1108"/>
      <c r="AE305" s="1139" t="str">
        <f t="shared" ca="1" si="85"/>
        <v/>
      </c>
      <c r="AF305" s="393" t="str">
        <f t="shared" ca="1" si="73"/>
        <v/>
      </c>
      <c r="AG305" s="393" t="str">
        <f t="shared" ca="1" si="91"/>
        <v/>
      </c>
      <c r="AH305" s="393" t="str">
        <f t="shared" ca="1" si="86"/>
        <v/>
      </c>
      <c r="AI305" s="1143" t="str">
        <f t="shared" ca="1" si="74"/>
        <v/>
      </c>
      <c r="AJ305" s="395" t="str">
        <f t="shared" ca="1" si="87"/>
        <v/>
      </c>
      <c r="AK305" s="1144" t="str">
        <f t="shared" ca="1" si="92"/>
        <v/>
      </c>
      <c r="AL305" s="1143" t="str">
        <f t="shared" ca="1" si="88"/>
        <v/>
      </c>
    </row>
    <row r="306" spans="1:51" ht="18" customHeight="1">
      <c r="A306" s="1095" t="str">
        <f ca="1"/>
        <v/>
      </c>
      <c r="B306" s="399" t="str">
        <f ca="1"/>
        <v/>
      </c>
      <c r="C306" s="400" t="str">
        <f ca="1"/>
        <v/>
      </c>
      <c r="D306" s="400" t="str">
        <f ca="1"/>
        <v/>
      </c>
      <c r="E306" s="401" t="str">
        <f t="shared" ca="1" si="75"/>
        <v/>
      </c>
      <c r="N306" s="396" t="str">
        <f t="shared" ca="1" si="76"/>
        <v/>
      </c>
      <c r="O306" s="397" t="str">
        <f t="shared" ca="1" si="77"/>
        <v/>
      </c>
      <c r="P306" s="397" t="str">
        <f t="shared" ca="1" si="78"/>
        <v/>
      </c>
      <c r="Q306" s="397" t="str">
        <f t="shared" ca="1" si="79"/>
        <v/>
      </c>
      <c r="R306" s="398" t="str">
        <f t="shared" ca="1" si="89"/>
        <v/>
      </c>
      <c r="S306" s="655" t="str">
        <f t="shared" ca="1" si="80"/>
        <v/>
      </c>
      <c r="U306" s="396" t="str">
        <f t="shared" ca="1" si="81"/>
        <v/>
      </c>
      <c r="V306" s="397" t="str">
        <f t="shared" ca="1" si="82"/>
        <v/>
      </c>
      <c r="W306" s="398" t="str">
        <f t="shared" ca="1" si="83"/>
        <v/>
      </c>
      <c r="X306" s="396" t="str">
        <f t="shared" ca="1" si="84"/>
        <v/>
      </c>
      <c r="Y306" s="1145" t="str">
        <f t="shared" ca="1" si="90"/>
        <v/>
      </c>
      <c r="Z306" s="1097"/>
      <c r="AA306" s="1108"/>
      <c r="AB306" s="1108"/>
      <c r="AC306" s="1108"/>
      <c r="AE306" s="1139" t="str">
        <f t="shared" ca="1" si="85"/>
        <v/>
      </c>
      <c r="AF306" s="397" t="str">
        <f t="shared" ca="1" si="73"/>
        <v/>
      </c>
      <c r="AG306" s="393" t="str">
        <f t="shared" ca="1" si="91"/>
        <v/>
      </c>
      <c r="AH306" s="393" t="str">
        <f t="shared" ca="1" si="86"/>
        <v/>
      </c>
      <c r="AI306" s="1146" t="str">
        <f t="shared" ca="1" si="74"/>
        <v/>
      </c>
      <c r="AJ306" s="395" t="str">
        <f t="shared" ca="1" si="87"/>
        <v/>
      </c>
      <c r="AK306" s="1144" t="str">
        <f t="shared" ca="1" si="92"/>
        <v/>
      </c>
      <c r="AL306" s="1146" t="str">
        <f t="shared" ca="1" si="88"/>
        <v/>
      </c>
      <c r="AY306" s="40"/>
    </row>
    <row r="307" spans="1:51" ht="18" customHeight="1">
      <c r="A307" s="1073" t="str">
        <f>IF(AND($D$74="ja",$C$17="unten"),"",IF(AND($D$56="ja",$C$17="unten",$D$58&gt;0),"Schraubenkreuz",""))</f>
        <v/>
      </c>
      <c r="B307" s="1074"/>
      <c r="C307" s="1074" t="str">
        <f>IF(A307="","",IF(A307="Schraubenkreuz",$C$14+25+0*$D$64,IF(A307="Zuglasche",$C$14+50)))</f>
        <v/>
      </c>
      <c r="D307" s="1147"/>
      <c r="E307" s="1148"/>
      <c r="N307" s="103"/>
      <c r="O307" s="54"/>
      <c r="P307" s="54"/>
      <c r="Q307" s="54"/>
      <c r="R307" s="54"/>
      <c r="S307" s="297"/>
      <c r="T307" s="39"/>
      <c r="U307" s="103"/>
      <c r="V307" s="54"/>
      <c r="W307" s="105"/>
      <c r="X307" s="54"/>
      <c r="Y307" s="105"/>
      <c r="Z307" s="39"/>
      <c r="AA307" s="39"/>
      <c r="AB307" s="39"/>
      <c r="AC307" s="39"/>
      <c r="AE307" s="1073" t="str">
        <f>IF(C307="","",IF($C$17="unten",ABS(C307-$AL$16),IF($C$17="oben",ABS($C$14-C307-$AL$16))))</f>
        <v/>
      </c>
      <c r="AF307" s="1076" t="str">
        <f>IF(AE307="","",IF($C$17="unten",C307,IF($C$17="oben",$C$14-C307)))</f>
        <v/>
      </c>
      <c r="AG307" s="1076" t="str">
        <f>IF(C307="","",AH307*AI307)</f>
        <v/>
      </c>
      <c r="AH307" s="1076" t="str">
        <f>IF(AE307="","",IF(A307="Schraubenkreuz",$D$69,IF(A307="Zuglasche","FEHLER")))</f>
        <v/>
      </c>
      <c r="AI307" s="1078" t="str">
        <f>IF(AF307="","",AL307*$AK$313/AK307)</f>
        <v/>
      </c>
      <c r="AJ307" s="1135"/>
      <c r="AK307" s="1078" t="str">
        <f t="shared" si="92"/>
        <v/>
      </c>
      <c r="AL307" s="1078" t="str">
        <f>IF(AE307="","",$AM$135*AE307/MAX($AE$135:$AE$137,$AE$212:$AE$214))</f>
        <v/>
      </c>
      <c r="AY307" s="40"/>
    </row>
    <row r="308" spans="1:51" ht="18" customHeight="1">
      <c r="A308" s="1081" t="str">
        <f>IF(AND($D$74="ja",$C$17="unten"),"",IF(AND($D$56="ja",$C$17="unten",$D$58&gt;1),"Schraubenkreuz",""))</f>
        <v/>
      </c>
      <c r="B308" s="1082"/>
      <c r="C308" s="1082" t="str">
        <f>IF(A308="","",IF(A308="Schraubenkreuz",$C$14+25+1*$D$64,IF(A308="Zuglasche",$C$14+50)))</f>
        <v/>
      </c>
      <c r="D308" s="1149"/>
      <c r="E308" s="1150"/>
      <c r="N308" s="68"/>
      <c r="O308" s="39"/>
      <c r="P308" s="39"/>
      <c r="Q308" s="39"/>
      <c r="R308" s="39"/>
      <c r="S308" s="53"/>
      <c r="T308" s="39"/>
      <c r="U308" s="68"/>
      <c r="V308" s="39"/>
      <c r="W308" s="104"/>
      <c r="X308" s="39"/>
      <c r="Y308" s="104"/>
      <c r="Z308" s="39"/>
      <c r="AA308" s="39"/>
      <c r="AB308" s="39"/>
      <c r="AC308" s="39"/>
      <c r="AE308" s="1081" t="str">
        <f>IF(C308="","",IF($C$17="unten",ABS(C308-$AL$16),IF($C$17="oben",ABS($C$14-C308-$AL$16))))</f>
        <v/>
      </c>
      <c r="AF308" s="1084" t="str">
        <f t="shared" si="73"/>
        <v/>
      </c>
      <c r="AG308" s="1084" t="str">
        <f>IF(C308="","",AH308*AI308)</f>
        <v/>
      </c>
      <c r="AH308" s="1084" t="str">
        <f>IF(AE308="","",IF(A308="Schraubenkreuz",$D$69,IF(A308="Zuglasche","FEHLER")))</f>
        <v/>
      </c>
      <c r="AI308" s="1086" t="str">
        <f t="shared" ref="AI308:AI309" si="93">IF(AF308="","",AL308*$AK$313/AK308)</f>
        <v/>
      </c>
      <c r="AJ308" s="1136"/>
      <c r="AK308" s="1086" t="str">
        <f t="shared" si="92"/>
        <v/>
      </c>
      <c r="AL308" s="1086" t="str">
        <f t="shared" ref="AL308" si="94">IF(AE308="","",$AM$135*AE308/MAX($AE$135:$AE$137,$AE$212:$AE$214))</f>
        <v/>
      </c>
      <c r="AY308" s="40"/>
    </row>
    <row r="309" spans="1:51" ht="18" customHeight="1">
      <c r="A309" s="1088" t="str">
        <f>IF(AND($D$74="ja",$C$17="unten"),"Zuglasche",IF(AND($D$56="ja",$C$17="unten",$D$58&gt;2),"Schraubenkreuz",""))</f>
        <v/>
      </c>
      <c r="B309" s="1151"/>
      <c r="C309" s="1089" t="str">
        <f>IF(A309="","",IF(A309="Schraubenkreuz",$C$14+25+2*$D$64,IF(A309="Zuglasche",$C$14+50)))</f>
        <v/>
      </c>
      <c r="D309" s="1152"/>
      <c r="E309" s="1153"/>
      <c r="N309" s="69"/>
      <c r="O309" s="37"/>
      <c r="P309" s="37"/>
      <c r="Q309" s="37"/>
      <c r="R309" s="37"/>
      <c r="S309" s="300"/>
      <c r="T309" s="39"/>
      <c r="U309" s="69"/>
      <c r="V309" s="37"/>
      <c r="W309" s="101"/>
      <c r="X309" s="37"/>
      <c r="Y309" s="101"/>
      <c r="Z309" s="39"/>
      <c r="AA309" s="39"/>
      <c r="AB309" s="39"/>
      <c r="AC309" s="39"/>
      <c r="AE309" s="1088" t="str">
        <f>IF(C309="","",IF($C$17="unten",ABS(C309-$AL$16),IF($C$17="oben",ABS($C$14-C309-$AL$16))))</f>
        <v/>
      </c>
      <c r="AF309" s="1091" t="str">
        <f t="shared" si="73"/>
        <v/>
      </c>
      <c r="AG309" s="1091" t="str">
        <f>IF(C309="","",AH309*AI309)</f>
        <v/>
      </c>
      <c r="AH309" s="1091" t="str">
        <f>IF(AE309="","",IF(A309="Schraubenkreuz",$D$69,IF(A309="Zuglasche","FEHLER")))</f>
        <v/>
      </c>
      <c r="AI309" s="1093" t="str">
        <f t="shared" si="93"/>
        <v/>
      </c>
      <c r="AJ309" s="1137"/>
      <c r="AK309" s="1093" t="str">
        <f t="shared" si="92"/>
        <v/>
      </c>
      <c r="AL309" s="1093" t="str">
        <f>IF(AE309="","",$AM$230*AE309/MAX($AE$230:$AE$232,$AE$307:$AE$309))</f>
        <v/>
      </c>
      <c r="AY309" s="40"/>
    </row>
    <row r="310" spans="1:51" ht="18" customHeight="1">
      <c r="N310" s="43"/>
      <c r="O310" s="43"/>
      <c r="P310" s="43"/>
      <c r="Q310" s="43"/>
      <c r="R310" s="43"/>
      <c r="U310" s="49"/>
      <c r="V310" s="39"/>
      <c r="W310" s="1111"/>
      <c r="X310" s="1154"/>
      <c r="Y310" s="39"/>
      <c r="Z310" s="39"/>
      <c r="AE310" s="43"/>
      <c r="AY310" s="40"/>
    </row>
    <row r="311" spans="1:51" ht="18" customHeight="1">
      <c r="A311" s="125" t="s">
        <v>10</v>
      </c>
      <c r="B311" s="115" t="s">
        <v>101</v>
      </c>
      <c r="C311" s="115" t="s">
        <v>102</v>
      </c>
      <c r="D311" s="115"/>
      <c r="E311" s="129" t="s">
        <v>159</v>
      </c>
      <c r="N311" s="656" t="s">
        <v>628</v>
      </c>
      <c r="O311" s="151" t="s">
        <v>265</v>
      </c>
      <c r="P311" s="90" t="s">
        <v>142</v>
      </c>
      <c r="Q311" s="126"/>
      <c r="R311" s="124" t="s">
        <v>259</v>
      </c>
      <c r="S311" s="423" t="s">
        <v>278</v>
      </c>
      <c r="U311" s="357"/>
      <c r="V311" s="90" t="s">
        <v>252</v>
      </c>
      <c r="W311" s="116" t="s">
        <v>259</v>
      </c>
      <c r="X311" s="114"/>
      <c r="Y311" s="91" t="s">
        <v>1848</v>
      </c>
      <c r="Z311" s="39"/>
      <c r="AE311" s="656" t="s">
        <v>628</v>
      </c>
      <c r="AF311" s="151" t="s">
        <v>265</v>
      </c>
      <c r="AG311" s="90" t="s">
        <v>142</v>
      </c>
      <c r="AH311" s="1155"/>
      <c r="AI311" s="124" t="s">
        <v>259</v>
      </c>
      <c r="AJ311" s="423" t="s">
        <v>278</v>
      </c>
      <c r="AK311" s="1131" t="s">
        <v>1849</v>
      </c>
      <c r="AM311" s="408"/>
      <c r="AY311" s="40"/>
    </row>
    <row r="312" spans="1:51" ht="18" customHeight="1">
      <c r="A312" s="117" t="s">
        <v>124</v>
      </c>
      <c r="B312" s="94" t="s">
        <v>99</v>
      </c>
      <c r="C312" s="94" t="s">
        <v>99</v>
      </c>
      <c r="D312" s="94"/>
      <c r="E312" s="131" t="s">
        <v>124</v>
      </c>
      <c r="N312" s="657" t="s">
        <v>99</v>
      </c>
      <c r="O312" s="127" t="s">
        <v>99</v>
      </c>
      <c r="P312" s="93" t="s">
        <v>126</v>
      </c>
      <c r="Q312" s="127"/>
      <c r="R312" s="128" t="s">
        <v>99</v>
      </c>
      <c r="S312" s="424" t="s">
        <v>126</v>
      </c>
      <c r="U312" s="358"/>
      <c r="V312" s="93" t="s">
        <v>126</v>
      </c>
      <c r="W312" s="95" t="s">
        <v>99</v>
      </c>
      <c r="X312" s="117"/>
      <c r="Y312" s="137" t="s">
        <v>99</v>
      </c>
      <c r="Z312" s="39"/>
      <c r="AE312" s="657" t="s">
        <v>99</v>
      </c>
      <c r="AF312" s="127" t="s">
        <v>99</v>
      </c>
      <c r="AG312" s="93" t="s">
        <v>126</v>
      </c>
      <c r="AH312" s="1156"/>
      <c r="AI312" s="128" t="s">
        <v>99</v>
      </c>
      <c r="AJ312" s="424" t="s">
        <v>126</v>
      </c>
      <c r="AK312" s="1134" t="s">
        <v>124</v>
      </c>
      <c r="AM312" s="408"/>
      <c r="AY312" s="40"/>
    </row>
    <row r="313" spans="1:51" ht="18" customHeight="1">
      <c r="A313" s="1157">
        <f ca="1">COUNT(A233:A306)</f>
        <v>12</v>
      </c>
      <c r="B313" s="1158">
        <f ca="1">SUM(B233:B306)/COUNT(B233:B306)</f>
        <v>30</v>
      </c>
      <c r="C313" s="1158">
        <f ca="1">SUM(C233:C306)/COUNT(C233:C306)</f>
        <v>129.5</v>
      </c>
      <c r="D313" s="1158"/>
      <c r="E313" s="1159">
        <f ca="1">SUMIF(A233:A306,45)/45</f>
        <v>7</v>
      </c>
      <c r="N313" s="658">
        <f ca="1">MAX(N233:N306)</f>
        <v>274.94363937632806</v>
      </c>
      <c r="O313" s="393">
        <f ca="1">MAX(O233:O306)</f>
        <v>300</v>
      </c>
      <c r="P313" s="397">
        <f ca="1">MAX(P233:P306)</f>
        <v>6036.7630563951825</v>
      </c>
      <c r="Q313" s="1160"/>
      <c r="R313" s="394">
        <f ca="1">MAX(R230:R306)</f>
        <v>0.75</v>
      </c>
      <c r="S313" s="1161">
        <f ca="1">SUM(S233:S306)</f>
        <v>18546.941531606422</v>
      </c>
      <c r="U313" s="1162"/>
      <c r="V313" s="397" t="e">
        <f ca="1">MAX(V233:V306)</f>
        <v>#DIV/0!</v>
      </c>
      <c r="W313" s="1163">
        <f ca="1">MAX(W230:W306)</f>
        <v>0.5303300858899106</v>
      </c>
      <c r="X313" s="1164"/>
      <c r="Y313" s="1165">
        <f ca="1">MAX(X233:X306)</f>
        <v>228.94363937632804</v>
      </c>
      <c r="Z313" s="1097"/>
      <c r="AA313" s="1108"/>
      <c r="AB313" s="1108"/>
      <c r="AC313" s="1108"/>
      <c r="AE313" s="658">
        <f ca="1">IF(COUNT(AE233:AE306)=0,MAX(AE230:AE232,AE307:AE309),MAX(AE233:AE306))</f>
        <v>274.94334927742881</v>
      </c>
      <c r="AF313" s="393">
        <f ca="1">MAX(AF233:AF306)</f>
        <v>300</v>
      </c>
      <c r="AG313" s="393">
        <f ca="1">MAX(AG233:AG306)</f>
        <v>6036.7630563951816</v>
      </c>
      <c r="AH313" s="1166"/>
      <c r="AI313" s="394">
        <f ca="1">IF(COUNT(AE233:AE306)=0,MAX(AI230:AI232,AI307:AI309),MAX(AI233:AI306))</f>
        <v>0.74999999999999989</v>
      </c>
      <c r="AJ313" s="1161">
        <f ca="1">SUM(AJ233:AJ306)</f>
        <v>18546.929253279726</v>
      </c>
      <c r="AK313" s="1142">
        <f ca="1">MIN(AK227:AK306)</f>
        <v>2.7278346683818856E-3</v>
      </c>
      <c r="AM313" s="408"/>
      <c r="AY313" s="40"/>
    </row>
    <row r="314" spans="1:51" ht="18" customHeight="1">
      <c r="A314" s="1167"/>
      <c r="B314" s="90" t="s">
        <v>103</v>
      </c>
      <c r="C314" s="90" t="s">
        <v>104</v>
      </c>
      <c r="D314" s="90"/>
      <c r="E314" s="91" t="s">
        <v>160</v>
      </c>
      <c r="N314" s="361"/>
      <c r="O314" s="333" t="s">
        <v>253</v>
      </c>
      <c r="P314" s="126" t="s">
        <v>130</v>
      </c>
      <c r="Q314" s="329" t="s">
        <v>256</v>
      </c>
      <c r="R314" s="129" t="s">
        <v>281</v>
      </c>
      <c r="S314" s="425" t="s">
        <v>279</v>
      </c>
      <c r="U314" s="359"/>
      <c r="V314" s="126" t="s">
        <v>251</v>
      </c>
      <c r="W314" s="1168"/>
      <c r="X314" s="114"/>
      <c r="Y314" s="91" t="s">
        <v>1850</v>
      </c>
      <c r="Z314" s="39"/>
      <c r="AE314" s="656" t="s">
        <v>2207</v>
      </c>
      <c r="AF314" s="333" t="s">
        <v>253</v>
      </c>
      <c r="AG314" s="126" t="s">
        <v>130</v>
      </c>
      <c r="AH314" s="126" t="s">
        <v>1852</v>
      </c>
      <c r="AI314" s="124"/>
      <c r="AJ314" s="129" t="s">
        <v>281</v>
      </c>
      <c r="AK314" s="425" t="s">
        <v>279</v>
      </c>
      <c r="AY314" s="40"/>
    </row>
    <row r="315" spans="1:51" ht="18" customHeight="1">
      <c r="A315" s="1169"/>
      <c r="B315" s="93" t="s">
        <v>99</v>
      </c>
      <c r="C315" s="93" t="s">
        <v>99</v>
      </c>
      <c r="D315" s="93"/>
      <c r="E315" s="137" t="s">
        <v>124</v>
      </c>
      <c r="N315" s="362"/>
      <c r="O315" s="334" t="s">
        <v>99</v>
      </c>
      <c r="P315" s="127" t="s">
        <v>126</v>
      </c>
      <c r="Q315" s="93" t="s">
        <v>163</v>
      </c>
      <c r="R315" s="137" t="s">
        <v>99</v>
      </c>
      <c r="S315" s="1170" t="s">
        <v>280</v>
      </c>
      <c r="U315" s="360"/>
      <c r="V315" s="127" t="s">
        <v>126</v>
      </c>
      <c r="W315" s="1171"/>
      <c r="X315" s="117"/>
      <c r="Y315" s="137" t="s">
        <v>1847</v>
      </c>
      <c r="Z315" s="39"/>
      <c r="AE315" s="657" t="s">
        <v>99</v>
      </c>
      <c r="AF315" s="334" t="s">
        <v>99</v>
      </c>
      <c r="AG315" s="127" t="s">
        <v>126</v>
      </c>
      <c r="AH315" s="93" t="s">
        <v>126</v>
      </c>
      <c r="AI315" s="128"/>
      <c r="AJ315" s="137" t="s">
        <v>99</v>
      </c>
      <c r="AK315" s="1172" t="s">
        <v>124</v>
      </c>
      <c r="AL315" s="1119" t="s">
        <v>280</v>
      </c>
      <c r="AY315" s="40"/>
    </row>
    <row r="316" spans="1:51" ht="18" customHeight="1">
      <c r="A316" s="1173"/>
      <c r="B316" s="1174">
        <f ca="1">MAX(B233:B306)-MIN(B233:B306)</f>
        <v>40.5</v>
      </c>
      <c r="C316" s="1174">
        <f ca="1">MAX(C233:C306)-MIN(C233:C306)</f>
        <v>240</v>
      </c>
      <c r="D316" s="1174"/>
      <c r="E316" s="1175">
        <f ca="1">SUMIF(A233:A306,90)/90</f>
        <v>5</v>
      </c>
      <c r="N316" s="1176"/>
      <c r="O316" s="1177">
        <f ca="1">SUM(O233:O306)</f>
        <v>970</v>
      </c>
      <c r="P316" s="397">
        <f ca="1">SUM(P233:P306)</f>
        <v>19378.895094547774</v>
      </c>
      <c r="Q316" s="1178">
        <f ca="1">SUMPRODUCT(Q233:Q306,N233:N306,N233:N306)</f>
        <v>1666484111.6101482</v>
      </c>
      <c r="R316" s="1145">
        <f ca="1">INDEX($E233:$E306,MATCH(MAX(O233:O306),O233:O306,0))</f>
        <v>200</v>
      </c>
      <c r="S316" s="1146">
        <f ca="1">P316/S313</f>
        <v>1.044856644505165</v>
      </c>
      <c r="U316" s="1179"/>
      <c r="V316" s="1180" t="e">
        <f ca="1">SUM(V233:V306)</f>
        <v>#DIV/0!</v>
      </c>
      <c r="W316" s="1181"/>
      <c r="X316" s="1164"/>
      <c r="Y316" s="1182">
        <f ca="1">SUM(Y233:Y306)</f>
        <v>172491.93384210113</v>
      </c>
      <c r="Z316" s="1124"/>
      <c r="AA316" s="1108"/>
      <c r="AB316" s="1108"/>
      <c r="AC316" s="1108"/>
      <c r="AE316" s="1258">
        <f>MAX(AE307:AE309,AE230:AE232)</f>
        <v>0</v>
      </c>
      <c r="AF316" s="1177">
        <f ca="1">SUM(AF233:AF306)</f>
        <v>970</v>
      </c>
      <c r="AG316" s="397">
        <f ca="1">SUM(AG233:AG306)</f>
        <v>19378.881289538571</v>
      </c>
      <c r="AH316" s="397">
        <f>SUM(AG307:AG309,AG230:AG232)</f>
        <v>0</v>
      </c>
      <c r="AI316" s="398"/>
      <c r="AJ316" s="1145">
        <f ca="1">INDEX($E233:$E306,MATCH(MAX(AF233:AF306),AF233:AF306,0))</f>
        <v>200</v>
      </c>
      <c r="AK316" s="1146">
        <f ca="1">AG316/AJ313</f>
        <v>1.0448565918863215</v>
      </c>
      <c r="AL316" s="40" t="s">
        <v>1854</v>
      </c>
      <c r="AY316" s="40"/>
    </row>
    <row r="317" spans="1:51" ht="18" customHeight="1">
      <c r="I317" s="49"/>
      <c r="J317" s="49"/>
      <c r="P317" s="41"/>
      <c r="S317" s="102"/>
      <c r="X317" s="43"/>
      <c r="AE317" s="39"/>
      <c r="AG317" s="43"/>
      <c r="AJ317" s="102"/>
      <c r="AY317" s="40"/>
    </row>
    <row r="318" spans="1:51" ht="18" customHeight="1">
      <c r="H318" s="39"/>
      <c r="I318" s="49"/>
      <c r="J318" s="49"/>
      <c r="P318" s="41"/>
      <c r="X318" s="43"/>
      <c r="AE318" s="39"/>
      <c r="AG318" s="43"/>
      <c r="AY318" s="40"/>
    </row>
    <row r="319" spans="1:51" ht="18" customHeight="1">
      <c r="H319" s="39"/>
      <c r="I319" s="49"/>
      <c r="J319" s="49"/>
      <c r="P319" s="41"/>
      <c r="X319" s="43"/>
      <c r="AE319" s="39"/>
      <c r="AG319" s="43"/>
      <c r="AY319" s="40"/>
    </row>
    <row r="320" spans="1:51" ht="18" customHeight="1">
      <c r="H320" s="39"/>
      <c r="I320" s="49"/>
      <c r="J320" s="49"/>
      <c r="O320" s="43"/>
      <c r="R320" s="41"/>
      <c r="AA320" s="43"/>
      <c r="AB320" s="43"/>
      <c r="AC320" s="43"/>
      <c r="AE320" s="39"/>
      <c r="AG320" s="43"/>
      <c r="AY320" s="40"/>
    </row>
    <row r="321" spans="1:51" ht="18" customHeight="1">
      <c r="I321" s="49"/>
      <c r="J321" s="49"/>
      <c r="O321" s="43"/>
      <c r="R321" s="41"/>
      <c r="AA321" s="43"/>
      <c r="AB321" s="43"/>
      <c r="AC321" s="43"/>
      <c r="AE321" s="39"/>
      <c r="AG321" s="43"/>
      <c r="AY321" s="40"/>
    </row>
    <row r="322" spans="1:51" ht="18" customHeight="1">
      <c r="I322" s="49"/>
      <c r="J322" s="49"/>
      <c r="O322" s="43"/>
      <c r="P322" s="46"/>
      <c r="R322" s="46"/>
      <c r="S322" s="39"/>
      <c r="AA322" s="43"/>
      <c r="AB322" s="43"/>
      <c r="AC322" s="43"/>
      <c r="AD322" s="39"/>
      <c r="AF322" s="43"/>
      <c r="AY322" s="40"/>
    </row>
    <row r="323" spans="1:51" ht="18" customHeight="1">
      <c r="I323" s="49"/>
      <c r="J323" s="49"/>
      <c r="O323" s="43"/>
      <c r="P323" s="46"/>
      <c r="R323" s="46"/>
      <c r="S323" s="39"/>
      <c r="V323" s="39"/>
      <c r="W323" s="39"/>
      <c r="X323" s="39"/>
      <c r="Y323" s="39"/>
      <c r="Z323" s="39"/>
      <c r="AA323" s="47"/>
      <c r="AB323" s="47"/>
      <c r="AC323" s="47"/>
      <c r="AD323" s="39"/>
      <c r="AF323" s="43"/>
      <c r="AY323" s="40"/>
    </row>
    <row r="324" spans="1:51" ht="18" customHeight="1">
      <c r="I324" s="49"/>
      <c r="J324" s="49"/>
      <c r="O324" s="43"/>
      <c r="P324" s="46"/>
      <c r="R324" s="46"/>
      <c r="S324" s="39"/>
      <c r="V324" s="39"/>
      <c r="W324" s="39"/>
      <c r="X324" s="39"/>
      <c r="Y324" s="39"/>
      <c r="Z324" s="39"/>
      <c r="AA324" s="47"/>
      <c r="AB324" s="47"/>
      <c r="AC324" s="47"/>
      <c r="AD324" s="39"/>
      <c r="AF324" s="43"/>
      <c r="AY324" s="40"/>
    </row>
    <row r="325" spans="1:51" ht="18" customHeight="1">
      <c r="I325" s="49"/>
      <c r="J325" s="49"/>
      <c r="O325" s="43"/>
      <c r="P325" s="46"/>
      <c r="R325" s="46"/>
      <c r="S325" s="39"/>
      <c r="V325" s="39"/>
      <c r="W325" s="39"/>
      <c r="X325" s="39"/>
      <c r="Y325" s="39"/>
      <c r="Z325" s="39"/>
      <c r="AA325" s="47"/>
      <c r="AB325" s="47"/>
      <c r="AC325" s="47"/>
      <c r="AD325" s="39"/>
      <c r="AF325" s="43"/>
      <c r="AY325" s="40"/>
    </row>
    <row r="326" spans="1:51" ht="18" customHeight="1">
      <c r="A326" s="40" t="s">
        <v>226</v>
      </c>
      <c r="B326" s="40"/>
      <c r="C326" s="40"/>
      <c r="D326" s="40"/>
      <c r="E326" s="40"/>
      <c r="F326" s="40"/>
      <c r="G326" s="40"/>
      <c r="H326" s="40"/>
      <c r="I326" s="49"/>
      <c r="J326" s="49"/>
      <c r="O326" s="43"/>
      <c r="P326" s="46"/>
      <c r="R326" s="46"/>
      <c r="S326" s="39"/>
      <c r="V326" s="39"/>
      <c r="W326" s="39"/>
      <c r="X326" s="39"/>
      <c r="Y326" s="39"/>
      <c r="Z326" s="39"/>
      <c r="AA326" s="47"/>
      <c r="AB326" s="47"/>
      <c r="AC326" s="47"/>
      <c r="AD326" s="39"/>
      <c r="AF326" s="43"/>
      <c r="AY326" s="40"/>
    </row>
    <row r="327" spans="1:51" ht="18" customHeight="1">
      <c r="A327" s="1568" t="s">
        <v>149</v>
      </c>
      <c r="B327" s="1569"/>
      <c r="C327" s="1574" t="s">
        <v>223</v>
      </c>
      <c r="D327" s="1575" t="s">
        <v>224</v>
      </c>
      <c r="E327" s="1575"/>
      <c r="F327" s="1575"/>
      <c r="G327" s="1575"/>
      <c r="H327" s="1569"/>
      <c r="I327" s="49"/>
      <c r="J327" s="49"/>
      <c r="O327" s="43"/>
      <c r="P327" s="46"/>
      <c r="R327" s="46"/>
      <c r="S327" s="39"/>
      <c r="V327" s="39"/>
      <c r="W327" s="39"/>
      <c r="X327" s="39"/>
      <c r="Y327" s="39"/>
      <c r="Z327" s="39"/>
      <c r="AA327" s="47"/>
      <c r="AB327" s="47"/>
      <c r="AC327" s="47"/>
      <c r="AD327" s="39"/>
      <c r="AF327" s="43"/>
      <c r="AY327" s="40"/>
    </row>
    <row r="328" spans="1:51" ht="18" customHeight="1">
      <c r="A328" s="1570"/>
      <c r="B328" s="1571"/>
      <c r="C328" s="1570"/>
      <c r="D328" s="1568" t="s">
        <v>217</v>
      </c>
      <c r="E328" s="1569"/>
      <c r="F328" s="1568" t="s">
        <v>220</v>
      </c>
      <c r="G328" s="1575"/>
      <c r="H328" s="1569"/>
      <c r="I328" s="49"/>
      <c r="J328" s="49"/>
      <c r="O328" s="43"/>
      <c r="P328" s="46"/>
      <c r="R328" s="46"/>
      <c r="S328" s="39"/>
      <c r="V328" s="39"/>
      <c r="W328" s="39"/>
      <c r="X328" s="39"/>
      <c r="Y328" s="39"/>
      <c r="Z328" s="39"/>
      <c r="AA328" s="47"/>
      <c r="AB328" s="47"/>
      <c r="AC328" s="47"/>
      <c r="AD328" s="39"/>
      <c r="AF328" s="43"/>
      <c r="AY328" s="40"/>
    </row>
    <row r="329" spans="1:51" ht="18" customHeight="1">
      <c r="A329" s="1572"/>
      <c r="B329" s="1573"/>
      <c r="C329" s="1572"/>
      <c r="D329" s="69" t="s">
        <v>6</v>
      </c>
      <c r="E329" s="101" t="s">
        <v>7</v>
      </c>
      <c r="F329" s="69" t="s">
        <v>6</v>
      </c>
      <c r="G329" s="37"/>
      <c r="H329" s="101" t="s">
        <v>7</v>
      </c>
      <c r="I329" s="49"/>
      <c r="J329" s="49"/>
      <c r="O329" s="43"/>
      <c r="P329" s="46"/>
      <c r="R329" s="46"/>
      <c r="S329" s="39"/>
      <c r="V329" s="39"/>
      <c r="W329" s="39"/>
      <c r="X329" s="39"/>
      <c r="Y329" s="39"/>
      <c r="Z329" s="39"/>
      <c r="AA329" s="47"/>
      <c r="AB329" s="47"/>
      <c r="AC329" s="47"/>
      <c r="AD329" s="39"/>
      <c r="AF329" s="43"/>
      <c r="AY329" s="40"/>
    </row>
    <row r="330" spans="1:51" ht="18" customHeight="1">
      <c r="A330" s="1183">
        <v>150</v>
      </c>
      <c r="B330" s="157">
        <v>1090</v>
      </c>
      <c r="C330" s="297">
        <v>2</v>
      </c>
      <c r="D330" s="53">
        <v>358</v>
      </c>
      <c r="E330" s="104">
        <v>435</v>
      </c>
      <c r="F330" s="68">
        <v>666</v>
      </c>
      <c r="H330" s="104">
        <v>743</v>
      </c>
      <c r="I330" s="49"/>
      <c r="J330" s="49"/>
      <c r="O330" s="43"/>
      <c r="P330" s="46"/>
      <c r="R330" s="46"/>
      <c r="S330" s="39"/>
      <c r="V330" s="39"/>
      <c r="W330" s="39"/>
      <c r="X330" s="39"/>
      <c r="Y330" s="39"/>
      <c r="Z330" s="39"/>
      <c r="AA330" s="47"/>
      <c r="AB330" s="47"/>
      <c r="AC330" s="47"/>
      <c r="AD330" s="39"/>
      <c r="AF330" s="43"/>
      <c r="AY330" s="40"/>
    </row>
    <row r="331" spans="1:51" ht="18" customHeight="1">
      <c r="A331" s="1183"/>
      <c r="B331" s="157">
        <v>850</v>
      </c>
      <c r="C331" s="53">
        <f>C330+5</f>
        <v>7</v>
      </c>
      <c r="D331" s="53">
        <v>358</v>
      </c>
      <c r="E331" s="104">
        <v>435</v>
      </c>
      <c r="F331" s="68">
        <v>666</v>
      </c>
      <c r="H331" s="104">
        <v>743</v>
      </c>
      <c r="I331" s="49"/>
      <c r="J331" s="49"/>
      <c r="O331" s="43"/>
      <c r="P331" s="46"/>
      <c r="R331" s="46"/>
      <c r="S331" s="39"/>
      <c r="V331" s="39"/>
      <c r="W331" s="39"/>
      <c r="X331" s="39"/>
      <c r="Y331" s="39"/>
      <c r="Z331" s="39"/>
      <c r="AA331" s="47"/>
      <c r="AB331" s="47"/>
      <c r="AC331" s="47"/>
      <c r="AD331" s="39"/>
      <c r="AF331" s="43"/>
      <c r="AY331" s="40"/>
    </row>
    <row r="332" spans="1:51" ht="18" customHeight="1">
      <c r="A332" s="1183"/>
      <c r="B332" s="157">
        <v>790</v>
      </c>
      <c r="C332" s="53">
        <f t="shared" ref="C332:C344" si="95">C331+5</f>
        <v>12</v>
      </c>
      <c r="D332" s="53">
        <v>358</v>
      </c>
      <c r="E332" s="104">
        <v>435</v>
      </c>
      <c r="F332" s="68">
        <v>666</v>
      </c>
      <c r="H332" s="104">
        <v>743</v>
      </c>
      <c r="I332" s="49"/>
      <c r="J332" s="49"/>
      <c r="O332" s="43"/>
      <c r="P332" s="46"/>
      <c r="R332" s="46"/>
      <c r="S332" s="39"/>
      <c r="V332" s="39"/>
      <c r="W332" s="39"/>
      <c r="X332" s="39"/>
      <c r="Y332" s="39"/>
      <c r="Z332" s="39"/>
      <c r="AA332" s="47"/>
      <c r="AB332" s="47"/>
      <c r="AC332" s="47"/>
      <c r="AD332" s="39"/>
      <c r="AF332" s="43"/>
      <c r="AY332" s="40"/>
    </row>
    <row r="333" spans="1:51" ht="18" customHeight="1">
      <c r="A333" s="1183"/>
      <c r="B333" s="157">
        <v>730</v>
      </c>
      <c r="C333" s="53">
        <f t="shared" si="95"/>
        <v>17</v>
      </c>
      <c r="D333" s="53">
        <v>358</v>
      </c>
      <c r="E333" s="104">
        <v>435</v>
      </c>
      <c r="F333" s="68">
        <v>666</v>
      </c>
      <c r="H333" s="104">
        <v>743</v>
      </c>
      <c r="I333" s="49"/>
      <c r="J333" s="49"/>
      <c r="O333" s="43"/>
      <c r="P333" s="46"/>
      <c r="R333" s="46"/>
      <c r="S333" s="39"/>
      <c r="V333" s="39"/>
      <c r="W333" s="39"/>
      <c r="X333" s="39"/>
      <c r="Y333" s="39"/>
      <c r="Z333" s="39"/>
      <c r="AA333" s="47"/>
      <c r="AB333" s="47"/>
      <c r="AC333" s="47"/>
      <c r="AD333" s="39"/>
      <c r="AF333" s="43"/>
      <c r="AY333" s="40"/>
    </row>
    <row r="334" spans="1:51" ht="18" customHeight="1">
      <c r="A334" s="1183"/>
      <c r="B334" s="157">
        <v>610</v>
      </c>
      <c r="C334" s="53">
        <f t="shared" si="95"/>
        <v>22</v>
      </c>
      <c r="D334" s="53">
        <v>358</v>
      </c>
      <c r="E334" s="104">
        <v>435</v>
      </c>
      <c r="F334" s="68">
        <v>666</v>
      </c>
      <c r="H334" s="104">
        <v>743</v>
      </c>
      <c r="I334" s="49"/>
      <c r="J334" s="49"/>
      <c r="O334" s="43"/>
      <c r="P334" s="46"/>
      <c r="R334" s="46"/>
      <c r="S334" s="39"/>
      <c r="V334" s="39"/>
      <c r="W334" s="39"/>
      <c r="X334" s="39"/>
      <c r="Y334" s="39"/>
      <c r="Z334" s="39"/>
      <c r="AA334" s="47"/>
      <c r="AB334" s="47"/>
      <c r="AC334" s="47"/>
      <c r="AD334" s="39"/>
      <c r="AF334" s="43"/>
      <c r="AY334" s="40"/>
    </row>
    <row r="335" spans="1:51" ht="18" customHeight="1">
      <c r="A335" s="1183"/>
      <c r="B335" s="157">
        <v>550</v>
      </c>
      <c r="C335" s="53">
        <f t="shared" si="95"/>
        <v>27</v>
      </c>
      <c r="D335" s="53">
        <v>358</v>
      </c>
      <c r="E335" s="104">
        <v>435</v>
      </c>
      <c r="F335" s="68">
        <v>666</v>
      </c>
      <c r="H335" s="104">
        <v>743</v>
      </c>
      <c r="I335" s="49"/>
      <c r="J335" s="49"/>
      <c r="O335" s="43"/>
      <c r="P335" s="46"/>
      <c r="R335" s="46"/>
      <c r="S335" s="39"/>
      <c r="V335" s="39"/>
      <c r="W335" s="39"/>
      <c r="X335" s="39"/>
      <c r="Y335" s="39"/>
      <c r="Z335" s="39"/>
      <c r="AA335" s="47"/>
      <c r="AB335" s="47"/>
      <c r="AC335" s="47"/>
      <c r="AD335" s="39"/>
      <c r="AF335" s="43"/>
      <c r="AY335" s="40"/>
    </row>
    <row r="336" spans="1:51" ht="18" customHeight="1">
      <c r="A336" s="1183"/>
      <c r="B336" s="157">
        <v>430</v>
      </c>
      <c r="C336" s="53">
        <f t="shared" si="95"/>
        <v>32</v>
      </c>
      <c r="D336" s="53">
        <v>358</v>
      </c>
      <c r="E336" s="104">
        <v>435</v>
      </c>
      <c r="F336" s="68">
        <v>666</v>
      </c>
      <c r="H336" s="104">
        <v>743</v>
      </c>
      <c r="I336" s="49"/>
      <c r="J336" s="49"/>
      <c r="O336" s="43"/>
      <c r="P336" s="46"/>
      <c r="R336" s="46"/>
      <c r="S336" s="39"/>
      <c r="V336" s="39"/>
      <c r="W336" s="39"/>
      <c r="X336" s="39"/>
      <c r="Y336" s="39"/>
      <c r="Z336" s="39"/>
      <c r="AA336" s="47"/>
      <c r="AB336" s="47"/>
      <c r="AC336" s="47"/>
      <c r="AD336" s="39"/>
      <c r="AF336" s="43"/>
      <c r="AY336" s="40"/>
    </row>
    <row r="337" spans="1:59" ht="18" customHeight="1">
      <c r="A337" s="1183"/>
      <c r="B337" s="157">
        <v>310</v>
      </c>
      <c r="C337" s="53">
        <f t="shared" si="95"/>
        <v>37</v>
      </c>
      <c r="D337" s="53">
        <v>358</v>
      </c>
      <c r="E337" s="104">
        <v>435</v>
      </c>
      <c r="F337" s="68">
        <v>666</v>
      </c>
      <c r="H337" s="104">
        <v>743</v>
      </c>
      <c r="I337" s="49"/>
      <c r="J337" s="49"/>
      <c r="O337" s="43"/>
      <c r="P337" s="46"/>
      <c r="R337" s="46"/>
      <c r="S337" s="39"/>
      <c r="V337" s="39"/>
      <c r="W337" s="39"/>
      <c r="X337" s="39"/>
      <c r="Y337" s="39"/>
      <c r="Z337" s="39"/>
      <c r="AA337" s="47"/>
      <c r="AB337" s="47"/>
      <c r="AC337" s="47"/>
      <c r="AD337" s="39"/>
      <c r="AF337" s="43"/>
      <c r="AY337" s="40"/>
    </row>
    <row r="338" spans="1:59" ht="18" customHeight="1">
      <c r="A338" s="1183"/>
      <c r="B338" s="157">
        <v>1030</v>
      </c>
      <c r="C338" s="300">
        <f t="shared" si="95"/>
        <v>42</v>
      </c>
      <c r="D338" s="53">
        <v>358</v>
      </c>
      <c r="E338" s="104">
        <v>435</v>
      </c>
      <c r="F338" s="68">
        <v>666</v>
      </c>
      <c r="H338" s="104">
        <v>743</v>
      </c>
      <c r="I338" s="49"/>
      <c r="J338" s="49"/>
      <c r="O338" s="43"/>
      <c r="P338" s="46"/>
      <c r="R338" s="46"/>
      <c r="S338" s="39"/>
      <c r="V338" s="39"/>
      <c r="W338" s="39"/>
      <c r="X338" s="39"/>
      <c r="Y338" s="39"/>
      <c r="Z338" s="39"/>
      <c r="AA338" s="47"/>
      <c r="AB338" s="47"/>
      <c r="AC338" s="47"/>
      <c r="AD338" s="39"/>
      <c r="AF338" s="43"/>
      <c r="AY338" s="40"/>
    </row>
    <row r="339" spans="1:59" ht="18" customHeight="1">
      <c r="A339" s="1184">
        <v>100</v>
      </c>
      <c r="B339" s="294">
        <v>550</v>
      </c>
      <c r="C339" s="54">
        <f t="shared" si="95"/>
        <v>47</v>
      </c>
      <c r="D339" s="297">
        <v>358</v>
      </c>
      <c r="E339" s="105">
        <v>435</v>
      </c>
      <c r="F339" s="103">
        <v>666</v>
      </c>
      <c r="G339" s="54"/>
      <c r="H339" s="105">
        <v>743</v>
      </c>
      <c r="I339" s="49"/>
      <c r="J339" s="49"/>
      <c r="O339" s="43"/>
      <c r="P339" s="46"/>
      <c r="R339" s="46"/>
      <c r="S339" s="39"/>
      <c r="V339" s="39"/>
      <c r="W339" s="39"/>
      <c r="X339" s="39"/>
      <c r="Y339" s="39"/>
      <c r="Z339" s="39"/>
      <c r="AA339" s="47"/>
      <c r="AB339" s="47"/>
      <c r="AC339" s="47"/>
      <c r="AD339" s="39"/>
      <c r="AF339" s="43"/>
      <c r="AY339" s="40"/>
    </row>
    <row r="340" spans="1:59" ht="18" customHeight="1">
      <c r="A340" s="1185"/>
      <c r="B340" s="295">
        <v>430</v>
      </c>
      <c r="C340" s="39">
        <f t="shared" si="95"/>
        <v>52</v>
      </c>
      <c r="D340" s="53">
        <v>358</v>
      </c>
      <c r="E340" s="104">
        <v>435</v>
      </c>
      <c r="F340" s="68">
        <v>666</v>
      </c>
      <c r="H340" s="104">
        <v>743</v>
      </c>
      <c r="I340" s="49"/>
      <c r="J340" s="49"/>
      <c r="O340" s="43"/>
      <c r="P340" s="46"/>
      <c r="R340" s="46"/>
      <c r="S340" s="39"/>
      <c r="V340" s="39"/>
      <c r="W340" s="39"/>
      <c r="X340" s="39"/>
      <c r="Y340" s="39"/>
      <c r="Z340" s="39"/>
      <c r="AA340" s="47"/>
      <c r="AB340" s="47"/>
      <c r="AC340" s="47"/>
      <c r="AD340" s="39"/>
      <c r="AF340" s="43"/>
      <c r="AY340" s="40"/>
    </row>
    <row r="341" spans="1:59" ht="18" customHeight="1">
      <c r="A341" s="1186"/>
      <c r="B341" s="296">
        <v>310</v>
      </c>
      <c r="C341" s="37">
        <f t="shared" si="95"/>
        <v>57</v>
      </c>
      <c r="D341" s="300">
        <v>358</v>
      </c>
      <c r="E341" s="101">
        <v>435</v>
      </c>
      <c r="F341" s="69">
        <v>666</v>
      </c>
      <c r="G341" s="37"/>
      <c r="H341" s="101">
        <v>743</v>
      </c>
      <c r="I341" s="49"/>
      <c r="J341" s="49"/>
      <c r="O341" s="43"/>
      <c r="P341" s="46"/>
      <c r="R341" s="46"/>
      <c r="S341" s="39"/>
      <c r="V341" s="39"/>
      <c r="W341" s="39"/>
      <c r="X341" s="39"/>
      <c r="Y341" s="39"/>
      <c r="Z341" s="39"/>
      <c r="AA341" s="47"/>
      <c r="AB341" s="47"/>
      <c r="AC341" s="47"/>
      <c r="AD341" s="39"/>
      <c r="AF341" s="43"/>
      <c r="AY341" s="40"/>
    </row>
    <row r="342" spans="1:59" ht="18" customHeight="1">
      <c r="A342" s="1185">
        <v>60</v>
      </c>
      <c r="B342" s="295">
        <v>550</v>
      </c>
      <c r="C342" s="39">
        <f t="shared" si="95"/>
        <v>62</v>
      </c>
      <c r="D342" s="297">
        <v>358</v>
      </c>
      <c r="E342" s="105">
        <v>435</v>
      </c>
      <c r="F342" s="103">
        <v>666</v>
      </c>
      <c r="G342" s="54"/>
      <c r="H342" s="105">
        <v>743</v>
      </c>
      <c r="I342" s="49"/>
      <c r="J342" s="49"/>
      <c r="O342" s="43"/>
      <c r="P342" s="46"/>
      <c r="R342" s="46"/>
      <c r="S342" s="39"/>
      <c r="V342" s="39"/>
      <c r="W342" s="39"/>
      <c r="X342" s="39"/>
      <c r="Y342" s="39"/>
      <c r="Z342" s="39"/>
      <c r="AA342" s="47"/>
      <c r="AB342" s="47"/>
      <c r="AC342" s="47"/>
      <c r="AD342" s="39"/>
      <c r="AF342" s="43"/>
      <c r="AY342" s="40"/>
    </row>
    <row r="343" spans="1:59" s="45" customFormat="1" ht="18" customHeight="1">
      <c r="A343" s="1185"/>
      <c r="B343" s="295">
        <v>430</v>
      </c>
      <c r="C343" s="39">
        <f t="shared" si="95"/>
        <v>67</v>
      </c>
      <c r="D343" s="53">
        <v>358</v>
      </c>
      <c r="E343" s="104">
        <v>435</v>
      </c>
      <c r="F343" s="68">
        <v>666</v>
      </c>
      <c r="G343" s="39"/>
      <c r="H343" s="104">
        <v>743</v>
      </c>
      <c r="I343" s="49"/>
      <c r="J343" s="49"/>
      <c r="K343" s="39"/>
      <c r="L343" s="39"/>
      <c r="M343" s="39"/>
      <c r="N343" s="40"/>
      <c r="O343" s="43"/>
      <c r="P343" s="46"/>
      <c r="Q343" s="40"/>
      <c r="R343" s="46"/>
      <c r="S343" s="39"/>
      <c r="T343" s="40"/>
      <c r="U343" s="40"/>
      <c r="V343" s="39"/>
      <c r="W343" s="39"/>
      <c r="X343" s="39"/>
      <c r="Y343" s="39"/>
      <c r="Z343" s="39"/>
      <c r="AA343" s="47"/>
      <c r="AB343" s="47"/>
      <c r="AC343" s="47"/>
      <c r="AD343" s="39"/>
      <c r="AE343" s="40"/>
      <c r="AF343" s="43"/>
      <c r="AG343" s="40"/>
      <c r="AH343" s="40"/>
      <c r="AI343" s="40"/>
      <c r="AJ343" s="40"/>
      <c r="AK343" s="40"/>
      <c r="AL343" s="40"/>
      <c r="AM343" s="40"/>
      <c r="AN343" s="40"/>
      <c r="AO343" s="40"/>
      <c r="AP343" s="40"/>
      <c r="AQ343" s="40"/>
      <c r="AR343" s="40"/>
      <c r="AS343" s="40"/>
      <c r="AT343" s="40"/>
      <c r="AU343" s="40"/>
      <c r="AV343" s="40"/>
      <c r="AW343" s="40"/>
      <c r="AX343" s="40"/>
      <c r="AY343" s="40"/>
      <c r="AZ343" s="40"/>
      <c r="BA343" s="39"/>
      <c r="BB343" s="39"/>
      <c r="BC343" s="433"/>
      <c r="BD343" s="345"/>
      <c r="BE343" s="345"/>
      <c r="BF343" s="345"/>
      <c r="BG343" s="345"/>
    </row>
    <row r="344" spans="1:59" s="45" customFormat="1" ht="18" customHeight="1">
      <c r="A344" s="1186"/>
      <c r="B344" s="296">
        <v>310</v>
      </c>
      <c r="C344" s="37">
        <f t="shared" si="95"/>
        <v>72</v>
      </c>
      <c r="D344" s="300">
        <v>358</v>
      </c>
      <c r="E344" s="101">
        <v>435</v>
      </c>
      <c r="F344" s="69">
        <v>666</v>
      </c>
      <c r="G344" s="37"/>
      <c r="H344" s="101">
        <v>743</v>
      </c>
      <c r="I344" s="49"/>
      <c r="J344" s="49"/>
      <c r="K344" s="39"/>
      <c r="L344" s="39"/>
      <c r="M344" s="39"/>
      <c r="N344" s="40"/>
      <c r="O344" s="43"/>
      <c r="P344" s="46"/>
      <c r="Q344" s="40"/>
      <c r="R344" s="46"/>
      <c r="S344" s="39"/>
      <c r="T344" s="40"/>
      <c r="U344" s="40"/>
      <c r="V344" s="39"/>
      <c r="W344" s="39"/>
      <c r="X344" s="39"/>
      <c r="Y344" s="39"/>
      <c r="Z344" s="39"/>
      <c r="AA344" s="47"/>
      <c r="AB344" s="47"/>
      <c r="AC344" s="47"/>
      <c r="AD344" s="39"/>
      <c r="AE344" s="40"/>
      <c r="AF344" s="43"/>
      <c r="AG344" s="40"/>
      <c r="AH344" s="40"/>
      <c r="AI344" s="40"/>
      <c r="AJ344" s="40"/>
      <c r="AK344" s="40"/>
      <c r="AL344" s="40"/>
      <c r="AM344" s="40"/>
      <c r="AN344" s="40"/>
      <c r="AO344" s="40"/>
      <c r="AP344" s="40"/>
      <c r="AQ344" s="40"/>
      <c r="AR344" s="40"/>
      <c r="AS344" s="40"/>
      <c r="AT344" s="40"/>
      <c r="AU344" s="40"/>
      <c r="AV344" s="40"/>
      <c r="AW344" s="40"/>
      <c r="AX344" s="40"/>
      <c r="AY344" s="40"/>
      <c r="AZ344" s="40"/>
      <c r="BA344" s="39"/>
      <c r="BB344" s="39"/>
      <c r="BC344" s="433"/>
      <c r="BD344" s="345"/>
      <c r="BE344" s="345"/>
      <c r="BF344" s="345"/>
      <c r="BG344" s="345"/>
    </row>
    <row r="345" spans="1:59" ht="18" customHeight="1">
      <c r="A345" s="139" t="s">
        <v>225</v>
      </c>
      <c r="B345" s="301"/>
      <c r="C345" s="297" t="s">
        <v>231</v>
      </c>
      <c r="D345" s="297" t="s">
        <v>231</v>
      </c>
      <c r="E345" s="40"/>
      <c r="F345" s="40"/>
      <c r="G345" s="40"/>
      <c r="H345" s="40"/>
      <c r="I345" s="49"/>
      <c r="J345" s="49"/>
      <c r="O345" s="43"/>
      <c r="P345" s="46"/>
      <c r="R345" s="46"/>
      <c r="S345" s="39"/>
      <c r="V345" s="39"/>
      <c r="W345" s="39"/>
      <c r="X345" s="39"/>
      <c r="Y345" s="39"/>
      <c r="Z345" s="39"/>
      <c r="AA345" s="47"/>
      <c r="AB345" s="47"/>
      <c r="AC345" s="47"/>
      <c r="AD345" s="39"/>
      <c r="AF345" s="43"/>
      <c r="AY345" s="40"/>
    </row>
    <row r="346" spans="1:59" ht="18" customHeight="1">
      <c r="A346" s="86" t="s">
        <v>217</v>
      </c>
      <c r="B346" s="61"/>
      <c r="C346" s="300" t="s">
        <v>6</v>
      </c>
      <c r="D346" s="300" t="s">
        <v>7</v>
      </c>
      <c r="E346" s="40"/>
      <c r="F346" s="40"/>
      <c r="G346" s="40"/>
      <c r="H346" s="40"/>
      <c r="I346" s="49"/>
      <c r="J346" s="49"/>
      <c r="O346" s="43"/>
      <c r="P346" s="46"/>
      <c r="R346" s="46"/>
      <c r="S346" s="39"/>
      <c r="V346" s="39"/>
      <c r="W346" s="39"/>
      <c r="X346" s="39"/>
      <c r="Y346" s="39"/>
      <c r="Z346" s="39"/>
      <c r="AA346" s="47"/>
      <c r="AB346" s="47"/>
      <c r="AC346" s="47"/>
      <c r="AD346" s="39"/>
      <c r="AF346" s="43"/>
      <c r="AY346" s="40"/>
    </row>
    <row r="347" spans="1:59" ht="18" customHeight="1">
      <c r="A347" s="139" t="str">
        <f>Sprachtexte!A43</f>
        <v>Hauptträger/Stütze</v>
      </c>
      <c r="B347" s="56"/>
      <c r="C347" s="298">
        <v>358</v>
      </c>
      <c r="D347" s="298">
        <v>435</v>
      </c>
      <c r="E347" s="40"/>
      <c r="F347" s="40"/>
      <c r="G347" s="40"/>
      <c r="H347" s="40"/>
      <c r="I347" s="49"/>
      <c r="J347" s="49"/>
      <c r="O347" s="43"/>
      <c r="P347" s="46"/>
      <c r="R347" s="46"/>
      <c r="S347" s="39"/>
      <c r="V347" s="39"/>
      <c r="W347" s="39"/>
      <c r="X347" s="39"/>
      <c r="Y347" s="39"/>
      <c r="Z347" s="39"/>
      <c r="AA347" s="47"/>
      <c r="AB347" s="47"/>
      <c r="AC347" s="47"/>
      <c r="AD347" s="39"/>
      <c r="AF347" s="43"/>
      <c r="AY347" s="40"/>
    </row>
    <row r="348" spans="1:59" ht="18" customHeight="1">
      <c r="A348" s="86" t="str">
        <f>Sprachtexte!A44</f>
        <v>Nebenträger</v>
      </c>
      <c r="B348" s="61"/>
      <c r="C348" s="299">
        <v>666</v>
      </c>
      <c r="D348" s="299">
        <v>743</v>
      </c>
      <c r="E348" s="40"/>
      <c r="F348" s="40"/>
      <c r="G348" s="40"/>
      <c r="H348" s="40"/>
      <c r="I348" s="49"/>
      <c r="J348" s="49"/>
      <c r="O348" s="43"/>
      <c r="P348" s="46"/>
      <c r="R348" s="46"/>
      <c r="S348" s="39"/>
      <c r="V348" s="39"/>
      <c r="W348" s="39"/>
      <c r="X348" s="39"/>
      <c r="Y348" s="39"/>
      <c r="Z348" s="39"/>
      <c r="AA348" s="47"/>
      <c r="AB348" s="47"/>
      <c r="AC348" s="47"/>
      <c r="AD348" s="39"/>
      <c r="AF348" s="43"/>
      <c r="AY348" s="40"/>
    </row>
    <row r="349" spans="1:59" ht="18" customHeight="1">
      <c r="A349" s="40"/>
      <c r="B349" s="40"/>
      <c r="C349" s="40"/>
      <c r="D349" s="40"/>
      <c r="E349" s="40"/>
      <c r="F349" s="40"/>
      <c r="G349" s="40"/>
      <c r="H349" s="40"/>
      <c r="I349" s="49"/>
      <c r="J349" s="49"/>
      <c r="O349" s="43"/>
      <c r="P349" s="46"/>
      <c r="R349" s="46"/>
      <c r="S349" s="39"/>
      <c r="V349" s="39"/>
      <c r="W349" s="39"/>
      <c r="X349" s="39"/>
      <c r="Y349" s="39"/>
      <c r="Z349" s="39"/>
      <c r="AA349" s="47"/>
      <c r="AB349" s="47"/>
      <c r="AC349" s="47"/>
      <c r="AD349" s="39"/>
      <c r="AF349" s="43"/>
      <c r="AY349" s="40"/>
    </row>
    <row r="350" spans="1:59" ht="18" customHeight="1">
      <c r="A350" s="302" t="s">
        <v>6</v>
      </c>
      <c r="B350" s="62"/>
      <c r="C350" s="63"/>
      <c r="D350" s="302" t="s">
        <v>7</v>
      </c>
      <c r="E350" s="62"/>
      <c r="F350" s="63"/>
      <c r="G350" s="40"/>
      <c r="H350" s="40"/>
      <c r="I350" s="49"/>
      <c r="J350" s="49"/>
      <c r="O350" s="43"/>
      <c r="P350" s="46"/>
      <c r="R350" s="46"/>
      <c r="S350" s="39"/>
      <c r="V350" s="39"/>
      <c r="W350" s="39"/>
      <c r="X350" s="39"/>
      <c r="Y350" s="39"/>
      <c r="Z350" s="39"/>
      <c r="AA350" s="47"/>
      <c r="AB350" s="47"/>
      <c r="AC350" s="47"/>
      <c r="AD350" s="39"/>
      <c r="AF350" s="43"/>
      <c r="AY350" s="40"/>
    </row>
    <row r="351" spans="1:59" ht="18" customHeight="1">
      <c r="A351" s="85" t="s">
        <v>229</v>
      </c>
      <c r="B351" s="40">
        <f>IF($C$13=150,VLOOKUP($C$14,$B$330:$C$338,2,0),IF($C$13=100,VLOOKUP($C$14,$B$339:$C$341,2,0),IF($C$13=60,VLOOKUP($C$14,$B$342:$C$344,2,0))))</f>
        <v>72</v>
      </c>
      <c r="C351" s="57"/>
      <c r="D351" s="85" t="s">
        <v>229</v>
      </c>
      <c r="E351" s="40">
        <f>IF($C$13=150,VLOOKUP($C$14,$B$330:$C$338,2,0),IF($C$13=100,VLOOKUP($C$14,$B$339:$C$341,2,0),IF($C$13=60,VLOOKUP($C$14,$B$342:$C$344,2,0))))</f>
        <v>72</v>
      </c>
      <c r="F351" s="57"/>
      <c r="G351" s="40"/>
      <c r="H351" s="40"/>
      <c r="I351" s="49"/>
      <c r="J351" s="49"/>
      <c r="O351" s="43"/>
      <c r="P351" s="46"/>
      <c r="R351" s="46"/>
      <c r="S351" s="39"/>
      <c r="V351" s="39"/>
      <c r="W351" s="39"/>
      <c r="X351" s="39"/>
      <c r="Y351" s="39"/>
      <c r="Z351" s="39"/>
      <c r="AA351" s="47"/>
      <c r="AB351" s="47"/>
      <c r="AC351" s="47"/>
      <c r="AD351" s="39"/>
      <c r="AF351" s="43"/>
      <c r="AY351" s="40"/>
    </row>
    <row r="352" spans="1:59" ht="18" customHeight="1">
      <c r="A352" s="85" t="s">
        <v>230</v>
      </c>
      <c r="B352" s="40">
        <f>VLOOKUP(C16,A347:D348,3,0)</f>
        <v>358</v>
      </c>
      <c r="C352" s="57"/>
      <c r="D352" s="85" t="s">
        <v>230</v>
      </c>
      <c r="E352" s="40">
        <f>VLOOKUP(C16,A347:D348,4,0)</f>
        <v>435</v>
      </c>
      <c r="F352" s="57"/>
      <c r="G352" s="40"/>
      <c r="H352" s="40"/>
      <c r="I352" s="49"/>
      <c r="J352" s="49"/>
      <c r="O352" s="43"/>
      <c r="P352" s="46"/>
      <c r="R352" s="46"/>
      <c r="S352" s="39"/>
      <c r="V352" s="39"/>
      <c r="W352" s="39"/>
      <c r="X352" s="39"/>
      <c r="Y352" s="39"/>
      <c r="Z352" s="39"/>
      <c r="AA352" s="47"/>
      <c r="AB352" s="47"/>
      <c r="AC352" s="47"/>
      <c r="AD352" s="39"/>
      <c r="AF352" s="43"/>
      <c r="AY352" s="40"/>
    </row>
    <row r="353" spans="1:51" ht="18" customHeight="1">
      <c r="A353" s="85" t="s">
        <v>227</v>
      </c>
      <c r="B353" s="40" t="str">
        <f>ADDRESS(B352,B351,,,"Geometrie")</f>
        <v>Geometrie!$BT$358</v>
      </c>
      <c r="C353" s="57"/>
      <c r="D353" s="85" t="s">
        <v>227</v>
      </c>
      <c r="E353" s="40" t="str">
        <f>ADDRESS(E352,E351,,,"Geometrie")</f>
        <v>Geometrie!$BT$435</v>
      </c>
      <c r="F353" s="57"/>
      <c r="G353" s="40"/>
      <c r="H353" s="40"/>
      <c r="I353" s="49"/>
      <c r="J353" s="49"/>
      <c r="O353" s="43"/>
      <c r="P353" s="46"/>
      <c r="R353" s="46"/>
      <c r="S353" s="39"/>
      <c r="V353" s="39"/>
      <c r="W353" s="39"/>
      <c r="X353" s="39"/>
      <c r="Y353" s="39"/>
      <c r="Z353" s="39"/>
      <c r="AA353" s="47"/>
      <c r="AB353" s="47"/>
      <c r="AC353" s="47"/>
      <c r="AD353" s="39"/>
      <c r="AF353" s="43"/>
      <c r="AY353" s="40"/>
    </row>
    <row r="354" spans="1:51" ht="18" customHeight="1">
      <c r="A354" s="86" t="s">
        <v>228</v>
      </c>
      <c r="B354" s="60" t="str">
        <f>ADDRESS(B352+73,B351+3,,,"Geometrie")</f>
        <v>Geometrie!$BW$431</v>
      </c>
      <c r="C354" s="61"/>
      <c r="D354" s="86" t="s">
        <v>228</v>
      </c>
      <c r="E354" s="60" t="str">
        <f>ADDRESS(E352+73,E351+3,,,"Geometrie")</f>
        <v>Geometrie!$BW$508</v>
      </c>
      <c r="F354" s="61"/>
      <c r="G354" s="40"/>
      <c r="H354" s="40"/>
      <c r="I354" s="49"/>
      <c r="J354" s="49"/>
      <c r="O354" s="43"/>
      <c r="P354" s="46"/>
      <c r="R354" s="46"/>
      <c r="S354" s="39"/>
      <c r="V354" s="39"/>
      <c r="W354" s="39"/>
      <c r="X354" s="39"/>
      <c r="Y354" s="39"/>
      <c r="Z354" s="39"/>
      <c r="AA354" s="47"/>
      <c r="AB354" s="47"/>
      <c r="AC354" s="47"/>
      <c r="AD354" s="39"/>
      <c r="AF354" s="43"/>
      <c r="AY354" s="40"/>
    </row>
    <row r="355" spans="1:51" ht="18" customHeight="1">
      <c r="I355" s="49"/>
      <c r="J355" s="49"/>
      <c r="O355" s="43"/>
      <c r="P355" s="46"/>
      <c r="R355" s="46"/>
      <c r="S355" s="39"/>
      <c r="V355" s="39"/>
      <c r="W355" s="39"/>
      <c r="X355" s="39"/>
      <c r="Y355" s="39"/>
      <c r="Z355" s="39"/>
      <c r="AA355" s="47"/>
      <c r="AB355" s="47"/>
      <c r="AC355" s="47"/>
      <c r="AD355" s="39"/>
      <c r="AF355" s="43"/>
      <c r="AY355" s="40"/>
    </row>
    <row r="356" spans="1:51" ht="18" customHeight="1">
      <c r="A356" s="427" t="s">
        <v>264</v>
      </c>
      <c r="B356" s="97" t="s">
        <v>269</v>
      </c>
      <c r="C356" s="105"/>
      <c r="I356" s="49"/>
      <c r="J356" s="49"/>
      <c r="O356" s="43"/>
      <c r="P356" s="46"/>
      <c r="R356" s="46"/>
      <c r="S356" s="39"/>
      <c r="V356" s="39"/>
      <c r="W356" s="39"/>
      <c r="X356" s="39"/>
      <c r="Y356" s="39"/>
      <c r="Z356" s="39"/>
      <c r="AA356" s="47"/>
      <c r="AB356" s="47"/>
      <c r="AC356" s="47"/>
      <c r="AD356" s="39"/>
      <c r="AF356" s="43"/>
      <c r="AY356" s="40"/>
    </row>
    <row r="357" spans="1:51" ht="18" customHeight="1">
      <c r="A357" s="53" t="s">
        <v>27</v>
      </c>
      <c r="B357" s="54" t="s">
        <v>6</v>
      </c>
      <c r="C357" s="105">
        <f>IF(C20="GL75",2,IF(OR(LEFT(C20,1)="C",AND(LEFT(C20,1)="G",LEN(C20)=5)),0,IF(LEFT(C20,1)="D",1,3)))</f>
        <v>0</v>
      </c>
      <c r="I357" s="49"/>
      <c r="J357" s="49"/>
      <c r="O357" s="43"/>
      <c r="P357" s="46"/>
      <c r="R357" s="46"/>
      <c r="S357" s="39"/>
      <c r="V357" s="39"/>
      <c r="W357" s="39"/>
      <c r="X357" s="39"/>
      <c r="Y357" s="39"/>
      <c r="Z357" s="39"/>
      <c r="AA357" s="47"/>
      <c r="AB357" s="47"/>
      <c r="AC357" s="47"/>
      <c r="AD357" s="39"/>
      <c r="AF357" s="43"/>
      <c r="AY357" s="40"/>
    </row>
    <row r="358" spans="1:51" ht="18" customHeight="1">
      <c r="A358" s="53" t="s">
        <v>52</v>
      </c>
      <c r="B358" s="37" t="s">
        <v>7</v>
      </c>
      <c r="C358" s="101">
        <f>IF(C37="GL75",2,IF(OR(LEFT(C37,1)="C",AND(LEFT(C37,1)="G",LEN(C37)=5)),0,IF(LEFT(C37,1)="D",1,3)))</f>
        <v>0</v>
      </c>
      <c r="I358" s="49"/>
      <c r="J358" s="49"/>
      <c r="O358" s="43"/>
      <c r="P358" s="46"/>
      <c r="R358" s="46"/>
      <c r="S358" s="39"/>
      <c r="V358" s="39"/>
      <c r="W358" s="39"/>
      <c r="X358" s="39"/>
      <c r="Y358" s="39"/>
      <c r="Z358" s="39"/>
      <c r="AA358" s="47"/>
      <c r="AB358" s="47"/>
      <c r="AC358" s="47"/>
      <c r="AD358" s="39"/>
      <c r="AF358" s="43"/>
      <c r="AY358" s="40"/>
    </row>
    <row r="359" spans="1:51" ht="18" customHeight="1">
      <c r="A359" s="53" t="s">
        <v>54</v>
      </c>
      <c r="I359" s="49"/>
      <c r="J359" s="49"/>
      <c r="O359" s="43"/>
      <c r="P359" s="46"/>
      <c r="R359" s="46"/>
      <c r="S359" s="39"/>
      <c r="V359" s="39"/>
      <c r="W359" s="39"/>
      <c r="X359" s="39"/>
      <c r="Y359" s="39"/>
      <c r="Z359" s="39"/>
      <c r="AA359" s="47"/>
      <c r="AB359" s="47"/>
      <c r="AC359" s="47"/>
      <c r="AD359" s="39"/>
      <c r="AF359" s="43"/>
      <c r="AY359" s="40"/>
    </row>
    <row r="360" spans="1:51" ht="18" customHeight="1">
      <c r="A360" s="53" t="s">
        <v>36</v>
      </c>
      <c r="I360" s="49"/>
      <c r="J360" s="49"/>
      <c r="O360" s="43"/>
      <c r="P360" s="46"/>
      <c r="R360" s="46"/>
      <c r="S360" s="39"/>
      <c r="V360" s="39"/>
      <c r="W360" s="39"/>
      <c r="X360" s="39"/>
      <c r="Y360" s="39"/>
      <c r="Z360" s="39"/>
      <c r="AA360" s="47"/>
      <c r="AB360" s="47"/>
      <c r="AC360" s="47"/>
      <c r="AD360" s="39"/>
      <c r="AF360" s="43"/>
      <c r="AY360" s="40"/>
    </row>
    <row r="361" spans="1:51" ht="18" customHeight="1">
      <c r="A361" s="53" t="s">
        <v>40</v>
      </c>
      <c r="I361" s="49"/>
      <c r="J361" s="49"/>
      <c r="O361" s="43"/>
      <c r="P361" s="46"/>
      <c r="R361" s="46"/>
      <c r="S361" s="39"/>
      <c r="V361" s="39"/>
      <c r="W361" s="39"/>
      <c r="X361" s="39"/>
      <c r="Y361" s="39"/>
      <c r="Z361" s="39"/>
      <c r="AA361" s="47"/>
      <c r="AB361" s="47"/>
      <c r="AC361" s="47"/>
      <c r="AD361" s="39"/>
      <c r="AF361" s="43"/>
      <c r="AY361" s="40"/>
    </row>
    <row r="362" spans="1:51" ht="18" customHeight="1">
      <c r="A362" s="300" t="s">
        <v>57</v>
      </c>
      <c r="I362" s="49"/>
      <c r="J362" s="49"/>
      <c r="O362" s="43"/>
      <c r="P362" s="46"/>
      <c r="R362" s="46"/>
      <c r="S362" s="39"/>
      <c r="V362" s="39"/>
      <c r="W362" s="39"/>
      <c r="X362" s="39"/>
      <c r="Y362" s="39"/>
      <c r="Z362" s="39"/>
      <c r="AA362" s="47"/>
      <c r="AB362" s="47"/>
      <c r="AC362" s="47"/>
      <c r="AD362" s="39"/>
      <c r="AF362" s="43"/>
      <c r="AS362" s="45"/>
      <c r="AT362" s="45"/>
      <c r="AU362" s="45"/>
      <c r="AV362" s="45"/>
      <c r="AW362" s="45"/>
      <c r="AY362" s="40"/>
    </row>
    <row r="363" spans="1:51" ht="18" customHeight="1">
      <c r="I363" s="49"/>
      <c r="J363" s="49"/>
      <c r="O363" s="43"/>
      <c r="P363" s="46"/>
      <c r="R363" s="46"/>
      <c r="S363" s="39"/>
      <c r="V363" s="39"/>
      <c r="W363" s="39"/>
      <c r="X363" s="39"/>
      <c r="Y363" s="39"/>
      <c r="Z363" s="39"/>
      <c r="AA363" s="47"/>
      <c r="AB363" s="47"/>
      <c r="AC363" s="47"/>
      <c r="AD363" s="39"/>
      <c r="AF363" s="43"/>
      <c r="AS363" s="45"/>
      <c r="AT363" s="45"/>
      <c r="AU363" s="45"/>
      <c r="AV363" s="45"/>
      <c r="AW363" s="45"/>
      <c r="AX363" s="45"/>
      <c r="AY363" s="45"/>
    </row>
    <row r="364" spans="1:51" ht="18" customHeight="1">
      <c r="I364" s="49"/>
      <c r="J364" s="49"/>
      <c r="O364" s="43"/>
      <c r="P364" s="46"/>
      <c r="R364" s="46"/>
      <c r="S364" s="39"/>
      <c r="V364" s="39"/>
      <c r="W364" s="39"/>
      <c r="X364" s="39"/>
      <c r="Y364" s="39"/>
      <c r="Z364" s="39"/>
      <c r="AA364" s="47"/>
      <c r="AB364" s="47"/>
      <c r="AC364" s="47"/>
      <c r="AD364" s="39"/>
      <c r="AF364" s="43"/>
      <c r="AX364" s="45"/>
      <c r="AY364" s="45"/>
    </row>
    <row r="365" spans="1:51" ht="18" customHeight="1">
      <c r="A365" s="427" t="s">
        <v>272</v>
      </c>
      <c r="I365" s="49"/>
      <c r="J365" s="49"/>
      <c r="O365" s="43"/>
      <c r="P365" s="46"/>
      <c r="Q365" s="46"/>
      <c r="R365" s="39"/>
      <c r="S365" s="39"/>
      <c r="V365" s="39"/>
      <c r="W365" s="39"/>
      <c r="X365" s="39"/>
      <c r="Y365" s="39"/>
      <c r="Z365" s="39"/>
      <c r="AA365" s="47"/>
      <c r="AB365" s="47"/>
      <c r="AC365" s="47"/>
      <c r="AD365" s="39"/>
      <c r="AF365" s="43"/>
      <c r="AY365" s="40"/>
    </row>
    <row r="366" spans="1:51" ht="18" customHeight="1">
      <c r="A366" s="428" t="s">
        <v>282</v>
      </c>
      <c r="I366" s="49"/>
      <c r="J366" s="49"/>
      <c r="O366" s="43"/>
      <c r="P366" s="46"/>
      <c r="Q366" s="46"/>
      <c r="R366" s="39"/>
      <c r="S366" s="39"/>
      <c r="V366" s="39"/>
      <c r="W366" s="39"/>
      <c r="X366" s="39"/>
      <c r="Y366" s="39"/>
      <c r="Z366" s="39"/>
      <c r="AA366" s="47"/>
      <c r="AB366" s="47"/>
      <c r="AC366" s="47"/>
      <c r="AD366" s="39"/>
      <c r="AF366" s="43"/>
      <c r="AY366" s="40"/>
    </row>
    <row r="367" spans="1:51" ht="18" customHeight="1">
      <c r="A367" s="53">
        <v>1</v>
      </c>
      <c r="I367" s="49"/>
      <c r="J367" s="49"/>
      <c r="O367" s="43"/>
      <c r="P367" s="46"/>
      <c r="Q367" s="46"/>
      <c r="R367" s="39"/>
      <c r="S367" s="39"/>
      <c r="V367" s="39"/>
      <c r="W367" s="39"/>
      <c r="X367" s="39"/>
      <c r="Y367" s="39"/>
      <c r="Z367" s="39"/>
      <c r="AA367" s="47"/>
      <c r="AB367" s="47"/>
      <c r="AC367" s="47"/>
      <c r="AD367" s="39"/>
      <c r="AF367" s="43"/>
      <c r="AY367" s="40"/>
    </row>
    <row r="368" spans="1:51" ht="18" customHeight="1">
      <c r="A368" s="53">
        <v>2</v>
      </c>
      <c r="I368" s="49"/>
      <c r="J368" s="49"/>
      <c r="O368" s="43"/>
      <c r="P368" s="46"/>
      <c r="Q368" s="46"/>
      <c r="R368" s="39"/>
      <c r="S368" s="39"/>
      <c r="V368" s="39"/>
      <c r="W368" s="39"/>
      <c r="X368" s="39"/>
      <c r="Y368" s="39"/>
      <c r="Z368" s="39"/>
      <c r="AA368" s="47"/>
      <c r="AB368" s="47"/>
      <c r="AC368" s="47"/>
      <c r="AD368" s="39"/>
      <c r="AF368" s="345"/>
      <c r="AG368" s="45"/>
      <c r="AH368" s="45"/>
      <c r="AY368" s="40"/>
    </row>
    <row r="369" spans="1:52" ht="18" customHeight="1">
      <c r="A369" s="300" t="str">
        <f>IF(C13=60,"",3)</f>
        <v/>
      </c>
      <c r="I369" s="49"/>
      <c r="J369" s="49"/>
      <c r="O369" s="43"/>
      <c r="P369" s="46"/>
      <c r="Q369" s="46"/>
      <c r="R369" s="39"/>
      <c r="S369" s="39"/>
      <c r="V369" s="39"/>
      <c r="W369" s="39"/>
      <c r="X369" s="39"/>
      <c r="Y369" s="39"/>
      <c r="Z369" s="39"/>
      <c r="AA369" s="47"/>
      <c r="AB369" s="47"/>
      <c r="AC369" s="47"/>
      <c r="AD369" s="39"/>
      <c r="AE369" s="45"/>
      <c r="AF369" s="345"/>
      <c r="AG369" s="45"/>
      <c r="AH369" s="45"/>
      <c r="AY369" s="40"/>
    </row>
    <row r="370" spans="1:52" ht="18" customHeight="1">
      <c r="A370" s="40"/>
      <c r="B370" s="40"/>
      <c r="C370" s="40"/>
      <c r="D370" s="40"/>
      <c r="E370" s="40"/>
      <c r="I370" s="49"/>
      <c r="J370" s="49"/>
      <c r="O370" s="43"/>
      <c r="P370" s="46"/>
      <c r="Q370" s="46"/>
      <c r="R370" s="39"/>
      <c r="S370" s="39"/>
      <c r="V370" s="39"/>
      <c r="W370" s="39"/>
      <c r="X370" s="39"/>
      <c r="Y370" s="39"/>
      <c r="Z370" s="39"/>
      <c r="AA370" s="47"/>
      <c r="AB370" s="47"/>
      <c r="AC370" s="47"/>
      <c r="AD370" s="45"/>
      <c r="AE370" s="45"/>
      <c r="AF370" s="43"/>
      <c r="AY370" s="40"/>
    </row>
    <row r="371" spans="1:52" ht="18" customHeight="1">
      <c r="A371" s="40"/>
      <c r="B371" s="40"/>
      <c r="C371" s="40"/>
      <c r="D371" s="40"/>
      <c r="E371" s="40"/>
      <c r="I371" s="49"/>
      <c r="J371" s="49"/>
      <c r="O371" s="43"/>
      <c r="P371" s="46"/>
      <c r="Q371" s="46"/>
      <c r="R371" s="39"/>
      <c r="S371" s="39"/>
      <c r="V371" s="39"/>
      <c r="W371" s="39"/>
      <c r="X371" s="39"/>
      <c r="Y371" s="39"/>
      <c r="Z371" s="39"/>
      <c r="AA371" s="47"/>
      <c r="AB371" s="47"/>
      <c r="AC371" s="47"/>
      <c r="AD371" s="45"/>
      <c r="AF371" s="43"/>
      <c r="AY371" s="40"/>
    </row>
    <row r="372" spans="1:52" ht="18" customHeight="1">
      <c r="A372" s="40"/>
      <c r="B372" s="40"/>
      <c r="C372" s="40"/>
      <c r="D372" s="40"/>
      <c r="E372" s="40"/>
      <c r="I372" s="49"/>
      <c r="J372" s="49"/>
      <c r="O372" s="43"/>
      <c r="P372" s="46"/>
      <c r="Q372" s="46"/>
      <c r="R372" s="39"/>
      <c r="S372" s="39"/>
      <c r="V372" s="39"/>
      <c r="W372" s="39"/>
      <c r="X372" s="39"/>
      <c r="Y372" s="39"/>
      <c r="Z372" s="39"/>
      <c r="AA372" s="47"/>
      <c r="AB372" s="47"/>
      <c r="AC372" s="47"/>
      <c r="AD372" s="39"/>
      <c r="AF372" s="43"/>
      <c r="AY372" s="40"/>
    </row>
    <row r="373" spans="1:52" ht="18" customHeight="1">
      <c r="A373" s="40"/>
      <c r="B373" s="40"/>
      <c r="C373" s="40"/>
      <c r="D373" s="40"/>
      <c r="E373" s="40"/>
      <c r="I373" s="49"/>
      <c r="J373" s="49"/>
      <c r="O373" s="43"/>
      <c r="P373" s="46"/>
      <c r="Q373" s="46"/>
      <c r="R373" s="39"/>
      <c r="S373" s="39"/>
      <c r="V373" s="39"/>
      <c r="W373" s="39"/>
      <c r="X373" s="39"/>
      <c r="Y373" s="39"/>
      <c r="Z373" s="39"/>
      <c r="AA373" s="47"/>
      <c r="AB373" s="47"/>
      <c r="AC373" s="47"/>
      <c r="AD373" s="39"/>
      <c r="AF373" s="43"/>
      <c r="AY373" s="40"/>
    </row>
    <row r="374" spans="1:52" ht="18" customHeight="1">
      <c r="A374" s="40"/>
      <c r="B374" s="40"/>
      <c r="C374" s="40"/>
      <c r="D374" s="40"/>
      <c r="E374" s="40"/>
      <c r="I374" s="49"/>
      <c r="J374" s="49"/>
      <c r="O374" s="43"/>
      <c r="P374" s="46"/>
      <c r="Q374" s="46"/>
      <c r="R374" s="39"/>
      <c r="S374" s="39"/>
      <c r="V374" s="39"/>
      <c r="W374" s="39"/>
      <c r="X374" s="39"/>
      <c r="Y374" s="39"/>
      <c r="Z374" s="39"/>
      <c r="AA374" s="47"/>
      <c r="AB374" s="47"/>
      <c r="AC374" s="47"/>
      <c r="AD374" s="39"/>
      <c r="AF374" s="43"/>
      <c r="AY374" s="40"/>
    </row>
    <row r="375" spans="1:52" ht="18" customHeight="1">
      <c r="A375" s="45"/>
      <c r="B375" s="45"/>
      <c r="C375" s="45"/>
      <c r="D375" s="45"/>
      <c r="E375" s="45"/>
      <c r="F375" s="45"/>
      <c r="G375" s="45"/>
      <c r="H375" s="45"/>
      <c r="I375" s="312"/>
      <c r="J375" s="289"/>
      <c r="K375" s="45"/>
      <c r="L375" s="45"/>
      <c r="M375" s="45"/>
      <c r="O375" s="43"/>
      <c r="P375" s="45"/>
      <c r="Q375" s="45"/>
      <c r="R375" s="45"/>
      <c r="S375" s="45"/>
      <c r="T375" s="45"/>
      <c r="V375" s="39"/>
      <c r="W375" s="39"/>
      <c r="X375" s="39"/>
      <c r="Y375" s="39"/>
      <c r="Z375" s="39"/>
      <c r="AA375" s="47"/>
      <c r="AB375" s="47"/>
      <c r="AC375" s="47"/>
      <c r="AD375" s="39"/>
      <c r="AF375" s="43"/>
      <c r="AI375" s="45"/>
      <c r="AJ375" s="45"/>
      <c r="AK375" s="45"/>
      <c r="AL375" s="45"/>
      <c r="AM375" s="45"/>
      <c r="AN375" s="45"/>
      <c r="AO375" s="45"/>
      <c r="AP375" s="45"/>
      <c r="AQ375" s="45"/>
      <c r="AR375" s="45"/>
      <c r="AY375" s="40"/>
      <c r="AZ375" s="45"/>
    </row>
    <row r="376" spans="1:52" ht="18" customHeight="1">
      <c r="A376" s="45"/>
      <c r="B376" s="45"/>
      <c r="C376" s="45"/>
      <c r="D376" s="45"/>
      <c r="E376" s="45"/>
      <c r="F376" s="45"/>
      <c r="G376" s="45"/>
      <c r="H376" s="45"/>
      <c r="I376" s="312"/>
      <c r="J376" s="289"/>
      <c r="K376" s="45"/>
      <c r="L376" s="45"/>
      <c r="M376" s="45"/>
      <c r="O376" s="43"/>
      <c r="P376" s="45"/>
      <c r="Q376" s="45"/>
      <c r="R376" s="45"/>
      <c r="S376" s="45"/>
      <c r="T376" s="45"/>
      <c r="V376" s="45"/>
      <c r="W376" s="45"/>
      <c r="X376" s="45"/>
      <c r="Y376" s="45"/>
      <c r="Z376" s="45"/>
      <c r="AA376" s="345"/>
      <c r="AB376" s="345"/>
      <c r="AC376" s="345"/>
      <c r="AD376" s="39"/>
      <c r="AF376" s="43"/>
      <c r="AI376" s="45"/>
      <c r="AJ376" s="45"/>
      <c r="AK376" s="45"/>
      <c r="AL376" s="45"/>
      <c r="AM376" s="45"/>
      <c r="AN376" s="45"/>
      <c r="AO376" s="45"/>
      <c r="AP376" s="45"/>
      <c r="AQ376" s="45"/>
      <c r="AR376" s="45"/>
      <c r="AY376" s="40"/>
      <c r="AZ376" s="45"/>
    </row>
    <row r="377" spans="1:52" ht="18" customHeight="1">
      <c r="A377" s="40"/>
      <c r="B377" s="40"/>
      <c r="C377" s="40"/>
      <c r="D377" s="40"/>
      <c r="E377" s="40"/>
      <c r="I377" s="49"/>
      <c r="J377" s="49"/>
      <c r="O377" s="43"/>
      <c r="P377" s="46"/>
      <c r="Q377" s="39"/>
      <c r="R377" s="39"/>
      <c r="S377" s="39"/>
      <c r="V377" s="45"/>
      <c r="W377" s="45"/>
      <c r="X377" s="45"/>
      <c r="Y377" s="45"/>
      <c r="Z377" s="45"/>
      <c r="AA377" s="345"/>
      <c r="AB377" s="345"/>
      <c r="AC377" s="345"/>
      <c r="AD377" s="39"/>
      <c r="AF377" s="43"/>
      <c r="AY377" s="40"/>
    </row>
    <row r="378" spans="1:52" ht="18" customHeight="1">
      <c r="A378" s="40"/>
      <c r="B378" s="40"/>
      <c r="C378" s="40"/>
      <c r="D378" s="40"/>
      <c r="E378" s="40"/>
      <c r="O378" s="43"/>
      <c r="P378" s="46"/>
      <c r="Q378" s="39"/>
      <c r="R378" s="39"/>
      <c r="S378" s="39"/>
      <c r="V378" s="39"/>
      <c r="W378" s="39"/>
      <c r="X378" s="39"/>
      <c r="Y378" s="39"/>
      <c r="Z378" s="39"/>
      <c r="AA378" s="47"/>
      <c r="AB378" s="47"/>
      <c r="AC378" s="47"/>
      <c r="AD378" s="39"/>
      <c r="AF378" s="43"/>
      <c r="AY378" s="40"/>
    </row>
    <row r="379" spans="1:52" ht="18" customHeight="1">
      <c r="A379" s="40"/>
      <c r="B379" s="40"/>
      <c r="C379" s="40"/>
      <c r="D379" s="40"/>
      <c r="E379" s="40"/>
      <c r="O379" s="43"/>
      <c r="P379" s="46"/>
      <c r="Q379" s="39"/>
      <c r="R379" s="39"/>
      <c r="S379" s="39"/>
      <c r="V379" s="39"/>
      <c r="W379" s="39"/>
      <c r="X379" s="39"/>
      <c r="Y379" s="39"/>
      <c r="Z379" s="39"/>
      <c r="AA379" s="47"/>
      <c r="AB379" s="47"/>
      <c r="AC379" s="47"/>
      <c r="AD379" s="39"/>
      <c r="AF379" s="43"/>
      <c r="AY379" s="40"/>
    </row>
    <row r="380" spans="1:52" ht="18" customHeight="1">
      <c r="A380" s="40"/>
      <c r="B380" s="40"/>
      <c r="C380" s="40"/>
      <c r="D380" s="40"/>
      <c r="E380" s="40"/>
      <c r="O380" s="43"/>
      <c r="P380" s="46"/>
      <c r="Q380" s="39"/>
      <c r="R380" s="39"/>
      <c r="S380" s="39"/>
      <c r="U380" s="39"/>
      <c r="V380" s="39"/>
      <c r="W380" s="39"/>
      <c r="X380" s="39"/>
      <c r="Y380" s="47"/>
      <c r="Z380" s="47"/>
      <c r="AA380" s="39"/>
      <c r="AB380" s="39"/>
      <c r="AC380" s="39"/>
      <c r="AD380" s="40"/>
      <c r="AE380" s="43"/>
      <c r="AY380" s="40"/>
    </row>
    <row r="381" spans="1:52" ht="18" customHeight="1">
      <c r="A381" s="40"/>
      <c r="B381" s="40"/>
      <c r="C381" s="40"/>
      <c r="D381" s="40"/>
      <c r="E381" s="40"/>
      <c r="O381" s="43"/>
      <c r="P381" s="46"/>
      <c r="Q381" s="39"/>
      <c r="R381" s="39"/>
      <c r="S381" s="39"/>
      <c r="T381" s="39"/>
      <c r="U381" s="39"/>
      <c r="V381" s="39"/>
      <c r="W381" s="39"/>
      <c r="X381" s="39"/>
      <c r="Y381" s="47"/>
      <c r="Z381" s="47"/>
      <c r="AA381" s="39"/>
      <c r="AB381" s="39"/>
      <c r="AC381" s="39"/>
      <c r="AD381" s="40"/>
      <c r="AE381" s="43"/>
      <c r="AY381" s="40"/>
    </row>
    <row r="382" spans="1:52" ht="18" customHeight="1">
      <c r="A382" s="40"/>
      <c r="B382" s="40"/>
      <c r="C382" s="40"/>
      <c r="D382" s="40"/>
      <c r="E382" s="40"/>
      <c r="F382" s="40"/>
      <c r="G382" s="40"/>
      <c r="O382" s="43"/>
      <c r="P382" s="46"/>
      <c r="Q382" s="39"/>
      <c r="R382" s="39"/>
      <c r="S382" s="39"/>
      <c r="T382" s="39"/>
      <c r="U382" s="39"/>
      <c r="V382" s="39"/>
      <c r="W382" s="39"/>
      <c r="X382" s="39"/>
      <c r="Y382" s="47"/>
      <c r="Z382" s="47"/>
      <c r="AA382" s="39"/>
      <c r="AB382" s="39"/>
      <c r="AC382" s="39"/>
      <c r="AD382" s="40"/>
      <c r="AE382" s="43"/>
      <c r="AY382" s="40"/>
    </row>
    <row r="383" spans="1:52" ht="18" customHeight="1">
      <c r="A383" s="40"/>
      <c r="B383" s="40"/>
      <c r="C383" s="40"/>
      <c r="D383" s="40"/>
      <c r="E383" s="40"/>
      <c r="F383" s="40"/>
      <c r="G383" s="40"/>
      <c r="O383" s="43"/>
      <c r="P383" s="46"/>
      <c r="Q383" s="39"/>
      <c r="R383" s="39"/>
      <c r="S383" s="39"/>
      <c r="T383" s="39"/>
      <c r="U383" s="39"/>
      <c r="V383" s="39"/>
      <c r="W383" s="39"/>
      <c r="X383" s="39"/>
      <c r="Y383" s="47"/>
      <c r="Z383" s="47"/>
      <c r="AA383" s="39"/>
      <c r="AB383" s="39"/>
      <c r="AC383" s="39"/>
      <c r="AD383" s="40"/>
      <c r="AE383" s="43"/>
      <c r="AY383" s="40"/>
    </row>
    <row r="384" spans="1:52" ht="18" customHeight="1">
      <c r="A384" s="40"/>
      <c r="B384" s="40"/>
      <c r="C384" s="40"/>
      <c r="D384" s="40"/>
      <c r="E384" s="40"/>
      <c r="F384" s="40"/>
      <c r="G384" s="40"/>
      <c r="O384" s="43"/>
      <c r="P384" s="46"/>
      <c r="Q384" s="39"/>
      <c r="R384" s="39"/>
      <c r="S384" s="39"/>
      <c r="T384" s="39"/>
      <c r="U384" s="39"/>
      <c r="V384" s="39"/>
      <c r="W384" s="39"/>
      <c r="X384" s="39"/>
      <c r="Y384" s="47"/>
      <c r="Z384" s="47"/>
      <c r="AA384" s="39"/>
      <c r="AB384" s="39"/>
      <c r="AC384" s="39"/>
      <c r="AD384" s="40"/>
      <c r="AE384" s="43"/>
      <c r="AY384" s="40"/>
    </row>
    <row r="385" spans="1:51" ht="18" customHeight="1">
      <c r="A385" s="40"/>
      <c r="B385" s="40"/>
      <c r="C385" s="40"/>
      <c r="D385" s="40"/>
      <c r="E385" s="40"/>
      <c r="F385" s="40"/>
      <c r="G385" s="40"/>
      <c r="O385" s="43"/>
      <c r="P385" s="46"/>
      <c r="Q385" s="39"/>
      <c r="R385" s="39"/>
      <c r="S385" s="39"/>
      <c r="T385" s="39"/>
      <c r="U385" s="39"/>
      <c r="V385" s="39"/>
      <c r="W385" s="39"/>
      <c r="X385" s="39"/>
      <c r="Y385" s="47"/>
      <c r="Z385" s="47"/>
      <c r="AA385" s="39"/>
      <c r="AB385" s="39"/>
      <c r="AC385" s="39"/>
      <c r="AD385" s="40"/>
      <c r="AE385" s="43"/>
      <c r="AY385" s="40"/>
    </row>
    <row r="386" spans="1:51" ht="18" customHeight="1">
      <c r="A386" s="40"/>
      <c r="B386" s="40"/>
      <c r="C386" s="40"/>
      <c r="D386" s="40"/>
      <c r="E386" s="40"/>
      <c r="F386" s="40"/>
      <c r="G386" s="40"/>
      <c r="O386" s="43"/>
      <c r="P386" s="46"/>
      <c r="Q386" s="39"/>
      <c r="R386" s="39"/>
      <c r="S386" s="39"/>
      <c r="T386" s="39"/>
      <c r="U386" s="39"/>
      <c r="V386" s="39"/>
      <c r="W386" s="39"/>
      <c r="X386" s="39"/>
      <c r="Y386" s="47"/>
      <c r="Z386" s="47"/>
      <c r="AA386" s="39"/>
      <c r="AB386" s="39"/>
      <c r="AC386" s="39"/>
      <c r="AD386" s="40"/>
      <c r="AE386" s="43"/>
      <c r="AY386" s="40"/>
    </row>
    <row r="387" spans="1:51" ht="18" customHeight="1">
      <c r="A387" s="40"/>
      <c r="B387" s="40"/>
      <c r="C387" s="40"/>
      <c r="D387" s="40"/>
      <c r="E387" s="40"/>
      <c r="F387" s="40"/>
      <c r="G387" s="40"/>
      <c r="O387" s="43"/>
      <c r="P387" s="46"/>
      <c r="Q387" s="39"/>
      <c r="R387" s="39"/>
      <c r="S387" s="39"/>
      <c r="T387" s="39"/>
      <c r="U387" s="39"/>
      <c r="V387" s="39"/>
      <c r="W387" s="39"/>
      <c r="X387" s="39"/>
      <c r="Y387" s="47"/>
      <c r="Z387" s="47"/>
      <c r="AA387" s="39"/>
      <c r="AB387" s="39"/>
      <c r="AC387" s="39"/>
      <c r="AD387" s="39"/>
      <c r="AE387" s="47"/>
      <c r="AF387" s="39"/>
      <c r="AG387" s="39"/>
      <c r="AY387" s="40"/>
    </row>
    <row r="388" spans="1:51" ht="18" customHeight="1">
      <c r="A388" s="40"/>
      <c r="B388" s="40"/>
      <c r="C388" s="40"/>
      <c r="D388" s="40"/>
      <c r="E388" s="40"/>
      <c r="F388" s="40"/>
      <c r="G388" s="40"/>
      <c r="O388" s="43"/>
      <c r="P388" s="46"/>
      <c r="Q388" s="39"/>
      <c r="R388" s="39"/>
      <c r="S388" s="39"/>
      <c r="T388" s="39"/>
      <c r="U388" s="39"/>
      <c r="V388" s="39"/>
      <c r="W388" s="39"/>
      <c r="X388" s="39"/>
      <c r="Y388" s="47"/>
      <c r="Z388" s="47"/>
      <c r="AE388" s="39"/>
      <c r="AF388" s="39"/>
      <c r="AG388" s="47"/>
      <c r="AY388" s="40"/>
    </row>
    <row r="389" spans="1:51" ht="18" customHeight="1">
      <c r="A389" s="40"/>
      <c r="B389" s="40"/>
      <c r="C389" s="40"/>
      <c r="D389" s="40"/>
      <c r="E389" s="40"/>
      <c r="F389" s="40"/>
      <c r="G389" s="40"/>
      <c r="O389" s="43"/>
      <c r="P389" s="46"/>
      <c r="Q389" s="39"/>
      <c r="R389" s="39"/>
      <c r="S389" s="39"/>
      <c r="T389" s="39"/>
      <c r="U389" s="39"/>
      <c r="V389" s="39"/>
      <c r="W389" s="39"/>
      <c r="X389" s="39"/>
      <c r="Y389" s="47"/>
      <c r="Z389" s="47"/>
      <c r="AE389" s="39"/>
      <c r="AF389" s="39"/>
      <c r="AG389" s="47"/>
      <c r="AY389" s="40"/>
    </row>
    <row r="390" spans="1:51" ht="18" customHeight="1">
      <c r="A390" s="40"/>
      <c r="B390" s="40"/>
      <c r="C390" s="40"/>
      <c r="D390" s="40"/>
      <c r="E390" s="40"/>
      <c r="F390" s="40"/>
      <c r="G390" s="40"/>
      <c r="O390" s="43"/>
      <c r="P390" s="46"/>
      <c r="Q390" s="39"/>
      <c r="R390" s="39"/>
      <c r="S390" s="39"/>
      <c r="T390" s="39"/>
      <c r="U390" s="39"/>
      <c r="V390" s="39"/>
      <c r="W390" s="39"/>
      <c r="X390" s="39"/>
      <c r="Y390" s="47"/>
      <c r="Z390" s="47"/>
      <c r="AE390" s="39"/>
      <c r="AF390" s="39"/>
      <c r="AG390" s="47"/>
      <c r="AY390" s="40"/>
    </row>
    <row r="391" spans="1:51" ht="18" customHeight="1">
      <c r="A391" s="40"/>
      <c r="B391" s="40"/>
      <c r="C391" s="40"/>
      <c r="D391" s="40"/>
      <c r="E391" s="40"/>
      <c r="F391" s="40"/>
      <c r="G391" s="40"/>
      <c r="O391" s="43"/>
      <c r="P391" s="46"/>
      <c r="Q391" s="39"/>
      <c r="R391" s="39"/>
      <c r="S391" s="39"/>
      <c r="T391" s="39"/>
      <c r="U391" s="39"/>
      <c r="V391" s="39"/>
      <c r="W391" s="39"/>
      <c r="X391" s="39"/>
      <c r="Y391" s="47"/>
      <c r="Z391" s="47"/>
      <c r="AE391" s="39"/>
      <c r="AF391" s="39"/>
      <c r="AG391" s="47"/>
      <c r="AY391" s="40"/>
    </row>
    <row r="392" spans="1:51" ht="18" customHeight="1">
      <c r="A392" s="40"/>
      <c r="B392" s="40"/>
      <c r="C392" s="40"/>
      <c r="D392" s="40"/>
      <c r="E392" s="40"/>
      <c r="F392" s="40"/>
      <c r="G392" s="40"/>
      <c r="O392" s="43"/>
      <c r="P392" s="46"/>
      <c r="Q392" s="39"/>
      <c r="R392" s="39"/>
      <c r="S392" s="39"/>
      <c r="T392" s="39"/>
      <c r="U392" s="39"/>
      <c r="V392" s="39"/>
      <c r="W392" s="39"/>
      <c r="X392" s="39"/>
      <c r="Y392" s="47"/>
      <c r="Z392" s="47"/>
      <c r="AE392" s="39"/>
      <c r="AF392" s="39"/>
      <c r="AG392" s="47"/>
      <c r="AY392" s="40"/>
    </row>
    <row r="393" spans="1:51" ht="18" customHeight="1">
      <c r="A393" s="40"/>
      <c r="B393" s="40"/>
      <c r="C393" s="40"/>
      <c r="D393" s="40"/>
      <c r="E393" s="40"/>
      <c r="F393" s="40"/>
      <c r="G393" s="40"/>
      <c r="O393" s="43"/>
      <c r="P393" s="46"/>
      <c r="Q393" s="39"/>
      <c r="R393" s="39"/>
      <c r="S393" s="39"/>
      <c r="T393" s="39"/>
      <c r="U393" s="39"/>
      <c r="V393" s="39"/>
      <c r="W393" s="39"/>
      <c r="X393" s="39"/>
      <c r="Y393" s="47"/>
      <c r="Z393" s="47"/>
      <c r="AE393" s="39"/>
      <c r="AF393" s="39"/>
      <c r="AG393" s="47"/>
      <c r="AJ393" s="39"/>
      <c r="AK393" s="39"/>
      <c r="AY393" s="40"/>
    </row>
    <row r="394" spans="1:51" ht="18" customHeight="1">
      <c r="A394" s="40"/>
      <c r="B394" s="40"/>
      <c r="C394" s="40"/>
      <c r="D394" s="40"/>
      <c r="E394" s="40"/>
      <c r="F394" s="40"/>
      <c r="G394" s="40"/>
      <c r="O394" s="43"/>
      <c r="P394" s="46"/>
      <c r="Q394" s="39"/>
      <c r="R394" s="39"/>
      <c r="S394" s="39"/>
      <c r="T394" s="46"/>
      <c r="AF394" s="39"/>
      <c r="AG394" s="47"/>
      <c r="AH394" s="39"/>
      <c r="AI394" s="39"/>
      <c r="AJ394" s="39"/>
      <c r="AK394" s="39"/>
      <c r="AY394" s="40"/>
    </row>
    <row r="395" spans="1:51" ht="18" customHeight="1">
      <c r="A395" s="40"/>
      <c r="B395" s="40"/>
      <c r="C395" s="40"/>
      <c r="D395" s="40"/>
      <c r="E395" s="40"/>
      <c r="F395" s="40"/>
      <c r="G395" s="40"/>
      <c r="O395" s="43"/>
      <c r="P395" s="46"/>
      <c r="Q395" s="39"/>
      <c r="R395" s="39"/>
      <c r="S395" s="39"/>
      <c r="T395" s="46"/>
      <c r="AF395" s="39"/>
      <c r="AG395" s="47"/>
      <c r="AH395" s="39"/>
      <c r="AI395" s="39"/>
      <c r="AJ395" s="39"/>
      <c r="AK395" s="39"/>
      <c r="AY395" s="40"/>
    </row>
    <row r="396" spans="1:51" ht="18" customHeight="1">
      <c r="A396" s="40"/>
      <c r="B396" s="40"/>
      <c r="C396" s="40"/>
      <c r="D396" s="40"/>
      <c r="E396" s="40"/>
      <c r="F396" s="40"/>
      <c r="G396" s="40"/>
      <c r="O396" s="43"/>
      <c r="P396" s="46"/>
      <c r="Q396" s="39"/>
      <c r="R396" s="39"/>
      <c r="S396" s="39"/>
      <c r="T396" s="46"/>
      <c r="AF396" s="39"/>
      <c r="AG396" s="47"/>
      <c r="AH396" s="39"/>
      <c r="AI396" s="39"/>
      <c r="AJ396" s="39"/>
      <c r="AK396" s="39"/>
      <c r="AY396" s="40"/>
    </row>
    <row r="397" spans="1:51" ht="18" customHeight="1">
      <c r="A397" s="40"/>
      <c r="B397" s="40"/>
      <c r="C397" s="40"/>
      <c r="D397" s="40"/>
      <c r="E397" s="40"/>
      <c r="F397" s="40"/>
      <c r="G397" s="40"/>
      <c r="O397" s="43"/>
      <c r="P397" s="46"/>
      <c r="Q397" s="39"/>
      <c r="R397" s="39"/>
      <c r="S397" s="39"/>
      <c r="T397" s="46"/>
      <c r="AA397" s="39"/>
      <c r="AB397" s="39"/>
      <c r="AC397" s="39"/>
      <c r="AD397" s="47"/>
      <c r="AE397" s="39"/>
      <c r="AF397" s="46"/>
      <c r="AG397" s="47"/>
      <c r="AH397" s="39"/>
      <c r="AI397" s="39"/>
      <c r="AJ397" s="39"/>
      <c r="AK397" s="39"/>
      <c r="AY397" s="40"/>
    </row>
    <row r="398" spans="1:51" ht="18" customHeight="1">
      <c r="A398" s="40"/>
      <c r="B398" s="40"/>
      <c r="C398" s="40"/>
      <c r="D398" s="40"/>
      <c r="E398" s="40"/>
      <c r="F398" s="40"/>
      <c r="G398" s="40"/>
      <c r="O398" s="43"/>
      <c r="P398" s="46"/>
      <c r="Q398" s="39"/>
      <c r="R398" s="39"/>
      <c r="S398" s="39"/>
      <c r="T398" s="46"/>
      <c r="AA398" s="39"/>
      <c r="AB398" s="39"/>
      <c r="AC398" s="39"/>
      <c r="AD398" s="47"/>
      <c r="AE398" s="39"/>
      <c r="AF398" s="46"/>
      <c r="AG398" s="47"/>
      <c r="AH398" s="39"/>
      <c r="AI398" s="39"/>
      <c r="AJ398" s="39"/>
      <c r="AK398" s="39"/>
      <c r="AY398" s="40"/>
    </row>
    <row r="399" spans="1:51" ht="18" customHeight="1">
      <c r="F399" s="40"/>
      <c r="G399" s="40"/>
      <c r="N399" s="39"/>
      <c r="O399" s="39"/>
      <c r="P399" s="46"/>
      <c r="Q399" s="39"/>
      <c r="R399" s="39"/>
      <c r="S399" s="39"/>
      <c r="T399" s="46"/>
      <c r="V399" s="39"/>
      <c r="W399" s="39"/>
      <c r="X399" s="39"/>
      <c r="AA399" s="39"/>
      <c r="AB399" s="39"/>
      <c r="AC399" s="39"/>
      <c r="AD399" s="47"/>
      <c r="AE399" s="39"/>
      <c r="AF399" s="46"/>
      <c r="AG399" s="47"/>
      <c r="AH399" s="39"/>
      <c r="AI399" s="46"/>
      <c r="AJ399" s="39"/>
      <c r="AK399" s="39"/>
      <c r="AY399" s="40"/>
    </row>
    <row r="400" spans="1:51" ht="18" customHeight="1">
      <c r="F400" s="40"/>
      <c r="G400" s="40"/>
      <c r="N400" s="39"/>
      <c r="O400" s="39"/>
      <c r="P400" s="46"/>
      <c r="Q400" s="39"/>
      <c r="R400" s="39"/>
      <c r="S400" s="39"/>
      <c r="T400" s="46"/>
      <c r="V400" s="39"/>
      <c r="W400" s="39"/>
      <c r="X400" s="39"/>
      <c r="AA400" s="39"/>
      <c r="AB400" s="39"/>
      <c r="AC400" s="39"/>
      <c r="AD400" s="47"/>
      <c r="AE400" s="39"/>
      <c r="AF400" s="46"/>
      <c r="AG400" s="47"/>
      <c r="AH400" s="39"/>
      <c r="AI400" s="39"/>
      <c r="AJ400" s="46"/>
      <c r="AK400" s="39"/>
      <c r="AL400" s="39"/>
      <c r="AY400" s="40"/>
    </row>
    <row r="401" spans="1:51" ht="18" customHeight="1">
      <c r="F401" s="40"/>
      <c r="G401" s="40"/>
      <c r="N401" s="39"/>
      <c r="O401" s="39"/>
      <c r="P401" s="46"/>
      <c r="Q401" s="39"/>
      <c r="R401" s="39"/>
      <c r="S401" s="39"/>
      <c r="T401" s="46"/>
      <c r="V401" s="39"/>
      <c r="W401" s="39"/>
      <c r="X401" s="39"/>
      <c r="AA401" s="39"/>
      <c r="AB401" s="39"/>
      <c r="AC401" s="39"/>
      <c r="AD401" s="47"/>
      <c r="AE401" s="39"/>
      <c r="AF401" s="46"/>
      <c r="AG401" s="47"/>
      <c r="AH401" s="39"/>
      <c r="AI401" s="39"/>
      <c r="AJ401" s="46"/>
      <c r="AK401" s="39"/>
      <c r="AL401" s="39"/>
      <c r="AY401" s="40"/>
    </row>
    <row r="402" spans="1:51" ht="18" customHeight="1">
      <c r="F402" s="40"/>
      <c r="G402" s="40"/>
      <c r="N402" s="39"/>
      <c r="O402" s="39"/>
      <c r="P402" s="46"/>
      <c r="Q402" s="39"/>
      <c r="R402" s="39"/>
      <c r="S402" s="39"/>
      <c r="T402" s="46"/>
      <c r="V402" s="39"/>
      <c r="W402" s="39"/>
      <c r="X402" s="39"/>
      <c r="AA402" s="39"/>
      <c r="AB402" s="39"/>
      <c r="AC402" s="39"/>
      <c r="AD402" s="47"/>
      <c r="AE402" s="39"/>
      <c r="AF402" s="46"/>
      <c r="AG402" s="47"/>
      <c r="AH402" s="39"/>
      <c r="AI402" s="39"/>
      <c r="AJ402" s="46"/>
      <c r="AK402" s="39"/>
      <c r="AL402" s="39"/>
      <c r="AY402" s="40"/>
    </row>
    <row r="403" spans="1:51" ht="18" customHeight="1">
      <c r="F403" s="40"/>
      <c r="G403" s="40"/>
      <c r="N403" s="39"/>
      <c r="O403" s="39"/>
      <c r="P403" s="46"/>
      <c r="Q403" s="39"/>
      <c r="R403" s="39"/>
      <c r="S403" s="39"/>
      <c r="T403" s="46"/>
      <c r="V403" s="39"/>
      <c r="W403" s="39"/>
      <c r="X403" s="39"/>
      <c r="Y403" s="39"/>
      <c r="Z403" s="39"/>
      <c r="AA403" s="39"/>
      <c r="AB403" s="39"/>
      <c r="AC403" s="39"/>
      <c r="AD403" s="47"/>
      <c r="AE403" s="39"/>
      <c r="AF403" s="46"/>
      <c r="AG403" s="47"/>
      <c r="AH403" s="39"/>
      <c r="AI403" s="39"/>
      <c r="AY403" s="40"/>
    </row>
    <row r="404" spans="1:51" ht="18" customHeight="1">
      <c r="F404" s="40"/>
      <c r="G404" s="40"/>
      <c r="N404" s="39"/>
      <c r="O404" s="39"/>
      <c r="P404" s="46"/>
      <c r="Q404" s="39"/>
      <c r="R404" s="39"/>
      <c r="S404" s="39"/>
      <c r="T404" s="46"/>
      <c r="V404" s="39"/>
      <c r="W404" s="39"/>
      <c r="X404" s="39"/>
      <c r="Y404" s="39"/>
      <c r="Z404" s="39"/>
      <c r="AA404" s="39"/>
      <c r="AB404" s="39"/>
      <c r="AC404" s="39"/>
      <c r="AD404" s="47"/>
      <c r="AE404" s="39"/>
      <c r="AF404" s="46"/>
      <c r="AG404" s="39"/>
      <c r="AH404" s="39"/>
      <c r="AI404" s="39"/>
    </row>
    <row r="405" spans="1:51" ht="18" customHeight="1">
      <c r="F405" s="40"/>
      <c r="G405" s="40"/>
      <c r="N405" s="39"/>
      <c r="O405" s="39"/>
      <c r="P405" s="46"/>
      <c r="Q405" s="39"/>
      <c r="R405" s="39"/>
      <c r="S405" s="39"/>
      <c r="T405" s="46"/>
      <c r="V405" s="39"/>
      <c r="W405" s="39"/>
      <c r="X405" s="39"/>
      <c r="Y405" s="39"/>
      <c r="Z405" s="39"/>
      <c r="AA405" s="39"/>
      <c r="AB405" s="39"/>
      <c r="AC405" s="39"/>
      <c r="AD405" s="47"/>
      <c r="AE405" s="39"/>
      <c r="AF405" s="46"/>
      <c r="AG405" s="39"/>
      <c r="AH405" s="39"/>
      <c r="AI405" s="39"/>
    </row>
    <row r="406" spans="1:51" ht="18" customHeight="1">
      <c r="A406" s="47"/>
      <c r="B406" s="47"/>
      <c r="C406" s="47"/>
      <c r="F406" s="40"/>
      <c r="G406" s="40"/>
      <c r="I406" s="47"/>
      <c r="J406" s="47"/>
      <c r="K406" s="47"/>
      <c r="L406" s="47"/>
      <c r="N406" s="39"/>
      <c r="O406" s="39"/>
      <c r="P406" s="46"/>
      <c r="Q406" s="47"/>
      <c r="R406" s="39"/>
      <c r="S406" s="39"/>
      <c r="T406" s="46"/>
      <c r="V406" s="47"/>
      <c r="W406" s="39"/>
      <c r="X406" s="39"/>
      <c r="Y406" s="39"/>
      <c r="Z406" s="39"/>
      <c r="AA406" s="39"/>
      <c r="AB406" s="39"/>
      <c r="AC406" s="39"/>
      <c r="AD406" s="47"/>
      <c r="AE406" s="39"/>
      <c r="AF406" s="46"/>
      <c r="AG406" s="39"/>
      <c r="AH406" s="39"/>
      <c r="AI406" s="39"/>
    </row>
    <row r="407" spans="1:51" ht="18" customHeight="1">
      <c r="A407" s="47"/>
      <c r="B407" s="47"/>
      <c r="C407" s="47"/>
      <c r="F407" s="40"/>
      <c r="G407" s="40"/>
      <c r="I407" s="47"/>
      <c r="J407" s="47"/>
      <c r="K407" s="47"/>
      <c r="L407" s="47"/>
      <c r="N407" s="39"/>
      <c r="O407" s="39"/>
      <c r="P407" s="46"/>
      <c r="Q407" s="47"/>
      <c r="R407" s="39"/>
      <c r="S407" s="39"/>
      <c r="T407" s="46"/>
      <c r="V407" s="47"/>
      <c r="W407" s="39"/>
      <c r="X407" s="39"/>
      <c r="Y407" s="39"/>
      <c r="Z407" s="39"/>
      <c r="AA407" s="39"/>
      <c r="AB407" s="39"/>
      <c r="AC407" s="39"/>
      <c r="AD407" s="47"/>
      <c r="AE407" s="39"/>
      <c r="AF407" s="46"/>
      <c r="AG407" s="39"/>
      <c r="AH407" s="39"/>
      <c r="AI407" s="39"/>
    </row>
    <row r="408" spans="1:51" ht="18" customHeight="1">
      <c r="N408" s="39"/>
      <c r="O408" s="39"/>
      <c r="P408" s="46"/>
      <c r="Q408" s="39"/>
      <c r="R408" s="39"/>
      <c r="S408" s="39"/>
      <c r="T408" s="46"/>
      <c r="V408" s="39"/>
      <c r="W408" s="39"/>
      <c r="X408" s="39"/>
      <c r="Y408" s="39"/>
      <c r="Z408" s="39"/>
      <c r="AA408" s="39"/>
      <c r="AB408" s="39"/>
      <c r="AC408" s="39"/>
      <c r="AD408" s="47"/>
      <c r="AE408" s="39"/>
      <c r="AF408" s="46"/>
      <c r="AG408" s="39"/>
      <c r="AH408" s="39"/>
      <c r="AI408" s="39"/>
    </row>
    <row r="409" spans="1:51" ht="18" customHeight="1">
      <c r="N409" s="39"/>
      <c r="O409" s="39"/>
      <c r="P409" s="46"/>
      <c r="Q409" s="39"/>
      <c r="R409" s="39"/>
      <c r="S409" s="39"/>
      <c r="T409" s="46"/>
      <c r="V409" s="39"/>
      <c r="W409" s="39"/>
      <c r="X409" s="39"/>
      <c r="Y409" s="39"/>
      <c r="Z409" s="39"/>
      <c r="AA409" s="39"/>
      <c r="AB409" s="39"/>
      <c r="AC409" s="39"/>
      <c r="AD409" s="47"/>
      <c r="AE409" s="39"/>
      <c r="AF409" s="46"/>
      <c r="AG409" s="39"/>
      <c r="AH409" s="39"/>
      <c r="AI409" s="39"/>
    </row>
    <row r="410" spans="1:51" ht="18" customHeight="1">
      <c r="N410" s="39"/>
      <c r="O410" s="39"/>
      <c r="P410" s="46"/>
      <c r="Q410" s="39"/>
      <c r="R410" s="39"/>
      <c r="S410" s="39"/>
      <c r="T410" s="46"/>
      <c r="V410" s="39"/>
      <c r="W410" s="39"/>
      <c r="X410" s="39"/>
      <c r="Y410" s="39"/>
      <c r="Z410" s="39"/>
      <c r="AH410" s="39"/>
      <c r="AI410" s="39"/>
    </row>
    <row r="411" spans="1:51" ht="18" customHeight="1">
      <c r="N411" s="39"/>
      <c r="O411" s="39"/>
      <c r="P411" s="46"/>
      <c r="Q411" s="39"/>
      <c r="R411" s="39"/>
      <c r="S411" s="39"/>
      <c r="T411" s="46"/>
      <c r="V411" s="39"/>
      <c r="W411" s="39"/>
      <c r="X411" s="39"/>
      <c r="Y411" s="39"/>
      <c r="Z411" s="39"/>
      <c r="AH411" s="39"/>
      <c r="AI411" s="39"/>
    </row>
    <row r="412" spans="1:51" ht="18" customHeight="1">
      <c r="N412" s="39"/>
      <c r="O412" s="39"/>
      <c r="P412" s="46"/>
      <c r="Q412" s="39"/>
      <c r="R412" s="39"/>
      <c r="S412" s="39"/>
      <c r="T412" s="46"/>
      <c r="V412" s="39"/>
      <c r="W412" s="39"/>
      <c r="X412" s="39"/>
      <c r="Y412" s="39"/>
      <c r="Z412" s="39"/>
      <c r="AH412" s="39"/>
      <c r="AI412" s="39"/>
    </row>
    <row r="413" spans="1:51" ht="18" customHeight="1">
      <c r="N413" s="39"/>
      <c r="O413" s="39"/>
      <c r="P413" s="46"/>
      <c r="Q413" s="39"/>
      <c r="R413" s="39"/>
      <c r="S413" s="39"/>
      <c r="T413" s="46"/>
      <c r="V413" s="39"/>
      <c r="W413" s="39"/>
      <c r="X413" s="39"/>
      <c r="Y413" s="39"/>
      <c r="Z413" s="39"/>
      <c r="AH413" s="39"/>
      <c r="AI413" s="39"/>
    </row>
    <row r="414" spans="1:51" ht="18" customHeight="1">
      <c r="N414" s="39"/>
      <c r="O414" s="39"/>
      <c r="P414" s="46"/>
      <c r="Q414" s="39"/>
      <c r="R414" s="39"/>
      <c r="S414" s="39"/>
      <c r="T414" s="46"/>
      <c r="V414" s="39"/>
      <c r="W414" s="39"/>
      <c r="X414" s="39"/>
      <c r="Y414" s="39"/>
      <c r="Z414" s="39"/>
      <c r="AH414" s="39"/>
      <c r="AI414" s="39"/>
    </row>
    <row r="415" spans="1:51" ht="18" customHeight="1">
      <c r="A415" s="40"/>
      <c r="B415" s="40"/>
      <c r="C415" s="40"/>
      <c r="D415" s="40"/>
      <c r="E415" s="40"/>
      <c r="F415" s="40"/>
      <c r="G415" s="40"/>
      <c r="H415" s="40"/>
      <c r="I415" s="40"/>
      <c r="J415" s="40"/>
      <c r="K415" s="40"/>
      <c r="L415" s="40"/>
      <c r="M415" s="40"/>
      <c r="N415" s="39"/>
      <c r="O415" s="39"/>
      <c r="P415" s="46"/>
      <c r="Q415" s="39"/>
      <c r="R415" s="39"/>
      <c r="S415" s="39"/>
      <c r="T415" s="46"/>
      <c r="V415" s="39"/>
      <c r="W415" s="39"/>
      <c r="X415" s="39"/>
      <c r="Y415" s="39"/>
      <c r="Z415" s="39"/>
      <c r="AH415" s="39"/>
      <c r="AI415" s="39"/>
    </row>
  </sheetData>
  <sheetProtection algorithmName="SHA-512" hashValue="UOSMSZbzmbPwo18vMgb7ZrHVh3i2ZHXs0IvgE+EJKFZN9pU5Y/IBrWXjeTIk1cHzG/+cfAJxOZTfIKxv690H2w==" saltValue="dRjqTKK4VyRgo4ApT2Kj9A==" spinCount="100000" sheet="1" objects="1" scenarios="1" selectLockedCells="1"/>
  <sortState xmlns:xlrd2="http://schemas.microsoft.com/office/spreadsheetml/2017/richdata2" ref="B269:B271">
    <sortCondition descending="1" ref="B269:B271"/>
  </sortState>
  <mergeCells count="9">
    <mergeCell ref="AL6:AM6"/>
    <mergeCell ref="AO6:AP6"/>
    <mergeCell ref="A327:B329"/>
    <mergeCell ref="C327:C329"/>
    <mergeCell ref="D327:H327"/>
    <mergeCell ref="D328:E328"/>
    <mergeCell ref="F328:H328"/>
    <mergeCell ref="AE6:AG6"/>
    <mergeCell ref="AH6:AK6"/>
  </mergeCells>
  <phoneticPr fontId="19" type="noConversion"/>
  <conditionalFormatting sqref="A138:E211 A233:E306">
    <cfRule type="expression" dxfId="9" priority="10">
      <formula>$A138=90</formula>
    </cfRule>
  </conditionalFormatting>
  <conditionalFormatting sqref="AQ6 AN6">
    <cfRule type="cellIs" dxfId="8" priority="8" operator="lessThanOrEqual">
      <formula>0</formula>
    </cfRule>
    <cfRule type="cellIs" dxfId="7" priority="9" operator="greaterThan">
      <formula>0</formula>
    </cfRule>
  </conditionalFormatting>
  <conditionalFormatting sqref="C63:D64">
    <cfRule type="cellIs" dxfId="6" priority="2" operator="lessThan">
      <formula>2.5*$C$59</formula>
    </cfRule>
  </conditionalFormatting>
  <dataValidations count="2">
    <dataValidation type="list" allowBlank="1" showInputMessage="1" showErrorMessage="1" sqref="C80" xr:uid="{46CC9A82-84F5-40F7-9467-C40191281DD9}">
      <formula1>"6,8,10"</formula1>
    </dataValidation>
    <dataValidation type="list" allowBlank="1" showInputMessage="1" showErrorMessage="1" sqref="C74" xr:uid="{40589802-1584-4ED1-831B-F6516911153B}">
      <formula1>"ja,nein"</formula1>
    </dataValidation>
  </dataValidations>
  <pageMargins left="0.7" right="0.7" top="0.78740157499999996" bottom="0.78740157499999996"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611" r:id="rId4" name="Button 1371">
              <controlPr defaultSize="0" print="0" autoFill="0" autoPict="0" macro="[0]!Druckzonenhoehe">
                <anchor moveWithCells="1" sizeWithCells="1">
                  <from>
                    <xdr:col>9</xdr:col>
                    <xdr:colOff>66675</xdr:colOff>
                    <xdr:row>10</xdr:row>
                    <xdr:rowOff>19050</xdr:rowOff>
                  </from>
                  <to>
                    <xdr:col>12</xdr:col>
                    <xdr:colOff>371475</xdr:colOff>
                    <xdr:row>11</xdr:row>
                    <xdr:rowOff>200025</xdr:rowOff>
                  </to>
                </anchor>
              </controlPr>
            </control>
          </mc:Choice>
        </mc:AlternateContent>
        <mc:AlternateContent xmlns:mc="http://schemas.openxmlformats.org/markup-compatibility/2006">
          <mc:Choice Requires="x14">
            <control shapeId="11612" r:id="rId5" name="Button 1372">
              <controlPr defaultSize="0" print="0" autoFill="0" autoPict="0" macro="[0]!Druckzonenhöhe_verstärkt">
                <anchor moveWithCells="1" sizeWithCells="1">
                  <from>
                    <xdr:col>26</xdr:col>
                    <xdr:colOff>123825</xdr:colOff>
                    <xdr:row>10</xdr:row>
                    <xdr:rowOff>19050</xdr:rowOff>
                  </from>
                  <to>
                    <xdr:col>29</xdr:col>
                    <xdr:colOff>419100</xdr:colOff>
                    <xdr:row>11</xdr:row>
                    <xdr:rowOff>209550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8A28D-34B9-4530-853A-451738D751DE}">
  <sheetPr codeName="Tabelle3"/>
  <dimension ref="A1:BI415"/>
  <sheetViews>
    <sheetView view="pageBreakPreview" zoomScaleNormal="100" zoomScaleSheetLayoutView="100" workbookViewId="0">
      <selection activeCell="J9" sqref="J9"/>
    </sheetView>
  </sheetViews>
  <sheetFormatPr baseColWidth="10" defaultColWidth="12.7109375" defaultRowHeight="18" customHeight="1"/>
  <cols>
    <col min="1" max="7" width="18.7109375" style="39" customWidth="1"/>
    <col min="8" max="8" width="18.7109375" style="46" customWidth="1"/>
    <col min="9" max="13" width="6.7109375" style="39" customWidth="1"/>
    <col min="14" max="20" width="12.7109375" style="40"/>
    <col min="21" max="21" width="13" style="40" bestFit="1" customWidth="1"/>
    <col min="22" max="22" width="12.7109375" style="40"/>
    <col min="23" max="25" width="12.7109375" style="40" customWidth="1"/>
    <col min="26" max="29" width="6.7109375" style="40" customWidth="1"/>
    <col min="30" max="30" width="6.7109375" style="43" customWidth="1"/>
    <col min="31" max="35" width="12.7109375" style="40"/>
    <col min="36" max="36" width="14.42578125" style="40" bestFit="1" customWidth="1"/>
    <col min="37" max="50" width="12.7109375" style="40"/>
    <col min="51" max="51" width="12.7109375" style="307"/>
    <col min="52" max="52" width="12.7109375" style="40"/>
    <col min="53" max="54" width="12.7109375" style="39"/>
    <col min="55" max="55" width="12.7109375" style="307"/>
    <col min="56" max="59" width="12.7109375" style="43"/>
    <col min="60" max="16384" width="12.7109375" style="40"/>
  </cols>
  <sheetData>
    <row r="1" spans="1:59" ht="18" customHeight="1">
      <c r="A1" s="39">
        <v>1</v>
      </c>
      <c r="B1" s="39">
        <v>2</v>
      </c>
      <c r="C1" s="39">
        <v>3</v>
      </c>
      <c r="D1" s="39">
        <v>4</v>
      </c>
      <c r="E1" s="39">
        <v>5</v>
      </c>
      <c r="F1" s="39">
        <v>6</v>
      </c>
      <c r="G1" s="39">
        <v>7</v>
      </c>
      <c r="H1" s="39">
        <v>8</v>
      </c>
      <c r="I1" s="39">
        <v>9</v>
      </c>
      <c r="J1" s="39">
        <v>10</v>
      </c>
      <c r="K1" s="39">
        <v>11</v>
      </c>
      <c r="L1" s="39">
        <v>12</v>
      </c>
      <c r="M1" s="39">
        <v>13</v>
      </c>
      <c r="N1" s="39">
        <v>14</v>
      </c>
      <c r="O1" s="39">
        <v>15</v>
      </c>
      <c r="P1" s="39">
        <v>16</v>
      </c>
      <c r="Q1" s="39">
        <v>17</v>
      </c>
      <c r="R1" s="39">
        <v>18</v>
      </c>
      <c r="S1" s="39">
        <v>19</v>
      </c>
      <c r="T1" s="39">
        <v>20</v>
      </c>
      <c r="U1" s="39">
        <v>21</v>
      </c>
      <c r="V1" s="39">
        <v>22</v>
      </c>
      <c r="W1" s="39">
        <v>23</v>
      </c>
      <c r="X1" s="39">
        <v>24</v>
      </c>
      <c r="Y1" s="39">
        <v>25</v>
      </c>
      <c r="Z1" s="39">
        <v>26</v>
      </c>
      <c r="AA1" s="39">
        <v>27</v>
      </c>
      <c r="AB1" s="39">
        <v>28</v>
      </c>
      <c r="AC1" s="39">
        <v>29</v>
      </c>
      <c r="AD1" s="39">
        <v>30</v>
      </c>
      <c r="AE1" s="39">
        <v>31</v>
      </c>
      <c r="AF1" s="39">
        <v>32</v>
      </c>
      <c r="AG1" s="39">
        <v>33</v>
      </c>
      <c r="AH1" s="39">
        <v>34</v>
      </c>
      <c r="AI1" s="39">
        <v>35</v>
      </c>
      <c r="AJ1" s="39">
        <v>36</v>
      </c>
      <c r="AK1" s="39">
        <v>37</v>
      </c>
      <c r="AL1" s="39">
        <v>38</v>
      </c>
      <c r="AM1" s="39">
        <v>39</v>
      </c>
      <c r="AN1" s="39">
        <v>40</v>
      </c>
      <c r="AO1" s="39">
        <v>41</v>
      </c>
      <c r="AP1" s="39">
        <v>42</v>
      </c>
      <c r="AQ1" s="39">
        <v>43</v>
      </c>
      <c r="AR1" s="39">
        <v>44</v>
      </c>
      <c r="AS1" s="39">
        <v>45</v>
      </c>
      <c r="AT1" s="39">
        <v>46</v>
      </c>
      <c r="AU1" s="39">
        <v>47</v>
      </c>
      <c r="AV1" s="39">
        <v>48</v>
      </c>
      <c r="AW1" s="39">
        <v>49</v>
      </c>
      <c r="AX1" s="39">
        <v>50</v>
      </c>
      <c r="AY1" s="39">
        <v>51</v>
      </c>
      <c r="AZ1" s="39">
        <v>52</v>
      </c>
      <c r="BC1" s="411"/>
      <c r="BD1" s="47"/>
      <c r="BE1" s="47"/>
      <c r="BF1" s="47"/>
      <c r="BG1" s="47"/>
    </row>
    <row r="2" spans="1:59" ht="18" customHeight="1">
      <c r="A2" s="102" t="s">
        <v>2406</v>
      </c>
      <c r="N2" s="60" t="str">
        <f>CONCATENATE(A13," ",C14," x ",C13," x ",C15)</f>
        <v>MEGANT 310 x 60 x 40</v>
      </c>
      <c r="O2" s="67"/>
      <c r="R2" s="43"/>
      <c r="U2" s="43"/>
      <c r="V2" s="60"/>
      <c r="W2" s="60"/>
      <c r="AD2" s="40"/>
      <c r="AE2" s="253" t="str">
        <f>CONCATENATE(A13," ",C14," x ",C13," x ",C15," mit Verstärkung")</f>
        <v>MEGANT 310 x 60 x 40 mit Verstärkung</v>
      </c>
      <c r="AP2" s="310"/>
      <c r="AQ2" s="310"/>
      <c r="AR2" s="310"/>
      <c r="AS2" s="49"/>
      <c r="AT2" s="983"/>
      <c r="AU2" s="983"/>
      <c r="AV2" s="49"/>
      <c r="AW2" s="310"/>
      <c r="AZ2" s="43"/>
    </row>
    <row r="3" spans="1:59" ht="18" customHeight="1">
      <c r="A3" s="102" t="s">
        <v>2178</v>
      </c>
      <c r="N3" s="66" t="s">
        <v>235</v>
      </c>
      <c r="O3" s="66" t="s">
        <v>236</v>
      </c>
      <c r="P3" s="66" t="s">
        <v>96</v>
      </c>
      <c r="Q3" s="305" t="s">
        <v>284</v>
      </c>
      <c r="R3" s="305" t="s">
        <v>285</v>
      </c>
      <c r="S3" s="305" t="s">
        <v>286</v>
      </c>
      <c r="T3" s="66" t="s">
        <v>244</v>
      </c>
      <c r="U3" s="66" t="s">
        <v>245</v>
      </c>
      <c r="V3" s="66" t="s">
        <v>237</v>
      </c>
      <c r="W3" s="66" t="s">
        <v>238</v>
      </c>
      <c r="AD3" s="40"/>
      <c r="AE3" s="984" t="s">
        <v>1777</v>
      </c>
      <c r="AF3" s="985" t="s">
        <v>1778</v>
      </c>
      <c r="AG3" s="985" t="s">
        <v>1779</v>
      </c>
      <c r="AH3" s="986" t="s">
        <v>1780</v>
      </c>
      <c r="AI3" s="986" t="s">
        <v>1781</v>
      </c>
      <c r="AJ3" s="987" t="s">
        <v>1782</v>
      </c>
      <c r="AK3" s="987" t="s">
        <v>1783</v>
      </c>
      <c r="AL3" s="988" t="s">
        <v>1784</v>
      </c>
      <c r="AM3" s="988" t="s">
        <v>1785</v>
      </c>
      <c r="AN3" s="988" t="s">
        <v>1786</v>
      </c>
      <c r="AO3" s="305" t="s">
        <v>284</v>
      </c>
      <c r="AP3" s="305" t="s">
        <v>285</v>
      </c>
      <c r="AQ3" s="305" t="s">
        <v>286</v>
      </c>
      <c r="AR3" s="988" t="s">
        <v>1787</v>
      </c>
      <c r="AS3" s="988" t="s">
        <v>1788</v>
      </c>
      <c r="AT3" s="988" t="s">
        <v>1789</v>
      </c>
      <c r="AU3" s="988" t="s">
        <v>1790</v>
      </c>
      <c r="AV3" s="989" t="s">
        <v>1791</v>
      </c>
      <c r="AW3" s="989" t="s">
        <v>1792</v>
      </c>
      <c r="AY3" s="990" t="s">
        <v>1793</v>
      </c>
      <c r="AZ3" s="991" t="s">
        <v>1794</v>
      </c>
    </row>
    <row r="4" spans="1:59" ht="18" customHeight="1">
      <c r="N4" s="66" t="s">
        <v>97</v>
      </c>
      <c r="O4" s="66" t="s">
        <v>97</v>
      </c>
      <c r="P4" s="66" t="s">
        <v>97</v>
      </c>
      <c r="Q4" s="66" t="s">
        <v>98</v>
      </c>
      <c r="R4" s="66" t="s">
        <v>98</v>
      </c>
      <c r="S4" s="66" t="s">
        <v>98</v>
      </c>
      <c r="T4" s="66" t="s">
        <v>99</v>
      </c>
      <c r="U4" s="66" t="s">
        <v>99</v>
      </c>
      <c r="V4" s="66" t="s">
        <v>99</v>
      </c>
      <c r="W4" s="66" t="s">
        <v>99</v>
      </c>
      <c r="AD4" s="40"/>
      <c r="AE4" s="984" t="s">
        <v>124</v>
      </c>
      <c r="AF4" s="984" t="s">
        <v>99</v>
      </c>
      <c r="AG4" s="984" t="s">
        <v>99</v>
      </c>
      <c r="AH4" s="992" t="s">
        <v>124</v>
      </c>
      <c r="AI4" s="986" t="s">
        <v>124</v>
      </c>
      <c r="AJ4" s="986" t="s">
        <v>99</v>
      </c>
      <c r="AK4" s="986" t="s">
        <v>99</v>
      </c>
      <c r="AL4" s="988" t="s">
        <v>97</v>
      </c>
      <c r="AM4" s="988" t="s">
        <v>97</v>
      </c>
      <c r="AN4" s="988" t="s">
        <v>97</v>
      </c>
      <c r="AO4" s="988" t="s">
        <v>98</v>
      </c>
      <c r="AP4" s="988" t="s">
        <v>98</v>
      </c>
      <c r="AQ4" s="988" t="s">
        <v>98</v>
      </c>
      <c r="AR4" s="988" t="s">
        <v>99</v>
      </c>
      <c r="AS4" s="988" t="s">
        <v>99</v>
      </c>
      <c r="AT4" s="988" t="s">
        <v>99</v>
      </c>
      <c r="AU4" s="988" t="s">
        <v>99</v>
      </c>
      <c r="AV4" s="988" t="s">
        <v>99</v>
      </c>
      <c r="AW4" s="988" t="s">
        <v>99</v>
      </c>
      <c r="AY4" s="993" t="s">
        <v>99</v>
      </c>
      <c r="AZ4" s="994" t="s">
        <v>99</v>
      </c>
    </row>
    <row r="5" spans="1:59" ht="18" customHeight="1">
      <c r="N5" s="435" t="e">
        <f ca="1">(SUMPRODUCT(P138:P211,N138:N211)+O26/3*O16^2)/1000000</f>
        <v>#DIV/0!</v>
      </c>
      <c r="O5" s="436">
        <f ca="1">(SUMPRODUCT(P233:P306,N233:N306)+U26/3*U16^2)/1000000</f>
        <v>3.2533509382656476</v>
      </c>
      <c r="P5" s="694" t="e">
        <f ca="1">MIN(N5,O5)</f>
        <v>#DIV/0!</v>
      </c>
      <c r="Q5" s="434" t="e">
        <f ca="1">(O16^3*O26/3/O17+O16^2*O55-2*O16*O56+O57)/1000000</f>
        <v>#DIV/0!</v>
      </c>
      <c r="R5" s="434">
        <f ca="1">(U16^3*U26/3/U17+U16^2*U55-2*U16*U56+U57)/1000000</f>
        <v>997.52921197037404</v>
      </c>
      <c r="S5" s="695" t="e">
        <f ca="1">1/(1/Q5+1/R5)</f>
        <v>#DIV/0!</v>
      </c>
      <c r="T5" s="437">
        <f>O16</f>
        <v>290.20601538241363</v>
      </c>
      <c r="U5" s="438">
        <f>U16</f>
        <v>20.038055170090139</v>
      </c>
      <c r="V5" s="434">
        <f ca="1">O65</f>
        <v>0</v>
      </c>
      <c r="W5" s="995">
        <f ca="1">U65</f>
        <v>73.007044516846932</v>
      </c>
      <c r="AD5" s="40"/>
      <c r="AE5" s="996" t="str">
        <f>IF(C92="ja",C97,"")</f>
        <v/>
      </c>
      <c r="AF5" s="997" t="str">
        <f>IF(C92="ja",C96,"")</f>
        <v/>
      </c>
      <c r="AG5" s="997" t="str">
        <f>IF(C92="ja",C94,"")</f>
        <v/>
      </c>
      <c r="AH5" s="986" t="str">
        <f>IF(C56="ja",Eingabe!C123,"")</f>
        <v/>
      </c>
      <c r="AI5" s="998" t="str">
        <f>IF(C56="ja",C58,"")</f>
        <v/>
      </c>
      <c r="AJ5" s="999"/>
      <c r="AK5" s="999"/>
      <c r="AL5" s="1000" t="e">
        <f ca="1">(SUMPRODUCT(AG132:AG217,AE132:AE217)+O26/3*O16^2)/1000000</f>
        <v>#DIV/0!</v>
      </c>
      <c r="AM5" s="1001">
        <f ca="1">(SUMPRODUCT(AG230:AG309,AE230:AE309)+AL26/3*AL16^2)/1000000</f>
        <v>3.2533509382656476</v>
      </c>
      <c r="AN5" s="1000" t="e">
        <f ca="1">MIN(AL5,AM5)</f>
        <v>#DIV/0!</v>
      </c>
      <c r="AO5" s="1002" t="e">
        <f ca="1">(AF16^3*AF26/3/AF17+AF16^2*AF55-2*AF16*AF56+AF57)/1000000</f>
        <v>#DIV/0!</v>
      </c>
      <c r="AP5" s="1002">
        <f ca="1">(AL16^3*AL26/3/AL17+AL16^2*AL55-2*AL16*AL56+AL57)/1000000</f>
        <v>997.52921197037404</v>
      </c>
      <c r="AQ5" s="1002" t="e">
        <f ca="1">1/(1/AO5+1/AP5)</f>
        <v>#DIV/0!</v>
      </c>
      <c r="AR5" s="994">
        <f>AF16</f>
        <v>290.3578023035372</v>
      </c>
      <c r="AS5" s="994">
        <f>AL16</f>
        <v>20.038055170090139</v>
      </c>
      <c r="AT5" s="1003">
        <f ca="1">AF65</f>
        <v>0</v>
      </c>
      <c r="AU5" s="1004">
        <f ca="1">AL65</f>
        <v>73.007044516846932</v>
      </c>
      <c r="AV5" s="1005">
        <f ca="1">AF17</f>
        <v>22.584929139913847</v>
      </c>
      <c r="AW5" s="1005">
        <f ca="1">AL17</f>
        <v>6.535229726241612E-2</v>
      </c>
      <c r="AY5" s="1002">
        <f>C39</f>
        <v>108</v>
      </c>
      <c r="AZ5" s="1002">
        <f>C40</f>
        <v>410</v>
      </c>
    </row>
    <row r="6" spans="1:59" ht="18" customHeight="1">
      <c r="P6" s="66" t="s">
        <v>1858</v>
      </c>
      <c r="Q6" s="305" t="s">
        <v>698</v>
      </c>
      <c r="R6" s="305" t="s">
        <v>699</v>
      </c>
      <c r="S6" s="305" t="s">
        <v>700</v>
      </c>
      <c r="AD6" s="40"/>
      <c r="AE6" s="1576" t="s">
        <v>1795</v>
      </c>
      <c r="AF6" s="1577"/>
      <c r="AG6" s="1578"/>
      <c r="AH6" s="1579" t="s">
        <v>234</v>
      </c>
      <c r="AI6" s="1580"/>
      <c r="AJ6" s="1580"/>
      <c r="AK6" s="1581"/>
      <c r="AL6" s="1566" t="s">
        <v>1796</v>
      </c>
      <c r="AM6" s="1567"/>
      <c r="AN6" s="1006" t="e">
        <f ca="1">AN5/P5</f>
        <v>#DIV/0!</v>
      </c>
      <c r="AO6" s="1566" t="s">
        <v>1796</v>
      </c>
      <c r="AP6" s="1567"/>
      <c r="AQ6" s="1007" t="e">
        <f ca="1">(AQ5)/S5</f>
        <v>#DIV/0!</v>
      </c>
      <c r="AY6" s="40"/>
    </row>
    <row r="7" spans="1:59" ht="18" customHeight="1">
      <c r="P7" s="435" t="e">
        <f ca="1">_xlfn.XLOOKUP(P8,Eingabe!$EG$5:$EG$32,Eingabe!$CT$5:$CT$32,0,0,1)</f>
        <v>#DIV/0!</v>
      </c>
      <c r="Q7" s="434" t="e">
        <f ca="1">3/2*Q5</f>
        <v>#DIV/0!</v>
      </c>
      <c r="R7" s="434">
        <f ca="1">3/2*R5</f>
        <v>1496.2938179555611</v>
      </c>
      <c r="S7" s="695" t="e">
        <f ca="1">3/2*S5</f>
        <v>#DIV/0!</v>
      </c>
      <c r="AD7" s="40"/>
      <c r="AF7" s="43"/>
      <c r="AN7" s="66" t="s">
        <v>1858</v>
      </c>
      <c r="AO7" s="305" t="s">
        <v>698</v>
      </c>
      <c r="AP7" s="305" t="s">
        <v>699</v>
      </c>
      <c r="AQ7" s="305" t="s">
        <v>700</v>
      </c>
      <c r="AY7" s="40"/>
    </row>
    <row r="8" spans="1:59" ht="18" customHeight="1">
      <c r="O8" s="96" t="s">
        <v>1859</v>
      </c>
      <c r="P8" s="1189" t="e">
        <f ca="1">MAX(Eingabe!$EG$5:$EG$32)</f>
        <v>#DIV/0!</v>
      </c>
      <c r="AD8" s="40"/>
      <c r="AF8" s="43"/>
      <c r="AN8" s="435" t="e">
        <f ca="1">_xlfn.XLOOKUP(AN9,Eingabe!$EG$37:$EG$64,Eingabe!$CT$37:$CT$64,0,0,1)</f>
        <v>#DIV/0!</v>
      </c>
      <c r="AO8" s="434" t="e">
        <f ca="1">3/2*AO5</f>
        <v>#DIV/0!</v>
      </c>
      <c r="AP8" s="434">
        <f ca="1">3/2*AP5</f>
        <v>1496.2938179555611</v>
      </c>
      <c r="AQ8" s="695" t="e">
        <f ca="1">3/2*AQ5</f>
        <v>#DIV/0!</v>
      </c>
      <c r="AY8" s="40"/>
    </row>
    <row r="9" spans="1:59" ht="18" customHeight="1">
      <c r="O9" s="96" t="s">
        <v>1861</v>
      </c>
      <c r="P9" s="1189" t="e">
        <f ca="1">MAX(Eingabe!$EQ$5:$EQ$32)</f>
        <v>#DIV/0!</v>
      </c>
      <c r="AD9" s="40"/>
      <c r="AF9" s="43"/>
      <c r="AM9" s="96" t="s">
        <v>1860</v>
      </c>
      <c r="AN9" s="1189" t="e">
        <f ca="1">MAX(Eingabe!$EG$37:$EG$65)</f>
        <v>#DIV/0!</v>
      </c>
      <c r="AY9" s="40"/>
    </row>
    <row r="10" spans="1:59" ht="18" customHeight="1">
      <c r="AD10" s="40"/>
      <c r="AF10" s="43"/>
      <c r="AM10" s="96" t="s">
        <v>1861</v>
      </c>
      <c r="AN10" s="1189" t="e">
        <f ca="1">MAX(Eingabe!$EQ$37:$EQ$65)</f>
        <v>#DIV/0!</v>
      </c>
      <c r="AY10" s="40"/>
    </row>
    <row r="11" spans="1:59" ht="18" customHeight="1">
      <c r="N11" s="140" t="s">
        <v>682</v>
      </c>
      <c r="O11" s="54"/>
      <c r="P11" s="55"/>
      <c r="Q11" s="55"/>
      <c r="R11" s="55"/>
      <c r="S11" s="55"/>
      <c r="T11" s="55"/>
      <c r="U11" s="55"/>
      <c r="V11" s="55"/>
      <c r="W11" s="56"/>
      <c r="AD11" s="40"/>
      <c r="AE11" s="140" t="s">
        <v>682</v>
      </c>
      <c r="AF11" s="54"/>
      <c r="AG11" s="55"/>
      <c r="AH11" s="55"/>
      <c r="AI11" s="55"/>
      <c r="AJ11" s="55"/>
      <c r="AK11" s="55"/>
      <c r="AL11" s="55"/>
      <c r="AM11" s="55"/>
      <c r="AN11" s="56"/>
      <c r="AY11" s="40"/>
    </row>
    <row r="12" spans="1:59" ht="18" customHeight="1">
      <c r="N12" s="86" t="s">
        <v>928</v>
      </c>
      <c r="O12" s="67"/>
      <c r="P12" s="60"/>
      <c r="Q12" s="60"/>
      <c r="R12" s="60"/>
      <c r="S12" s="60"/>
      <c r="T12" s="60"/>
      <c r="U12" s="60"/>
      <c r="V12" s="60"/>
      <c r="W12" s="61"/>
      <c r="AD12" s="40"/>
      <c r="AE12" s="86" t="s">
        <v>928</v>
      </c>
      <c r="AF12" s="67"/>
      <c r="AG12" s="60"/>
      <c r="AH12" s="60"/>
      <c r="AI12" s="60"/>
      <c r="AJ12" s="60"/>
      <c r="AK12" s="60"/>
      <c r="AL12" s="60"/>
      <c r="AM12" s="60"/>
      <c r="AN12" s="61"/>
      <c r="AY12" s="40"/>
    </row>
    <row r="13" spans="1:59" ht="18" customHeight="1">
      <c r="A13" s="109" t="s">
        <v>12</v>
      </c>
      <c r="B13" s="54" t="s">
        <v>110</v>
      </c>
      <c r="C13" s="143">
        <f>VLOOKUP(Eingabe!C53,MKW!A92:AZ113,22,FALSE)</f>
        <v>60</v>
      </c>
      <c r="D13" s="138" t="s">
        <v>2</v>
      </c>
      <c r="G13" s="50"/>
      <c r="N13" s="40" t="s">
        <v>683</v>
      </c>
      <c r="AD13" s="40"/>
      <c r="AY13" s="40"/>
    </row>
    <row r="14" spans="1:59" ht="18" customHeight="1">
      <c r="A14" s="68"/>
      <c r="B14" s="87" t="s">
        <v>109</v>
      </c>
      <c r="C14" s="58">
        <f>VLOOKUP(Eingabe!C53,MKW!A92:AZ113,21,FALSE)</f>
        <v>310</v>
      </c>
      <c r="D14" s="64" t="s">
        <v>2</v>
      </c>
      <c r="G14" s="50"/>
      <c r="AD14" s="40"/>
      <c r="AE14" s="1008"/>
      <c r="AH14" s="432"/>
      <c r="AK14" s="1008"/>
      <c r="AY14" s="40"/>
    </row>
    <row r="15" spans="1:59" ht="18" customHeight="1">
      <c r="A15" s="68"/>
      <c r="B15" s="39" t="s">
        <v>104</v>
      </c>
      <c r="C15" s="58">
        <f>VLOOKUP(Eingabe!C53,MKW!A92:AZ113,23,FALSE)</f>
        <v>40</v>
      </c>
      <c r="D15" s="64" t="s">
        <v>2</v>
      </c>
      <c r="G15" s="50"/>
      <c r="K15" s="40"/>
      <c r="L15" s="40"/>
      <c r="N15" s="160" t="s">
        <v>6</v>
      </c>
      <c r="O15" s="62"/>
      <c r="P15" s="62"/>
      <c r="Q15" s="63"/>
      <c r="T15" s="160" t="s">
        <v>7</v>
      </c>
      <c r="U15" s="161"/>
      <c r="V15" s="161"/>
      <c r="W15" s="1009"/>
      <c r="AD15" s="40"/>
      <c r="AE15" s="160" t="s">
        <v>6</v>
      </c>
      <c r="AF15" s="62"/>
      <c r="AG15" s="62"/>
      <c r="AH15" s="1010"/>
      <c r="AI15" s="1011"/>
      <c r="AK15" s="160" t="s">
        <v>7</v>
      </c>
      <c r="AL15" s="161"/>
      <c r="AM15" s="161"/>
      <c r="AN15" s="1009"/>
      <c r="AY15" s="40"/>
      <c r="BC15" s="40"/>
      <c r="BD15" s="40"/>
      <c r="BE15" s="40"/>
      <c r="BF15" s="40"/>
      <c r="BG15" s="40"/>
    </row>
    <row r="16" spans="1:59" ht="18" customHeight="1">
      <c r="A16" s="68"/>
      <c r="B16" s="39" t="s">
        <v>217</v>
      </c>
      <c r="C16" s="58" t="str">
        <f>Eingabe!C54</f>
        <v>Hauptträger/Stütze</v>
      </c>
      <c r="D16" s="64"/>
      <c r="F16" s="50"/>
      <c r="G16" s="50"/>
      <c r="K16" s="40"/>
      <c r="L16" s="40"/>
      <c r="N16" s="149" t="s">
        <v>247</v>
      </c>
      <c r="O16" s="430">
        <v>290.20601538241363</v>
      </c>
      <c r="P16" s="55" t="s">
        <v>2</v>
      </c>
      <c r="Q16" s="1012" t="e">
        <f ca="1">O16-O39</f>
        <v>#DIV/0!</v>
      </c>
      <c r="T16" s="149" t="s">
        <v>247</v>
      </c>
      <c r="U16" s="430">
        <v>20.038055170090139</v>
      </c>
      <c r="V16" s="55" t="s">
        <v>2</v>
      </c>
      <c r="W16" s="1013">
        <f ca="1">U16-U39</f>
        <v>-0.4374455478150665</v>
      </c>
      <c r="Y16" s="307"/>
      <c r="Z16" s="307"/>
      <c r="AA16" s="307"/>
      <c r="AB16" s="307"/>
      <c r="AC16" s="307"/>
      <c r="AD16" s="307"/>
      <c r="AE16" s="149" t="s">
        <v>247</v>
      </c>
      <c r="AF16" s="430">
        <v>290.3578023035372</v>
      </c>
      <c r="AG16" s="55" t="s">
        <v>2</v>
      </c>
      <c r="AH16" s="1014" t="e">
        <f ca="1">IF(AF33&lt;&gt;0,AF42-AF43,IF(AND(AF33=0,AF52&lt;1.01,AF52&gt;0.99),0,"FEHLER"))</f>
        <v>#DIV/0!</v>
      </c>
      <c r="AI16" s="408" t="s">
        <v>1797</v>
      </c>
      <c r="AJ16" s="47"/>
      <c r="AK16" s="149" t="s">
        <v>247</v>
      </c>
      <c r="AL16" s="430">
        <v>20.038055170090139</v>
      </c>
      <c r="AM16" s="55" t="s">
        <v>2</v>
      </c>
      <c r="AN16" s="1013">
        <f ca="1">AL16-AL42</f>
        <v>-0.4374455478150665</v>
      </c>
      <c r="AO16" s="408" t="s">
        <v>1797</v>
      </c>
      <c r="AY16" s="40"/>
      <c r="BC16" s="40"/>
      <c r="BD16" s="40"/>
      <c r="BE16" s="40"/>
      <c r="BF16" s="40"/>
      <c r="BG16" s="40"/>
    </row>
    <row r="17" spans="1:61" ht="18" customHeight="1">
      <c r="A17" s="69"/>
      <c r="B17" s="37" t="s">
        <v>120</v>
      </c>
      <c r="C17" s="148" t="s">
        <v>119</v>
      </c>
      <c r="D17" s="65"/>
      <c r="F17" s="50"/>
      <c r="G17" s="50"/>
      <c r="K17" s="40"/>
      <c r="L17" s="40"/>
      <c r="M17" s="40"/>
      <c r="N17" s="69" t="s">
        <v>139</v>
      </c>
      <c r="O17" s="150" t="e">
        <f ca="1">O16*R221/MAX(N138:N211)</f>
        <v>#DIV/0!</v>
      </c>
      <c r="P17" s="59" t="s">
        <v>2</v>
      </c>
      <c r="Q17" s="1015" t="e">
        <f ca="1">wc/O20</f>
        <v>#DIV/0!</v>
      </c>
      <c r="T17" s="69" t="s">
        <v>283</v>
      </c>
      <c r="U17" s="150">
        <f ca="1">U16*R313/MAX(N233:N306)</f>
        <v>6.535229726241612E-2</v>
      </c>
      <c r="V17" s="59" t="s">
        <v>2</v>
      </c>
      <c r="W17" s="1016"/>
      <c r="Y17" s="43"/>
      <c r="Z17" s="43"/>
      <c r="AA17" s="43"/>
      <c r="AB17" s="43"/>
      <c r="AC17" s="43"/>
      <c r="AE17" s="69" t="s">
        <v>283</v>
      </c>
      <c r="AF17" s="150">
        <f ca="1">AF16*AF35/AE221</f>
        <v>22.584929139913847</v>
      </c>
      <c r="AG17" s="59" t="s">
        <v>2</v>
      </c>
      <c r="AH17" s="1017">
        <f ca="1">AF17-AF20</f>
        <v>20.905164714464011</v>
      </c>
      <c r="AI17" s="40" t="s">
        <v>1798</v>
      </c>
      <c r="AK17" s="69" t="s">
        <v>139</v>
      </c>
      <c r="AL17" s="150">
        <f ca="1">AL16*AI313/AE313</f>
        <v>6.535229726241612E-2</v>
      </c>
      <c r="AM17" s="59" t="s">
        <v>2</v>
      </c>
      <c r="AN17" s="1016"/>
      <c r="AY17" s="40"/>
      <c r="BC17" s="40"/>
      <c r="BD17" s="40"/>
      <c r="BE17" s="40"/>
      <c r="BF17" s="40"/>
      <c r="BG17" s="40"/>
    </row>
    <row r="18" spans="1:61" ht="18" customHeight="1">
      <c r="K18" s="40"/>
      <c r="L18" s="40"/>
      <c r="M18" s="40"/>
      <c r="W18" s="43"/>
      <c r="Y18" s="253"/>
      <c r="Z18" s="253"/>
      <c r="AA18" s="253"/>
      <c r="AB18" s="253"/>
      <c r="AC18" s="253"/>
      <c r="AD18" s="253"/>
      <c r="AE18" s="1018"/>
      <c r="AF18" s="408"/>
      <c r="AN18" s="43"/>
      <c r="AY18" s="40"/>
      <c r="AZ18" s="43"/>
      <c r="BC18" s="40"/>
      <c r="BD18" s="40"/>
      <c r="BE18" s="40"/>
      <c r="BF18" s="40"/>
      <c r="BG18" s="40"/>
    </row>
    <row r="19" spans="1:61" ht="18" customHeight="1">
      <c r="F19" s="50"/>
      <c r="G19" s="50"/>
      <c r="K19" s="40"/>
      <c r="L19" s="40"/>
      <c r="M19" s="40"/>
      <c r="N19" s="51" t="s">
        <v>145</v>
      </c>
      <c r="O19" s="96"/>
      <c r="T19" s="51" t="s">
        <v>274</v>
      </c>
      <c r="U19" s="42"/>
      <c r="V19" s="42"/>
      <c r="W19" s="347"/>
      <c r="AD19" s="40"/>
      <c r="AE19" s="51" t="s">
        <v>145</v>
      </c>
      <c r="AK19" s="51" t="s">
        <v>274</v>
      </c>
      <c r="AL19" s="42"/>
      <c r="AM19" s="42"/>
      <c r="AN19" s="347"/>
      <c r="AY19" s="40"/>
      <c r="AZ19" s="43"/>
      <c r="BC19" s="40"/>
      <c r="BD19" s="40"/>
      <c r="BE19" s="40"/>
      <c r="BF19" s="40"/>
      <c r="BG19" s="40"/>
      <c r="BI19" s="432"/>
    </row>
    <row r="20" spans="1:61" ht="18" customHeight="1">
      <c r="A20" s="107" t="s">
        <v>6</v>
      </c>
      <c r="B20" s="686"/>
      <c r="C20" s="693" t="str">
        <f>Eingabe!C17</f>
        <v>GL24h</v>
      </c>
      <c r="D20" s="290"/>
      <c r="F20" s="102"/>
      <c r="G20" s="102"/>
      <c r="K20" s="40"/>
      <c r="L20" s="40"/>
      <c r="M20" s="40"/>
      <c r="N20" s="103" t="s">
        <v>139</v>
      </c>
      <c r="O20" s="308">
        <v>1.6765052048775</v>
      </c>
      <c r="P20" s="97" t="s">
        <v>2</v>
      </c>
      <c r="Q20" s="105"/>
      <c r="T20" s="103"/>
      <c r="U20" s="431"/>
      <c r="V20" s="97"/>
      <c r="W20" s="348"/>
      <c r="AD20" s="40"/>
      <c r="AE20" s="103" t="s">
        <v>139</v>
      </c>
      <c r="AF20" s="431">
        <f>IF(C92="ja",AI224*(AE224+C98)/AE224,AH20)</f>
        <v>1.6797644254498358</v>
      </c>
      <c r="AG20" s="97" t="s">
        <v>2</v>
      </c>
      <c r="AH20" s="1019">
        <v>1.6797644254498358</v>
      </c>
      <c r="AI20" s="408"/>
      <c r="AK20" s="103"/>
      <c r="AL20" s="431"/>
      <c r="AM20" s="97"/>
      <c r="AN20" s="348"/>
      <c r="AY20" s="40"/>
      <c r="AZ20" s="43"/>
      <c r="BC20" s="40"/>
      <c r="BD20" s="40"/>
      <c r="BE20" s="40"/>
      <c r="BF20" s="40"/>
      <c r="BG20" s="40"/>
      <c r="BI20" s="432"/>
    </row>
    <row r="21" spans="1:61" ht="18" customHeight="1">
      <c r="A21" s="68"/>
      <c r="B21" s="687" t="s">
        <v>684</v>
      </c>
      <c r="C21" s="303">
        <f>HLOOKUP(C20,MKW!$E$3:$AS$22,19,0)</f>
        <v>385</v>
      </c>
      <c r="D21" s="304" t="s">
        <v>115</v>
      </c>
      <c r="F21" s="102"/>
      <c r="G21" s="102"/>
      <c r="K21" s="40"/>
      <c r="L21" s="40"/>
      <c r="M21" s="40"/>
      <c r="N21" s="68" t="s">
        <v>138</v>
      </c>
      <c r="O21" s="146">
        <f>IF(OR(C357=0,C357=1),1.7,IF(OR(C357=2,C357=3),1.6,0))</f>
        <v>1.7</v>
      </c>
      <c r="P21" s="50" t="s">
        <v>124</v>
      </c>
      <c r="Q21" s="104"/>
      <c r="T21" s="68"/>
      <c r="U21" s="39"/>
      <c r="V21" s="39"/>
      <c r="W21" s="349"/>
      <c r="AD21" s="40"/>
      <c r="AE21" s="68" t="s">
        <v>138</v>
      </c>
      <c r="AF21" s="146">
        <f>IF(OR(O357=0,O357=1),1.7,IF(OR(O357=2,O357=3),1.6,0))</f>
        <v>1.7</v>
      </c>
      <c r="AG21" s="50"/>
      <c r="AH21" s="104"/>
      <c r="AK21" s="68"/>
      <c r="AL21" s="39"/>
      <c r="AM21" s="39"/>
      <c r="AN21" s="349"/>
      <c r="AY21" s="40"/>
      <c r="AZ21" s="43"/>
      <c r="BC21" s="40"/>
      <c r="BD21" s="40"/>
      <c r="BE21" s="40"/>
      <c r="BF21" s="40"/>
      <c r="BG21" s="40"/>
      <c r="BI21" s="432"/>
    </row>
    <row r="22" spans="1:61" ht="18" customHeight="1">
      <c r="A22" s="68"/>
      <c r="B22" s="232" t="s">
        <v>232</v>
      </c>
      <c r="C22" s="303">
        <f>ROUND(MAX(C28,C27/SQRT(2)),0)</f>
        <v>160</v>
      </c>
      <c r="D22" s="304" t="s">
        <v>2</v>
      </c>
      <c r="G22" s="102"/>
      <c r="K22" s="40"/>
      <c r="L22" s="40"/>
      <c r="M22" s="40"/>
      <c r="N22" s="68" t="s">
        <v>137</v>
      </c>
      <c r="O22" s="146">
        <f>IF(OR(C357=0,C357=1),-0.6,IF(OR(C357=2,C357=3),-0.15,NA()))</f>
        <v>-0.6</v>
      </c>
      <c r="P22" s="50" t="s">
        <v>124</v>
      </c>
      <c r="Q22" s="104"/>
      <c r="T22" s="68"/>
      <c r="U22" s="39"/>
      <c r="V22" s="39"/>
      <c r="W22" s="349"/>
      <c r="AD22" s="40"/>
      <c r="AE22" s="68" t="s">
        <v>137</v>
      </c>
      <c r="AF22" s="146">
        <f>IF(OR(C357=0,C357=1),-0.6,IF(OR(C357=2,C357=3),-0.15,NA()))</f>
        <v>-0.6</v>
      </c>
      <c r="AG22" s="50"/>
      <c r="AH22" s="104"/>
      <c r="AK22" s="68"/>
      <c r="AL22" s="39"/>
      <c r="AM22" s="39"/>
      <c r="AN22" s="349"/>
      <c r="AY22" s="40"/>
      <c r="BC22" s="40"/>
      <c r="BD22" s="40"/>
      <c r="BE22" s="40"/>
      <c r="BF22" s="40"/>
      <c r="BG22" s="40"/>
      <c r="BI22" s="432"/>
    </row>
    <row r="23" spans="1:61" ht="18" customHeight="1">
      <c r="A23" s="68"/>
      <c r="B23" s="232" t="s">
        <v>233</v>
      </c>
      <c r="C23" s="303">
        <f>IF(C56="Nein",C14+100,IF(C56="ja",MAX(C14+100,C14+50+C62+C63+(C58-1)*C64)))</f>
        <v>410</v>
      </c>
      <c r="D23" s="304" t="s">
        <v>2</v>
      </c>
      <c r="G23" s="50"/>
      <c r="M23" s="40"/>
      <c r="N23" s="68" t="s">
        <v>136</v>
      </c>
      <c r="O23" s="147">
        <f>O21*(1-EXP(O20*O22))</f>
        <v>1.0782858587488813</v>
      </c>
      <c r="P23" s="50" t="s">
        <v>124</v>
      </c>
      <c r="Q23" s="104"/>
      <c r="T23" s="68"/>
      <c r="U23" s="39"/>
      <c r="V23" s="39"/>
      <c r="W23" s="349"/>
      <c r="AD23" s="40"/>
      <c r="AE23" s="68" t="s">
        <v>136</v>
      </c>
      <c r="AF23" s="147">
        <f>AF21*(1-EXP(AF20*AF22))</f>
        <v>1.0795004528843284</v>
      </c>
      <c r="AG23" s="50"/>
      <c r="AH23" s="104"/>
      <c r="AK23" s="68"/>
      <c r="AL23" s="39"/>
      <c r="AM23" s="39"/>
      <c r="AN23" s="349"/>
      <c r="AY23" s="40"/>
      <c r="BC23" s="40"/>
      <c r="BD23" s="40"/>
      <c r="BE23" s="40"/>
      <c r="BF23" s="40"/>
      <c r="BG23" s="40"/>
      <c r="BI23" s="432"/>
    </row>
    <row r="24" spans="1:61" ht="18" customHeight="1">
      <c r="A24" s="68"/>
      <c r="B24" s="49" t="s">
        <v>685</v>
      </c>
      <c r="C24" s="313">
        <f>Eingabe!C18</f>
        <v>0</v>
      </c>
      <c r="D24" s="304" t="s">
        <v>2</v>
      </c>
      <c r="F24" s="50"/>
      <c r="G24" s="50"/>
      <c r="M24" s="40"/>
      <c r="N24" s="68" t="s">
        <v>143</v>
      </c>
      <c r="O24" s="369">
        <f>2*MIN(40,8*O20)</f>
        <v>26.82408327804</v>
      </c>
      <c r="P24" s="50" t="s">
        <v>2</v>
      </c>
      <c r="Q24" s="104"/>
      <c r="T24" s="68"/>
      <c r="U24" s="39"/>
      <c r="V24" s="39"/>
      <c r="W24" s="349"/>
      <c r="AD24" s="40"/>
      <c r="AE24" s="68" t="s">
        <v>143</v>
      </c>
      <c r="AF24" s="369">
        <f>2*MIN(40,8*AF20)</f>
        <v>26.876230807197373</v>
      </c>
      <c r="AG24" s="50"/>
      <c r="AH24" s="104"/>
      <c r="AK24" s="68"/>
      <c r="AL24" s="39"/>
      <c r="AM24" s="39"/>
      <c r="AN24" s="349"/>
      <c r="AY24" s="40"/>
      <c r="BC24" s="40"/>
      <c r="BD24" s="40"/>
      <c r="BE24" s="40"/>
      <c r="BF24" s="40"/>
      <c r="BG24" s="40"/>
      <c r="BI24" s="432"/>
    </row>
    <row r="25" spans="1:61" ht="18" customHeight="1">
      <c r="A25" s="68"/>
      <c r="B25" s="49" t="s">
        <v>686</v>
      </c>
      <c r="C25" s="313">
        <f>Eingabe!C19</f>
        <v>0</v>
      </c>
      <c r="D25" s="304" t="s">
        <v>2</v>
      </c>
      <c r="G25" s="50"/>
      <c r="M25" s="40"/>
      <c r="N25" s="68" t="s">
        <v>134</v>
      </c>
      <c r="O25" s="146">
        <f>HLOOKUP(C20,MKW!$E$3:$AS$22,8,0)</f>
        <v>2.5</v>
      </c>
      <c r="P25" s="50" t="s">
        <v>3</v>
      </c>
      <c r="Q25" s="104"/>
      <c r="T25" s="68" t="s">
        <v>701</v>
      </c>
      <c r="U25" s="306">
        <f>HLOOKUP(C37,MKW!$E$3:$AS$22,7,0)</f>
        <v>24</v>
      </c>
      <c r="V25" s="50" t="s">
        <v>3</v>
      </c>
      <c r="W25" s="349"/>
      <c r="AD25" s="40"/>
      <c r="AE25" s="68" t="s">
        <v>134</v>
      </c>
      <c r="AF25" s="146">
        <f>HLOOKUP(C20,MKW!E3:AS22,8,0)</f>
        <v>2.5</v>
      </c>
      <c r="AG25" s="50"/>
      <c r="AH25" s="104"/>
      <c r="AK25" s="68" t="s">
        <v>701</v>
      </c>
      <c r="AL25" s="306">
        <f>HLOOKUP(C37,MKW!E3:AS22,7,0)</f>
        <v>24</v>
      </c>
      <c r="AM25" s="50" t="s">
        <v>3</v>
      </c>
      <c r="AN25" s="349"/>
      <c r="AY25" s="40"/>
      <c r="BC25" s="40"/>
      <c r="BD25" s="40"/>
      <c r="BE25" s="40"/>
      <c r="BF25" s="40"/>
      <c r="BG25" s="40"/>
      <c r="BI25" s="432"/>
    </row>
    <row r="26" spans="1:61" ht="18" customHeight="1">
      <c r="A26" s="156" t="s">
        <v>108</v>
      </c>
      <c r="B26" s="49" t="s">
        <v>111</v>
      </c>
      <c r="C26" s="313">
        <v>8</v>
      </c>
      <c r="D26" s="304" t="s">
        <v>2</v>
      </c>
      <c r="G26" s="50"/>
      <c r="N26" s="69" t="s">
        <v>135</v>
      </c>
      <c r="O26" s="148">
        <f>(C13*O23+O24)*O25</f>
        <v>228.80308700743223</v>
      </c>
      <c r="P26" s="59" t="s">
        <v>4</v>
      </c>
      <c r="Q26" s="101"/>
      <c r="T26" s="69" t="s">
        <v>144</v>
      </c>
      <c r="U26" s="148">
        <f>U25*$C$13</f>
        <v>1440</v>
      </c>
      <c r="V26" s="59" t="s">
        <v>4</v>
      </c>
      <c r="W26" s="350"/>
      <c r="AD26" s="40"/>
      <c r="AE26" s="69" t="s">
        <v>135</v>
      </c>
      <c r="AF26" s="148">
        <f>(C13*AF23+AF24)*AF25</f>
        <v>229.11564495064269</v>
      </c>
      <c r="AG26" s="59" t="s">
        <v>4</v>
      </c>
      <c r="AH26" s="101"/>
      <c r="AK26" s="69" t="s">
        <v>144</v>
      </c>
      <c r="AL26" s="148">
        <f>AL25*$C$13</f>
        <v>1440</v>
      </c>
      <c r="AM26" s="59" t="s">
        <v>4</v>
      </c>
      <c r="AN26" s="350"/>
      <c r="AY26" s="40"/>
      <c r="BC26" s="40"/>
      <c r="BD26" s="40"/>
      <c r="BE26" s="40"/>
      <c r="BF26" s="40"/>
      <c r="BG26" s="40"/>
      <c r="BI26" s="432"/>
    </row>
    <row r="27" spans="1:61" ht="18" customHeight="1">
      <c r="A27" s="68"/>
      <c r="B27" s="49" t="s">
        <v>687</v>
      </c>
      <c r="C27" s="313">
        <f>HLOOKUP(Ausgabe!E51,MKW!$A$116:$AZ$143,5,FALSE)</f>
        <v>160</v>
      </c>
      <c r="D27" s="304" t="s">
        <v>2</v>
      </c>
      <c r="F27" s="50"/>
      <c r="G27" s="50"/>
      <c r="W27" s="43"/>
      <c r="AD27" s="40"/>
      <c r="AN27" s="43"/>
      <c r="AY27" s="40"/>
      <c r="BC27" s="40"/>
      <c r="BD27" s="40"/>
      <c r="BE27" s="40"/>
      <c r="BF27" s="40"/>
      <c r="BG27" s="40"/>
      <c r="BI27" s="432"/>
    </row>
    <row r="28" spans="1:61" ht="18" customHeight="1">
      <c r="A28" s="68"/>
      <c r="B28" s="49" t="s">
        <v>688</v>
      </c>
      <c r="C28" s="313">
        <f>HLOOKUP(Ausgabe!E52,MKW!$A$116:$AZ$143,5,FALSE)</f>
        <v>160</v>
      </c>
      <c r="D28" s="304" t="s">
        <v>2</v>
      </c>
      <c r="F28" s="50"/>
      <c r="G28" s="40"/>
      <c r="N28" s="340"/>
      <c r="W28" s="43"/>
      <c r="AD28" s="40"/>
      <c r="AE28" s="52" t="s">
        <v>1799</v>
      </c>
      <c r="AK28" s="52" t="s">
        <v>1799</v>
      </c>
      <c r="AY28" s="40"/>
      <c r="BC28" s="40"/>
      <c r="BD28" s="40"/>
      <c r="BE28" s="40"/>
      <c r="BF28" s="40"/>
      <c r="BG28" s="40"/>
      <c r="BI28" s="432"/>
    </row>
    <row r="29" spans="1:61" ht="18" customHeight="1">
      <c r="A29" s="68"/>
      <c r="B29" s="49" t="s">
        <v>689</v>
      </c>
      <c r="C29" s="688">
        <f ca="1">SUMIF(A138:A211,45,E138:E211)/SUMIF(A138:A211,45)*45</f>
        <v>142.5</v>
      </c>
      <c r="D29" s="304" t="s">
        <v>2</v>
      </c>
      <c r="F29" s="40"/>
      <c r="G29" s="50"/>
      <c r="W29" s="43"/>
      <c r="AD29" s="40"/>
      <c r="AE29" s="103" t="s">
        <v>1800</v>
      </c>
      <c r="AF29" s="145">
        <f>IF(C92="ja",C97,0)</f>
        <v>0</v>
      </c>
      <c r="AG29" s="55" t="s">
        <v>124</v>
      </c>
      <c r="AH29" s="56"/>
      <c r="AK29" s="103" t="s">
        <v>1800</v>
      </c>
      <c r="AL29" s="145">
        <v>0</v>
      </c>
      <c r="AM29" s="55" t="s">
        <v>124</v>
      </c>
      <c r="AN29" s="56"/>
      <c r="AY29" s="40"/>
      <c r="BC29" s="40"/>
      <c r="BD29" s="40"/>
      <c r="BE29" s="40"/>
      <c r="BF29" s="40"/>
      <c r="BG29" s="40"/>
      <c r="BI29" s="432"/>
    </row>
    <row r="30" spans="1:61" ht="18" customHeight="1">
      <c r="A30" s="68"/>
      <c r="B30" s="49" t="s">
        <v>690</v>
      </c>
      <c r="C30" s="688">
        <f ca="1">SUMIF(N138:N211,"&gt;0",E138:E211)/COUNT(N138:N211)</f>
        <v>120</v>
      </c>
      <c r="D30" s="304" t="s">
        <v>2</v>
      </c>
      <c r="F30" s="1233"/>
      <c r="M30" s="341"/>
      <c r="T30" s="39"/>
      <c r="U30" s="39"/>
      <c r="V30" s="39"/>
      <c r="W30" s="47"/>
      <c r="AD30" s="40"/>
      <c r="AE30" s="69" t="s">
        <v>1801</v>
      </c>
      <c r="AF30" s="148">
        <f>IF(C92="ja",SUM(AG215:AG217,AG132:AG134),0)</f>
        <v>0</v>
      </c>
      <c r="AG30" s="60" t="s">
        <v>5</v>
      </c>
      <c r="AH30" s="1020"/>
      <c r="AK30" s="69" t="s">
        <v>1801</v>
      </c>
      <c r="AL30" s="148">
        <v>0</v>
      </c>
      <c r="AM30" s="60" t="s">
        <v>5</v>
      </c>
      <c r="AN30" s="61"/>
      <c r="AY30" s="40"/>
      <c r="BC30" s="40"/>
      <c r="BD30" s="40"/>
      <c r="BE30" s="40"/>
      <c r="BF30" s="40"/>
      <c r="BG30" s="40"/>
      <c r="BI30" s="432"/>
    </row>
    <row r="31" spans="1:61" ht="18" customHeight="1">
      <c r="A31" s="68"/>
      <c r="B31" s="49" t="s">
        <v>691</v>
      </c>
      <c r="C31" s="689"/>
      <c r="D31" s="304"/>
      <c r="E31" s="39" t="s">
        <v>2149</v>
      </c>
      <c r="F31" s="50">
        <f>Ausgabe!C183</f>
        <v>1</v>
      </c>
      <c r="G31" s="50"/>
      <c r="I31" s="40"/>
      <c r="M31" s="341"/>
      <c r="W31" s="43"/>
      <c r="AD31" s="40"/>
      <c r="AY31" s="40"/>
      <c r="BC31" s="40"/>
      <c r="BD31" s="40"/>
      <c r="BE31" s="40"/>
      <c r="BF31" s="40"/>
      <c r="BG31" s="40"/>
      <c r="BI31" s="432"/>
    </row>
    <row r="32" spans="1:61" ht="18" customHeight="1">
      <c r="A32" s="85"/>
      <c r="B32" s="49" t="s">
        <v>692</v>
      </c>
      <c r="C32" s="689" t="e">
        <f ca="1">Ausgabe!C487</f>
        <v>#DIV/0!</v>
      </c>
      <c r="D32" s="304" t="s">
        <v>3</v>
      </c>
      <c r="E32" s="751" t="s">
        <v>507</v>
      </c>
      <c r="F32" s="50" t="str">
        <f>Ausgabe!C185</f>
        <v>-</v>
      </c>
      <c r="G32" s="102"/>
      <c r="I32" s="40"/>
      <c r="J32" s="40"/>
      <c r="N32" s="52" t="s">
        <v>276</v>
      </c>
      <c r="O32" s="39"/>
      <c r="P32" s="39"/>
      <c r="Q32" s="39"/>
      <c r="T32" s="52" t="s">
        <v>276</v>
      </c>
      <c r="W32" s="43"/>
      <c r="AD32" s="40"/>
      <c r="AE32" s="52" t="s">
        <v>276</v>
      </c>
      <c r="AK32" s="52" t="s">
        <v>1802</v>
      </c>
      <c r="AN32" s="43"/>
      <c r="AY32" s="40"/>
      <c r="BC32" s="40"/>
      <c r="BD32" s="40"/>
      <c r="BE32" s="40"/>
      <c r="BF32" s="40"/>
      <c r="BG32" s="40"/>
      <c r="BI32" s="432"/>
    </row>
    <row r="33" spans="1:61" ht="18" customHeight="1">
      <c r="A33" s="85"/>
      <c r="B33" s="49" t="s">
        <v>693</v>
      </c>
      <c r="C33" s="690">
        <v>0.75</v>
      </c>
      <c r="D33" s="426" t="s">
        <v>2</v>
      </c>
      <c r="E33" s="50" t="s">
        <v>1803</v>
      </c>
      <c r="F33" s="102"/>
      <c r="G33" s="102"/>
      <c r="I33" s="40"/>
      <c r="J33" s="40"/>
      <c r="N33" s="103" t="s">
        <v>10</v>
      </c>
      <c r="O33" s="145">
        <f ca="1">COUNT(O138:O211)</f>
        <v>2</v>
      </c>
      <c r="P33" s="97" t="s">
        <v>124</v>
      </c>
      <c r="Q33" s="105"/>
      <c r="T33" s="103" t="s">
        <v>10</v>
      </c>
      <c r="U33" s="145">
        <f ca="1">COUNT(N233:N306)</f>
        <v>3</v>
      </c>
      <c r="V33" s="97" t="s">
        <v>124</v>
      </c>
      <c r="W33" s="348"/>
      <c r="AD33" s="40"/>
      <c r="AE33" s="103" t="s">
        <v>10</v>
      </c>
      <c r="AF33" s="342">
        <f ca="1">COUNT(AF138:AF211)</f>
        <v>2</v>
      </c>
      <c r="AG33" s="97" t="s">
        <v>124</v>
      </c>
      <c r="AH33" s="105"/>
      <c r="AK33" s="103" t="s">
        <v>10</v>
      </c>
      <c r="AL33" s="145">
        <f ca="1">COUNT(AE233:AE306)</f>
        <v>3</v>
      </c>
      <c r="AM33" s="97" t="s">
        <v>124</v>
      </c>
      <c r="AN33" s="348"/>
      <c r="AY33" s="40"/>
      <c r="BC33" s="40"/>
      <c r="BD33" s="40"/>
      <c r="BE33" s="40"/>
      <c r="BF33" s="40"/>
      <c r="BG33" s="40"/>
      <c r="BI33" s="432"/>
    </row>
    <row r="34" spans="1:61" ht="18" customHeight="1">
      <c r="A34" s="86"/>
      <c r="B34" s="681" t="s">
        <v>694</v>
      </c>
      <c r="C34" s="691">
        <f>HLOOKUP(Ausgabe!$E$52,MKW!$A$116:$AZ$143,8,FALSE)*1000</f>
        <v>20000</v>
      </c>
      <c r="D34" s="692" t="s">
        <v>5</v>
      </c>
      <c r="E34" s="102"/>
      <c r="F34" s="102"/>
      <c r="G34" s="102"/>
      <c r="I34" s="40"/>
      <c r="J34" s="40"/>
      <c r="N34" s="68" t="s">
        <v>133</v>
      </c>
      <c r="O34" s="43">
        <f ca="1">O221</f>
        <v>300</v>
      </c>
      <c r="P34" s="40" t="s">
        <v>2</v>
      </c>
      <c r="Q34" s="57"/>
      <c r="T34" s="68" t="s">
        <v>133</v>
      </c>
      <c r="U34" s="43">
        <f ca="1">O313</f>
        <v>250</v>
      </c>
      <c r="V34" s="40" t="s">
        <v>2</v>
      </c>
      <c r="W34" s="346"/>
      <c r="AD34" s="40"/>
      <c r="AE34" s="68" t="s">
        <v>133</v>
      </c>
      <c r="AF34" s="1021">
        <f ca="1">AF221</f>
        <v>300</v>
      </c>
      <c r="AG34" s="40" t="s">
        <v>2</v>
      </c>
      <c r="AH34" s="57"/>
      <c r="AK34" s="68" t="s">
        <v>133</v>
      </c>
      <c r="AL34" s="43">
        <f ca="1">AF313</f>
        <v>250</v>
      </c>
      <c r="AM34" s="40" t="s">
        <v>2</v>
      </c>
      <c r="AN34" s="346"/>
      <c r="AY34" s="40"/>
      <c r="BC34" s="40"/>
      <c r="BD34" s="40"/>
      <c r="BE34" s="40"/>
      <c r="BF34" s="40"/>
      <c r="BG34" s="40"/>
      <c r="BI34" s="432"/>
    </row>
    <row r="35" spans="1:61" ht="18" customHeight="1">
      <c r="B35" s="49"/>
      <c r="F35" s="102"/>
      <c r="G35" s="50"/>
      <c r="H35" s="40"/>
      <c r="I35" s="253"/>
      <c r="J35" s="1236"/>
      <c r="K35" s="1190"/>
      <c r="N35" s="68" t="s">
        <v>287</v>
      </c>
      <c r="O35" s="307" t="e">
        <f ca="1">R221</f>
        <v>#DIV/0!</v>
      </c>
      <c r="P35" s="40" t="s">
        <v>2</v>
      </c>
      <c r="Q35" s="57"/>
      <c r="T35" s="68" t="s">
        <v>287</v>
      </c>
      <c r="U35" s="307">
        <f ca="1">R313</f>
        <v>0.75</v>
      </c>
      <c r="V35" s="40" t="s">
        <v>2</v>
      </c>
      <c r="W35" s="346"/>
      <c r="AD35" s="40"/>
      <c r="AE35" s="68" t="s">
        <v>287</v>
      </c>
      <c r="AF35" s="408">
        <f ca="1">AI221</f>
        <v>0.75</v>
      </c>
      <c r="AG35" s="40" t="s">
        <v>2</v>
      </c>
      <c r="AH35" s="57"/>
      <c r="AK35" s="68" t="s">
        <v>287</v>
      </c>
      <c r="AL35" s="408">
        <f ca="1">AI313</f>
        <v>0.75</v>
      </c>
      <c r="AM35" s="40" t="s">
        <v>2</v>
      </c>
      <c r="AN35" s="346"/>
      <c r="AY35" s="40"/>
      <c r="BC35" s="40"/>
      <c r="BD35" s="40"/>
      <c r="BE35" s="40"/>
      <c r="BF35" s="40"/>
      <c r="BG35" s="40"/>
      <c r="BI35" s="432"/>
    </row>
    <row r="36" spans="1:61" ht="18" customHeight="1">
      <c r="B36" s="49"/>
      <c r="F36" s="50"/>
      <c r="G36" s="50"/>
      <c r="H36" s="40"/>
      <c r="I36" s="1193"/>
      <c r="J36" s="1237"/>
      <c r="K36" s="1191"/>
      <c r="N36" s="68" t="s">
        <v>142</v>
      </c>
      <c r="O36" s="58" t="e">
        <f ca="1">P221</f>
        <v>#DIV/0!</v>
      </c>
      <c r="P36" s="50" t="s">
        <v>5</v>
      </c>
      <c r="Q36" s="104"/>
      <c r="T36" s="68" t="s">
        <v>142</v>
      </c>
      <c r="U36" s="58">
        <f ca="1">P313</f>
        <v>6746.0827155216157</v>
      </c>
      <c r="V36" s="50" t="s">
        <v>5</v>
      </c>
      <c r="W36" s="349"/>
      <c r="AD36" s="40"/>
      <c r="AE36" s="68" t="s">
        <v>142</v>
      </c>
      <c r="AF36" s="303" t="e">
        <f ca="1">AG221</f>
        <v>#DIV/0!</v>
      </c>
      <c r="AG36" s="50" t="s">
        <v>5</v>
      </c>
      <c r="AH36" s="104"/>
      <c r="AK36" s="68" t="s">
        <v>142</v>
      </c>
      <c r="AL36" s="58">
        <f ca="1">AG313</f>
        <v>6746.0827155216157</v>
      </c>
      <c r="AM36" s="50" t="s">
        <v>5</v>
      </c>
      <c r="AN36" s="349"/>
      <c r="AO36" s="139" t="s">
        <v>1863</v>
      </c>
      <c r="AP36" s="1246" t="s">
        <v>1864</v>
      </c>
      <c r="AQ36" s="1190"/>
      <c r="AY36" s="40"/>
      <c r="BC36" s="40"/>
      <c r="BD36" s="40"/>
      <c r="BE36" s="40"/>
      <c r="BF36" s="40"/>
      <c r="BG36" s="40"/>
      <c r="BI36" s="432"/>
    </row>
    <row r="37" spans="1:61" ht="18" customHeight="1">
      <c r="A37" s="107" t="s">
        <v>7</v>
      </c>
      <c r="B37" s="686"/>
      <c r="C37" s="693" t="str">
        <f>Eingabe!C24</f>
        <v>GL24h</v>
      </c>
      <c r="D37" s="290"/>
      <c r="F37" s="50"/>
      <c r="G37" s="50"/>
      <c r="H37" s="40"/>
      <c r="I37" s="253"/>
      <c r="J37" s="1236"/>
      <c r="K37" s="107" t="s">
        <v>2181</v>
      </c>
      <c r="L37" s="54"/>
      <c r="M37" s="348" t="e">
        <f ca="1">amax/2+n*Faxmax*kL/sc</f>
        <v>#DIV/0!</v>
      </c>
      <c r="N37" s="141" t="s">
        <v>141</v>
      </c>
      <c r="O37" s="58">
        <f ca="1">O224</f>
        <v>600</v>
      </c>
      <c r="P37" s="50" t="s">
        <v>2</v>
      </c>
      <c r="Q37" s="104"/>
      <c r="R37" s="96"/>
      <c r="T37" s="141" t="s">
        <v>141</v>
      </c>
      <c r="U37" s="58">
        <f ca="1">O316</f>
        <v>560</v>
      </c>
      <c r="V37" s="50" t="s">
        <v>2</v>
      </c>
      <c r="W37" s="349"/>
      <c r="X37" s="107" t="s">
        <v>2181</v>
      </c>
      <c r="Y37" s="348">
        <f ca="1">(U34/2+U33*U36*U38/U26)</f>
        <v>139.13922642337172</v>
      </c>
      <c r="AB37" s="139" t="s">
        <v>1863</v>
      </c>
      <c r="AC37" s="1242"/>
      <c r="AD37" s="1243" t="s">
        <v>2179</v>
      </c>
      <c r="AE37" s="141" t="s">
        <v>141</v>
      </c>
      <c r="AF37" s="303">
        <f ca="1">AF224</f>
        <v>600</v>
      </c>
      <c r="AG37" s="50" t="s">
        <v>2</v>
      </c>
      <c r="AH37" s="104"/>
      <c r="AK37" s="141" t="s">
        <v>141</v>
      </c>
      <c r="AL37" s="58">
        <f ca="1">AF316</f>
        <v>560</v>
      </c>
      <c r="AM37" s="50" t="s">
        <v>2</v>
      </c>
      <c r="AN37" s="349"/>
      <c r="AO37" s="85" t="s">
        <v>2157</v>
      </c>
      <c r="AP37" s="1247">
        <f ca="1">AL34/2+(AL33*AL41*AL36+AL38*AL35*AL40-AL30)/AL26</f>
        <v>139.13922642337172</v>
      </c>
      <c r="AQ37" s="1191"/>
      <c r="AY37" s="40"/>
      <c r="BC37" s="40"/>
      <c r="BD37" s="40"/>
      <c r="BE37" s="40"/>
      <c r="BF37" s="40"/>
      <c r="BG37" s="40"/>
      <c r="BI37" s="432"/>
    </row>
    <row r="38" spans="1:61" ht="18" customHeight="1">
      <c r="A38" s="68"/>
      <c r="B38" s="687" t="s">
        <v>684</v>
      </c>
      <c r="C38" s="303">
        <f>HLOOKUP(C37,MKW!$E$3:$AS$22,19,0)</f>
        <v>385</v>
      </c>
      <c r="D38" s="304" t="s">
        <v>115</v>
      </c>
      <c r="F38" s="50"/>
      <c r="G38" s="50"/>
      <c r="H38" s="40"/>
      <c r="I38" s="1025"/>
      <c r="J38" s="1238"/>
      <c r="K38" s="1011" t="s">
        <v>2182</v>
      </c>
      <c r="M38" s="349" t="e">
        <f ca="1">-2*Faxmax*kL*Sai/sc</f>
        <v>#DIV/0!</v>
      </c>
      <c r="N38" s="68" t="s">
        <v>279</v>
      </c>
      <c r="O38" s="408" t="e">
        <f ca="1">S224</f>
        <v>#DIV/0!</v>
      </c>
      <c r="P38" s="40" t="s">
        <v>124</v>
      </c>
      <c r="Q38" s="57"/>
      <c r="R38" s="96"/>
      <c r="T38" s="68" t="s">
        <v>279</v>
      </c>
      <c r="U38" s="408">
        <f ca="1">S316</f>
        <v>1.0060399448709783</v>
      </c>
      <c r="V38" s="40" t="s">
        <v>124</v>
      </c>
      <c r="W38" s="57"/>
      <c r="X38" s="1011" t="s">
        <v>2182</v>
      </c>
      <c r="Y38" s="349">
        <f ca="1">-2*U36*U38*U37/U26</f>
        <v>-5278.6445313921085</v>
      </c>
      <c r="AB38" s="85" t="s">
        <v>2181</v>
      </c>
      <c r="AC38" s="1237"/>
      <c r="AD38" s="1250" t="e">
        <f ca="1">AF34/2+(AF33*AF41*AF36+AF38*AF35*AF40-AF30)/AF26</f>
        <v>#DIV/0!</v>
      </c>
      <c r="AE38" s="68" t="s">
        <v>275</v>
      </c>
      <c r="AF38" s="1021">
        <f>IF(C56="ja",C58,0)</f>
        <v>0</v>
      </c>
      <c r="AG38" s="310" t="s">
        <v>124</v>
      </c>
      <c r="AH38" s="57"/>
      <c r="AI38" s="310"/>
      <c r="AK38" s="1022" t="s">
        <v>275</v>
      </c>
      <c r="AL38" s="1021">
        <f>IF(D56="ja",D58,IF(D74="ja",1,0))</f>
        <v>0</v>
      </c>
      <c r="AM38" s="310" t="s">
        <v>124</v>
      </c>
      <c r="AN38" s="57"/>
      <c r="AO38" s="85" t="s">
        <v>1862</v>
      </c>
      <c r="AP38" s="1247">
        <f ca="1">(-2*AL41*AL36*AL37-2*AL35*AL40*AL39+2*AL30*AL34)/AL26</f>
        <v>-5278.6445313921085</v>
      </c>
      <c r="AQ38" s="1190"/>
      <c r="AY38" s="40"/>
      <c r="BC38" s="40"/>
      <c r="BD38" s="40"/>
      <c r="BE38" s="40"/>
      <c r="BF38" s="40"/>
      <c r="BG38" s="40"/>
      <c r="BI38" s="432"/>
    </row>
    <row r="39" spans="1:61" ht="18" customHeight="1">
      <c r="A39" s="68"/>
      <c r="B39" s="232" t="s">
        <v>232</v>
      </c>
      <c r="C39" s="303">
        <f>C13+6*C43</f>
        <v>108</v>
      </c>
      <c r="D39" s="304" t="s">
        <v>2</v>
      </c>
      <c r="G39" s="46"/>
      <c r="H39" s="1194"/>
      <c r="I39" s="1195"/>
      <c r="J39" s="1235"/>
      <c r="K39" s="160" t="s">
        <v>2172</v>
      </c>
      <c r="L39" s="1254"/>
      <c r="M39" s="1305" t="e">
        <f ca="1">M37-SQRT(M37^2+M38)</f>
        <v>#DIV/0!</v>
      </c>
      <c r="N39" s="69" t="s">
        <v>247</v>
      </c>
      <c r="O39" s="152" t="e">
        <f ca="1">(amax/2+n*Faxmax*kL/sc)-SQRT((amax/2+n*Faxmax*kL/sc)^2-2*Faxmax*kL*Sai/sc)</f>
        <v>#DIV/0!</v>
      </c>
      <c r="P39" s="59" t="s">
        <v>2</v>
      </c>
      <c r="Q39" s="323"/>
      <c r="T39" s="69" t="s">
        <v>247</v>
      </c>
      <c r="U39" s="152">
        <f ca="1">(U34/2+U33*U36*U38/U26)-SQRT((U34/2+U33*U36*U38/U26)^2-2*U36*U38*U37/U26)</f>
        <v>20.475500717905206</v>
      </c>
      <c r="V39" s="37" t="s">
        <v>2</v>
      </c>
      <c r="W39" s="323"/>
      <c r="X39" s="160" t="s">
        <v>2172</v>
      </c>
      <c r="Y39" s="1305">
        <f ca="1">Y37-SQRT(Y37^2+Y38)</f>
        <v>20.475500717905206</v>
      </c>
      <c r="AB39" s="85" t="s">
        <v>2182</v>
      </c>
      <c r="AC39" s="1236"/>
      <c r="AD39" s="1251" t="e">
        <f ca="1">(2*AF30*AF34-2*AF41*AF36*AF37-2*AF35*AF39*AF40)/AF26</f>
        <v>#DIV/0!</v>
      </c>
      <c r="AE39" s="1023" t="s">
        <v>1804</v>
      </c>
      <c r="AF39" s="310">
        <f>IF(C56="ja",AF38*((AF38-1)*C64/2+C14+C63),0)</f>
        <v>0</v>
      </c>
      <c r="AG39" s="310" t="s">
        <v>2</v>
      </c>
      <c r="AH39" s="57"/>
      <c r="AI39" s="310"/>
      <c r="AJ39" s="310"/>
      <c r="AK39" s="1024" t="s">
        <v>1804</v>
      </c>
      <c r="AL39" s="310">
        <f>IF(D56="ja",AL38*((AL38-1)*D64/2+C14+D63),IF(D74="ja",C14+50,0))</f>
        <v>0</v>
      </c>
      <c r="AM39" s="310" t="s">
        <v>2</v>
      </c>
      <c r="AN39" s="57"/>
      <c r="AO39" s="85" t="s">
        <v>1865</v>
      </c>
      <c r="AP39" s="1247">
        <f ca="1">IF(AP41&gt;0,AP37-SQRT(AP37^2+AP38),AP37)</f>
        <v>20.475500717905206</v>
      </c>
      <c r="AQ39" s="1192"/>
      <c r="AY39" s="40"/>
      <c r="BC39" s="40"/>
      <c r="BD39" s="40"/>
      <c r="BE39" s="40"/>
      <c r="BF39" s="40"/>
      <c r="BG39" s="40"/>
      <c r="BI39" s="432"/>
    </row>
    <row r="40" spans="1:61" ht="18" customHeight="1">
      <c r="A40" s="68"/>
      <c r="B40" s="232" t="s">
        <v>233</v>
      </c>
      <c r="C40" s="303">
        <f>IF(D56="Nein",C14+100,IF(D56="ja",MAX(C14+100,C14+50+D62+D63+(D58-1)*D64)))</f>
        <v>410</v>
      </c>
      <c r="D40" s="304" t="s">
        <v>2</v>
      </c>
      <c r="G40" s="46"/>
      <c r="H40" s="1194"/>
      <c r="I40" s="1195"/>
      <c r="J40" s="1235"/>
      <c r="N40" s="133"/>
      <c r="O40" s="439"/>
      <c r="P40" s="253"/>
      <c r="Q40" s="253"/>
      <c r="T40" s="133"/>
      <c r="U40" s="439"/>
      <c r="V40" s="253"/>
      <c r="AB40" s="85" t="s">
        <v>2183</v>
      </c>
      <c r="AC40" s="1238"/>
      <c r="AD40" s="1252" t="e">
        <f ca="1">IF(AD42&gt;0,AD38-SQRT(AD38^2+AD39),AD38)</f>
        <v>#DIV/0!</v>
      </c>
      <c r="AE40" s="68" t="s">
        <v>1805</v>
      </c>
      <c r="AF40" s="43">
        <f>IF(C56="ja",C69,0)</f>
        <v>0</v>
      </c>
      <c r="AG40" s="40" t="s">
        <v>4</v>
      </c>
      <c r="AH40" s="104"/>
      <c r="AI40" s="1025"/>
      <c r="AJ40" s="310"/>
      <c r="AK40" s="68" t="s">
        <v>1805</v>
      </c>
      <c r="AL40" s="43">
        <f>IF(D56="ja",D69,0)</f>
        <v>0</v>
      </c>
      <c r="AM40" s="40" t="s">
        <v>4</v>
      </c>
      <c r="AN40" s="104"/>
      <c r="AO40" s="1244" t="s">
        <v>2180</v>
      </c>
      <c r="AP40" s="1248">
        <f ca="1">IF(AP41&gt;0,AP37+SQRT(AP37^2+AP38),AP37)</f>
        <v>257.80295212883823</v>
      </c>
      <c r="AQ40" s="1195"/>
      <c r="AY40" s="40"/>
      <c r="BC40" s="40"/>
      <c r="BD40" s="40"/>
      <c r="BE40" s="40"/>
      <c r="BF40" s="40"/>
      <c r="BG40" s="40"/>
      <c r="BI40" s="432"/>
    </row>
    <row r="41" spans="1:61" ht="18" customHeight="1">
      <c r="A41" s="68"/>
      <c r="B41" s="49" t="s">
        <v>695</v>
      </c>
      <c r="C41" s="313">
        <f>Eingabe!C25</f>
        <v>0</v>
      </c>
      <c r="D41" s="304" t="s">
        <v>2</v>
      </c>
      <c r="E41" s="50"/>
      <c r="F41" s="50"/>
      <c r="G41" s="50"/>
      <c r="H41" s="45"/>
      <c r="I41" s="1235"/>
      <c r="J41" s="1235"/>
      <c r="K41" s="1235"/>
      <c r="N41" s="133"/>
      <c r="O41" s="439"/>
      <c r="P41" s="253"/>
      <c r="Q41" s="253"/>
      <c r="AB41" s="1244" t="s">
        <v>2184</v>
      </c>
      <c r="AC41" s="1235"/>
      <c r="AD41" s="1253" t="e">
        <f ca="1">IF(AD42&gt;0,AD38+SQRT(AD38^2+AD39),AD38)</f>
        <v>#DIV/0!</v>
      </c>
      <c r="AE41" s="68" t="s">
        <v>279</v>
      </c>
      <c r="AF41" s="408" t="e">
        <f ca="1">AK224</f>
        <v>#DIV/0!</v>
      </c>
      <c r="AG41" s="40" t="s">
        <v>124</v>
      </c>
      <c r="AH41" s="57"/>
      <c r="AK41" s="68" t="s">
        <v>279</v>
      </c>
      <c r="AL41" s="408">
        <f ca="1">AK316</f>
        <v>1.0060399448709783</v>
      </c>
      <c r="AM41" s="40" t="s">
        <v>124</v>
      </c>
      <c r="AN41" s="57"/>
      <c r="AO41" s="1244" t="s">
        <v>2171</v>
      </c>
      <c r="AP41" s="1248">
        <f t="shared" ref="AP41" ca="1" si="0">AP37^2+AP38</f>
        <v>14081.079798302197</v>
      </c>
      <c r="AY41" s="40"/>
      <c r="BC41" s="40"/>
      <c r="BD41" s="40"/>
      <c r="BE41" s="40"/>
      <c r="BF41" s="40"/>
      <c r="BG41" s="40"/>
      <c r="BI41" s="432"/>
    </row>
    <row r="42" spans="1:61" ht="18" customHeight="1">
      <c r="A42" s="68"/>
      <c r="B42" s="49" t="s">
        <v>696</v>
      </c>
      <c r="C42" s="313">
        <f>Eingabe!C26</f>
        <v>0</v>
      </c>
      <c r="D42" s="304" t="s">
        <v>2</v>
      </c>
      <c r="F42" s="50"/>
      <c r="AB42" s="1244" t="s">
        <v>2171</v>
      </c>
      <c r="AC42" s="1235"/>
      <c r="AD42" s="1253" t="e">
        <f t="shared" ref="AD42" ca="1" si="1">AD38^2+AD39</f>
        <v>#DIV/0!</v>
      </c>
      <c r="AE42" s="68" t="s">
        <v>247</v>
      </c>
      <c r="AF42" s="1026">
        <f ca="1">IF(C92="ja",(AE221*AI224/AI221)+C98,AE221*AF20/AF35)</f>
        <v>21.595494231563425</v>
      </c>
      <c r="AG42" s="40" t="s">
        <v>2</v>
      </c>
      <c r="AH42" s="64" t="s">
        <v>1806</v>
      </c>
      <c r="AI42" s="1027"/>
      <c r="AK42" s="1028" t="s">
        <v>247</v>
      </c>
      <c r="AL42" s="152">
        <f ca="1">(AL34/2+(AL33*AL41*AL36+AL38*AL35*AL40-AL30)/AL26)-SQRT((AL34/2+(AL33*AL41*AL36+AL38*AL35*AL40-AL30)/AL26)^2+((2*AL30*AL34-2*AL41*AL36*AL37-2*AL35*AL39*AL40)/AL26))</f>
        <v>20.475500717905206</v>
      </c>
      <c r="AM42" s="315" t="s">
        <v>2</v>
      </c>
      <c r="AN42" s="350"/>
      <c r="AO42" s="160" t="s">
        <v>2172</v>
      </c>
      <c r="AP42" s="1249">
        <f ca="1">IF(ABS(AP39-$AL$16)&gt;ABS(AP40-$AL$16),AP40,AP39)</f>
        <v>20.475500717905206</v>
      </c>
      <c r="AY42" s="40"/>
      <c r="BC42" s="40"/>
      <c r="BD42" s="40"/>
      <c r="BE42" s="40"/>
      <c r="BF42" s="40"/>
      <c r="BG42" s="40"/>
      <c r="BI42" s="432"/>
    </row>
    <row r="43" spans="1:61" ht="18" customHeight="1">
      <c r="A43" s="156" t="s">
        <v>108</v>
      </c>
      <c r="B43" s="49" t="s">
        <v>111</v>
      </c>
      <c r="C43" s="313">
        <v>8</v>
      </c>
      <c r="D43" s="304" t="s">
        <v>2</v>
      </c>
      <c r="F43" s="40"/>
      <c r="R43" s="408"/>
      <c r="AB43" s="160" t="s">
        <v>2172</v>
      </c>
      <c r="AC43" s="1245"/>
      <c r="AD43" s="1249" t="e">
        <f ca="1">IF(ABS(AD40-$AF$16)&gt;ABS(AD41-$AF$16),AD41,AD40)</f>
        <v>#DIV/0!</v>
      </c>
      <c r="AE43" s="69" t="s">
        <v>1807</v>
      </c>
      <c r="AF43" s="1029" t="e">
        <f ca="1">IF(AF33=0,"-",AD43)</f>
        <v>#DIV/0!</v>
      </c>
      <c r="AG43" s="315" t="s">
        <v>2</v>
      </c>
      <c r="AH43" s="65" t="s">
        <v>1808</v>
      </c>
      <c r="AI43" s="1025"/>
      <c r="AJ43" s="310"/>
      <c r="AY43" s="40"/>
      <c r="BC43" s="40"/>
      <c r="BD43" s="40"/>
      <c r="BE43" s="40"/>
      <c r="BF43" s="40"/>
      <c r="BG43" s="40"/>
      <c r="BI43" s="432"/>
    </row>
    <row r="44" spans="1:61" ht="18" customHeight="1">
      <c r="A44" s="68"/>
      <c r="B44" s="49" t="s">
        <v>687</v>
      </c>
      <c r="C44" s="313">
        <f>HLOOKUP(Ausgabe!E53,MKW!$A$116:$AZ$143,5,FALSE)</f>
        <v>160</v>
      </c>
      <c r="D44" s="304" t="s">
        <v>2</v>
      </c>
      <c r="F44" s="50"/>
      <c r="J44" s="40"/>
      <c r="X44" s="253"/>
      <c r="AC44" s="41"/>
      <c r="AD44" s="41"/>
      <c r="AE44" s="41" t="e">
        <f ca="1">(AF34/2+(AF33*AF41*AF36+AF38*AF35*AF40-AF30)/AF26)</f>
        <v>#DIV/0!</v>
      </c>
      <c r="AF44" s="43" t="e">
        <f ca="1">((AF34/2+(AF33*AF41*AF36+AF38*AF35*AF40-AF30)/AF26)^2+((2*AF30*AF34-2*AF41*AF36*AF37-2*AF35*AF39*AF40)/AF26))</f>
        <v>#DIV/0!</v>
      </c>
      <c r="AI44" s="43"/>
      <c r="AJ44" s="43"/>
      <c r="AY44" s="40"/>
      <c r="BC44" s="40"/>
      <c r="BD44" s="40"/>
      <c r="BE44" s="40"/>
      <c r="BF44" s="40"/>
      <c r="BG44" s="40"/>
      <c r="BI44" s="432"/>
    </row>
    <row r="45" spans="1:61" ht="18" customHeight="1">
      <c r="A45" s="68"/>
      <c r="B45" s="49" t="s">
        <v>688</v>
      </c>
      <c r="C45" s="313">
        <f>HLOOKUP(Ausgabe!E54,MKW!$A$116:$AZ$143,5,FALSE)</f>
        <v>240</v>
      </c>
      <c r="D45" s="304" t="s">
        <v>2</v>
      </c>
      <c r="M45" s="339"/>
      <c r="N45" s="52" t="s">
        <v>14</v>
      </c>
      <c r="O45" s="39"/>
      <c r="P45" s="39"/>
      <c r="Q45" s="39"/>
      <c r="T45" s="52" t="s">
        <v>14</v>
      </c>
      <c r="W45" s="43"/>
      <c r="AD45" s="40"/>
      <c r="AE45" s="52" t="s">
        <v>14</v>
      </c>
      <c r="AF45" s="39"/>
      <c r="AG45" s="39"/>
      <c r="AH45" s="39"/>
      <c r="AK45" s="52" t="s">
        <v>14</v>
      </c>
      <c r="AN45" s="43"/>
      <c r="AY45" s="40"/>
      <c r="BC45" s="40"/>
      <c r="BD45" s="40"/>
      <c r="BE45" s="40"/>
      <c r="BF45" s="40"/>
      <c r="BG45" s="40"/>
      <c r="BI45" s="432"/>
    </row>
    <row r="46" spans="1:61" ht="18" customHeight="1">
      <c r="A46" s="68"/>
      <c r="B46" s="49" t="s">
        <v>689</v>
      </c>
      <c r="C46" s="688">
        <f ca="1">SUMIF(U233:U306,"&gt;0",E233:E306)/COUNT(U233:U306)</f>
        <v>142.5</v>
      </c>
      <c r="D46" s="304" t="s">
        <v>2</v>
      </c>
      <c r="N46" s="103" t="s">
        <v>140</v>
      </c>
      <c r="O46" s="143" t="e">
        <f ca="1">O26*O39/2</f>
        <v>#DIV/0!</v>
      </c>
      <c r="P46" s="54"/>
      <c r="Q46" s="105"/>
      <c r="R46" s="39"/>
      <c r="T46" s="103" t="s">
        <v>140</v>
      </c>
      <c r="U46" s="143">
        <f ca="1">U26*U39/2</f>
        <v>14742.360516891747</v>
      </c>
      <c r="V46" s="54"/>
      <c r="W46" s="348"/>
      <c r="Y46" s="41"/>
      <c r="AD46" s="40"/>
      <c r="AE46" s="103" t="s">
        <v>140</v>
      </c>
      <c r="AF46" s="143">
        <f>AF26*AF16/2</f>
        <v>33262.757570613066</v>
      </c>
      <c r="AG46" s="54"/>
      <c r="AH46" s="105"/>
      <c r="AK46" s="103" t="s">
        <v>140</v>
      </c>
      <c r="AL46" s="143">
        <f ca="1">AL26*AL42/2</f>
        <v>14742.360516891747</v>
      </c>
      <c r="AM46" s="54"/>
      <c r="AN46" s="348"/>
      <c r="AY46" s="40"/>
      <c r="BC46" s="40"/>
      <c r="BD46" s="40"/>
      <c r="BE46" s="40"/>
      <c r="BF46" s="40"/>
      <c r="BG46" s="40"/>
      <c r="BI46" s="432"/>
    </row>
    <row r="47" spans="1:61" ht="18" customHeight="1">
      <c r="A47" s="68"/>
      <c r="B47" s="49" t="s">
        <v>702</v>
      </c>
      <c r="C47" s="688">
        <f ca="1">SUMIF(N233:N306,"&gt;0",E233:E306)/COUNT(N233:N306)</f>
        <v>225.16666666666666</v>
      </c>
      <c r="D47" s="304" t="s">
        <v>2</v>
      </c>
      <c r="F47" s="1233"/>
      <c r="N47" s="142" t="s">
        <v>130</v>
      </c>
      <c r="O47" s="58" t="e">
        <f ca="1">P224</f>
        <v>#DIV/0!</v>
      </c>
      <c r="P47" s="412"/>
      <c r="Q47" s="349"/>
      <c r="T47" s="142" t="s">
        <v>130</v>
      </c>
      <c r="U47" s="58">
        <f ca="1">P316</f>
        <v>14753.047606893493</v>
      </c>
      <c r="V47" s="412"/>
      <c r="W47" s="349"/>
      <c r="AD47" s="40"/>
      <c r="AE47" s="141" t="s">
        <v>1809</v>
      </c>
      <c r="AF47" s="43">
        <f>AF30</f>
        <v>0</v>
      </c>
      <c r="AH47" s="57"/>
      <c r="AK47" s="85"/>
      <c r="AN47" s="57"/>
      <c r="AY47" s="40"/>
      <c r="BC47" s="40"/>
      <c r="BD47" s="40"/>
      <c r="BE47" s="40"/>
      <c r="BF47" s="40"/>
      <c r="BG47" s="40"/>
      <c r="BI47" s="432"/>
    </row>
    <row r="48" spans="1:61" ht="18" customHeight="1">
      <c r="A48" s="68"/>
      <c r="B48" s="49" t="s">
        <v>691</v>
      </c>
      <c r="C48" s="689"/>
      <c r="D48" s="304"/>
      <c r="E48" s="39" t="s">
        <v>2149</v>
      </c>
      <c r="F48" s="1233">
        <f>Ausgabe!C170</f>
        <v>0.3</v>
      </c>
      <c r="N48" s="69" t="s">
        <v>13</v>
      </c>
      <c r="O48" s="144" t="e">
        <f ca="1">+O46/O47</f>
        <v>#DIV/0!</v>
      </c>
      <c r="P48" s="144"/>
      <c r="Q48" s="413"/>
      <c r="T48" s="69" t="s">
        <v>13</v>
      </c>
      <c r="U48" s="144">
        <f ca="1">+U46/U47</f>
        <v>0.99927560119871417</v>
      </c>
      <c r="V48" s="144"/>
      <c r="W48" s="413"/>
      <c r="AD48" s="40"/>
      <c r="AE48" s="302" t="s">
        <v>1810</v>
      </c>
      <c r="AF48" s="1030">
        <f>AF46+AF47</f>
        <v>33262.757570613066</v>
      </c>
      <c r="AG48" s="1031" t="s">
        <v>1811</v>
      </c>
      <c r="AH48" s="1032">
        <v>1</v>
      </c>
      <c r="AI48" s="253"/>
      <c r="AK48" s="302" t="s">
        <v>1810</v>
      </c>
      <c r="AL48" s="1030">
        <f ca="1">AL46+AL47</f>
        <v>14742.360516891747</v>
      </c>
      <c r="AM48" s="62"/>
      <c r="AN48" s="63"/>
      <c r="AY48" s="40"/>
      <c r="BC48" s="40"/>
      <c r="BD48" s="40"/>
      <c r="BE48" s="40"/>
      <c r="BF48" s="40"/>
      <c r="BG48" s="40"/>
      <c r="BI48" s="432"/>
    </row>
    <row r="49" spans="1:61" ht="18" customHeight="1">
      <c r="A49" s="85"/>
      <c r="B49" s="49" t="s">
        <v>692</v>
      </c>
      <c r="C49" s="689">
        <f ca="1">Ausgabe!C447</f>
        <v>3.7729769102469888</v>
      </c>
      <c r="D49" s="304" t="s">
        <v>3</v>
      </c>
      <c r="E49" s="751" t="s">
        <v>507</v>
      </c>
      <c r="F49" s="1233" t="str">
        <f>Ausgabe!C172</f>
        <v>-</v>
      </c>
      <c r="M49" s="341"/>
      <c r="N49" s="1033"/>
      <c r="R49" s="39"/>
      <c r="T49" s="1033"/>
      <c r="U49" s="39"/>
      <c r="V49" s="39"/>
      <c r="W49" s="47"/>
      <c r="Y49" s="43"/>
      <c r="Z49" s="43"/>
      <c r="AA49" s="43"/>
      <c r="AB49" s="43"/>
      <c r="AC49" s="43"/>
      <c r="AE49" s="142" t="s">
        <v>130</v>
      </c>
      <c r="AF49" s="58" t="e">
        <f ca="1">AG224</f>
        <v>#DIV/0!</v>
      </c>
      <c r="AG49" s="1034"/>
      <c r="AH49" s="1035"/>
      <c r="AK49" s="142" t="s">
        <v>130</v>
      </c>
      <c r="AL49" s="58">
        <f ca="1">AG316</f>
        <v>14753.047606893493</v>
      </c>
      <c r="AM49" s="412"/>
      <c r="AN49" s="1036"/>
      <c r="AY49" s="40"/>
      <c r="BC49" s="40"/>
      <c r="BD49" s="40"/>
      <c r="BE49" s="40"/>
      <c r="BF49" s="40"/>
      <c r="BG49" s="40"/>
      <c r="BI49" s="432"/>
    </row>
    <row r="50" spans="1:61" ht="18" customHeight="1">
      <c r="A50" s="85"/>
      <c r="B50" s="49" t="s">
        <v>697</v>
      </c>
      <c r="C50" s="690">
        <v>0.75</v>
      </c>
      <c r="D50" s="426" t="s">
        <v>2</v>
      </c>
      <c r="E50" s="50" t="s">
        <v>1803</v>
      </c>
      <c r="G50" s="102"/>
      <c r="I50" s="40"/>
      <c r="R50" s="39"/>
      <c r="T50" s="52"/>
      <c r="U50" s="39"/>
      <c r="V50" s="39"/>
      <c r="W50" s="47"/>
      <c r="Y50" s="43"/>
      <c r="Z50" s="43"/>
      <c r="AA50" s="43"/>
      <c r="AB50" s="43"/>
      <c r="AC50" s="43"/>
      <c r="AE50" s="142" t="s">
        <v>1812</v>
      </c>
      <c r="AF50" s="43">
        <f>AH224</f>
        <v>0</v>
      </c>
      <c r="AG50" s="96"/>
      <c r="AH50" s="1035"/>
      <c r="AK50" s="142" t="s">
        <v>1812</v>
      </c>
      <c r="AL50" s="43">
        <f>AH316</f>
        <v>0</v>
      </c>
      <c r="AN50" s="1036"/>
      <c r="AY50" s="40"/>
      <c r="BC50" s="40"/>
      <c r="BD50" s="40"/>
      <c r="BE50" s="40"/>
      <c r="BF50" s="40"/>
      <c r="BG50" s="40"/>
      <c r="BI50" s="432"/>
    </row>
    <row r="51" spans="1:61" ht="18" customHeight="1">
      <c r="A51" s="86"/>
      <c r="B51" s="681" t="s">
        <v>694</v>
      </c>
      <c r="C51" s="691">
        <f>HLOOKUP(Ausgabe!$E$52,MKW!$A$116:$AZ$143,8,FALSE)*1000</f>
        <v>20000</v>
      </c>
      <c r="D51" s="692" t="s">
        <v>5</v>
      </c>
      <c r="E51" s="102"/>
      <c r="F51"/>
      <c r="I51" s="1037"/>
      <c r="R51" s="39"/>
      <c r="W51" s="43"/>
      <c r="AD51" s="40"/>
      <c r="AE51" s="302" t="s">
        <v>1813</v>
      </c>
      <c r="AF51" s="1030" t="e">
        <f ca="1">AF49+AF50</f>
        <v>#DIV/0!</v>
      </c>
      <c r="AG51" s="1031" t="s">
        <v>1814</v>
      </c>
      <c r="AH51" s="1032">
        <v>1</v>
      </c>
      <c r="AI51" s="253"/>
      <c r="AK51" s="302" t="s">
        <v>1813</v>
      </c>
      <c r="AL51" s="1030">
        <f ca="1">AL49+AL50</f>
        <v>14753.047606893493</v>
      </c>
      <c r="AM51" s="1031"/>
      <c r="AN51" s="1032"/>
      <c r="AY51" s="40"/>
      <c r="BC51" s="40"/>
      <c r="BD51" s="40"/>
      <c r="BE51" s="40"/>
      <c r="BF51" s="40"/>
      <c r="BG51" s="40"/>
      <c r="BI51" s="432"/>
    </row>
    <row r="52" spans="1:61" ht="18" customHeight="1">
      <c r="G52" s="47"/>
      <c r="I52" s="1037"/>
      <c r="J52"/>
      <c r="K52"/>
      <c r="L52"/>
      <c r="AD52" s="40"/>
      <c r="AE52" s="69" t="s">
        <v>1815</v>
      </c>
      <c r="AF52" s="1038" t="e">
        <f ca="1">+AF48/AF51</f>
        <v>#DIV/0!</v>
      </c>
      <c r="AG52" s="315"/>
      <c r="AH52" s="1039"/>
      <c r="AK52" s="69" t="s">
        <v>13</v>
      </c>
      <c r="AL52" s="150">
        <f ca="1">+AL48/AL51</f>
        <v>0.99927560119871417</v>
      </c>
      <c r="AM52" s="37"/>
      <c r="AN52" s="1039"/>
      <c r="AY52" s="40"/>
      <c r="BC52" s="40"/>
      <c r="BD52" s="40"/>
      <c r="BE52" s="40"/>
      <c r="BF52" s="40"/>
      <c r="BG52" s="40"/>
      <c r="BI52" s="432"/>
    </row>
    <row r="53" spans="1:61" ht="18" customHeight="1">
      <c r="F53"/>
      <c r="I53" s="340"/>
      <c r="J53"/>
      <c r="K53"/>
      <c r="L53"/>
      <c r="AD53" s="40"/>
      <c r="AE53" s="1033"/>
      <c r="AK53" s="1033"/>
      <c r="AN53" s="43"/>
      <c r="AY53" s="40"/>
      <c r="BC53" s="40"/>
      <c r="BD53" s="40"/>
      <c r="BE53" s="40"/>
      <c r="BF53" s="40"/>
      <c r="BG53" s="40"/>
      <c r="BI53" s="432"/>
    </row>
    <row r="54" spans="1:61" ht="18" customHeight="1">
      <c r="A54" s="50" t="s">
        <v>2370</v>
      </c>
      <c r="F54"/>
      <c r="M54"/>
      <c r="N54" s="52" t="s">
        <v>15</v>
      </c>
      <c r="O54" s="96"/>
      <c r="P54" s="39"/>
      <c r="Q54" s="39"/>
      <c r="R54" s="39"/>
      <c r="T54" s="52" t="s">
        <v>15</v>
      </c>
      <c r="W54" s="43"/>
      <c r="AD54" s="40"/>
      <c r="AE54" s="52" t="s">
        <v>15</v>
      </c>
      <c r="AF54" s="96"/>
      <c r="AG54" s="39"/>
      <c r="AH54" s="39"/>
      <c r="AK54" s="52" t="s">
        <v>15</v>
      </c>
      <c r="AN54" s="43"/>
      <c r="AY54" s="40"/>
      <c r="BC54" s="40"/>
      <c r="BD54" s="40"/>
      <c r="BE54" s="40"/>
      <c r="BF54" s="40"/>
      <c r="BG54" s="40"/>
      <c r="BI54" s="432"/>
    </row>
    <row r="55" spans="1:61" ht="18" customHeight="1">
      <c r="A55" s="107" t="str">
        <f>IF(C56="ja",Eingabe!C123,"")</f>
        <v/>
      </c>
      <c r="B55" s="54"/>
      <c r="C55" s="54" t="s">
        <v>6</v>
      </c>
      <c r="D55" s="54" t="s">
        <v>7</v>
      </c>
      <c r="E55" s="138"/>
      <c r="N55" s="103" t="s">
        <v>266</v>
      </c>
      <c r="O55" s="336" t="e">
        <f ca="1">SUM(Q138:Q211)</f>
        <v>#DIV/0!</v>
      </c>
      <c r="P55" s="97" t="s">
        <v>4</v>
      </c>
      <c r="Q55" s="105"/>
      <c r="R55" s="39"/>
      <c r="T55" s="103" t="s">
        <v>266</v>
      </c>
      <c r="U55" s="336">
        <f ca="1">SUM(Q233:Q306)</f>
        <v>27185.556297299638</v>
      </c>
      <c r="V55" s="97" t="s">
        <v>4</v>
      </c>
      <c r="W55" s="348"/>
      <c r="AD55" s="40"/>
      <c r="AE55" s="103" t="s">
        <v>266</v>
      </c>
      <c r="AF55" s="336" t="e">
        <f ca="1">SUM(AH132:AH217)</f>
        <v>#DIV/0!</v>
      </c>
      <c r="AG55" s="97" t="s">
        <v>4</v>
      </c>
      <c r="AH55" s="105"/>
      <c r="AK55" s="103" t="s">
        <v>266</v>
      </c>
      <c r="AL55" s="336">
        <f ca="1">SUM(AH230:AH309)</f>
        <v>27185.556297299638</v>
      </c>
      <c r="AM55" s="97" t="s">
        <v>4</v>
      </c>
      <c r="AN55" s="348"/>
      <c r="AY55" s="40"/>
      <c r="BC55" s="40"/>
      <c r="BD55" s="40"/>
      <c r="BE55" s="40"/>
      <c r="BF55" s="40"/>
      <c r="BG55" s="40"/>
      <c r="BI55" s="432"/>
    </row>
    <row r="56" spans="1:61" ht="18" customHeight="1">
      <c r="A56" s="1377" t="str">
        <f>IF(AND($C$74="ja",$C$56="ja"),"FEHLER! Verstärkung in Zugzone wählen.","")</f>
        <v/>
      </c>
      <c r="B56" s="39" t="s">
        <v>1816</v>
      </c>
      <c r="C56" s="39" t="s">
        <v>1831</v>
      </c>
      <c r="D56" s="39" t="str">
        <f>C56</f>
        <v>nein</v>
      </c>
      <c r="E56" s="64"/>
      <c r="N56" s="142" t="s">
        <v>267</v>
      </c>
      <c r="O56" s="338" t="e">
        <f ca="1">SUMPRODUCT(Q138:Q211,O138:O211)</f>
        <v>#DIV/0!</v>
      </c>
      <c r="P56" s="50" t="s">
        <v>5</v>
      </c>
      <c r="Q56" s="104"/>
      <c r="T56" s="142" t="s">
        <v>267</v>
      </c>
      <c r="U56" s="338">
        <f ca="1">SUMPRODUCT(Q233:Q306,O233:O306)</f>
        <v>5068265.0367141813</v>
      </c>
      <c r="V56" s="50" t="s">
        <v>5</v>
      </c>
      <c r="W56" s="349"/>
      <c r="AD56" s="40"/>
      <c r="AE56" s="142" t="s">
        <v>267</v>
      </c>
      <c r="AF56" s="338" t="e">
        <f ca="1">SUMPRODUCT(AH132:AH217,AF132:AF217)</f>
        <v>#DIV/0!</v>
      </c>
      <c r="AG56" s="50" t="s">
        <v>5</v>
      </c>
      <c r="AH56" s="104"/>
      <c r="AK56" s="142" t="s">
        <v>267</v>
      </c>
      <c r="AL56" s="338">
        <f ca="1">SUMPRODUCT(AH230:AH309,AF230:AF309)</f>
        <v>5068265.0367141813</v>
      </c>
      <c r="AM56" s="50" t="s">
        <v>5</v>
      </c>
      <c r="AN56" s="349"/>
      <c r="AY56" s="40"/>
      <c r="BC56" s="40"/>
      <c r="BD56" s="40"/>
      <c r="BE56" s="40"/>
      <c r="BF56" s="40"/>
      <c r="BG56" s="40"/>
      <c r="BI56" s="432"/>
    </row>
    <row r="57" spans="1:61" ht="18" customHeight="1">
      <c r="E57" s="104"/>
      <c r="I57" s="340"/>
      <c r="J57"/>
      <c r="K57"/>
      <c r="L57"/>
      <c r="N57" s="69" t="s">
        <v>268</v>
      </c>
      <c r="O57" s="337" t="e">
        <f ca="1">SUMPRODUCT(Q138:Q211,O138:O211,O138:O211)</f>
        <v>#DIV/0!</v>
      </c>
      <c r="P57" s="59" t="s">
        <v>16</v>
      </c>
      <c r="Q57" s="101"/>
      <c r="T57" s="69" t="s">
        <v>268</v>
      </c>
      <c r="U57" s="337">
        <f ca="1">SUMPRODUCT(Q233:Q306,O233:O306,O233:O306)</f>
        <v>1130635414.1040144</v>
      </c>
      <c r="V57" s="59" t="s">
        <v>16</v>
      </c>
      <c r="W57" s="350"/>
      <c r="AD57" s="40"/>
      <c r="AE57" s="69" t="s">
        <v>268</v>
      </c>
      <c r="AF57" s="337" t="e">
        <f ca="1">SUMPRODUCT(AH132:AH217,AF132:AF217,AF132:AF217)</f>
        <v>#DIV/0!</v>
      </c>
      <c r="AG57" s="59" t="s">
        <v>16</v>
      </c>
      <c r="AH57" s="101"/>
      <c r="AK57" s="69" t="s">
        <v>268</v>
      </c>
      <c r="AL57" s="337">
        <f ca="1">SUMPRODUCT(AH230:AH309,AF230:AF309,AF230:AF309)</f>
        <v>1130635414.1040144</v>
      </c>
      <c r="AM57" s="59" t="s">
        <v>16</v>
      </c>
      <c r="AN57" s="350"/>
      <c r="AY57" s="40"/>
      <c r="BC57" s="40"/>
      <c r="BD57" s="40"/>
      <c r="BE57" s="40"/>
      <c r="BF57" s="40"/>
      <c r="BG57" s="40"/>
      <c r="BI57" s="432"/>
    </row>
    <row r="58" spans="1:61" ht="18" customHeight="1">
      <c r="A58" s="68" t="s">
        <v>1866</v>
      </c>
      <c r="B58" s="39" t="s">
        <v>1817</v>
      </c>
      <c r="C58" s="1378">
        <f>Eingabe!C130</f>
        <v>2</v>
      </c>
      <c r="D58" s="1378">
        <f>Eingabe!D130</f>
        <v>2</v>
      </c>
      <c r="E58" s="64"/>
      <c r="F58" s="50" t="s">
        <v>1818</v>
      </c>
      <c r="I58"/>
      <c r="J58"/>
      <c r="K58"/>
      <c r="L58"/>
      <c r="M58"/>
      <c r="W58" s="43"/>
      <c r="AD58" s="40"/>
      <c r="AN58" s="43"/>
      <c r="AY58" s="40"/>
      <c r="BC58" s="40"/>
      <c r="BD58" s="40"/>
      <c r="BE58" s="40"/>
      <c r="BF58" s="40"/>
      <c r="BG58" s="40"/>
      <c r="BI58" s="432"/>
    </row>
    <row r="59" spans="1:61" ht="18" customHeight="1">
      <c r="E59" s="104"/>
      <c r="I59"/>
      <c r="J59"/>
      <c r="K59"/>
      <c r="L59"/>
      <c r="M59"/>
      <c r="N59" s="316" t="s">
        <v>260</v>
      </c>
      <c r="O59" s="313"/>
      <c r="P59" s="49"/>
      <c r="Q59" s="49"/>
      <c r="T59" s="316" t="s">
        <v>260</v>
      </c>
      <c r="W59" s="43"/>
      <c r="AD59" s="40"/>
      <c r="AE59" s="316" t="s">
        <v>260</v>
      </c>
      <c r="AK59" s="316" t="s">
        <v>260</v>
      </c>
      <c r="AN59" s="43"/>
      <c r="AY59" s="40"/>
      <c r="BC59" s="40"/>
      <c r="BD59" s="40"/>
      <c r="BE59" s="40"/>
      <c r="BF59" s="40"/>
      <c r="BG59" s="40"/>
      <c r="BI59" s="432"/>
    </row>
    <row r="60" spans="1:61" ht="18" customHeight="1">
      <c r="E60" s="104"/>
      <c r="I60"/>
      <c r="J60"/>
      <c r="K60"/>
      <c r="L60"/>
      <c r="M60"/>
      <c r="N60" s="319" t="s">
        <v>261</v>
      </c>
      <c r="O60" s="317">
        <f ca="1">SUM(U138:U211)</f>
        <v>0</v>
      </c>
      <c r="P60" s="320" t="s">
        <v>2</v>
      </c>
      <c r="Q60" s="321"/>
      <c r="T60" s="319" t="s">
        <v>261</v>
      </c>
      <c r="U60" s="317">
        <f ca="1">SUM(U233:U306)</f>
        <v>833.73361380936899</v>
      </c>
      <c r="V60" s="320" t="s">
        <v>2</v>
      </c>
      <c r="W60" s="351"/>
      <c r="AD60" s="40"/>
      <c r="AE60" s="319" t="s">
        <v>261</v>
      </c>
      <c r="AF60" s="317">
        <f ca="1">SUM(U138:U211)</f>
        <v>0</v>
      </c>
      <c r="AG60" s="320" t="s">
        <v>2</v>
      </c>
      <c r="AH60" s="321"/>
      <c r="AK60" s="319" t="s">
        <v>261</v>
      </c>
      <c r="AL60" s="317">
        <f ca="1">SUM(U233:U306)</f>
        <v>833.73361380936899</v>
      </c>
      <c r="AM60" s="320" t="s">
        <v>2</v>
      </c>
      <c r="AN60" s="351"/>
      <c r="AY60" s="40"/>
      <c r="BC60" s="40"/>
      <c r="BD60" s="40"/>
      <c r="BE60" s="40"/>
      <c r="BF60" s="40"/>
      <c r="BG60" s="40"/>
    </row>
    <row r="61" spans="1:61" ht="18" customHeight="1">
      <c r="E61" s="104"/>
      <c r="F61" s="50" t="s">
        <v>1819</v>
      </c>
      <c r="I61"/>
      <c r="J61"/>
      <c r="K61"/>
      <c r="L61"/>
      <c r="M61"/>
      <c r="N61" s="318" t="s">
        <v>262</v>
      </c>
      <c r="O61" s="335">
        <f ca="1">SUMPRODUCT(U138:U211,U138:U211)</f>
        <v>0</v>
      </c>
      <c r="P61" s="331" t="s">
        <v>254</v>
      </c>
      <c r="Q61" s="291"/>
      <c r="T61" s="318" t="s">
        <v>262</v>
      </c>
      <c r="U61" s="335">
        <f ca="1">SUMPRODUCT(U233:U306,U233:U306)</f>
        <v>122988.53411366146</v>
      </c>
      <c r="V61" s="331" t="s">
        <v>254</v>
      </c>
      <c r="W61" s="352"/>
      <c r="AD61" s="40"/>
      <c r="AE61" s="318" t="s">
        <v>262</v>
      </c>
      <c r="AF61" s="335">
        <f ca="1">SUMPRODUCT(U138:U211,U138:U211)</f>
        <v>0</v>
      </c>
      <c r="AG61" s="331" t="s">
        <v>254</v>
      </c>
      <c r="AH61" s="291"/>
      <c r="AK61" s="318" t="s">
        <v>262</v>
      </c>
      <c r="AL61" s="335">
        <f ca="1">SUMPRODUCT(U233:U306,U233:U306)</f>
        <v>122988.53411366146</v>
      </c>
      <c r="AM61" s="331" t="s">
        <v>254</v>
      </c>
      <c r="AN61" s="352"/>
      <c r="AY61" s="40"/>
      <c r="BC61" s="40"/>
      <c r="BD61" s="40"/>
      <c r="BE61" s="40"/>
      <c r="BF61" s="40"/>
      <c r="BG61" s="40"/>
    </row>
    <row r="62" spans="1:61" ht="18" customHeight="1">
      <c r="B62" s="39" t="s">
        <v>2175</v>
      </c>
      <c r="C62" s="1378">
        <f>Eingabe!C132</f>
        <v>-90</v>
      </c>
      <c r="D62" s="1378">
        <f>Eingabe!D132</f>
        <v>-90</v>
      </c>
      <c r="E62" s="64" t="s">
        <v>2</v>
      </c>
      <c r="F62" s="50" t="s">
        <v>1820</v>
      </c>
      <c r="I62"/>
      <c r="J62"/>
      <c r="M62" s="341"/>
      <c r="N62" s="318" t="s">
        <v>263</v>
      </c>
      <c r="O62" s="58">
        <f ca="1">MAX(U138:U211)</f>
        <v>0</v>
      </c>
      <c r="P62" s="331"/>
      <c r="Q62" s="291"/>
      <c r="T62" s="318" t="s">
        <v>263</v>
      </c>
      <c r="U62" s="58">
        <f ca="1">MAX(U233:U306)</f>
        <v>209.96194482990987</v>
      </c>
      <c r="V62" s="331"/>
      <c r="W62" s="352"/>
      <c r="AD62" s="40"/>
      <c r="AE62" s="318" t="s">
        <v>263</v>
      </c>
      <c r="AF62" s="58">
        <f ca="1">MAX(U138:U211)</f>
        <v>0</v>
      </c>
      <c r="AG62" s="331"/>
      <c r="AH62" s="291"/>
      <c r="AK62" s="318" t="s">
        <v>263</v>
      </c>
      <c r="AL62" s="58">
        <f ca="1">MAX(U233:U306)</f>
        <v>209.96194482990987</v>
      </c>
      <c r="AM62" s="331"/>
      <c r="AN62" s="352"/>
      <c r="AY62" s="40"/>
      <c r="BC62" s="40"/>
      <c r="BD62" s="40"/>
      <c r="BE62" s="40"/>
      <c r="BF62" s="40"/>
      <c r="BG62" s="40"/>
    </row>
    <row r="63" spans="1:61" ht="18" customHeight="1">
      <c r="B63" s="39" t="s">
        <v>2176</v>
      </c>
      <c r="C63" s="1378">
        <f>Eingabe!C128</f>
        <v>50</v>
      </c>
      <c r="D63" s="1378">
        <f>Eingabe!D128</f>
        <v>50</v>
      </c>
      <c r="E63" s="64" t="s">
        <v>2</v>
      </c>
      <c r="F63" s="50" t="s">
        <v>1948</v>
      </c>
      <c r="I63"/>
      <c r="J63"/>
      <c r="M63"/>
      <c r="N63" s="68" t="s">
        <v>100</v>
      </c>
      <c r="O63" s="58">
        <f ca="1">SUMIF(A138:A211,45)/45</f>
        <v>7</v>
      </c>
      <c r="P63" s="40" t="s">
        <v>124</v>
      </c>
      <c r="Q63" s="57"/>
      <c r="R63" s="167"/>
      <c r="T63" s="68" t="s">
        <v>100</v>
      </c>
      <c r="U63" s="58">
        <f ca="1">SUMIF(A233:A306,45)/45</f>
        <v>7</v>
      </c>
      <c r="V63" s="40" t="s">
        <v>124</v>
      </c>
      <c r="W63" s="346"/>
      <c r="AD63" s="40"/>
      <c r="AE63" s="68" t="s">
        <v>100</v>
      </c>
      <c r="AF63" s="58">
        <f ca="1">COUNT(X138:X211)</f>
        <v>7</v>
      </c>
      <c r="AG63" s="40" t="s">
        <v>124</v>
      </c>
      <c r="AH63" s="57"/>
      <c r="AK63" s="68" t="s">
        <v>100</v>
      </c>
      <c r="AL63" s="58">
        <f ca="1">COUNT(X233:X306)</f>
        <v>7</v>
      </c>
      <c r="AM63" s="40" t="s">
        <v>124</v>
      </c>
      <c r="AN63" s="346"/>
      <c r="AY63" s="40"/>
      <c r="BC63" s="40"/>
      <c r="BD63" s="40"/>
      <c r="BE63" s="40"/>
      <c r="BF63" s="40"/>
      <c r="BG63" s="40"/>
    </row>
    <row r="64" spans="1:61" ht="18" customHeight="1">
      <c r="B64" s="39" t="s">
        <v>2177</v>
      </c>
      <c r="C64" s="1378">
        <f>Eingabe!C129</f>
        <v>40</v>
      </c>
      <c r="D64" s="1378">
        <f>Eingabe!D129</f>
        <v>40</v>
      </c>
      <c r="E64" s="64" t="s">
        <v>2</v>
      </c>
      <c r="F64" s="50" t="s">
        <v>1821</v>
      </c>
      <c r="I64"/>
      <c r="J64"/>
      <c r="N64" s="68" t="s">
        <v>129</v>
      </c>
      <c r="O64" s="303">
        <f ca="1">0.8*Y224/O63/Y221</f>
        <v>67.088432557661292</v>
      </c>
      <c r="P64" s="40" t="s">
        <v>2</v>
      </c>
      <c r="Q64" s="304" t="s">
        <v>1822</v>
      </c>
      <c r="T64" s="68" t="s">
        <v>128</v>
      </c>
      <c r="U64" s="303">
        <f ca="1">0.8*Y316/E313/Y313</f>
        <v>66.944666956287563</v>
      </c>
      <c r="V64" s="40" t="s">
        <v>2</v>
      </c>
      <c r="W64" s="1040" t="s">
        <v>1822</v>
      </c>
      <c r="AD64" s="40"/>
      <c r="AE64" s="68" t="s">
        <v>129</v>
      </c>
      <c r="AF64" s="303">
        <f ca="1">0.8*Y224/AF63/Y221</f>
        <v>67.088432557661292</v>
      </c>
      <c r="AG64" s="40" t="s">
        <v>2</v>
      </c>
      <c r="AH64" s="304" t="s">
        <v>1822</v>
      </c>
      <c r="AK64" s="68" t="s">
        <v>128</v>
      </c>
      <c r="AL64" s="303">
        <f ca="1">0.8*Y316/E313/Y313</f>
        <v>66.944666956287563</v>
      </c>
      <c r="AM64" s="40" t="s">
        <v>2</v>
      </c>
      <c r="AN64" s="1040" t="s">
        <v>1822</v>
      </c>
      <c r="AY64" s="40"/>
      <c r="BC64" s="40"/>
      <c r="BD64" s="40"/>
      <c r="BE64" s="40"/>
      <c r="BF64" s="40"/>
      <c r="BG64" s="40"/>
    </row>
    <row r="65" spans="1:59" ht="18" customHeight="1">
      <c r="E65" s="104"/>
      <c r="F65" s="102"/>
      <c r="N65" s="69" t="s">
        <v>129</v>
      </c>
      <c r="O65" s="314">
        <f ca="1">IF(O62=0,0,0.8*(O61+O60*2/3*O16)/(O63*O62))</f>
        <v>0</v>
      </c>
      <c r="P65" s="315" t="s">
        <v>2</v>
      </c>
      <c r="Q65" s="65" t="s">
        <v>1823</v>
      </c>
      <c r="T65" s="69" t="s">
        <v>128</v>
      </c>
      <c r="U65" s="314">
        <f ca="1">0.8*(U61+U60*2/3*U16)/(U63*U62)</f>
        <v>73.007044516846932</v>
      </c>
      <c r="V65" s="315" t="s">
        <v>2</v>
      </c>
      <c r="W65" s="323" t="s">
        <v>1823</v>
      </c>
      <c r="AD65" s="40"/>
      <c r="AE65" s="69" t="s">
        <v>129</v>
      </c>
      <c r="AF65" s="314">
        <f ca="1">IF(AF62=0,0,0.8*(AF61+AF60*2/3*AF16)/(AF63*AF62))</f>
        <v>0</v>
      </c>
      <c r="AG65" s="315" t="s">
        <v>2</v>
      </c>
      <c r="AH65" s="65" t="s">
        <v>1823</v>
      </c>
      <c r="AK65" s="69" t="s">
        <v>128</v>
      </c>
      <c r="AL65" s="314">
        <f ca="1">0.8*(AL61+AL60*2/3*AL16)/(AL63*AL62)</f>
        <v>73.007044516846932</v>
      </c>
      <c r="AM65" s="315" t="s">
        <v>2</v>
      </c>
      <c r="AN65" s="323" t="s">
        <v>1823</v>
      </c>
      <c r="AY65" s="40"/>
      <c r="BC65" s="40"/>
      <c r="BD65" s="40"/>
      <c r="BE65" s="40"/>
      <c r="BF65" s="40"/>
      <c r="BG65" s="40"/>
    </row>
    <row r="66" spans="1:59" ht="18" customHeight="1">
      <c r="E66" s="104"/>
      <c r="F66" s="102"/>
      <c r="AD66" s="40"/>
      <c r="AF66" s="43"/>
      <c r="AH66" s="41"/>
      <c r="AY66" s="40"/>
      <c r="BC66" s="40"/>
      <c r="BD66" s="40"/>
      <c r="BE66" s="40"/>
      <c r="BF66" s="40"/>
      <c r="BG66" s="40"/>
    </row>
    <row r="67" spans="1:59" ht="18" customHeight="1">
      <c r="A67" s="1379"/>
      <c r="B67" s="39" t="s">
        <v>1824</v>
      </c>
      <c r="C67" s="1380">
        <f>Eingabe!C126</f>
        <v>30843</v>
      </c>
      <c r="D67" s="1380">
        <f>Eingabe!D126</f>
        <v>20062</v>
      </c>
      <c r="E67" s="64" t="s">
        <v>5</v>
      </c>
      <c r="F67" s="50" t="s">
        <v>1825</v>
      </c>
      <c r="AD67" s="40"/>
      <c r="AF67" s="43"/>
      <c r="AG67" s="43"/>
      <c r="AH67" s="41"/>
      <c r="AY67" s="40"/>
      <c r="BC67" s="40"/>
      <c r="BD67" s="40"/>
      <c r="BE67" s="40"/>
      <c r="BF67" s="40"/>
      <c r="BG67" s="40"/>
    </row>
    <row r="68" spans="1:59" ht="18" customHeight="1">
      <c r="E68" s="104"/>
      <c r="F68" s="102"/>
      <c r="M68" s="341"/>
      <c r="AD68" s="40"/>
      <c r="AF68" s="43"/>
      <c r="AG68" s="43"/>
      <c r="AH68" s="41"/>
      <c r="AY68" s="40"/>
      <c r="BC68" s="40"/>
      <c r="BD68" s="40"/>
      <c r="BE68" s="40"/>
      <c r="BF68" s="40"/>
      <c r="BG68" s="40"/>
    </row>
    <row r="69" spans="1:59" ht="18" customHeight="1">
      <c r="A69" s="47"/>
      <c r="B69" s="39" t="s">
        <v>1805</v>
      </c>
      <c r="C69" s="1380">
        <f>Eingabe!C127</f>
        <v>37500</v>
      </c>
      <c r="D69" s="1380">
        <f>Eingabe!D127</f>
        <v>31816</v>
      </c>
      <c r="E69" s="64" t="s">
        <v>4</v>
      </c>
      <c r="F69" s="50" t="s">
        <v>1827</v>
      </c>
      <c r="AD69" s="40"/>
      <c r="AF69" s="43"/>
      <c r="AG69" s="43"/>
      <c r="AH69" s="41"/>
      <c r="AY69" s="40"/>
      <c r="BC69" s="40"/>
      <c r="BD69" s="40"/>
      <c r="BE69" s="40"/>
      <c r="BF69" s="40"/>
      <c r="BG69" s="40"/>
    </row>
    <row r="70" spans="1:59" ht="18" customHeight="1">
      <c r="A70" s="1381"/>
      <c r="B70" s="37" t="s">
        <v>1828</v>
      </c>
      <c r="C70" s="144">
        <f>C67/C69</f>
        <v>0.82247999999999999</v>
      </c>
      <c r="D70" s="144">
        <f>D67/D69</f>
        <v>0.63056323862207697</v>
      </c>
      <c r="E70" s="65" t="s">
        <v>2</v>
      </c>
      <c r="F70" s="50" t="s">
        <v>1829</v>
      </c>
      <c r="AD70" s="40"/>
      <c r="AF70" s="43"/>
      <c r="AG70" s="43"/>
      <c r="AH70" s="41"/>
      <c r="AY70" s="40"/>
      <c r="BC70" s="40"/>
      <c r="BD70" s="40"/>
      <c r="BE70" s="40"/>
      <c r="BF70" s="40"/>
      <c r="BG70" s="40"/>
    </row>
    <row r="71" spans="1:59" ht="18" customHeight="1">
      <c r="AD71" s="40"/>
      <c r="AF71" s="43"/>
      <c r="AG71" s="43"/>
      <c r="AH71" s="41"/>
      <c r="AY71" s="40"/>
      <c r="BC71" s="40"/>
      <c r="BD71" s="40"/>
      <c r="BE71" s="40"/>
      <c r="BF71" s="40"/>
      <c r="BG71" s="40"/>
    </row>
    <row r="72" spans="1:59" ht="18" customHeight="1">
      <c r="A72" s="1321" t="s">
        <v>1954</v>
      </c>
      <c r="B72" s="1322"/>
      <c r="C72" s="1323"/>
      <c r="D72" s="1322"/>
      <c r="E72" s="1324"/>
      <c r="F72" s="1336"/>
      <c r="G72" s="1336"/>
      <c r="H72" s="1320"/>
      <c r="I72" s="1260"/>
      <c r="AD72" s="40"/>
      <c r="AF72" s="43"/>
      <c r="AG72" s="43"/>
      <c r="AH72" s="41"/>
      <c r="AY72" s="40"/>
      <c r="BC72" s="40"/>
      <c r="BD72" s="40"/>
      <c r="BE72" s="40"/>
      <c r="BF72" s="40"/>
      <c r="BG72" s="40"/>
    </row>
    <row r="73" spans="1:59" ht="18" customHeight="1">
      <c r="A73" s="1344" t="s">
        <v>1830</v>
      </c>
      <c r="B73" s="1336"/>
      <c r="C73" s="1337"/>
      <c r="D73" s="1336"/>
      <c r="E73" s="1325"/>
      <c r="F73" s="1336"/>
      <c r="G73" s="1336"/>
      <c r="H73" s="1320"/>
      <c r="I73" s="1260"/>
      <c r="J73" s="50"/>
      <c r="M73" s="341"/>
      <c r="AD73" s="40"/>
      <c r="AF73" s="43"/>
      <c r="AG73" s="43"/>
      <c r="AH73" s="41"/>
      <c r="AY73" s="40"/>
      <c r="BC73" s="40"/>
      <c r="BD73" s="40"/>
      <c r="BE73" s="40"/>
      <c r="BF73" s="40"/>
      <c r="BG73" s="40"/>
    </row>
    <row r="74" spans="1:59" ht="18" customHeight="1">
      <c r="A74" s="1345" t="str">
        <f>IF(AND($C$74="ja",$C$56="ja"),"FEHLER! Verstärkung in Zugzone wählen.","")</f>
        <v/>
      </c>
      <c r="B74" s="1336" t="s">
        <v>1816</v>
      </c>
      <c r="C74" s="1337" t="s">
        <v>1831</v>
      </c>
      <c r="D74" s="1337" t="str">
        <f>C74</f>
        <v>nein</v>
      </c>
      <c r="E74" s="1325"/>
      <c r="F74" s="1336"/>
      <c r="G74" s="1326"/>
      <c r="H74" s="1326"/>
      <c r="I74" s="1260"/>
      <c r="J74" s="50"/>
      <c r="K74" s="47"/>
      <c r="L74" s="47"/>
      <c r="AD74" s="40"/>
      <c r="AF74" s="43"/>
      <c r="AG74" s="43"/>
      <c r="AH74" s="41"/>
      <c r="AY74" s="40"/>
      <c r="BC74" s="40"/>
      <c r="BD74" s="40"/>
      <c r="BE74" s="40"/>
      <c r="BF74" s="40"/>
      <c r="BG74" s="40"/>
    </row>
    <row r="75" spans="1:59" ht="18" customHeight="1">
      <c r="A75" s="1327"/>
      <c r="B75" s="1338" t="s">
        <v>1944</v>
      </c>
      <c r="C75" s="1339">
        <v>2</v>
      </c>
      <c r="D75" s="1339">
        <f t="shared" ref="D75:D88" si="2">C75</f>
        <v>2</v>
      </c>
      <c r="E75" s="1328" t="s">
        <v>2</v>
      </c>
      <c r="F75" s="1336"/>
      <c r="G75" s="1326"/>
      <c r="H75" s="1326"/>
      <c r="I75" s="1261"/>
      <c r="J75" s="50"/>
      <c r="AD75" s="40"/>
      <c r="AF75" s="43"/>
      <c r="AG75" s="43"/>
      <c r="AH75" s="41"/>
      <c r="AY75" s="40"/>
      <c r="BC75" s="40"/>
      <c r="BD75" s="40"/>
      <c r="BE75" s="40"/>
      <c r="BF75" s="40"/>
      <c r="BG75" s="40"/>
    </row>
    <row r="76" spans="1:59" ht="18" customHeight="1">
      <c r="A76" s="1327"/>
      <c r="B76" s="1338" t="s">
        <v>1942</v>
      </c>
      <c r="C76" s="1339">
        <v>5</v>
      </c>
      <c r="D76" s="1339">
        <f t="shared" si="2"/>
        <v>5</v>
      </c>
      <c r="E76" s="1328" t="s">
        <v>124</v>
      </c>
      <c r="F76" s="1335"/>
      <c r="G76" s="1326"/>
      <c r="H76" s="1326"/>
      <c r="I76" s="1261"/>
      <c r="J76" s="50"/>
      <c r="K76" s="40"/>
      <c r="L76" s="40"/>
      <c r="AD76" s="40"/>
      <c r="AF76" s="43"/>
      <c r="AG76" s="43"/>
      <c r="AH76" s="41"/>
      <c r="AY76" s="40"/>
      <c r="BC76" s="40"/>
      <c r="BD76" s="40"/>
      <c r="BE76" s="40"/>
      <c r="BF76" s="40"/>
      <c r="BG76" s="40"/>
    </row>
    <row r="77" spans="1:59" ht="18" customHeight="1">
      <c r="A77" s="1327"/>
      <c r="B77" s="1338" t="s">
        <v>1943</v>
      </c>
      <c r="C77" s="1339">
        <v>4</v>
      </c>
      <c r="D77" s="1339">
        <f t="shared" si="2"/>
        <v>4</v>
      </c>
      <c r="E77" s="1328" t="s">
        <v>124</v>
      </c>
      <c r="F77" s="1335"/>
      <c r="G77" s="1326"/>
      <c r="H77" s="1326"/>
      <c r="I77" s="1261"/>
      <c r="J77" s="310"/>
      <c r="K77" s="40"/>
      <c r="L77" s="40"/>
      <c r="AD77" s="40"/>
      <c r="AF77" s="43"/>
      <c r="AG77" s="43"/>
      <c r="AH77" s="41"/>
      <c r="AY77" s="40"/>
      <c r="BC77" s="40"/>
      <c r="BD77" s="40"/>
      <c r="BE77" s="40"/>
      <c r="BF77" s="40"/>
      <c r="BG77" s="40"/>
    </row>
    <row r="78" spans="1:59" ht="18" customHeight="1">
      <c r="A78" s="1327"/>
      <c r="B78" s="1338" t="s">
        <v>1945</v>
      </c>
      <c r="C78" s="1339">
        <f>C77*C76</f>
        <v>20</v>
      </c>
      <c r="D78" s="1339">
        <f t="shared" si="2"/>
        <v>20</v>
      </c>
      <c r="E78" s="1328" t="s">
        <v>124</v>
      </c>
      <c r="F78" s="1336"/>
      <c r="G78" s="1326"/>
      <c r="H78" s="1326"/>
      <c r="I78" s="1261"/>
      <c r="J78" s="310"/>
      <c r="K78" s="40"/>
      <c r="L78" s="40"/>
      <c r="AD78" s="40"/>
      <c r="AF78" s="43"/>
      <c r="AG78" s="43"/>
      <c r="AH78" s="41"/>
      <c r="AY78" s="40"/>
      <c r="BC78" s="40"/>
      <c r="BD78" s="40"/>
      <c r="BE78" s="40"/>
      <c r="BF78" s="40"/>
      <c r="BG78" s="40"/>
    </row>
    <row r="79" spans="1:59" ht="18" customHeight="1">
      <c r="A79" s="1327"/>
      <c r="B79" s="1338" t="s">
        <v>1946</v>
      </c>
      <c r="C79" s="1340">
        <f>MAX(C76*0.9,C76^0.9)*C77</f>
        <v>18</v>
      </c>
      <c r="D79" s="1340">
        <f t="shared" si="2"/>
        <v>18</v>
      </c>
      <c r="E79" s="1328" t="s">
        <v>124</v>
      </c>
      <c r="F79" s="1336"/>
      <c r="G79" s="1326"/>
      <c r="H79" s="1326"/>
      <c r="I79" s="1261"/>
      <c r="J79" s="310"/>
      <c r="K79" s="40"/>
      <c r="L79" s="40"/>
      <c r="AE79" s="43"/>
      <c r="AF79" s="41"/>
      <c r="AY79" s="40"/>
      <c r="BC79" s="40"/>
      <c r="BD79" s="40"/>
      <c r="BE79" s="40"/>
      <c r="BF79" s="40"/>
      <c r="BG79" s="40"/>
    </row>
    <row r="80" spans="1:59" ht="18" customHeight="1">
      <c r="A80" s="1327"/>
      <c r="B80" s="1338" t="s">
        <v>111</v>
      </c>
      <c r="C80" s="1339">
        <v>8</v>
      </c>
      <c r="D80" s="1339">
        <f t="shared" si="2"/>
        <v>8</v>
      </c>
      <c r="E80" s="1328" t="s">
        <v>2</v>
      </c>
      <c r="F80" s="1336"/>
      <c r="G80" s="1326"/>
      <c r="H80" s="1326"/>
      <c r="I80" s="1261"/>
      <c r="J80" s="310"/>
      <c r="K80" s="40"/>
      <c r="L80" s="40"/>
      <c r="AE80" s="43"/>
      <c r="AF80" s="41"/>
      <c r="AY80" s="40"/>
      <c r="BC80" s="40"/>
      <c r="BD80" s="40"/>
      <c r="BE80" s="40"/>
      <c r="BF80" s="40"/>
      <c r="BG80" s="40"/>
    </row>
    <row r="81" spans="1:59" ht="18" customHeight="1">
      <c r="A81" s="1327"/>
      <c r="B81" s="1338" t="s">
        <v>112</v>
      </c>
      <c r="C81" s="1339">
        <v>120</v>
      </c>
      <c r="D81" s="1339">
        <f t="shared" si="2"/>
        <v>120</v>
      </c>
      <c r="E81" s="1328" t="s">
        <v>2</v>
      </c>
      <c r="F81" s="1336"/>
      <c r="G81" s="1326"/>
      <c r="H81" s="1326"/>
      <c r="I81" s="1261"/>
      <c r="J81" s="310"/>
      <c r="K81" s="40"/>
      <c r="L81" s="40"/>
      <c r="AE81" s="43"/>
      <c r="AF81" s="41"/>
      <c r="AY81" s="40"/>
      <c r="BC81" s="40"/>
      <c r="BD81" s="40"/>
      <c r="BE81" s="40"/>
      <c r="BF81" s="40"/>
      <c r="BG81" s="40"/>
    </row>
    <row r="82" spans="1:59" ht="18" customHeight="1">
      <c r="A82" s="1327"/>
      <c r="B82" s="1338" t="s">
        <v>1897</v>
      </c>
      <c r="C82" s="1341" cm="1">
        <f t="array" ref="C82">C81-C75*SQRT(2)-IF(C80=6,10.7,IF(C80=8,12.7,Wen(C80=10,18.4)))</f>
        <v>104.47157287525381</v>
      </c>
      <c r="D82" s="1341">
        <f t="shared" si="2"/>
        <v>104.47157287525381</v>
      </c>
      <c r="E82" s="1328" t="s">
        <v>2</v>
      </c>
      <c r="F82" s="1335"/>
      <c r="G82" s="1326"/>
      <c r="H82" s="1326"/>
      <c r="I82" s="1261"/>
      <c r="J82" s="310"/>
      <c r="K82" s="40"/>
      <c r="L82" s="40"/>
      <c r="AE82" s="43"/>
      <c r="AF82" s="41"/>
      <c r="AY82" s="40"/>
      <c r="BC82" s="40"/>
      <c r="BD82" s="40"/>
      <c r="BE82" s="40"/>
      <c r="BF82" s="40"/>
      <c r="BG82" s="40"/>
    </row>
    <row r="83" spans="1:59" ht="18" customHeight="1">
      <c r="A83" s="1327"/>
      <c r="B83" s="1338" t="s">
        <v>1898</v>
      </c>
      <c r="C83" s="1341">
        <f>IF(C80=6,11.5,11)*(MIN(C38,C21)/350)^0.8</f>
        <v>11.8715337982878</v>
      </c>
      <c r="D83" s="1341">
        <f t="shared" si="2"/>
        <v>11.8715337982878</v>
      </c>
      <c r="E83" s="1328" t="s">
        <v>3</v>
      </c>
      <c r="F83" s="1335"/>
      <c r="G83" s="1326"/>
      <c r="H83" s="1326"/>
      <c r="I83" s="1261"/>
      <c r="J83" s="310"/>
      <c r="K83" s="40"/>
      <c r="L83" s="40"/>
      <c r="AE83" s="43"/>
      <c r="AF83" s="41"/>
      <c r="AY83" s="40"/>
      <c r="BC83" s="40"/>
      <c r="BD83" s="40"/>
      <c r="BE83" s="40"/>
      <c r="BF83" s="40"/>
      <c r="BG83" s="40"/>
    </row>
    <row r="84" spans="1:59" ht="18" customHeight="1">
      <c r="A84" s="1327"/>
      <c r="B84" s="1338" t="s">
        <v>1899</v>
      </c>
      <c r="C84" s="1342">
        <f>C83*C80*C82</f>
        <v>9921.9024667908998</v>
      </c>
      <c r="D84" s="1342">
        <f t="shared" si="2"/>
        <v>9921.9024667908998</v>
      </c>
      <c r="E84" s="1328" t="s">
        <v>5</v>
      </c>
      <c r="F84" s="1335"/>
      <c r="G84" s="1326"/>
      <c r="H84" s="1326"/>
      <c r="I84" s="1261"/>
      <c r="J84" s="310"/>
      <c r="K84" s="40"/>
      <c r="L84" s="40"/>
      <c r="AY84" s="40"/>
      <c r="BC84" s="40"/>
      <c r="BD84" s="40"/>
      <c r="BE84" s="40"/>
      <c r="BF84" s="40"/>
      <c r="BG84" s="40"/>
    </row>
    <row r="85" spans="1:59" ht="18" customHeight="1">
      <c r="A85" s="1329"/>
      <c r="B85" s="1336" t="s">
        <v>2362</v>
      </c>
      <c r="C85" s="1343">
        <f>C79*C84*COS(45/180*PI())</f>
        <v>126285.20129770883</v>
      </c>
      <c r="D85" s="1343">
        <f t="shared" si="2"/>
        <v>126285.20129770883</v>
      </c>
      <c r="E85" s="1330" t="s">
        <v>5</v>
      </c>
      <c r="F85" s="1335"/>
      <c r="G85" s="1326"/>
      <c r="H85" s="1326"/>
      <c r="I85" s="1261"/>
      <c r="J85" s="310"/>
      <c r="K85" s="40"/>
      <c r="L85" s="40"/>
      <c r="AF85" s="41"/>
      <c r="AY85" s="40"/>
      <c r="BC85" s="40"/>
      <c r="BD85" s="40"/>
      <c r="BE85" s="40"/>
      <c r="BF85" s="40"/>
      <c r="BG85" s="40"/>
    </row>
    <row r="86" spans="1:59" ht="18" customHeight="1">
      <c r="A86" s="1327"/>
      <c r="B86" s="1338" t="s">
        <v>1947</v>
      </c>
      <c r="C86" s="1342">
        <f>IF(MID(C20,1,1)="C",2/3*25*C80*C82,2/3*30*C80*C82)</f>
        <v>16715.45166004061</v>
      </c>
      <c r="D86" s="1342">
        <f t="shared" si="2"/>
        <v>16715.45166004061</v>
      </c>
      <c r="E86" s="1328" t="s">
        <v>4</v>
      </c>
      <c r="F86" s="1335"/>
      <c r="G86" s="1336"/>
      <c r="H86" s="1326"/>
      <c r="I86" s="1261"/>
      <c r="J86" s="310"/>
      <c r="K86" s="40"/>
      <c r="L86" s="40"/>
      <c r="AF86" s="41"/>
      <c r="AY86" s="40"/>
      <c r="BC86" s="40"/>
      <c r="BD86" s="40"/>
      <c r="BE86" s="40"/>
      <c r="BF86" s="40"/>
      <c r="BG86" s="40"/>
    </row>
    <row r="87" spans="1:59" ht="18" customHeight="1">
      <c r="A87" s="1329"/>
      <c r="B87" s="1336" t="s">
        <v>2363</v>
      </c>
      <c r="C87" s="1343">
        <f>C78*C86*(COS(45/180*PI()))^2</f>
        <v>167154.51660040612</v>
      </c>
      <c r="D87" s="1343">
        <f t="shared" si="2"/>
        <v>167154.51660040612</v>
      </c>
      <c r="E87" s="1330" t="s">
        <v>4</v>
      </c>
      <c r="F87" s="1335"/>
      <c r="G87" s="1336"/>
      <c r="H87" s="1326"/>
      <c r="I87" s="1261"/>
      <c r="J87" s="310"/>
      <c r="K87" s="40"/>
      <c r="L87" s="40"/>
      <c r="N87" s="133"/>
      <c r="AY87" s="40"/>
      <c r="BC87" s="40"/>
      <c r="BD87" s="40"/>
      <c r="BE87" s="40"/>
      <c r="BF87" s="40"/>
      <c r="BG87" s="40"/>
    </row>
    <row r="88" spans="1:59" ht="18" customHeight="1">
      <c r="A88" s="1331"/>
      <c r="B88" s="1332" t="s">
        <v>2364</v>
      </c>
      <c r="C88" s="1333">
        <f>C85/C87</f>
        <v>0.75549978466691348</v>
      </c>
      <c r="D88" s="1333">
        <f t="shared" si="2"/>
        <v>0.75549978466691348</v>
      </c>
      <c r="E88" s="1334" t="s">
        <v>2</v>
      </c>
      <c r="F88" s="1335"/>
      <c r="G88" s="1336"/>
      <c r="H88" s="1326"/>
      <c r="I88" s="1261"/>
      <c r="J88" s="310"/>
      <c r="K88" s="40"/>
      <c r="L88" s="40"/>
      <c r="N88" s="133"/>
      <c r="AY88" s="40"/>
      <c r="BC88" s="40"/>
      <c r="BD88" s="40"/>
      <c r="BE88" s="40"/>
      <c r="BF88" s="40"/>
      <c r="BG88" s="40"/>
    </row>
    <row r="89" spans="1:59" ht="18" customHeight="1">
      <c r="C89" s="96"/>
      <c r="H89" s="40"/>
      <c r="I89" s="310"/>
      <c r="J89" s="310"/>
      <c r="K89" s="40"/>
      <c r="L89" s="40"/>
      <c r="O89" s="43"/>
      <c r="P89" s="253"/>
      <c r="Q89" s="39"/>
      <c r="U89" s="43"/>
      <c r="V89" s="39"/>
      <c r="AY89" s="40"/>
      <c r="BC89" s="40"/>
      <c r="BD89" s="40"/>
      <c r="BE89" s="40"/>
      <c r="BF89" s="40"/>
      <c r="BG89" s="40"/>
    </row>
    <row r="90" spans="1:59" ht="18" customHeight="1">
      <c r="C90" s="96"/>
      <c r="F90" s="58"/>
      <c r="H90" s="40"/>
      <c r="I90" s="310"/>
      <c r="J90" s="310"/>
      <c r="K90" s="40"/>
      <c r="L90" s="40"/>
      <c r="O90" s="43"/>
      <c r="P90" s="253"/>
      <c r="Q90" s="39"/>
      <c r="U90" s="43"/>
      <c r="V90" s="39"/>
      <c r="AY90" s="40"/>
      <c r="BC90" s="40"/>
      <c r="BD90" s="40"/>
      <c r="BE90" s="40"/>
      <c r="BF90" s="40"/>
      <c r="BG90" s="40"/>
    </row>
    <row r="91" spans="1:59" ht="18" customHeight="1">
      <c r="A91" s="107" t="s">
        <v>1795</v>
      </c>
      <c r="B91" s="54"/>
      <c r="C91" s="145"/>
      <c r="D91" s="105"/>
      <c r="F91" s="58"/>
      <c r="H91" s="40"/>
      <c r="I91" s="310"/>
      <c r="J91" s="310"/>
      <c r="K91" s="40"/>
      <c r="L91" s="40"/>
      <c r="O91" s="43"/>
      <c r="P91" s="253"/>
      <c r="Q91" s="39"/>
      <c r="U91" s="43"/>
      <c r="V91" s="39"/>
      <c r="AY91" s="40"/>
      <c r="BC91" s="40"/>
      <c r="BD91" s="40"/>
      <c r="BE91" s="40"/>
      <c r="BF91" s="40"/>
      <c r="BG91" s="40"/>
    </row>
    <row r="92" spans="1:59" ht="18" customHeight="1">
      <c r="A92" s="68"/>
      <c r="B92" s="39" t="s">
        <v>1816</v>
      </c>
      <c r="C92" s="39" t="s">
        <v>1831</v>
      </c>
      <c r="D92" s="104"/>
      <c r="F92" s="58"/>
      <c r="H92" s="40"/>
      <c r="I92" s="310"/>
      <c r="J92" s="310"/>
      <c r="K92" s="40"/>
      <c r="L92" s="40"/>
      <c r="O92" s="43"/>
      <c r="P92" s="253"/>
      <c r="Q92" s="39"/>
      <c r="U92" s="43"/>
      <c r="V92" s="39"/>
      <c r="AY92" s="40"/>
      <c r="BC92" s="40"/>
      <c r="BD92" s="40"/>
      <c r="BE92" s="40"/>
      <c r="BF92" s="40"/>
      <c r="BG92" s="40"/>
    </row>
    <row r="93" spans="1:59" ht="18" customHeight="1">
      <c r="D93" s="104"/>
      <c r="H93" s="40"/>
      <c r="I93" s="310"/>
      <c r="J93" s="310"/>
      <c r="K93" s="40"/>
      <c r="L93" s="40"/>
      <c r="O93" s="43"/>
      <c r="P93" s="253"/>
      <c r="Q93" s="39"/>
      <c r="U93" s="43"/>
      <c r="V93" s="39"/>
      <c r="AY93" s="40"/>
      <c r="BC93" s="40"/>
      <c r="BD93" s="40"/>
      <c r="BE93" s="40"/>
      <c r="BF93" s="40"/>
      <c r="BG93" s="40"/>
    </row>
    <row r="94" spans="1:59" ht="18" customHeight="1">
      <c r="D94" s="104"/>
      <c r="H94" s="40"/>
      <c r="I94" s="310"/>
      <c r="J94" s="310"/>
      <c r="K94" s="40"/>
      <c r="L94" s="40"/>
      <c r="O94" s="43"/>
      <c r="P94" s="253"/>
      <c r="Q94" s="39"/>
      <c r="U94" s="43"/>
      <c r="V94" s="39"/>
      <c r="AY94" s="40"/>
      <c r="BC94" s="40"/>
      <c r="BD94" s="40"/>
      <c r="BE94" s="40"/>
      <c r="BF94" s="40"/>
      <c r="BG94" s="40"/>
    </row>
    <row r="95" spans="1:59" ht="18" customHeight="1">
      <c r="D95" s="104"/>
      <c r="H95" s="40"/>
      <c r="I95" s="310"/>
      <c r="J95" s="310"/>
      <c r="K95" s="40"/>
      <c r="L95" s="40"/>
      <c r="O95" s="43"/>
      <c r="P95" s="253"/>
      <c r="Q95" s="39"/>
      <c r="U95" s="43"/>
      <c r="V95" s="39"/>
      <c r="AY95" s="40"/>
      <c r="BC95" s="40"/>
      <c r="BD95" s="40"/>
      <c r="BE95" s="40"/>
      <c r="BF95" s="40"/>
      <c r="BG95" s="40"/>
    </row>
    <row r="96" spans="1:59" ht="18" customHeight="1">
      <c r="A96" s="68"/>
      <c r="B96" s="39" t="s">
        <v>112</v>
      </c>
      <c r="C96" s="1378">
        <f>Eingabe!C165</f>
        <v>120</v>
      </c>
      <c r="D96" s="64" t="s">
        <v>2</v>
      </c>
      <c r="O96" s="43"/>
      <c r="P96" s="253"/>
      <c r="Q96" s="39"/>
      <c r="U96" s="43"/>
      <c r="V96" s="39"/>
      <c r="AY96" s="40"/>
      <c r="BC96" s="40"/>
      <c r="BD96" s="40"/>
      <c r="BE96" s="40"/>
      <c r="BF96" s="40"/>
      <c r="BG96" s="40"/>
    </row>
    <row r="97" spans="1:59" ht="18" customHeight="1">
      <c r="A97" s="68"/>
      <c r="B97" s="39" t="s">
        <v>1832</v>
      </c>
      <c r="C97" s="1378">
        <f>Eingabe!C164</f>
        <v>2</v>
      </c>
      <c r="D97" s="64" t="s">
        <v>124</v>
      </c>
      <c r="H97" s="40"/>
      <c r="I97" s="310"/>
      <c r="J97" s="310"/>
      <c r="K97" s="40"/>
      <c r="L97" s="40"/>
      <c r="O97" s="43"/>
      <c r="P97" s="253"/>
      <c r="Q97" s="39"/>
      <c r="U97" s="43"/>
      <c r="V97" s="39"/>
      <c r="AY97" s="40"/>
      <c r="BC97" s="40"/>
      <c r="BD97" s="40"/>
      <c r="BE97" s="40"/>
      <c r="BF97" s="40"/>
      <c r="BG97" s="40"/>
    </row>
    <row r="98" spans="1:59" ht="18" customHeight="1">
      <c r="A98" s="68"/>
      <c r="B98" s="39" t="s">
        <v>1833</v>
      </c>
      <c r="C98" s="1378">
        <f>Eingabe!C163</f>
        <v>30</v>
      </c>
      <c r="D98" s="64" t="s">
        <v>2</v>
      </c>
      <c r="E98" s="50" t="s">
        <v>1834</v>
      </c>
      <c r="H98" s="40"/>
      <c r="I98" s="310"/>
      <c r="J98" s="310"/>
      <c r="K98" s="40"/>
      <c r="L98" s="40"/>
      <c r="O98" s="43"/>
      <c r="P98" s="253"/>
      <c r="Q98" s="39"/>
      <c r="U98" s="43"/>
      <c r="V98" s="39"/>
      <c r="AY98" s="40"/>
      <c r="BC98" s="40"/>
      <c r="BD98" s="40"/>
      <c r="BE98" s="40"/>
      <c r="BF98" s="40"/>
      <c r="BG98" s="40"/>
    </row>
    <row r="99" spans="1:59" ht="18" customHeight="1">
      <c r="D99" s="104"/>
      <c r="E99" s="50" t="s">
        <v>273</v>
      </c>
      <c r="H99" s="40"/>
      <c r="I99" s="310"/>
      <c r="J99" s="310"/>
      <c r="K99" s="40"/>
      <c r="M99" s="341"/>
      <c r="O99" s="43"/>
      <c r="P99" s="253"/>
      <c r="Q99" s="39"/>
      <c r="U99" s="43"/>
      <c r="V99" s="39"/>
      <c r="AY99" s="40"/>
      <c r="BC99" s="40"/>
      <c r="BD99" s="40"/>
      <c r="BE99" s="40"/>
      <c r="BF99" s="40"/>
      <c r="BG99" s="40"/>
    </row>
    <row r="100" spans="1:59" ht="18" customHeight="1">
      <c r="D100" s="104"/>
      <c r="E100" s="102"/>
      <c r="F100" s="133"/>
      <c r="H100" s="40"/>
      <c r="I100" s="310"/>
      <c r="J100" s="310"/>
      <c r="K100" s="40"/>
      <c r="M100" s="341"/>
      <c r="O100" s="43"/>
      <c r="P100" s="253"/>
      <c r="Q100" s="39"/>
      <c r="U100" s="43"/>
      <c r="V100" s="39"/>
      <c r="AY100" s="40"/>
      <c r="BC100" s="40"/>
      <c r="BD100" s="40"/>
      <c r="BE100" s="40"/>
      <c r="BF100" s="40"/>
      <c r="BG100" s="40"/>
    </row>
    <row r="101" spans="1:59" ht="18" customHeight="1">
      <c r="D101" s="104"/>
      <c r="E101" s="102"/>
      <c r="F101" s="253"/>
      <c r="G101" s="40"/>
      <c r="H101" s="40"/>
      <c r="I101" s="310"/>
      <c r="J101" s="310"/>
      <c r="K101" s="40"/>
      <c r="L101" s="40"/>
      <c r="O101" s="43"/>
      <c r="P101" s="253"/>
      <c r="Q101" s="39"/>
      <c r="U101" s="43"/>
      <c r="V101" s="39"/>
      <c r="AY101" s="40"/>
      <c r="BC101" s="40"/>
      <c r="BD101" s="40"/>
      <c r="BE101" s="40"/>
      <c r="BF101" s="40"/>
      <c r="BG101" s="40"/>
    </row>
    <row r="102" spans="1:59" ht="18" customHeight="1">
      <c r="A102" s="68"/>
      <c r="B102" s="39" t="s">
        <v>1836</v>
      </c>
      <c r="C102" s="1378">
        <f>Eingabe!C161</f>
        <v>13391</v>
      </c>
      <c r="D102" s="64" t="s">
        <v>5</v>
      </c>
      <c r="E102" s="331" t="s">
        <v>1835</v>
      </c>
      <c r="F102" s="253"/>
      <c r="G102" s="40"/>
      <c r="H102" s="40"/>
      <c r="I102" s="310"/>
      <c r="J102" s="310"/>
      <c r="K102" s="40"/>
      <c r="L102" s="40"/>
      <c r="O102" s="43"/>
      <c r="P102" s="253"/>
      <c r="Q102" s="39"/>
      <c r="U102" s="43"/>
      <c r="V102" s="39"/>
      <c r="AY102" s="40"/>
      <c r="BC102" s="40"/>
      <c r="BD102" s="40"/>
      <c r="BE102" s="40"/>
      <c r="BF102" s="40"/>
      <c r="BG102" s="40"/>
    </row>
    <row r="103" spans="1:59" ht="18" customHeight="1">
      <c r="A103" s="68"/>
      <c r="B103" s="39" t="s">
        <v>1826</v>
      </c>
      <c r="C103" s="1378">
        <f>Eingabe!C162</f>
        <v>18800</v>
      </c>
      <c r="D103" s="64" t="s">
        <v>4</v>
      </c>
      <c r="E103" s="331" t="s">
        <v>1835</v>
      </c>
      <c r="F103" s="253"/>
      <c r="G103" s="40"/>
      <c r="H103" s="40"/>
      <c r="I103" s="310"/>
      <c r="J103" s="310"/>
      <c r="K103" s="40"/>
      <c r="L103" s="40"/>
      <c r="O103" s="43"/>
      <c r="AY103" s="40"/>
      <c r="BC103" s="40"/>
      <c r="BD103" s="40"/>
      <c r="BE103" s="40"/>
      <c r="BF103" s="40"/>
      <c r="BG103" s="40"/>
    </row>
    <row r="104" spans="1:59" ht="18" customHeight="1">
      <c r="A104" s="69"/>
      <c r="B104" s="37" t="s">
        <v>1828</v>
      </c>
      <c r="C104" s="144">
        <f>C102/C103</f>
        <v>0.71228723404255323</v>
      </c>
      <c r="D104" s="61" t="s">
        <v>2</v>
      </c>
      <c r="E104" s="50" t="s">
        <v>1829</v>
      </c>
      <c r="F104" s="40"/>
      <c r="G104" s="40"/>
      <c r="H104" s="40"/>
      <c r="I104" s="310"/>
      <c r="J104" s="310"/>
      <c r="K104" s="40"/>
      <c r="L104" s="40"/>
      <c r="O104" s="43"/>
      <c r="AY104" s="40"/>
      <c r="BC104" s="40"/>
      <c r="BD104" s="40"/>
      <c r="BE104" s="40"/>
      <c r="BF104" s="40"/>
      <c r="BG104" s="40"/>
    </row>
    <row r="105" spans="1:59" ht="18" customHeight="1">
      <c r="F105" s="40"/>
      <c r="G105" s="40"/>
      <c r="H105" s="40"/>
      <c r="I105" s="310"/>
      <c r="J105" s="310"/>
      <c r="K105" s="40"/>
      <c r="L105" s="40"/>
      <c r="O105" s="43"/>
      <c r="AY105" s="40"/>
      <c r="BC105" s="40"/>
      <c r="BD105" s="40"/>
      <c r="BE105" s="40"/>
      <c r="BF105" s="40"/>
      <c r="BG105" s="40"/>
    </row>
    <row r="106" spans="1:59" ht="18" customHeight="1">
      <c r="F106" s="40"/>
      <c r="G106" s="40"/>
      <c r="H106" s="40"/>
      <c r="I106" s="310"/>
      <c r="J106" s="310"/>
      <c r="K106" s="40"/>
      <c r="L106" s="40"/>
      <c r="O106" s="43"/>
      <c r="AY106" s="40"/>
      <c r="BC106" s="40"/>
      <c r="BD106" s="40"/>
      <c r="BE106" s="40"/>
      <c r="BF106" s="40"/>
      <c r="BG106" s="40"/>
    </row>
    <row r="107" spans="1:59" ht="18" customHeight="1">
      <c r="A107" s="139" t="s">
        <v>123</v>
      </c>
      <c r="B107" s="55"/>
      <c r="C107" s="55" t="s">
        <v>6</v>
      </c>
      <c r="D107" s="55" t="s">
        <v>94</v>
      </c>
      <c r="E107" s="55"/>
      <c r="F107" s="105"/>
      <c r="H107" s="40"/>
      <c r="I107" s="310"/>
      <c r="J107" s="310"/>
      <c r="K107" s="40"/>
      <c r="L107" s="40"/>
      <c r="O107" s="43"/>
      <c r="P107" s="253"/>
      <c r="Q107" s="253"/>
      <c r="R107" s="253"/>
      <c r="S107" s="253"/>
      <c r="T107" s="344"/>
      <c r="U107" s="253"/>
      <c r="V107" s="253"/>
      <c r="W107" s="253"/>
      <c r="X107" s="253"/>
      <c r="Y107" s="253"/>
      <c r="Z107" s="253"/>
      <c r="AA107" s="253"/>
      <c r="AB107" s="253"/>
      <c r="AC107" s="253"/>
      <c r="AD107" s="1025"/>
      <c r="AE107" s="253"/>
      <c r="AY107" s="40"/>
      <c r="BC107" s="40"/>
      <c r="BD107" s="40"/>
      <c r="BE107" s="40"/>
      <c r="BF107" s="40"/>
      <c r="BG107" s="40"/>
    </row>
    <row r="108" spans="1:59" ht="18" customHeight="1">
      <c r="A108" s="85"/>
      <c r="B108" s="40"/>
      <c r="C108" s="40" t="s">
        <v>7</v>
      </c>
      <c r="D108" s="40" t="s">
        <v>95</v>
      </c>
      <c r="E108" s="40"/>
      <c r="F108" s="104"/>
      <c r="H108" s="40"/>
      <c r="I108" s="310"/>
      <c r="J108" s="310"/>
      <c r="K108" s="40"/>
      <c r="L108" s="40"/>
      <c r="O108" s="43"/>
      <c r="P108" s="253"/>
      <c r="Q108" s="253"/>
      <c r="R108" s="253"/>
      <c r="S108" s="253"/>
      <c r="T108" s="344"/>
      <c r="U108" s="253"/>
      <c r="V108" s="253"/>
      <c r="W108" s="253"/>
      <c r="X108" s="253"/>
      <c r="Y108" s="253"/>
      <c r="Z108" s="253"/>
      <c r="AA108" s="253"/>
      <c r="AB108" s="253"/>
      <c r="AC108" s="253"/>
      <c r="AD108" s="1025"/>
      <c r="AE108" s="253"/>
      <c r="AY108" s="40"/>
      <c r="BC108" s="40"/>
      <c r="BD108" s="40"/>
      <c r="BE108" s="40"/>
      <c r="BF108" s="40"/>
      <c r="BG108" s="40"/>
    </row>
    <row r="109" spans="1:59" ht="18" customHeight="1">
      <c r="A109" s="68"/>
      <c r="C109" s="40" t="s">
        <v>217</v>
      </c>
      <c r="D109" s="40" t="s">
        <v>117</v>
      </c>
      <c r="E109" s="40"/>
      <c r="F109" s="57"/>
      <c r="G109" s="40"/>
      <c r="H109" s="40"/>
      <c r="I109" s="310"/>
      <c r="J109" s="310"/>
      <c r="K109" s="40"/>
      <c r="L109" s="40"/>
      <c r="O109" s="43"/>
      <c r="P109" s="253"/>
      <c r="Q109" s="253"/>
      <c r="R109" s="253"/>
      <c r="S109" s="253"/>
      <c r="T109" s="344"/>
      <c r="U109" s="253"/>
      <c r="V109" s="253"/>
      <c r="W109" s="253"/>
      <c r="X109" s="253"/>
      <c r="Y109" s="253"/>
      <c r="Z109" s="253"/>
      <c r="AA109" s="253"/>
      <c r="AB109" s="253"/>
      <c r="AC109" s="253"/>
      <c r="AD109" s="1025"/>
      <c r="AE109" s="253"/>
      <c r="AY109" s="40"/>
      <c r="BC109" s="40"/>
      <c r="BD109" s="40"/>
      <c r="BE109" s="40"/>
      <c r="BF109" s="40"/>
      <c r="BG109" s="40"/>
    </row>
    <row r="110" spans="1:59" ht="18" customHeight="1">
      <c r="A110" s="85"/>
      <c r="B110" s="40"/>
      <c r="C110" s="40" t="s">
        <v>220</v>
      </c>
      <c r="D110" s="40" t="s">
        <v>121</v>
      </c>
      <c r="E110" s="40"/>
      <c r="F110" s="57"/>
      <c r="G110" s="40"/>
      <c r="H110" s="40"/>
      <c r="I110" s="310"/>
      <c r="J110" s="310"/>
      <c r="K110" s="40"/>
      <c r="L110" s="40"/>
      <c r="O110" s="43"/>
      <c r="P110" s="253"/>
      <c r="Q110" s="253"/>
      <c r="R110" s="253"/>
      <c r="S110" s="253"/>
      <c r="T110" s="344"/>
      <c r="U110" s="253"/>
      <c r="V110" s="253"/>
      <c r="W110" s="253"/>
      <c r="X110" s="253"/>
      <c r="Y110" s="253"/>
      <c r="Z110" s="253"/>
      <c r="AA110" s="253"/>
      <c r="AB110" s="253"/>
      <c r="AC110" s="253"/>
      <c r="AD110" s="1025"/>
      <c r="AE110" s="253"/>
      <c r="AY110" s="40"/>
      <c r="BC110" s="40"/>
      <c r="BD110" s="40"/>
      <c r="BE110" s="40"/>
      <c r="BF110" s="40"/>
      <c r="BG110" s="40"/>
    </row>
    <row r="111" spans="1:59" ht="18" customHeight="1">
      <c r="A111" s="85"/>
      <c r="B111" s="40"/>
      <c r="C111" s="40" t="s">
        <v>122</v>
      </c>
      <c r="D111" s="40" t="s">
        <v>118</v>
      </c>
      <c r="E111" s="40"/>
      <c r="F111" s="57"/>
      <c r="G111" s="40"/>
      <c r="H111" s="40"/>
      <c r="I111" s="310"/>
      <c r="J111" s="310"/>
      <c r="K111" s="40"/>
      <c r="L111" s="40"/>
      <c r="O111" s="43"/>
      <c r="P111" s="253"/>
      <c r="Q111" s="253"/>
      <c r="R111" s="253"/>
      <c r="S111" s="253"/>
      <c r="T111" s="344"/>
      <c r="U111" s="253"/>
      <c r="V111" s="253"/>
      <c r="W111" s="253"/>
      <c r="X111" s="253"/>
      <c r="Y111" s="253"/>
      <c r="Z111" s="253"/>
      <c r="AA111" s="253"/>
      <c r="AB111" s="253"/>
      <c r="AC111" s="253"/>
      <c r="AD111" s="1025"/>
      <c r="AE111" s="253"/>
      <c r="AY111" s="40"/>
      <c r="BC111" s="40"/>
      <c r="BD111" s="40"/>
      <c r="BE111" s="40"/>
      <c r="BF111" s="40"/>
      <c r="BG111" s="40"/>
    </row>
    <row r="112" spans="1:59" ht="18" customHeight="1">
      <c r="A112" s="85"/>
      <c r="B112" s="40"/>
      <c r="C112" s="40" t="s">
        <v>105</v>
      </c>
      <c r="D112" s="40" t="s">
        <v>146</v>
      </c>
      <c r="E112" s="40"/>
      <c r="F112" s="57"/>
      <c r="G112" s="40"/>
      <c r="H112" s="40"/>
      <c r="I112" s="310"/>
      <c r="J112" s="310"/>
      <c r="K112" s="40"/>
      <c r="L112" s="40"/>
      <c r="O112" s="43"/>
      <c r="P112" s="253"/>
      <c r="Q112" s="253"/>
      <c r="R112" s="253"/>
      <c r="S112" s="253"/>
      <c r="T112" s="344"/>
      <c r="U112" s="253"/>
      <c r="V112" s="253"/>
      <c r="W112" s="253"/>
      <c r="X112" s="253"/>
      <c r="Y112" s="253"/>
      <c r="Z112" s="253"/>
      <c r="AA112" s="253"/>
      <c r="AB112" s="253"/>
      <c r="AC112" s="253"/>
      <c r="AD112" s="1025"/>
      <c r="AE112" s="253"/>
      <c r="AY112" s="40"/>
      <c r="BC112" s="40"/>
      <c r="BD112" s="40"/>
      <c r="BE112" s="40"/>
      <c r="BF112" s="40"/>
      <c r="BG112" s="40"/>
    </row>
    <row r="113" spans="1:59" ht="18" customHeight="1">
      <c r="A113" s="85"/>
      <c r="B113" s="40"/>
      <c r="C113" s="40" t="s">
        <v>148</v>
      </c>
      <c r="D113" s="40" t="s">
        <v>147</v>
      </c>
      <c r="E113" s="40"/>
      <c r="F113" s="57"/>
      <c r="G113" s="40"/>
      <c r="H113" s="40"/>
      <c r="I113" s="310"/>
      <c r="J113" s="310"/>
      <c r="K113" s="40"/>
      <c r="L113" s="40"/>
      <c r="O113" s="43"/>
      <c r="P113" s="253"/>
      <c r="Q113" s="253"/>
      <c r="R113" s="253"/>
      <c r="S113" s="253"/>
      <c r="T113" s="344"/>
      <c r="U113" s="253"/>
      <c r="V113" s="253"/>
      <c r="W113" s="253"/>
      <c r="X113" s="253"/>
      <c r="Y113" s="253"/>
      <c r="Z113" s="253"/>
      <c r="AA113" s="253"/>
      <c r="AB113" s="253"/>
      <c r="AC113" s="253"/>
      <c r="AD113" s="1025"/>
      <c r="AE113" s="253"/>
      <c r="AY113" s="40"/>
      <c r="BC113" s="40"/>
      <c r="BD113" s="40"/>
      <c r="BE113" s="40"/>
      <c r="BF113" s="40"/>
      <c r="BG113" s="40"/>
    </row>
    <row r="114" spans="1:59" ht="18" customHeight="1">
      <c r="A114" s="85"/>
      <c r="B114" s="40"/>
      <c r="C114" s="40" t="s">
        <v>248</v>
      </c>
      <c r="D114" s="50" t="s">
        <v>271</v>
      </c>
      <c r="E114" s="40"/>
      <c r="F114" s="57"/>
      <c r="G114" s="40"/>
      <c r="H114" s="40"/>
      <c r="I114" s="310"/>
      <c r="J114" s="310"/>
      <c r="K114" s="40"/>
      <c r="L114" s="40"/>
      <c r="O114" s="43"/>
      <c r="P114" s="253"/>
      <c r="Q114" s="253"/>
      <c r="R114" s="253"/>
      <c r="S114" s="253"/>
      <c r="T114" s="344"/>
      <c r="U114" s="253"/>
      <c r="V114" s="253"/>
      <c r="W114" s="253"/>
      <c r="X114" s="253"/>
      <c r="Y114" s="253"/>
      <c r="Z114" s="253"/>
      <c r="AA114" s="253"/>
      <c r="AB114" s="253"/>
      <c r="AC114" s="253"/>
      <c r="AD114" s="1025"/>
      <c r="AE114" s="253"/>
      <c r="AY114" s="40"/>
      <c r="BC114" s="40"/>
      <c r="BD114" s="40"/>
      <c r="BE114" s="40"/>
      <c r="BF114" s="40"/>
      <c r="BG114" s="40"/>
    </row>
    <row r="115" spans="1:59" ht="18" customHeight="1">
      <c r="A115" s="85"/>
      <c r="B115" s="40"/>
      <c r="C115" s="40" t="s">
        <v>258</v>
      </c>
      <c r="D115" s="40" t="s">
        <v>1837</v>
      </c>
      <c r="E115" s="40"/>
      <c r="F115" s="57"/>
      <c r="G115" s="40"/>
      <c r="H115" s="40"/>
      <c r="I115" s="310"/>
      <c r="J115" s="310"/>
      <c r="K115" s="40"/>
      <c r="L115" s="40"/>
      <c r="O115" s="43"/>
      <c r="P115" s="253"/>
      <c r="Q115" s="253"/>
      <c r="R115" s="253"/>
      <c r="S115" s="253"/>
      <c r="T115" s="344"/>
      <c r="U115" s="253"/>
      <c r="V115" s="253"/>
      <c r="W115" s="253"/>
      <c r="X115" s="253"/>
      <c r="Y115" s="253"/>
      <c r="Z115" s="253"/>
      <c r="AY115" s="40"/>
      <c r="BC115" s="40"/>
      <c r="BD115" s="40"/>
      <c r="BE115" s="40"/>
      <c r="BF115" s="40"/>
      <c r="BG115" s="40"/>
    </row>
    <row r="116" spans="1:59" ht="18" customHeight="1">
      <c r="A116" s="86"/>
      <c r="B116" s="60"/>
      <c r="C116" s="60" t="s">
        <v>247</v>
      </c>
      <c r="D116" s="60" t="s">
        <v>249</v>
      </c>
      <c r="E116" s="60"/>
      <c r="F116" s="61"/>
      <c r="G116" s="40"/>
      <c r="H116" s="40"/>
      <c r="I116" s="310"/>
      <c r="J116" s="310"/>
      <c r="K116" s="40"/>
      <c r="L116" s="40"/>
      <c r="O116" s="43"/>
      <c r="P116" s="253"/>
      <c r="Q116" s="253"/>
      <c r="R116" s="253"/>
      <c r="S116" s="253"/>
      <c r="T116" s="344"/>
      <c r="U116" s="253"/>
      <c r="V116" s="253"/>
      <c r="W116" s="253"/>
      <c r="X116" s="253"/>
      <c r="Y116" s="253"/>
      <c r="Z116" s="253"/>
      <c r="AA116" s="253"/>
      <c r="AB116" s="253"/>
      <c r="AC116" s="253"/>
      <c r="AD116" s="253"/>
      <c r="AE116" s="253"/>
      <c r="AF116" s="253"/>
      <c r="AG116" s="253"/>
      <c r="AH116" s="253"/>
      <c r="AI116" s="253"/>
      <c r="AJ116" s="253"/>
      <c r="AY116" s="40"/>
      <c r="BC116" s="40"/>
      <c r="BD116" s="40"/>
      <c r="BE116" s="40"/>
      <c r="BF116" s="40"/>
      <c r="BG116" s="40"/>
    </row>
    <row r="117" spans="1:59" ht="18" customHeight="1">
      <c r="G117" s="40"/>
      <c r="H117" s="40"/>
      <c r="I117" s="310"/>
      <c r="J117" s="310"/>
      <c r="K117" s="40"/>
      <c r="L117" s="40"/>
      <c r="O117" s="43"/>
      <c r="P117" s="253"/>
      <c r="Q117" s="253"/>
      <c r="R117" s="253"/>
      <c r="S117" s="253"/>
      <c r="T117" s="344"/>
      <c r="U117" s="253"/>
      <c r="V117" s="253"/>
      <c r="W117" s="253"/>
      <c r="X117" s="253"/>
      <c r="Y117" s="253"/>
      <c r="Z117" s="253"/>
      <c r="AA117" s="253"/>
      <c r="AB117" s="253"/>
      <c r="AC117" s="253"/>
      <c r="AD117" s="253"/>
      <c r="AE117" s="253"/>
      <c r="AF117" s="253"/>
      <c r="AG117" s="253"/>
      <c r="AH117" s="253"/>
      <c r="AI117" s="253"/>
      <c r="AJ117" s="253"/>
      <c r="AY117" s="40"/>
      <c r="BC117" s="40"/>
      <c r="BD117" s="40"/>
      <c r="BE117" s="40"/>
      <c r="BF117" s="40"/>
      <c r="BG117" s="40"/>
    </row>
    <row r="118" spans="1:59" ht="18" customHeight="1">
      <c r="A118" s="40"/>
      <c r="B118" s="40"/>
      <c r="C118" s="40"/>
      <c r="D118" s="40"/>
      <c r="E118" s="40"/>
      <c r="F118" s="40"/>
      <c r="G118" s="40"/>
      <c r="H118" s="40"/>
      <c r="I118" s="310"/>
      <c r="J118" s="310"/>
      <c r="K118" s="40"/>
      <c r="L118" s="40"/>
      <c r="O118" s="43"/>
      <c r="P118" s="253"/>
      <c r="Q118" s="253"/>
      <c r="R118" s="253"/>
      <c r="S118" s="253"/>
      <c r="T118" s="344"/>
      <c r="U118" s="253"/>
      <c r="V118" s="253"/>
      <c r="W118" s="253"/>
      <c r="X118" s="253"/>
      <c r="Y118" s="253"/>
      <c r="Z118" s="253"/>
      <c r="AA118" s="253"/>
      <c r="AB118" s="253"/>
      <c r="AC118" s="253"/>
      <c r="AD118" s="253"/>
      <c r="AE118" s="253"/>
      <c r="AF118" s="253"/>
      <c r="AG118" s="253"/>
      <c r="AH118" s="253"/>
      <c r="AI118" s="253"/>
      <c r="AJ118" s="253"/>
      <c r="AY118" s="40"/>
      <c r="BC118" s="40"/>
      <c r="BD118" s="40"/>
      <c r="BE118" s="40"/>
      <c r="BF118" s="40"/>
      <c r="BG118" s="40"/>
    </row>
    <row r="119" spans="1:59" ht="18" customHeight="1">
      <c r="A119" s="139" t="s">
        <v>150</v>
      </c>
      <c r="B119" s="55"/>
      <c r="C119" s="368"/>
      <c r="D119" s="55" t="s">
        <v>151</v>
      </c>
      <c r="E119" s="55"/>
      <c r="F119" s="56"/>
      <c r="G119" s="40"/>
      <c r="H119" s="40"/>
      <c r="I119" s="310"/>
      <c r="J119" s="310"/>
      <c r="K119" s="40"/>
      <c r="L119" s="40"/>
      <c r="O119" s="43"/>
      <c r="P119" s="253"/>
      <c r="Q119" s="253"/>
      <c r="R119" s="253"/>
      <c r="S119" s="253"/>
      <c r="T119" s="344"/>
      <c r="U119" s="253"/>
      <c r="V119" s="253"/>
      <c r="W119" s="253"/>
      <c r="X119" s="253"/>
      <c r="Y119" s="253"/>
      <c r="Z119" s="253"/>
      <c r="AA119" s="253"/>
      <c r="AB119" s="253"/>
      <c r="AC119" s="253"/>
      <c r="AD119" s="253"/>
      <c r="AE119" s="253"/>
      <c r="AF119" s="253"/>
      <c r="AG119" s="253"/>
      <c r="AH119" s="253"/>
      <c r="AI119" s="253"/>
      <c r="AJ119" s="253"/>
      <c r="AY119" s="40"/>
      <c r="BC119" s="40"/>
      <c r="BD119" s="40"/>
      <c r="BE119" s="40"/>
      <c r="BF119" s="40"/>
      <c r="BG119" s="40"/>
    </row>
    <row r="120" spans="1:59" ht="18" customHeight="1">
      <c r="A120" s="85"/>
      <c r="B120" s="40"/>
      <c r="C120" s="363"/>
      <c r="D120" s="40" t="s">
        <v>152</v>
      </c>
      <c r="E120" s="40"/>
      <c r="F120" s="57"/>
      <c r="G120" s="40"/>
      <c r="H120" s="40"/>
      <c r="I120" s="310"/>
      <c r="J120" s="310"/>
      <c r="K120" s="40"/>
      <c r="L120" s="40"/>
      <c r="O120" s="43"/>
      <c r="P120" s="253"/>
      <c r="Q120" s="253"/>
      <c r="R120" s="253"/>
      <c r="S120" s="253"/>
      <c r="T120" s="344"/>
      <c r="U120" s="253"/>
      <c r="V120" s="253"/>
      <c r="W120" s="253"/>
      <c r="X120" s="253"/>
      <c r="Y120" s="253"/>
      <c r="Z120" s="253"/>
      <c r="AA120" s="253"/>
      <c r="AB120" s="253"/>
      <c r="AC120" s="253"/>
      <c r="AD120" s="253"/>
      <c r="AE120" s="253"/>
      <c r="AF120" s="253"/>
      <c r="AG120" s="253"/>
      <c r="AH120" s="253"/>
      <c r="AI120" s="253"/>
      <c r="AJ120" s="253"/>
      <c r="AY120" s="40"/>
      <c r="BC120" s="40"/>
      <c r="BD120" s="40"/>
      <c r="BE120" s="40"/>
      <c r="BF120" s="40"/>
      <c r="BG120" s="40"/>
    </row>
    <row r="121" spans="1:59" ht="18" customHeight="1">
      <c r="A121" s="85"/>
      <c r="B121" s="40"/>
      <c r="C121" s="364"/>
      <c r="D121" s="40" t="s">
        <v>153</v>
      </c>
      <c r="E121" s="40"/>
      <c r="F121" s="57"/>
      <c r="G121" s="40"/>
      <c r="H121" s="40"/>
      <c r="I121" s="310"/>
      <c r="J121" s="310"/>
      <c r="K121" s="40"/>
      <c r="L121" s="40"/>
      <c r="O121" s="43"/>
      <c r="P121" s="253"/>
      <c r="Q121" s="253"/>
      <c r="R121" s="253"/>
      <c r="S121" s="253"/>
      <c r="T121" s="344"/>
      <c r="U121" s="253"/>
      <c r="V121" s="253"/>
      <c r="W121" s="253"/>
      <c r="X121" s="253"/>
      <c r="Y121" s="253"/>
      <c r="Z121" s="253"/>
      <c r="BC121" s="40"/>
      <c r="BD121" s="40"/>
      <c r="BE121" s="40"/>
      <c r="BF121" s="40"/>
      <c r="BG121" s="40"/>
    </row>
    <row r="122" spans="1:59" ht="18" customHeight="1">
      <c r="A122" s="68"/>
      <c r="C122" s="365"/>
      <c r="D122" s="40" t="s">
        <v>6</v>
      </c>
      <c r="E122" s="40"/>
      <c r="F122" s="57"/>
      <c r="G122" s="40"/>
      <c r="H122" s="40"/>
      <c r="I122" s="310"/>
      <c r="J122" s="310"/>
      <c r="K122" s="40"/>
      <c r="L122" s="40"/>
      <c r="O122" s="43"/>
      <c r="P122" s="253"/>
      <c r="Q122" s="253"/>
      <c r="R122" s="253"/>
      <c r="S122" s="253"/>
      <c r="T122" s="344"/>
      <c r="U122" s="253"/>
      <c r="V122" s="253"/>
      <c r="W122" s="253"/>
      <c r="X122" s="253"/>
      <c r="Y122" s="253"/>
      <c r="Z122" s="253"/>
      <c r="AE122" s="43"/>
      <c r="BC122" s="40"/>
      <c r="BD122" s="40"/>
      <c r="BE122" s="40"/>
      <c r="BF122" s="40"/>
      <c r="BG122" s="40"/>
    </row>
    <row r="123" spans="1:59" ht="18" customHeight="1">
      <c r="A123" s="68"/>
      <c r="B123" s="40"/>
      <c r="C123" s="366"/>
      <c r="D123" s="40" t="s">
        <v>7</v>
      </c>
      <c r="E123" s="40"/>
      <c r="F123" s="57"/>
      <c r="G123" s="40"/>
      <c r="H123" s="40"/>
      <c r="I123" s="310"/>
      <c r="J123" s="310"/>
      <c r="K123" s="40"/>
      <c r="L123" s="40"/>
      <c r="O123" s="43"/>
      <c r="P123" s="253"/>
      <c r="Q123" s="253"/>
      <c r="R123" s="253"/>
      <c r="S123" s="253"/>
      <c r="T123" s="344"/>
      <c r="U123" s="253"/>
      <c r="V123" s="253"/>
      <c r="W123" s="253"/>
      <c r="X123" s="253"/>
      <c r="Y123" s="253"/>
      <c r="Z123" s="253"/>
      <c r="AE123" s="43"/>
      <c r="AF123" s="43"/>
      <c r="BC123" s="40"/>
      <c r="BD123" s="40"/>
      <c r="BE123" s="40"/>
      <c r="BF123" s="40"/>
      <c r="BG123" s="40"/>
    </row>
    <row r="124" spans="1:59" ht="18" customHeight="1">
      <c r="A124" s="85"/>
      <c r="B124" s="40"/>
      <c r="C124" s="367"/>
      <c r="D124" s="50" t="s">
        <v>272</v>
      </c>
      <c r="E124" s="40"/>
      <c r="F124" s="57"/>
      <c r="G124" s="40"/>
      <c r="H124" s="40"/>
      <c r="I124" s="310"/>
      <c r="J124" s="310"/>
      <c r="K124" s="40"/>
      <c r="L124" s="40"/>
      <c r="O124" s="43"/>
      <c r="P124" s="253"/>
      <c r="Q124" s="253"/>
      <c r="R124" s="253"/>
      <c r="S124" s="253"/>
      <c r="T124" s="344"/>
      <c r="U124" s="253"/>
      <c r="V124" s="253"/>
      <c r="W124" s="253"/>
      <c r="X124" s="253"/>
      <c r="Y124" s="253"/>
      <c r="Z124" s="253"/>
      <c r="AA124" s="253"/>
      <c r="AB124" s="253"/>
      <c r="AC124" s="253"/>
      <c r="AE124" s="1025"/>
      <c r="AF124" s="253"/>
      <c r="BC124" s="40"/>
      <c r="BD124" s="40"/>
      <c r="BE124" s="40"/>
      <c r="BF124" s="40"/>
      <c r="BG124" s="40"/>
    </row>
    <row r="125" spans="1:59" ht="18" customHeight="1">
      <c r="A125" s="86"/>
      <c r="B125" s="60"/>
      <c r="C125" s="343"/>
      <c r="D125" s="59" t="s">
        <v>234</v>
      </c>
      <c r="E125" s="60"/>
      <c r="F125" s="61"/>
      <c r="G125" s="40"/>
      <c r="H125" s="40"/>
      <c r="I125" s="310"/>
      <c r="J125" s="310"/>
      <c r="K125" s="40"/>
      <c r="L125" s="40"/>
      <c r="O125" s="43"/>
      <c r="P125" s="253"/>
      <c r="Q125" s="253"/>
      <c r="R125" s="253"/>
      <c r="S125" s="253"/>
      <c r="T125" s="344"/>
      <c r="U125" s="253"/>
      <c r="V125" s="253"/>
      <c r="W125" s="253"/>
      <c r="X125" s="253"/>
      <c r="Y125" s="253"/>
      <c r="Z125" s="253"/>
      <c r="AA125" s="253"/>
      <c r="AB125" s="253"/>
      <c r="AC125" s="253"/>
      <c r="AE125" s="1025"/>
      <c r="AF125" s="253"/>
      <c r="BC125" s="40"/>
      <c r="BD125" s="40"/>
      <c r="BE125" s="40"/>
      <c r="BF125" s="40"/>
      <c r="BG125" s="40"/>
    </row>
    <row r="126" spans="1:59" ht="18" customHeight="1">
      <c r="G126" s="40"/>
      <c r="H126" s="40"/>
      <c r="I126" s="310"/>
      <c r="J126" s="310"/>
      <c r="K126" s="40"/>
      <c r="L126" s="40"/>
      <c r="O126" s="43"/>
      <c r="P126" s="253"/>
      <c r="Q126" s="253"/>
      <c r="R126" s="253"/>
      <c r="S126" s="253"/>
      <c r="T126" s="344"/>
      <c r="U126" s="253"/>
      <c r="V126" s="253"/>
      <c r="W126" s="253"/>
      <c r="X126" s="253"/>
      <c r="Y126" s="253"/>
      <c r="Z126" s="253"/>
      <c r="AA126" s="253"/>
      <c r="AB126" s="253"/>
      <c r="AC126" s="253"/>
      <c r="AE126" s="1025"/>
      <c r="AF126" s="253"/>
      <c r="BC126" s="40"/>
      <c r="BD126" s="40"/>
      <c r="BE126" s="40"/>
      <c r="BF126" s="40"/>
      <c r="BG126" s="40"/>
    </row>
    <row r="127" spans="1:59" ht="18" customHeight="1">
      <c r="A127" s="40"/>
      <c r="B127" s="40"/>
      <c r="C127" s="40"/>
      <c r="D127" s="40"/>
      <c r="E127" s="40"/>
      <c r="F127" s="40"/>
      <c r="G127" s="40"/>
      <c r="H127" s="40"/>
      <c r="I127" s="310"/>
      <c r="J127" s="310"/>
      <c r="K127" s="40"/>
      <c r="L127" s="40"/>
      <c r="O127" s="43"/>
      <c r="P127" s="253"/>
      <c r="Q127" s="253"/>
      <c r="R127" s="253"/>
      <c r="S127" s="253"/>
      <c r="T127" s="344"/>
      <c r="U127" s="253"/>
      <c r="V127" s="253"/>
      <c r="W127" s="253"/>
      <c r="X127" s="253"/>
      <c r="Y127" s="253"/>
      <c r="Z127" s="253"/>
      <c r="AA127" s="253"/>
      <c r="AB127" s="253"/>
      <c r="AC127" s="253"/>
      <c r="AE127" s="1025"/>
      <c r="AF127" s="253"/>
      <c r="BC127" s="40"/>
      <c r="BD127" s="40"/>
      <c r="BE127" s="40"/>
      <c r="BF127" s="40"/>
      <c r="BG127" s="40"/>
    </row>
    <row r="128" spans="1:59" ht="18" customHeight="1">
      <c r="A128" s="40"/>
      <c r="B128" s="40"/>
      <c r="C128" s="40"/>
      <c r="D128" s="40"/>
      <c r="E128" s="40"/>
      <c r="F128" s="40"/>
      <c r="G128" s="40"/>
      <c r="I128" s="310"/>
      <c r="J128" s="310"/>
      <c r="K128" s="40"/>
      <c r="L128" s="40"/>
      <c r="N128" s="40" t="s">
        <v>162</v>
      </c>
      <c r="U128" s="40" t="s">
        <v>161</v>
      </c>
      <c r="X128" s="43"/>
      <c r="AE128" s="40" t="s">
        <v>1838</v>
      </c>
      <c r="BC128" s="40"/>
      <c r="BD128" s="40"/>
      <c r="BE128" s="40"/>
      <c r="BF128" s="40"/>
      <c r="BG128" s="40"/>
    </row>
    <row r="129" spans="1:59" ht="18" customHeight="1">
      <c r="A129" s="1041" t="s">
        <v>8</v>
      </c>
      <c r="B129" s="153"/>
      <c r="C129" s="79"/>
      <c r="D129" s="79"/>
      <c r="E129" s="70"/>
      <c r="F129" s="40"/>
      <c r="G129" s="40"/>
      <c r="N129" s="71" t="s">
        <v>1</v>
      </c>
      <c r="O129" s="110"/>
      <c r="P129" s="110"/>
      <c r="Q129" s="110"/>
      <c r="R129" s="111"/>
      <c r="S129" s="111"/>
      <c r="U129" s="71" t="s">
        <v>1</v>
      </c>
      <c r="V129" s="311" t="s">
        <v>255</v>
      </c>
      <c r="W129" s="153"/>
      <c r="X129" s="1042"/>
      <c r="Y129" s="154"/>
      <c r="Z129" s="159"/>
      <c r="AE129" s="1043" t="s">
        <v>1</v>
      </c>
      <c r="AF129" s="110"/>
      <c r="AG129" s="110"/>
      <c r="AH129" s="110"/>
      <c r="AI129" s="111"/>
      <c r="AJ129" s="111"/>
      <c r="AK129" s="111"/>
      <c r="AL129" s="111"/>
      <c r="BC129" s="40"/>
      <c r="BD129" s="40"/>
      <c r="BE129" s="40"/>
      <c r="BF129" s="40"/>
      <c r="BG129" s="40"/>
    </row>
    <row r="130" spans="1:59" ht="18" customHeight="1">
      <c r="A130" s="98" t="s">
        <v>9</v>
      </c>
      <c r="B130" s="72" t="s">
        <v>105</v>
      </c>
      <c r="C130" s="72" t="s">
        <v>106</v>
      </c>
      <c r="D130" s="72" t="s">
        <v>158</v>
      </c>
      <c r="E130" s="118" t="s">
        <v>113</v>
      </c>
      <c r="N130" s="71" t="s">
        <v>257</v>
      </c>
      <c r="O130" s="88" t="s">
        <v>114</v>
      </c>
      <c r="P130" s="88" t="s">
        <v>131</v>
      </c>
      <c r="Q130" s="88" t="s">
        <v>132</v>
      </c>
      <c r="R130" s="73" t="s">
        <v>116</v>
      </c>
      <c r="S130" s="414" t="s">
        <v>277</v>
      </c>
      <c r="U130" s="71" t="s">
        <v>257</v>
      </c>
      <c r="V130" s="88" t="s">
        <v>250</v>
      </c>
      <c r="W130" s="88" t="s">
        <v>116</v>
      </c>
      <c r="X130" s="98" t="s">
        <v>107</v>
      </c>
      <c r="Y130" s="122" t="s">
        <v>1839</v>
      </c>
      <c r="Z130" s="163"/>
      <c r="AE130" s="1044" t="s">
        <v>1840</v>
      </c>
      <c r="AF130" s="1045" t="s">
        <v>1841</v>
      </c>
      <c r="AG130" s="1045" t="s">
        <v>1842</v>
      </c>
      <c r="AH130" s="1045" t="s">
        <v>1843</v>
      </c>
      <c r="AI130" s="1046" t="s">
        <v>1844</v>
      </c>
      <c r="AJ130" s="414" t="s">
        <v>277</v>
      </c>
      <c r="AK130" s="414" t="s">
        <v>1845</v>
      </c>
      <c r="AL130" s="414" t="s">
        <v>1846</v>
      </c>
      <c r="BC130" s="40"/>
      <c r="BD130" s="40"/>
      <c r="BE130" s="40"/>
      <c r="BF130" s="40"/>
      <c r="BG130" s="40"/>
    </row>
    <row r="131" spans="1:59" ht="18" customHeight="1">
      <c r="A131" s="100" t="s">
        <v>125</v>
      </c>
      <c r="B131" s="74" t="s">
        <v>99</v>
      </c>
      <c r="C131" s="74" t="s">
        <v>99</v>
      </c>
      <c r="D131" s="74" t="s">
        <v>99</v>
      </c>
      <c r="E131" s="120" t="s">
        <v>99</v>
      </c>
      <c r="N131" s="332" t="s">
        <v>99</v>
      </c>
      <c r="O131" s="121" t="s">
        <v>99</v>
      </c>
      <c r="P131" s="121" t="s">
        <v>126</v>
      </c>
      <c r="Q131" s="121" t="s">
        <v>127</v>
      </c>
      <c r="R131" s="75" t="s">
        <v>99</v>
      </c>
      <c r="S131" s="415" t="s">
        <v>126</v>
      </c>
      <c r="U131" s="332" t="s">
        <v>99</v>
      </c>
      <c r="V131" s="121" t="s">
        <v>126</v>
      </c>
      <c r="W131" s="121" t="s">
        <v>99</v>
      </c>
      <c r="X131" s="100" t="s">
        <v>99</v>
      </c>
      <c r="Y131" s="84" t="s">
        <v>1847</v>
      </c>
      <c r="Z131" s="163"/>
      <c r="AE131" s="1047" t="s">
        <v>99</v>
      </c>
      <c r="AF131" s="1048" t="s">
        <v>99</v>
      </c>
      <c r="AG131" s="1048" t="s">
        <v>126</v>
      </c>
      <c r="AH131" s="1048" t="s">
        <v>127</v>
      </c>
      <c r="AI131" s="1049" t="s">
        <v>99</v>
      </c>
      <c r="AJ131" s="415" t="s">
        <v>126</v>
      </c>
      <c r="AK131" s="415" t="s">
        <v>124</v>
      </c>
      <c r="AL131" s="415" t="s">
        <v>99</v>
      </c>
      <c r="BC131" s="40"/>
      <c r="BD131" s="40"/>
      <c r="BE131" s="40"/>
      <c r="BF131" s="40"/>
      <c r="BG131" s="40"/>
    </row>
    <row r="132" spans="1:59" ht="18" customHeight="1">
      <c r="A132" s="1050" t="str">
        <f>IF(AND($C$92="ja",$C$17="unten",$C$97&gt;ROW(A132)-ROW($A$132)),90,"")</f>
        <v/>
      </c>
      <c r="B132" s="1051" t="str">
        <f>IF(AND($C$92="ja",$C$17="unten",$C$97&gt;ROW(A132)-ROW($A$132)),10,"")</f>
        <v/>
      </c>
      <c r="C132" s="1051" t="str">
        <f>IF(AND($C$92="ja",$C$17="unten",$C$97&gt;ROW(A132)-ROW($A$132)),$C$98,"")</f>
        <v/>
      </c>
      <c r="D132" s="1051"/>
      <c r="E132" s="1052" t="str">
        <f>IF(AND($C$92="ja",$C$17="unten",$C$97&gt;ROW(A132)-ROW($A$132)),$C$96,"")</f>
        <v/>
      </c>
      <c r="N132" s="103"/>
      <c r="O132" s="54"/>
      <c r="P132" s="54"/>
      <c r="Q132" s="54"/>
      <c r="R132" s="54"/>
      <c r="S132" s="297"/>
      <c r="T132" s="39"/>
      <c r="U132" s="103"/>
      <c r="V132" s="54"/>
      <c r="W132" s="105"/>
      <c r="X132" s="103"/>
      <c r="Y132" s="105"/>
      <c r="Z132" s="39"/>
      <c r="AA132" s="39"/>
      <c r="AB132" s="39"/>
      <c r="AC132" s="39"/>
      <c r="AE132" s="1053" t="str">
        <f t="shared" ref="AE132:AE137" si="3">IF(C132="","",IF($C$17="unten",ABS(C132-$AF$16),IF($C$17="oben",ABS($C$14-C132-$AF$16))))</f>
        <v/>
      </c>
      <c r="AF132" s="1054" t="str">
        <f t="shared" ref="AF132:AF137" si="4">IF(AE132="","",IF($C$17="unten",C132,IF($C$17="oben",$C$14-C132)))</f>
        <v/>
      </c>
      <c r="AG132" s="1055" t="str">
        <f t="shared" ref="AG132:AG137" si="5">IF(C132="","",AH132*AI132)</f>
        <v/>
      </c>
      <c r="AH132" s="1055" t="str">
        <f>IF(AE132="","",$C$102/$C$104)</f>
        <v/>
      </c>
      <c r="AI132" s="1056" t="str">
        <f>IF(AE132="","",$AM$132)</f>
        <v/>
      </c>
      <c r="AJ132" s="1056"/>
      <c r="AK132" s="1056"/>
      <c r="AL132" s="1056"/>
      <c r="AM132" s="1057">
        <f>$C$104*AH48</f>
        <v>0.71228723404255323</v>
      </c>
      <c r="BC132" s="40"/>
      <c r="BD132" s="40"/>
      <c r="BE132" s="40"/>
      <c r="BF132" s="40"/>
      <c r="BG132" s="40"/>
    </row>
    <row r="133" spans="1:59" ht="18" customHeight="1">
      <c r="A133" s="1058" t="str">
        <f>IF(AND($C$92="ja",$C$17="unten",$C$97&gt;ROW(A133)-ROW($A$132)),90,"")</f>
        <v/>
      </c>
      <c r="B133" s="1059" t="str">
        <f>IF(AND($C$92="ja",$C$17="unten",$C$97&gt;ROW(A133)-ROW($A$132)),IF($C$13=60,$C$13-10,$C$13/2),"")</f>
        <v/>
      </c>
      <c r="C133" s="1059" t="str">
        <f>IF(AND($C$92="ja",$C$17="unten",$C$97&gt;ROW(A133)-ROW($A$132)),$C$98,"")</f>
        <v/>
      </c>
      <c r="D133" s="1059"/>
      <c r="E133" s="1060" t="str">
        <f>IF(AND($C$92="ja",$C$17="unten",$C$97&gt;ROW(A133)-ROW($A$132)),$C$96,"")</f>
        <v/>
      </c>
      <c r="N133" s="68"/>
      <c r="O133" s="39"/>
      <c r="P133" s="39"/>
      <c r="Q133" s="39"/>
      <c r="R133" s="39"/>
      <c r="S133" s="53"/>
      <c r="T133" s="39"/>
      <c r="U133" s="68"/>
      <c r="V133" s="39"/>
      <c r="W133" s="104"/>
      <c r="X133" s="68"/>
      <c r="Y133" s="104"/>
      <c r="Z133" s="39"/>
      <c r="AA133" s="39"/>
      <c r="AB133" s="39"/>
      <c r="AC133" s="39"/>
      <c r="AE133" s="1061" t="str">
        <f t="shared" si="3"/>
        <v/>
      </c>
      <c r="AF133" s="1062" t="str">
        <f t="shared" si="4"/>
        <v/>
      </c>
      <c r="AG133" s="1063" t="str">
        <f t="shared" si="5"/>
        <v/>
      </c>
      <c r="AH133" s="1063" t="str">
        <f>IF(AE133="","",$C$102/$C$104)</f>
        <v/>
      </c>
      <c r="AI133" s="1064" t="str">
        <f t="shared" ref="AI133:AI134" si="6">IF(AE133="","",$AM$132)</f>
        <v/>
      </c>
      <c r="AJ133" s="1064"/>
      <c r="AK133" s="1064"/>
      <c r="AL133" s="1064"/>
      <c r="BC133" s="40"/>
      <c r="BD133" s="40"/>
      <c r="BE133" s="40"/>
      <c r="BF133" s="40"/>
      <c r="BG133" s="40"/>
    </row>
    <row r="134" spans="1:59" ht="18" customHeight="1">
      <c r="A134" s="1065" t="str">
        <f>IF(AND($C$92="ja",$C$17="unten",$C$97&gt;ROW(A134)-ROW($A$132)),90,"")</f>
        <v/>
      </c>
      <c r="B134" s="1066" t="str">
        <f>IF(AND($C$92="ja",$C$17="unten",$C$97&gt;ROW(A134)-ROW($A$132)),IF($C$13=60,"",$C$13-10),"")</f>
        <v/>
      </c>
      <c r="C134" s="1066" t="str">
        <f>IF(AND($C$92="ja",$C$17="unten",$C$97&gt;ROW(A134)-ROW($A$132)),$C$98,"")</f>
        <v/>
      </c>
      <c r="D134" s="1066"/>
      <c r="E134" s="1067" t="str">
        <f>IF(AND($C$92="ja",$C$17="unten",$C$97&gt;ROW(A134)-ROW($A$132)),$C$96,"")</f>
        <v/>
      </c>
      <c r="N134" s="68"/>
      <c r="O134" s="39"/>
      <c r="P134" s="39"/>
      <c r="Q134" s="39"/>
      <c r="R134" s="39"/>
      <c r="S134" s="53"/>
      <c r="T134" s="39"/>
      <c r="U134" s="68"/>
      <c r="V134" s="39"/>
      <c r="W134" s="104"/>
      <c r="X134" s="68"/>
      <c r="Y134" s="104"/>
      <c r="Z134" s="39"/>
      <c r="AA134" s="39"/>
      <c r="AB134" s="39"/>
      <c r="AC134" s="39"/>
      <c r="AE134" s="1068" t="str">
        <f t="shared" si="3"/>
        <v/>
      </c>
      <c r="AF134" s="1069" t="str">
        <f t="shared" si="4"/>
        <v/>
      </c>
      <c r="AG134" s="1070" t="str">
        <f t="shared" si="5"/>
        <v/>
      </c>
      <c r="AH134" s="1070" t="str">
        <f>IF(AE134="","",$C$102/$C$104)</f>
        <v/>
      </c>
      <c r="AI134" s="1071" t="str">
        <f t="shared" si="6"/>
        <v/>
      </c>
      <c r="AJ134" s="1072"/>
      <c r="AK134" s="1072"/>
      <c r="AL134" s="1072"/>
      <c r="BC134" s="40"/>
      <c r="BD134" s="40"/>
      <c r="BE134" s="40"/>
      <c r="BF134" s="40"/>
      <c r="BG134" s="40"/>
    </row>
    <row r="135" spans="1:59" ht="18" customHeight="1">
      <c r="A135" s="1073" t="str">
        <f>IF(AND($C$74="ja",$C$17="oben"),"Zuglasche",IF(AND($C$56="ja",$C$17="oben",$C$58&gt;2),"Schraubenkreuz",""))</f>
        <v/>
      </c>
      <c r="B135" s="1074"/>
      <c r="C135" s="1074" t="str">
        <f>IF(A135="","",IF(A135="Schraubenkreuz",-$C$63-2*$C$64,IF(A135="Zuglasche",-50)))</f>
        <v/>
      </c>
      <c r="D135" s="1074"/>
      <c r="E135" s="1075"/>
      <c r="N135" s="68"/>
      <c r="O135" s="39"/>
      <c r="P135" s="39"/>
      <c r="Q135" s="39"/>
      <c r="R135" s="39"/>
      <c r="S135" s="53"/>
      <c r="T135" s="39"/>
      <c r="U135" s="68"/>
      <c r="V135" s="39"/>
      <c r="W135" s="104"/>
      <c r="X135" s="68"/>
      <c r="Y135" s="104"/>
      <c r="Z135" s="39"/>
      <c r="AA135" s="39"/>
      <c r="AB135" s="39"/>
      <c r="AC135" s="39"/>
      <c r="AE135" s="1073" t="str">
        <f t="shared" si="3"/>
        <v/>
      </c>
      <c r="AF135" s="1076" t="str">
        <f t="shared" si="4"/>
        <v/>
      </c>
      <c r="AG135" s="1076" t="str">
        <f t="shared" si="5"/>
        <v/>
      </c>
      <c r="AH135" s="1076" t="str">
        <f>IF(AE135="","",IF(A135="Schraubenkreuz",$C$69,IF(A135="Zuglasche",$C$87)))</f>
        <v/>
      </c>
      <c r="AI135" s="1077" t="str">
        <f>IF(AF135="","",AL135*$AK$221/AK135)</f>
        <v/>
      </c>
      <c r="AJ135" s="1078"/>
      <c r="AK135" s="1079" t="str">
        <f>IF(AE135="","",AL135/AE135)</f>
        <v/>
      </c>
      <c r="AL135" s="1078" t="str">
        <f t="shared" ref="AL135" si="7">IF(AE135="","",$AM$135*AE135/MAX($AE$135:$AE$137,$AE$212:$AE$214))</f>
        <v/>
      </c>
      <c r="AM135" s="1080" t="str">
        <f>IF(C56="ja",$C$70*AH51,"")</f>
        <v/>
      </c>
      <c r="BC135" s="40"/>
      <c r="BD135" s="40"/>
      <c r="BE135" s="40"/>
      <c r="BF135" s="40"/>
      <c r="BG135" s="40"/>
    </row>
    <row r="136" spans="1:59" ht="18" customHeight="1">
      <c r="A136" s="1081" t="str">
        <f>IF(AND($C$74="ja",$C$17="oben"),"",IF(AND($C$56="ja",$C$17="oben",$C$58&gt;1),"Schraubenkreuz",""))</f>
        <v/>
      </c>
      <c r="B136" s="1082"/>
      <c r="C136" s="1082" t="str">
        <f>IF(A136="","",IF(A136="Schraubenkreuz",-$C$63-1*$C$64,IF(A136="Zuglasche",-50)))</f>
        <v/>
      </c>
      <c r="D136" s="1082"/>
      <c r="E136" s="1083"/>
      <c r="N136" s="68"/>
      <c r="O136" s="39"/>
      <c r="P136" s="39"/>
      <c r="Q136" s="39"/>
      <c r="R136" s="39"/>
      <c r="S136" s="53"/>
      <c r="T136" s="39"/>
      <c r="U136" s="68"/>
      <c r="V136" s="39"/>
      <c r="W136" s="104"/>
      <c r="X136" s="68"/>
      <c r="Y136" s="104"/>
      <c r="Z136" s="39"/>
      <c r="AA136" s="39"/>
      <c r="AB136" s="39"/>
      <c r="AC136" s="39"/>
      <c r="AE136" s="1081" t="str">
        <f t="shared" si="3"/>
        <v/>
      </c>
      <c r="AF136" s="1084" t="str">
        <f t="shared" si="4"/>
        <v/>
      </c>
      <c r="AG136" s="1084" t="str">
        <f t="shared" si="5"/>
        <v/>
      </c>
      <c r="AH136" s="1084" t="str">
        <f>IF(AE136="","",IF(A136="Schraubenkreuz",$C$69,IF(A136="Zuglasche","FEHLER")))</f>
        <v/>
      </c>
      <c r="AI136" s="1085" t="str">
        <f t="shared" ref="AI136:AI199" si="8">IF(AF136="","",AL136*$AK$221/AK136)</f>
        <v/>
      </c>
      <c r="AJ136" s="1086"/>
      <c r="AK136" s="1087" t="str">
        <f t="shared" ref="AK136:AK137" si="9">IF(AE136="","",AL136/AE136)</f>
        <v/>
      </c>
      <c r="AL136" s="1086" t="str">
        <f>IF(AE136="","",$AM$135*AE136/MAX($AE$135:$AE$137,$AE$212:$AE$214))</f>
        <v/>
      </c>
      <c r="BC136" s="40"/>
      <c r="BD136" s="40"/>
      <c r="BE136" s="40"/>
      <c r="BF136" s="40"/>
      <c r="BG136" s="40"/>
    </row>
    <row r="137" spans="1:59" ht="18" customHeight="1">
      <c r="A137" s="1088" t="str">
        <f>IF(AND($C$74="ja",$C$17="oben"),"",IF(AND($C$56="ja",$C$17="oben",$C$58&gt;0),"Schraubenkreuz",""))</f>
        <v/>
      </c>
      <c r="B137" s="1089"/>
      <c r="C137" s="1089" t="str">
        <f>IF(A137="","",IF(A137="Schraubenkreuz",-$C$63-0*$C$64,IF(A137="Zuglasche",-50)))</f>
        <v/>
      </c>
      <c r="D137" s="1089"/>
      <c r="E137" s="1090"/>
      <c r="F137" s="50" t="s">
        <v>1941</v>
      </c>
      <c r="N137" s="69"/>
      <c r="O137" s="37"/>
      <c r="P137" s="37"/>
      <c r="Q137" s="37"/>
      <c r="R137" s="37"/>
      <c r="S137" s="300"/>
      <c r="T137" s="39"/>
      <c r="U137" s="69"/>
      <c r="V137" s="37"/>
      <c r="W137" s="101"/>
      <c r="X137" s="69"/>
      <c r="Y137" s="101"/>
      <c r="Z137" s="39"/>
      <c r="AA137" s="39"/>
      <c r="AB137" s="39"/>
      <c r="AC137" s="39"/>
      <c r="AE137" s="1088" t="str">
        <f t="shared" si="3"/>
        <v/>
      </c>
      <c r="AF137" s="1091" t="str">
        <f t="shared" si="4"/>
        <v/>
      </c>
      <c r="AG137" s="1091" t="str">
        <f t="shared" si="5"/>
        <v/>
      </c>
      <c r="AH137" s="1091" t="str">
        <f>IF(AE137="","",IF(A137="Schraubenkreuz",$C$69,IF(A137="Zuglasche","FEHLER")))</f>
        <v/>
      </c>
      <c r="AI137" s="1092" t="str">
        <f t="shared" si="8"/>
        <v/>
      </c>
      <c r="AJ137" s="1093"/>
      <c r="AK137" s="1094" t="str">
        <f t="shared" si="9"/>
        <v/>
      </c>
      <c r="AL137" s="1093" t="str">
        <f>IF(AE137="","",$AM$135*AE137/MAX($AE$135:$AE$137,$AE$212:$AE$214))</f>
        <v/>
      </c>
      <c r="BC137" s="40"/>
      <c r="BD137" s="40"/>
      <c r="BE137" s="40"/>
      <c r="BF137" s="40"/>
      <c r="BG137" s="40"/>
    </row>
    <row r="138" spans="1:59" ht="18" customHeight="1">
      <c r="A138" s="1095" cm="1">
        <f t="array" aca="1" ref="A138:D211" ca="1">INDIRECT(B353):INDIRECT(B354)</f>
        <v>90</v>
      </c>
      <c r="B138" s="399">
        <f ca="1"/>
        <v>9.75</v>
      </c>
      <c r="C138" s="399">
        <f ca="1"/>
        <v>60</v>
      </c>
      <c r="D138" s="400">
        <f ca="1"/>
        <v>16.5</v>
      </c>
      <c r="E138" s="401">
        <f t="shared" ref="E138:E201" ca="1" si="10">IF(A138=90,$C$28-D138,IF(A138=45,$C$27-D138,""))</f>
        <v>143.5</v>
      </c>
      <c r="M138" s="411"/>
      <c r="N138" s="373" t="str">
        <f ca="1">IF(OR(A138=90),IF($C$17="unten",IF($O$16&gt;C138,"",C138-$O$16),IF($C$17="oben",IF($O$16&gt;$C$14-C138,"",$C$14-C138-$O$16))),"")</f>
        <v/>
      </c>
      <c r="O138" s="374" t="str">
        <f t="shared" ref="O138:O201" ca="1" si="11">IF(N138="","",IF($C$17="unten",C138,IF($C$17="oben",$C$14-C138)))</f>
        <v/>
      </c>
      <c r="P138" s="370" t="str">
        <f ca="1">IF(N138="","",MIN($C$26*$C$32*E138,$C$34)*N138/MAX($N$138:$N$211))</f>
        <v/>
      </c>
      <c r="Q138" s="370" t="str">
        <f t="shared" ref="Q138:Q201" ca="1" si="12">IF(N138="","",$C$26*$C$32*E138/$C$33)</f>
        <v/>
      </c>
      <c r="R138" s="375" t="str">
        <f ca="1">IF(N138="","",P138/Q138)</f>
        <v/>
      </c>
      <c r="S138" s="417" t="str">
        <f t="shared" ref="S138:S201" ca="1" si="13">IF(N138="","",P138*$R$224/E138)</f>
        <v/>
      </c>
      <c r="U138" s="373" t="str">
        <f t="shared" ref="U138:U201" ca="1" si="14">IF(OR(A138=45),IF($C$17="unten",IF($O$16&gt;C138,"",C138-$O$16),IF($C$17="oben",IF($O$16&gt;$C$14-C138,"",$C$14-C138-$O$16))),"")</f>
        <v/>
      </c>
      <c r="V138" s="370" t="str">
        <f t="shared" ref="V138:V201" ca="1" si="15">IF(U138="","",MIN($C$26*$C$32*E138,$C$34)*U138/MAX($U$138:$U$211)/2^0.5)</f>
        <v/>
      </c>
      <c r="W138" s="375" t="str">
        <f t="shared" ref="W138:W201" ca="1" si="16">IF(U138="","",$C$33*U138/MAX($U$138:$U$211)/2^0.5)</f>
        <v/>
      </c>
      <c r="X138" s="376" t="str">
        <f t="shared" ref="X138:X201" ca="1" si="17">IF(A138=45,IF($C$17="unten",ABS(C138-$O$16),IF($C$17="oben",ABS($C$14-C138-$O$16))),"")</f>
        <v/>
      </c>
      <c r="Y138" s="1096" t="str">
        <f t="shared" ref="Y138:Y201" ca="1" si="18">IF(OR(A138=45),(X138)^2,"")</f>
        <v/>
      </c>
      <c r="Z138" s="1097"/>
      <c r="AE138" s="373" t="str">
        <f ca="1">IF(OR(A138=90),IF($C$17="unten",IF($AF$16&gt;=C138,"",C138-$AF$16),IF($C$17="oben",IF($AF$16&gt;=$C$14-C138,"",$C$14-C138-$AF$16))),"")</f>
        <v/>
      </c>
      <c r="AF138" s="370" t="str">
        <f ca="1">IF(AE138="","",IF($C$17="unten",C138,IF($C$17="oben",$C$14-C138)))</f>
        <v/>
      </c>
      <c r="AG138" s="370" t="str">
        <f ca="1">IF(AF138="","",AH138*AI138)</f>
        <v/>
      </c>
      <c r="AH138" s="370" t="str">
        <f ca="1">IF(AE138="","",$C$26*$C$32*E138/$C$33)</f>
        <v/>
      </c>
      <c r="AI138" s="1098" t="str">
        <f t="shared" ca="1" si="8"/>
        <v/>
      </c>
      <c r="AJ138" s="1099" t="str">
        <f t="shared" ref="AJ138:AJ201" ca="1" si="19">IF(AE138="","",AG138*$AJ$224/E138)</f>
        <v/>
      </c>
      <c r="AK138" s="1100" t="str">
        <f ca="1">IF(AE138="","",AL138/AE138)</f>
        <v/>
      </c>
      <c r="AL138" s="1101" t="str">
        <f ca="1">IF(AE138="","",$AM$138*AE138/MAX($AE$138:$AE$211))</f>
        <v/>
      </c>
      <c r="AM138" s="1102">
        <f>C33*AH51</f>
        <v>0.75</v>
      </c>
      <c r="BC138" s="40"/>
      <c r="BD138" s="40"/>
      <c r="BE138" s="40"/>
      <c r="BF138" s="40"/>
      <c r="BG138" s="40"/>
    </row>
    <row r="139" spans="1:59" ht="18" customHeight="1">
      <c r="A139" s="1095">
        <f ca="1"/>
        <v>90</v>
      </c>
      <c r="B139" s="399">
        <f ca="1"/>
        <v>30</v>
      </c>
      <c r="C139" s="399">
        <f ca="1"/>
        <v>70</v>
      </c>
      <c r="D139" s="400">
        <f ca="1"/>
        <v>14</v>
      </c>
      <c r="E139" s="401">
        <f t="shared" ca="1" si="10"/>
        <v>146</v>
      </c>
      <c r="M139" s="411"/>
      <c r="N139" s="376" t="str">
        <f t="shared" ref="N139:N202" ca="1" si="20">IF(OR(A139=90),IF($C$17="unten",IF($O$16&gt;C139,"",C139-$O$16),IF($C$17="oben",IF($O$16&gt;$C$14-C139,"",$C$14-C139-$O$16))),"")</f>
        <v/>
      </c>
      <c r="O139" s="377" t="str">
        <f t="shared" ca="1" si="11"/>
        <v/>
      </c>
      <c r="P139" s="371" t="str">
        <f t="shared" ref="P139:P202" ca="1" si="21">IF(N139="","",MIN($C$26*$C$32*E139,$C$34)*N139/MAX($N$138:$N$211))</f>
        <v/>
      </c>
      <c r="Q139" s="371" t="str">
        <f t="shared" ca="1" si="12"/>
        <v/>
      </c>
      <c r="R139" s="378" t="str">
        <f t="shared" ref="R139:R202" ca="1" si="22">IF(N139="","",P139/Q139)</f>
        <v/>
      </c>
      <c r="S139" s="417" t="str">
        <f t="shared" ca="1" si="13"/>
        <v/>
      </c>
      <c r="U139" s="376" t="str">
        <f t="shared" ca="1" si="14"/>
        <v/>
      </c>
      <c r="V139" s="371" t="str">
        <f t="shared" ca="1" si="15"/>
        <v/>
      </c>
      <c r="W139" s="378" t="str">
        <f t="shared" ca="1" si="16"/>
        <v/>
      </c>
      <c r="X139" s="376" t="str">
        <f t="shared" ca="1" si="17"/>
        <v/>
      </c>
      <c r="Y139" s="1103" t="str">
        <f t="shared" ca="1" si="18"/>
        <v/>
      </c>
      <c r="Z139" s="1097"/>
      <c r="AE139" s="1104" t="str">
        <f t="shared" ref="AE139:AE202" ca="1" si="23">IF(OR(A139=90),IF($C$17="unten",IF($AF$16&gt;=C139,"",C139-$AF$16),IF($C$17="oben",IF($AF$16&gt;=$C$14-C139,"",$C$14-C139-$AF$16))),"")</f>
        <v/>
      </c>
      <c r="AF139" s="371" t="str">
        <f t="shared" ref="AF139:AF202" ca="1" si="24">IF(AE139="","",IF($C$17="unten",C139,IF($C$17="oben",$C$14-C139)))</f>
        <v/>
      </c>
      <c r="AG139" s="371" t="str">
        <f ca="1">IF(AF139="","",AH139*AI139)</f>
        <v/>
      </c>
      <c r="AH139" s="371" t="str">
        <f t="shared" ref="AH139:AH202" ca="1" si="25">IF(AE139="","",$C$26*$C$32*E139/$C$33)</f>
        <v/>
      </c>
      <c r="AI139" s="1105" t="str">
        <f t="shared" ca="1" si="8"/>
        <v/>
      </c>
      <c r="AJ139" s="417" t="str">
        <f t="shared" ca="1" si="19"/>
        <v/>
      </c>
      <c r="AK139" s="1106" t="str">
        <f ca="1">IF(AE139="","",AL139/AE139)</f>
        <v/>
      </c>
      <c r="AL139" s="1107" t="str">
        <f t="shared" ref="AL139:AL202" ca="1" si="26">IF(AE139="","",$AM$138*AE139/MAX($AE$138:$AE$211))</f>
        <v/>
      </c>
      <c r="BC139" s="40"/>
      <c r="BD139" s="40"/>
      <c r="BE139" s="40"/>
      <c r="BF139" s="40"/>
      <c r="BG139" s="40"/>
    </row>
    <row r="140" spans="1:59" ht="18" customHeight="1">
      <c r="A140" s="1095">
        <f ca="1"/>
        <v>45</v>
      </c>
      <c r="B140" s="399">
        <f ca="1"/>
        <v>50.25</v>
      </c>
      <c r="C140" s="399">
        <f ca="1"/>
        <v>80</v>
      </c>
      <c r="D140" s="400">
        <f ca="1"/>
        <v>17.5</v>
      </c>
      <c r="E140" s="401">
        <f t="shared" ca="1" si="10"/>
        <v>142.5</v>
      </c>
      <c r="M140" s="411"/>
      <c r="N140" s="376" t="str">
        <f t="shared" ca="1" si="20"/>
        <v/>
      </c>
      <c r="O140" s="377" t="str">
        <f t="shared" ca="1" si="11"/>
        <v/>
      </c>
      <c r="P140" s="371" t="str">
        <f t="shared" ca="1" si="21"/>
        <v/>
      </c>
      <c r="Q140" s="371" t="str">
        <f t="shared" ca="1" si="12"/>
        <v/>
      </c>
      <c r="R140" s="378" t="str">
        <f t="shared" ca="1" si="22"/>
        <v/>
      </c>
      <c r="S140" s="417" t="str">
        <f t="shared" ca="1" si="13"/>
        <v/>
      </c>
      <c r="U140" s="376" t="str">
        <f t="shared" ca="1" si="14"/>
        <v/>
      </c>
      <c r="V140" s="371" t="str">
        <f t="shared" ca="1" si="15"/>
        <v/>
      </c>
      <c r="W140" s="378" t="str">
        <f t="shared" ca="1" si="16"/>
        <v/>
      </c>
      <c r="X140" s="376">
        <f t="shared" ca="1" si="17"/>
        <v>210.20601538241363</v>
      </c>
      <c r="Y140" s="1103">
        <f t="shared" ca="1" si="18"/>
        <v>44186.568902951512</v>
      </c>
      <c r="Z140" s="1097"/>
      <c r="AE140" s="1104" t="str">
        <f t="shared" ca="1" si="23"/>
        <v/>
      </c>
      <c r="AF140" s="371" t="str">
        <f t="shared" ca="1" si="24"/>
        <v/>
      </c>
      <c r="AG140" s="371" t="str">
        <f t="shared" ref="AG140:AG203" ca="1" si="27">IF(AF140="","",AH140*AI140)</f>
        <v/>
      </c>
      <c r="AH140" s="371" t="str">
        <f t="shared" ca="1" si="25"/>
        <v/>
      </c>
      <c r="AI140" s="1105" t="str">
        <f t="shared" ca="1" si="8"/>
        <v/>
      </c>
      <c r="AJ140" s="417" t="str">
        <f t="shared" ca="1" si="19"/>
        <v/>
      </c>
      <c r="AK140" s="1106" t="str">
        <f t="shared" ref="AK140:AK203" ca="1" si="28">IF(AE140="","",AL140/AE140)</f>
        <v/>
      </c>
      <c r="AL140" s="1107" t="str">
        <f t="shared" ca="1" si="26"/>
        <v/>
      </c>
      <c r="BC140" s="40"/>
      <c r="BD140" s="40"/>
      <c r="BE140" s="40"/>
      <c r="BF140" s="40"/>
      <c r="BG140" s="40"/>
    </row>
    <row r="141" spans="1:59" ht="18" customHeight="1">
      <c r="A141" s="1095">
        <f ca="1"/>
        <v>45</v>
      </c>
      <c r="B141" s="399">
        <f ca="1"/>
        <v>9.75</v>
      </c>
      <c r="C141" s="399">
        <f ca="1"/>
        <v>118</v>
      </c>
      <c r="D141" s="400">
        <f ca="1"/>
        <v>17.5</v>
      </c>
      <c r="E141" s="401">
        <f t="shared" ca="1" si="10"/>
        <v>142.5</v>
      </c>
      <c r="M141" s="411"/>
      <c r="N141" s="376" t="str">
        <f t="shared" ca="1" si="20"/>
        <v/>
      </c>
      <c r="O141" s="377" t="str">
        <f t="shared" ca="1" si="11"/>
        <v/>
      </c>
      <c r="P141" s="371" t="str">
        <f t="shared" ca="1" si="21"/>
        <v/>
      </c>
      <c r="Q141" s="371" t="str">
        <f t="shared" ca="1" si="12"/>
        <v/>
      </c>
      <c r="R141" s="378" t="str">
        <f t="shared" ca="1" si="22"/>
        <v/>
      </c>
      <c r="S141" s="417" t="str">
        <f t="shared" ca="1" si="13"/>
        <v/>
      </c>
      <c r="U141" s="376" t="str">
        <f t="shared" ca="1" si="14"/>
        <v/>
      </c>
      <c r="V141" s="371" t="str">
        <f t="shared" ca="1" si="15"/>
        <v/>
      </c>
      <c r="W141" s="378" t="str">
        <f t="shared" ca="1" si="16"/>
        <v/>
      </c>
      <c r="X141" s="376">
        <f t="shared" ca="1" si="17"/>
        <v>172.20601538241363</v>
      </c>
      <c r="Y141" s="1103">
        <f t="shared" ca="1" si="18"/>
        <v>29654.911733888079</v>
      </c>
      <c r="Z141" s="1097"/>
      <c r="AE141" s="1104" t="str">
        <f t="shared" ca="1" si="23"/>
        <v/>
      </c>
      <c r="AF141" s="371" t="str">
        <f t="shared" ca="1" si="24"/>
        <v/>
      </c>
      <c r="AG141" s="371" t="str">
        <f t="shared" ca="1" si="27"/>
        <v/>
      </c>
      <c r="AH141" s="371" t="str">
        <f t="shared" ca="1" si="25"/>
        <v/>
      </c>
      <c r="AI141" s="1105" t="str">
        <f t="shared" ca="1" si="8"/>
        <v/>
      </c>
      <c r="AJ141" s="417" t="str">
        <f t="shared" ca="1" si="19"/>
        <v/>
      </c>
      <c r="AK141" s="1106" t="str">
        <f t="shared" ca="1" si="28"/>
        <v/>
      </c>
      <c r="AL141" s="1107" t="str">
        <f t="shared" ca="1" si="26"/>
        <v/>
      </c>
      <c r="BC141" s="40"/>
      <c r="BD141" s="40"/>
      <c r="BE141" s="40"/>
      <c r="BF141" s="40"/>
      <c r="BG141" s="40"/>
    </row>
    <row r="142" spans="1:59" ht="18" customHeight="1">
      <c r="A142" s="1095">
        <f ca="1"/>
        <v>45</v>
      </c>
      <c r="B142" s="399">
        <f ca="1"/>
        <v>50.25</v>
      </c>
      <c r="C142" s="399">
        <f ca="1"/>
        <v>138</v>
      </c>
      <c r="D142" s="400">
        <f ca="1"/>
        <v>17.5</v>
      </c>
      <c r="E142" s="401">
        <f t="shared" ca="1" si="10"/>
        <v>142.5</v>
      </c>
      <c r="M142" s="411"/>
      <c r="N142" s="376" t="str">
        <f t="shared" ca="1" si="20"/>
        <v/>
      </c>
      <c r="O142" s="377" t="str">
        <f t="shared" ca="1" si="11"/>
        <v/>
      </c>
      <c r="P142" s="371" t="str">
        <f t="shared" ca="1" si="21"/>
        <v/>
      </c>
      <c r="Q142" s="371" t="str">
        <f t="shared" ca="1" si="12"/>
        <v/>
      </c>
      <c r="R142" s="378" t="str">
        <f t="shared" ca="1" si="22"/>
        <v/>
      </c>
      <c r="S142" s="417" t="str">
        <f t="shared" ca="1" si="13"/>
        <v/>
      </c>
      <c r="U142" s="696" t="str">
        <f t="shared" ca="1" si="14"/>
        <v/>
      </c>
      <c r="V142" s="371" t="str">
        <f t="shared" ca="1" si="15"/>
        <v/>
      </c>
      <c r="W142" s="378" t="str">
        <f t="shared" ca="1" si="16"/>
        <v/>
      </c>
      <c r="X142" s="376">
        <f t="shared" ca="1" si="17"/>
        <v>152.20601538241363</v>
      </c>
      <c r="Y142" s="1103">
        <f t="shared" ca="1" si="18"/>
        <v>23166.671118591534</v>
      </c>
      <c r="Z142" s="1097"/>
      <c r="AE142" s="1104" t="str">
        <f t="shared" ca="1" si="23"/>
        <v/>
      </c>
      <c r="AF142" s="371" t="str">
        <f t="shared" ca="1" si="24"/>
        <v/>
      </c>
      <c r="AG142" s="371" t="str">
        <f t="shared" ca="1" si="27"/>
        <v/>
      </c>
      <c r="AH142" s="371" t="str">
        <f t="shared" ca="1" si="25"/>
        <v/>
      </c>
      <c r="AI142" s="1105" t="str">
        <f t="shared" ca="1" si="8"/>
        <v/>
      </c>
      <c r="AJ142" s="417" t="str">
        <f t="shared" ca="1" si="19"/>
        <v/>
      </c>
      <c r="AK142" s="1106" t="str">
        <f t="shared" ca="1" si="28"/>
        <v/>
      </c>
      <c r="AL142" s="1107" t="str">
        <f t="shared" ca="1" si="26"/>
        <v/>
      </c>
      <c r="BC142" s="40"/>
      <c r="BD142" s="40"/>
      <c r="BE142" s="40"/>
      <c r="BF142" s="40"/>
      <c r="BG142" s="40"/>
    </row>
    <row r="143" spans="1:59" ht="18" customHeight="1">
      <c r="A143" s="1095">
        <f ca="1"/>
        <v>45</v>
      </c>
      <c r="B143" s="399">
        <f ca="1"/>
        <v>9.75</v>
      </c>
      <c r="C143" s="399">
        <f ca="1"/>
        <v>176</v>
      </c>
      <c r="D143" s="400">
        <f ca="1"/>
        <v>17.5</v>
      </c>
      <c r="E143" s="401">
        <f t="shared" ca="1" si="10"/>
        <v>142.5</v>
      </c>
      <c r="M143" s="411"/>
      <c r="N143" s="376" t="str">
        <f t="shared" ca="1" si="20"/>
        <v/>
      </c>
      <c r="O143" s="377" t="str">
        <f t="shared" ca="1" si="11"/>
        <v/>
      </c>
      <c r="P143" s="371" t="str">
        <f t="shared" ca="1" si="21"/>
        <v/>
      </c>
      <c r="Q143" s="371" t="str">
        <f t="shared" ca="1" si="12"/>
        <v/>
      </c>
      <c r="R143" s="378" t="str">
        <f t="shared" ca="1" si="22"/>
        <v/>
      </c>
      <c r="S143" s="417" t="str">
        <f t="shared" ca="1" si="13"/>
        <v/>
      </c>
      <c r="U143" s="376" t="str">
        <f t="shared" ca="1" si="14"/>
        <v/>
      </c>
      <c r="V143" s="371" t="str">
        <f t="shared" ca="1" si="15"/>
        <v/>
      </c>
      <c r="W143" s="378" t="str">
        <f t="shared" ca="1" si="16"/>
        <v/>
      </c>
      <c r="X143" s="376">
        <f t="shared" ca="1" si="17"/>
        <v>114.20601538241363</v>
      </c>
      <c r="Y143" s="1103">
        <f t="shared" ca="1" si="18"/>
        <v>13043.013949528098</v>
      </c>
      <c r="Z143" s="1097"/>
      <c r="AE143" s="1104" t="str">
        <f t="shared" ca="1" si="23"/>
        <v/>
      </c>
      <c r="AF143" s="371" t="str">
        <f t="shared" ca="1" si="24"/>
        <v/>
      </c>
      <c r="AG143" s="371" t="str">
        <f t="shared" ca="1" si="27"/>
        <v/>
      </c>
      <c r="AH143" s="371" t="str">
        <f t="shared" ca="1" si="25"/>
        <v/>
      </c>
      <c r="AI143" s="1105" t="str">
        <f t="shared" ca="1" si="8"/>
        <v/>
      </c>
      <c r="AJ143" s="417" t="str">
        <f t="shared" ca="1" si="19"/>
        <v/>
      </c>
      <c r="AK143" s="1106" t="str">
        <f t="shared" ca="1" si="28"/>
        <v/>
      </c>
      <c r="AL143" s="1107" t="str">
        <f t="shared" ca="1" si="26"/>
        <v/>
      </c>
      <c r="BC143" s="40"/>
      <c r="BD143" s="40"/>
      <c r="BE143" s="40"/>
      <c r="BF143" s="40"/>
      <c r="BG143" s="40"/>
    </row>
    <row r="144" spans="1:59" ht="18" customHeight="1">
      <c r="A144" s="1095">
        <f ca="1"/>
        <v>45</v>
      </c>
      <c r="B144" s="399">
        <f ca="1"/>
        <v>50.25</v>
      </c>
      <c r="C144" s="399">
        <f ca="1"/>
        <v>196</v>
      </c>
      <c r="D144" s="400">
        <f ca="1"/>
        <v>17.5</v>
      </c>
      <c r="E144" s="401">
        <f t="shared" ca="1" si="10"/>
        <v>142.5</v>
      </c>
      <c r="N144" s="376" t="str">
        <f t="shared" ca="1" si="20"/>
        <v/>
      </c>
      <c r="O144" s="377" t="str">
        <f t="shared" ca="1" si="11"/>
        <v/>
      </c>
      <c r="P144" s="371" t="str">
        <f t="shared" ca="1" si="21"/>
        <v/>
      </c>
      <c r="Q144" s="371" t="str">
        <f t="shared" ca="1" si="12"/>
        <v/>
      </c>
      <c r="R144" s="378" t="str">
        <f t="shared" ca="1" si="22"/>
        <v/>
      </c>
      <c r="S144" s="417" t="str">
        <f t="shared" ca="1" si="13"/>
        <v/>
      </c>
      <c r="U144" s="376" t="str">
        <f t="shared" ca="1" si="14"/>
        <v/>
      </c>
      <c r="V144" s="371" t="str">
        <f t="shared" ca="1" si="15"/>
        <v/>
      </c>
      <c r="W144" s="378" t="str">
        <f t="shared" ca="1" si="16"/>
        <v/>
      </c>
      <c r="X144" s="376">
        <f t="shared" ca="1" si="17"/>
        <v>94.206015382413625</v>
      </c>
      <c r="Y144" s="1103">
        <f t="shared" ca="1" si="18"/>
        <v>8874.7733342315532</v>
      </c>
      <c r="Z144" s="1097"/>
      <c r="AE144" s="1104" t="str">
        <f t="shared" ca="1" si="23"/>
        <v/>
      </c>
      <c r="AF144" s="371" t="str">
        <f t="shared" ca="1" si="24"/>
        <v/>
      </c>
      <c r="AG144" s="371" t="str">
        <f t="shared" ca="1" si="27"/>
        <v/>
      </c>
      <c r="AH144" s="371" t="str">
        <f t="shared" ca="1" si="25"/>
        <v/>
      </c>
      <c r="AI144" s="1105" t="str">
        <f t="shared" ca="1" si="8"/>
        <v/>
      </c>
      <c r="AJ144" s="417" t="str">
        <f t="shared" ca="1" si="19"/>
        <v/>
      </c>
      <c r="AK144" s="1106" t="str">
        <f t="shared" ca="1" si="28"/>
        <v/>
      </c>
      <c r="AL144" s="1107" t="str">
        <f t="shared" ca="1" si="26"/>
        <v/>
      </c>
      <c r="BC144" s="40"/>
      <c r="BD144" s="40"/>
      <c r="BE144" s="40"/>
      <c r="BF144" s="40"/>
      <c r="BG144" s="40"/>
    </row>
    <row r="145" spans="1:59" ht="18" customHeight="1">
      <c r="A145" s="1095">
        <f ca="1"/>
        <v>45</v>
      </c>
      <c r="B145" s="399">
        <f ca="1"/>
        <v>9.75</v>
      </c>
      <c r="C145" s="399">
        <f ca="1"/>
        <v>234</v>
      </c>
      <c r="D145" s="400">
        <f ca="1"/>
        <v>17.5</v>
      </c>
      <c r="E145" s="401">
        <f t="shared" ca="1" si="10"/>
        <v>142.5</v>
      </c>
      <c r="N145" s="376" t="str">
        <f t="shared" ca="1" si="20"/>
        <v/>
      </c>
      <c r="O145" s="377" t="str">
        <f t="shared" ca="1" si="11"/>
        <v/>
      </c>
      <c r="P145" s="371" t="str">
        <f t="shared" ca="1" si="21"/>
        <v/>
      </c>
      <c r="Q145" s="371" t="str">
        <f t="shared" ca="1" si="12"/>
        <v/>
      </c>
      <c r="R145" s="378" t="str">
        <f t="shared" ca="1" si="22"/>
        <v/>
      </c>
      <c r="S145" s="417" t="str">
        <f t="shared" ca="1" si="13"/>
        <v/>
      </c>
      <c r="U145" s="376" t="str">
        <f t="shared" ca="1" si="14"/>
        <v/>
      </c>
      <c r="V145" s="371" t="str">
        <f t="shared" ca="1" si="15"/>
        <v/>
      </c>
      <c r="W145" s="378" t="str">
        <f t="shared" ca="1" si="16"/>
        <v/>
      </c>
      <c r="X145" s="376">
        <f t="shared" ca="1" si="17"/>
        <v>56.206015382413625</v>
      </c>
      <c r="Y145" s="1103">
        <f t="shared" ca="1" si="18"/>
        <v>3159.1161651681168</v>
      </c>
      <c r="Z145" s="1097"/>
      <c r="AE145" s="1104" t="str">
        <f t="shared" ca="1" si="23"/>
        <v/>
      </c>
      <c r="AF145" s="371" t="str">
        <f t="shared" ca="1" si="24"/>
        <v/>
      </c>
      <c r="AG145" s="371" t="str">
        <f t="shared" ca="1" si="27"/>
        <v/>
      </c>
      <c r="AH145" s="371" t="str">
        <f t="shared" ca="1" si="25"/>
        <v/>
      </c>
      <c r="AI145" s="1105" t="str">
        <f t="shared" ca="1" si="8"/>
        <v/>
      </c>
      <c r="AJ145" s="417" t="str">
        <f t="shared" ca="1" si="19"/>
        <v/>
      </c>
      <c r="AK145" s="1106" t="str">
        <f t="shared" ca="1" si="28"/>
        <v/>
      </c>
      <c r="AL145" s="1107" t="str">
        <f t="shared" ca="1" si="26"/>
        <v/>
      </c>
      <c r="BC145" s="40"/>
      <c r="BD145" s="40"/>
      <c r="BE145" s="40"/>
      <c r="BF145" s="40"/>
      <c r="BG145" s="40"/>
    </row>
    <row r="146" spans="1:59" ht="18" customHeight="1">
      <c r="A146" s="1095">
        <f ca="1"/>
        <v>90</v>
      </c>
      <c r="B146" s="399">
        <f ca="1"/>
        <v>30</v>
      </c>
      <c r="C146" s="399">
        <f ca="1"/>
        <v>240</v>
      </c>
      <c r="D146" s="400">
        <f ca="1"/>
        <v>14</v>
      </c>
      <c r="E146" s="401">
        <f t="shared" ca="1" si="10"/>
        <v>146</v>
      </c>
      <c r="F146" s="411"/>
      <c r="G146" s="407"/>
      <c r="N146" s="376" t="str">
        <f t="shared" ca="1" si="20"/>
        <v/>
      </c>
      <c r="O146" s="377" t="str">
        <f t="shared" ca="1" si="11"/>
        <v/>
      </c>
      <c r="P146" s="371" t="str">
        <f t="shared" ca="1" si="21"/>
        <v/>
      </c>
      <c r="Q146" s="371" t="str">
        <f t="shared" ca="1" si="12"/>
        <v/>
      </c>
      <c r="R146" s="378" t="str">
        <f t="shared" ca="1" si="22"/>
        <v/>
      </c>
      <c r="S146" s="417" t="str">
        <f t="shared" ca="1" si="13"/>
        <v/>
      </c>
      <c r="U146" s="376" t="str">
        <f t="shared" ca="1" si="14"/>
        <v/>
      </c>
      <c r="V146" s="371" t="str">
        <f t="shared" ca="1" si="15"/>
        <v/>
      </c>
      <c r="W146" s="378" t="str">
        <f t="shared" ca="1" si="16"/>
        <v/>
      </c>
      <c r="X146" s="376" t="str">
        <f t="shared" ca="1" si="17"/>
        <v/>
      </c>
      <c r="Y146" s="1103" t="str">
        <f t="shared" ca="1" si="18"/>
        <v/>
      </c>
      <c r="Z146" s="1097"/>
      <c r="AE146" s="1104" t="str">
        <f t="shared" ca="1" si="23"/>
        <v/>
      </c>
      <c r="AF146" s="371" t="str">
        <f t="shared" ca="1" si="24"/>
        <v/>
      </c>
      <c r="AG146" s="371" t="str">
        <f t="shared" ca="1" si="27"/>
        <v/>
      </c>
      <c r="AH146" s="371" t="str">
        <f t="shared" ca="1" si="25"/>
        <v/>
      </c>
      <c r="AI146" s="1105" t="str">
        <f t="shared" ca="1" si="8"/>
        <v/>
      </c>
      <c r="AJ146" s="417" t="str">
        <f t="shared" ca="1" si="19"/>
        <v/>
      </c>
      <c r="AK146" s="1106" t="str">
        <f t="shared" ca="1" si="28"/>
        <v/>
      </c>
      <c r="AL146" s="1107" t="str">
        <f t="shared" ca="1" si="26"/>
        <v/>
      </c>
      <c r="BC146" s="40"/>
      <c r="BD146" s="40"/>
      <c r="BE146" s="40"/>
      <c r="BF146" s="40"/>
      <c r="BG146" s="40"/>
    </row>
    <row r="147" spans="1:59" ht="18" customHeight="1">
      <c r="A147" s="1095">
        <f ca="1"/>
        <v>45</v>
      </c>
      <c r="B147" s="399">
        <f ca="1"/>
        <v>50.25</v>
      </c>
      <c r="C147" s="399">
        <f ca="1"/>
        <v>254</v>
      </c>
      <c r="D147" s="400">
        <f ca="1"/>
        <v>17.5</v>
      </c>
      <c r="E147" s="401">
        <f t="shared" ca="1" si="10"/>
        <v>142.5</v>
      </c>
      <c r="F147" s="411"/>
      <c r="G147" s="407"/>
      <c r="N147" s="376" t="str">
        <f t="shared" ca="1" si="20"/>
        <v/>
      </c>
      <c r="O147" s="377" t="str">
        <f t="shared" ca="1" si="11"/>
        <v/>
      </c>
      <c r="P147" s="371" t="str">
        <f t="shared" ca="1" si="21"/>
        <v/>
      </c>
      <c r="Q147" s="371" t="str">
        <f t="shared" ca="1" si="12"/>
        <v/>
      </c>
      <c r="R147" s="378" t="str">
        <f t="shared" ca="1" si="22"/>
        <v/>
      </c>
      <c r="S147" s="417" t="str">
        <f t="shared" ca="1" si="13"/>
        <v/>
      </c>
      <c r="U147" s="376" t="str">
        <f t="shared" ca="1" si="14"/>
        <v/>
      </c>
      <c r="V147" s="371" t="str">
        <f t="shared" ca="1" si="15"/>
        <v/>
      </c>
      <c r="W147" s="378" t="str">
        <f t="shared" ca="1" si="16"/>
        <v/>
      </c>
      <c r="X147" s="376">
        <f t="shared" ca="1" si="17"/>
        <v>36.206015382413625</v>
      </c>
      <c r="Y147" s="1103">
        <f t="shared" ca="1" si="18"/>
        <v>1310.875549871572</v>
      </c>
      <c r="Z147" s="1097"/>
      <c r="AE147" s="1104" t="str">
        <f t="shared" ca="1" si="23"/>
        <v/>
      </c>
      <c r="AF147" s="371" t="str">
        <f t="shared" ca="1" si="24"/>
        <v/>
      </c>
      <c r="AG147" s="371" t="str">
        <f t="shared" ca="1" si="27"/>
        <v/>
      </c>
      <c r="AH147" s="371" t="str">
        <f t="shared" ca="1" si="25"/>
        <v/>
      </c>
      <c r="AI147" s="1105" t="str">
        <f t="shared" ca="1" si="8"/>
        <v/>
      </c>
      <c r="AJ147" s="417" t="str">
        <f t="shared" ca="1" si="19"/>
        <v/>
      </c>
      <c r="AK147" s="1106" t="str">
        <f t="shared" ca="1" si="28"/>
        <v/>
      </c>
      <c r="AL147" s="1107" t="str">
        <f t="shared" ca="1" si="26"/>
        <v/>
      </c>
      <c r="BC147" s="40"/>
      <c r="BD147" s="40"/>
      <c r="BE147" s="40"/>
      <c r="BF147" s="40"/>
      <c r="BG147" s="40"/>
    </row>
    <row r="148" spans="1:59" ht="18" customHeight="1">
      <c r="A148" s="1095">
        <f ca="1"/>
        <v>90</v>
      </c>
      <c r="B148" s="399">
        <f ca="1"/>
        <v>10</v>
      </c>
      <c r="C148" s="399">
        <f ca="1"/>
        <v>300</v>
      </c>
      <c r="D148" s="400">
        <f ca="1"/>
        <v>40</v>
      </c>
      <c r="E148" s="401">
        <f t="shared" ca="1" si="10"/>
        <v>120</v>
      </c>
      <c r="F148" s="411"/>
      <c r="G148" s="407"/>
      <c r="N148" s="376">
        <f t="shared" ca="1" si="20"/>
        <v>9.793984617586375</v>
      </c>
      <c r="O148" s="377">
        <f t="shared" ca="1" si="11"/>
        <v>300</v>
      </c>
      <c r="P148" s="371" t="e">
        <f t="shared" ca="1" si="21"/>
        <v>#DIV/0!</v>
      </c>
      <c r="Q148" s="371" t="e">
        <f t="shared" ca="1" si="12"/>
        <v>#DIV/0!</v>
      </c>
      <c r="R148" s="378" t="e">
        <f t="shared" ca="1" si="22"/>
        <v>#DIV/0!</v>
      </c>
      <c r="S148" s="417" t="e">
        <f t="shared" ca="1" si="13"/>
        <v>#DIV/0!</v>
      </c>
      <c r="U148" s="376" t="str">
        <f t="shared" ca="1" si="14"/>
        <v/>
      </c>
      <c r="V148" s="371" t="str">
        <f t="shared" ca="1" si="15"/>
        <v/>
      </c>
      <c r="W148" s="378" t="str">
        <f t="shared" ca="1" si="16"/>
        <v/>
      </c>
      <c r="X148" s="376" t="str">
        <f t="shared" ca="1" si="17"/>
        <v/>
      </c>
      <c r="Y148" s="1103" t="str">
        <f t="shared" ca="1" si="18"/>
        <v/>
      </c>
      <c r="Z148" s="1097"/>
      <c r="AE148" s="1104">
        <f t="shared" ca="1" si="23"/>
        <v>9.6421976964628016</v>
      </c>
      <c r="AF148" s="371">
        <f t="shared" ca="1" si="24"/>
        <v>300</v>
      </c>
      <c r="AG148" s="371" t="e">
        <f t="shared" ca="1" si="27"/>
        <v>#DIV/0!</v>
      </c>
      <c r="AH148" s="371" t="e">
        <f t="shared" ca="1" si="25"/>
        <v>#DIV/0!</v>
      </c>
      <c r="AI148" s="1105">
        <f t="shared" ca="1" si="8"/>
        <v>0.75</v>
      </c>
      <c r="AJ148" s="417" t="e">
        <f t="shared" ca="1" si="19"/>
        <v>#DIV/0!</v>
      </c>
      <c r="AK148" s="1106">
        <f t="shared" ca="1" si="28"/>
        <v>7.7783097133046153E-2</v>
      </c>
      <c r="AL148" s="1107">
        <f t="shared" ca="1" si="26"/>
        <v>0.75</v>
      </c>
      <c r="BC148" s="40"/>
      <c r="BD148" s="40"/>
      <c r="BE148" s="40"/>
      <c r="BF148" s="40"/>
      <c r="BG148" s="40"/>
    </row>
    <row r="149" spans="1:59" ht="18" customHeight="1">
      <c r="A149" s="1095">
        <f ca="1"/>
        <v>90</v>
      </c>
      <c r="B149" s="399">
        <f ca="1"/>
        <v>50</v>
      </c>
      <c r="C149" s="399">
        <f ca="1"/>
        <v>300</v>
      </c>
      <c r="D149" s="400">
        <f ca="1"/>
        <v>40</v>
      </c>
      <c r="E149" s="401">
        <f t="shared" ca="1" si="10"/>
        <v>120</v>
      </c>
      <c r="F149" s="411"/>
      <c r="G149" s="407"/>
      <c r="N149" s="376">
        <f t="shared" ca="1" si="20"/>
        <v>9.793984617586375</v>
      </c>
      <c r="O149" s="377">
        <f t="shared" ca="1" si="11"/>
        <v>300</v>
      </c>
      <c r="P149" s="371" t="e">
        <f t="shared" ca="1" si="21"/>
        <v>#DIV/0!</v>
      </c>
      <c r="Q149" s="371" t="e">
        <f t="shared" ca="1" si="12"/>
        <v>#DIV/0!</v>
      </c>
      <c r="R149" s="378" t="e">
        <f t="shared" ca="1" si="22"/>
        <v>#DIV/0!</v>
      </c>
      <c r="S149" s="417" t="e">
        <f t="shared" ca="1" si="13"/>
        <v>#DIV/0!</v>
      </c>
      <c r="U149" s="376" t="str">
        <f t="shared" ca="1" si="14"/>
        <v/>
      </c>
      <c r="V149" s="371" t="str">
        <f t="shared" ca="1" si="15"/>
        <v/>
      </c>
      <c r="W149" s="378" t="str">
        <f t="shared" ca="1" si="16"/>
        <v/>
      </c>
      <c r="X149" s="376" t="str">
        <f t="shared" ca="1" si="17"/>
        <v/>
      </c>
      <c r="Y149" s="1103" t="str">
        <f t="shared" ca="1" si="18"/>
        <v/>
      </c>
      <c r="Z149" s="1097"/>
      <c r="AE149" s="1104">
        <f t="shared" ca="1" si="23"/>
        <v>9.6421976964628016</v>
      </c>
      <c r="AF149" s="371">
        <f t="shared" ca="1" si="24"/>
        <v>300</v>
      </c>
      <c r="AG149" s="371" t="e">
        <f t="shared" ca="1" si="27"/>
        <v>#DIV/0!</v>
      </c>
      <c r="AH149" s="371" t="e">
        <f t="shared" ca="1" si="25"/>
        <v>#DIV/0!</v>
      </c>
      <c r="AI149" s="1105">
        <f t="shared" ca="1" si="8"/>
        <v>0.75</v>
      </c>
      <c r="AJ149" s="417" t="e">
        <f t="shared" ca="1" si="19"/>
        <v>#DIV/0!</v>
      </c>
      <c r="AK149" s="1106">
        <f t="shared" ca="1" si="28"/>
        <v>7.7783097133046153E-2</v>
      </c>
      <c r="AL149" s="1107">
        <f t="shared" ca="1" si="26"/>
        <v>0.75</v>
      </c>
      <c r="BC149" s="40"/>
      <c r="BD149" s="40"/>
      <c r="BE149" s="40"/>
      <c r="BF149" s="40"/>
      <c r="BG149" s="40"/>
    </row>
    <row r="150" spans="1:59" ht="18" customHeight="1">
      <c r="A150" s="1095" t="str">
        <f ca="1"/>
        <v/>
      </c>
      <c r="B150" s="399" t="str">
        <f ca="1"/>
        <v/>
      </c>
      <c r="C150" s="399" t="str">
        <f ca="1"/>
        <v/>
      </c>
      <c r="D150" s="400" t="str">
        <f ca="1"/>
        <v/>
      </c>
      <c r="E150" s="401" t="str">
        <f t="shared" ca="1" si="10"/>
        <v/>
      </c>
      <c r="F150" s="411"/>
      <c r="G150" s="407"/>
      <c r="N150" s="376" t="str">
        <f t="shared" ca="1" si="20"/>
        <v/>
      </c>
      <c r="O150" s="377" t="str">
        <f t="shared" ca="1" si="11"/>
        <v/>
      </c>
      <c r="P150" s="371" t="str">
        <f t="shared" ca="1" si="21"/>
        <v/>
      </c>
      <c r="Q150" s="371" t="str">
        <f t="shared" ca="1" si="12"/>
        <v/>
      </c>
      <c r="R150" s="378" t="str">
        <f t="shared" ca="1" si="22"/>
        <v/>
      </c>
      <c r="S150" s="417" t="str">
        <f t="shared" ca="1" si="13"/>
        <v/>
      </c>
      <c r="U150" s="376" t="str">
        <f t="shared" ca="1" si="14"/>
        <v/>
      </c>
      <c r="V150" s="371" t="str">
        <f t="shared" ca="1" si="15"/>
        <v/>
      </c>
      <c r="W150" s="378" t="str">
        <f t="shared" ca="1" si="16"/>
        <v/>
      </c>
      <c r="X150" s="376" t="str">
        <f t="shared" ca="1" si="17"/>
        <v/>
      </c>
      <c r="Y150" s="1103" t="str">
        <f t="shared" ca="1" si="18"/>
        <v/>
      </c>
      <c r="Z150" s="1097"/>
      <c r="AE150" s="1104" t="str">
        <f t="shared" ca="1" si="23"/>
        <v/>
      </c>
      <c r="AF150" s="371" t="str">
        <f t="shared" ca="1" si="24"/>
        <v/>
      </c>
      <c r="AG150" s="371" t="str">
        <f t="shared" ca="1" si="27"/>
        <v/>
      </c>
      <c r="AH150" s="371" t="str">
        <f t="shared" ca="1" si="25"/>
        <v/>
      </c>
      <c r="AI150" s="1105" t="str">
        <f t="shared" ca="1" si="8"/>
        <v/>
      </c>
      <c r="AJ150" s="417" t="str">
        <f t="shared" ca="1" si="19"/>
        <v/>
      </c>
      <c r="AK150" s="1106" t="str">
        <f t="shared" ca="1" si="28"/>
        <v/>
      </c>
      <c r="AL150" s="1107" t="str">
        <f t="shared" ca="1" si="26"/>
        <v/>
      </c>
      <c r="BC150" s="40"/>
      <c r="BD150" s="40"/>
      <c r="BE150" s="40"/>
      <c r="BF150" s="40"/>
      <c r="BG150" s="40"/>
    </row>
    <row r="151" spans="1:59" ht="18" customHeight="1">
      <c r="A151" s="1095" t="str">
        <f ca="1"/>
        <v/>
      </c>
      <c r="B151" s="399" t="str">
        <f ca="1"/>
        <v/>
      </c>
      <c r="C151" s="399" t="str">
        <f ca="1"/>
        <v/>
      </c>
      <c r="D151" s="400" t="str">
        <f ca="1"/>
        <v/>
      </c>
      <c r="E151" s="401" t="str">
        <f t="shared" ca="1" si="10"/>
        <v/>
      </c>
      <c r="F151" s="411"/>
      <c r="G151" s="407"/>
      <c r="N151" s="376" t="str">
        <f t="shared" ca="1" si="20"/>
        <v/>
      </c>
      <c r="O151" s="377" t="str">
        <f t="shared" ca="1" si="11"/>
        <v/>
      </c>
      <c r="P151" s="371" t="str">
        <f t="shared" ca="1" si="21"/>
        <v/>
      </c>
      <c r="Q151" s="371" t="str">
        <f t="shared" ca="1" si="12"/>
        <v/>
      </c>
      <c r="R151" s="378" t="str">
        <f t="shared" ca="1" si="22"/>
        <v/>
      </c>
      <c r="S151" s="417" t="str">
        <f t="shared" ca="1" si="13"/>
        <v/>
      </c>
      <c r="U151" s="376" t="str">
        <f t="shared" ca="1" si="14"/>
        <v/>
      </c>
      <c r="V151" s="371" t="str">
        <f t="shared" ca="1" si="15"/>
        <v/>
      </c>
      <c r="W151" s="378" t="str">
        <f t="shared" ca="1" si="16"/>
        <v/>
      </c>
      <c r="X151" s="376" t="str">
        <f t="shared" ca="1" si="17"/>
        <v/>
      </c>
      <c r="Y151" s="1103" t="str">
        <f t="shared" ca="1" si="18"/>
        <v/>
      </c>
      <c r="Z151" s="1097"/>
      <c r="AE151" s="1104" t="str">
        <f t="shared" ca="1" si="23"/>
        <v/>
      </c>
      <c r="AF151" s="371" t="str">
        <f t="shared" ca="1" si="24"/>
        <v/>
      </c>
      <c r="AG151" s="371" t="str">
        <f t="shared" ca="1" si="27"/>
        <v/>
      </c>
      <c r="AH151" s="371" t="str">
        <f t="shared" ca="1" si="25"/>
        <v/>
      </c>
      <c r="AI151" s="1105" t="str">
        <f t="shared" ca="1" si="8"/>
        <v/>
      </c>
      <c r="AJ151" s="417" t="str">
        <f t="shared" ca="1" si="19"/>
        <v/>
      </c>
      <c r="AK151" s="1106" t="str">
        <f t="shared" ca="1" si="28"/>
        <v/>
      </c>
      <c r="AL151" s="1107" t="str">
        <f t="shared" ca="1" si="26"/>
        <v/>
      </c>
      <c r="BC151" s="40"/>
      <c r="BD151" s="40"/>
      <c r="BE151" s="40"/>
      <c r="BF151" s="40"/>
      <c r="BG151" s="40"/>
    </row>
    <row r="152" spans="1:59" ht="18" customHeight="1">
      <c r="A152" s="1095" t="str">
        <f ca="1"/>
        <v/>
      </c>
      <c r="B152" s="399" t="str">
        <f ca="1"/>
        <v/>
      </c>
      <c r="C152" s="399" t="str">
        <f ca="1"/>
        <v/>
      </c>
      <c r="D152" s="400" t="str">
        <f ca="1"/>
        <v/>
      </c>
      <c r="E152" s="401" t="str">
        <f t="shared" ca="1" si="10"/>
        <v/>
      </c>
      <c r="F152" s="411"/>
      <c r="G152" s="407"/>
      <c r="N152" s="376" t="str">
        <f t="shared" ca="1" si="20"/>
        <v/>
      </c>
      <c r="O152" s="377" t="str">
        <f t="shared" ca="1" si="11"/>
        <v/>
      </c>
      <c r="P152" s="371" t="str">
        <f t="shared" ca="1" si="21"/>
        <v/>
      </c>
      <c r="Q152" s="371" t="str">
        <f t="shared" ca="1" si="12"/>
        <v/>
      </c>
      <c r="R152" s="378" t="str">
        <f t="shared" ca="1" si="22"/>
        <v/>
      </c>
      <c r="S152" s="417" t="str">
        <f t="shared" ca="1" si="13"/>
        <v/>
      </c>
      <c r="U152" s="376" t="str">
        <f t="shared" ca="1" si="14"/>
        <v/>
      </c>
      <c r="V152" s="371" t="str">
        <f t="shared" ca="1" si="15"/>
        <v/>
      </c>
      <c r="W152" s="378" t="str">
        <f t="shared" ca="1" si="16"/>
        <v/>
      </c>
      <c r="X152" s="376" t="str">
        <f t="shared" ca="1" si="17"/>
        <v/>
      </c>
      <c r="Y152" s="1103" t="str">
        <f t="shared" ca="1" si="18"/>
        <v/>
      </c>
      <c r="Z152" s="1097"/>
      <c r="AE152" s="1104" t="str">
        <f t="shared" ca="1" si="23"/>
        <v/>
      </c>
      <c r="AF152" s="371" t="str">
        <f t="shared" ca="1" si="24"/>
        <v/>
      </c>
      <c r="AG152" s="371" t="str">
        <f t="shared" ca="1" si="27"/>
        <v/>
      </c>
      <c r="AH152" s="371" t="str">
        <f t="shared" ca="1" si="25"/>
        <v/>
      </c>
      <c r="AI152" s="1105" t="str">
        <f t="shared" ca="1" si="8"/>
        <v/>
      </c>
      <c r="AJ152" s="417" t="str">
        <f t="shared" ca="1" si="19"/>
        <v/>
      </c>
      <c r="AK152" s="1106" t="str">
        <f t="shared" ca="1" si="28"/>
        <v/>
      </c>
      <c r="AL152" s="1107" t="str">
        <f t="shared" ca="1" si="26"/>
        <v/>
      </c>
      <c r="BC152" s="40"/>
      <c r="BD152" s="40"/>
      <c r="BE152" s="40"/>
      <c r="BF152" s="40"/>
      <c r="BG152" s="40"/>
    </row>
    <row r="153" spans="1:59" ht="18" customHeight="1">
      <c r="A153" s="1095" t="str">
        <f ca="1"/>
        <v/>
      </c>
      <c r="B153" s="399" t="str">
        <f ca="1"/>
        <v/>
      </c>
      <c r="C153" s="399" t="str">
        <f ca="1"/>
        <v/>
      </c>
      <c r="D153" s="400" t="str">
        <f ca="1"/>
        <v/>
      </c>
      <c r="E153" s="401" t="str">
        <f t="shared" ca="1" si="10"/>
        <v/>
      </c>
      <c r="F153" s="411"/>
      <c r="G153" s="407"/>
      <c r="N153" s="376" t="str">
        <f t="shared" ca="1" si="20"/>
        <v/>
      </c>
      <c r="O153" s="377" t="str">
        <f t="shared" ca="1" si="11"/>
        <v/>
      </c>
      <c r="P153" s="371" t="str">
        <f t="shared" ca="1" si="21"/>
        <v/>
      </c>
      <c r="Q153" s="371" t="str">
        <f t="shared" ca="1" si="12"/>
        <v/>
      </c>
      <c r="R153" s="378" t="str">
        <f t="shared" ca="1" si="22"/>
        <v/>
      </c>
      <c r="S153" s="417" t="str">
        <f t="shared" ca="1" si="13"/>
        <v/>
      </c>
      <c r="U153" s="376" t="str">
        <f t="shared" ca="1" si="14"/>
        <v/>
      </c>
      <c r="V153" s="371" t="str">
        <f t="shared" ca="1" si="15"/>
        <v/>
      </c>
      <c r="W153" s="378" t="str">
        <f t="shared" ca="1" si="16"/>
        <v/>
      </c>
      <c r="X153" s="376" t="str">
        <f t="shared" ca="1" si="17"/>
        <v/>
      </c>
      <c r="Y153" s="1103" t="str">
        <f t="shared" ca="1" si="18"/>
        <v/>
      </c>
      <c r="Z153" s="1097"/>
      <c r="AE153" s="1104" t="str">
        <f t="shared" ca="1" si="23"/>
        <v/>
      </c>
      <c r="AF153" s="371" t="str">
        <f t="shared" ca="1" si="24"/>
        <v/>
      </c>
      <c r="AG153" s="371" t="str">
        <f t="shared" ca="1" si="27"/>
        <v/>
      </c>
      <c r="AH153" s="371" t="str">
        <f t="shared" ca="1" si="25"/>
        <v/>
      </c>
      <c r="AI153" s="1105" t="str">
        <f t="shared" ca="1" si="8"/>
        <v/>
      </c>
      <c r="AJ153" s="417" t="str">
        <f t="shared" ca="1" si="19"/>
        <v/>
      </c>
      <c r="AK153" s="1106" t="str">
        <f t="shared" ca="1" si="28"/>
        <v/>
      </c>
      <c r="AL153" s="1107" t="str">
        <f t="shared" ca="1" si="26"/>
        <v/>
      </c>
      <c r="BC153" s="40"/>
      <c r="BD153" s="40"/>
      <c r="BE153" s="40"/>
      <c r="BF153" s="40"/>
      <c r="BG153" s="40"/>
    </row>
    <row r="154" spans="1:59" ht="18" customHeight="1">
      <c r="A154" s="1095" t="str">
        <f ca="1"/>
        <v/>
      </c>
      <c r="B154" s="399" t="str">
        <f ca="1"/>
        <v/>
      </c>
      <c r="C154" s="399" t="str">
        <f ca="1"/>
        <v/>
      </c>
      <c r="D154" s="400" t="str">
        <f ca="1"/>
        <v/>
      </c>
      <c r="E154" s="401" t="str">
        <f t="shared" ca="1" si="10"/>
        <v/>
      </c>
      <c r="F154" s="411"/>
      <c r="G154" s="407"/>
      <c r="N154" s="376" t="str">
        <f t="shared" ca="1" si="20"/>
        <v/>
      </c>
      <c r="O154" s="377" t="str">
        <f t="shared" ca="1" si="11"/>
        <v/>
      </c>
      <c r="P154" s="371" t="str">
        <f t="shared" ca="1" si="21"/>
        <v/>
      </c>
      <c r="Q154" s="371" t="str">
        <f t="shared" ca="1" si="12"/>
        <v/>
      </c>
      <c r="R154" s="378" t="str">
        <f t="shared" ca="1" si="22"/>
        <v/>
      </c>
      <c r="S154" s="417" t="str">
        <f t="shared" ca="1" si="13"/>
        <v/>
      </c>
      <c r="U154" s="376" t="str">
        <f t="shared" ca="1" si="14"/>
        <v/>
      </c>
      <c r="V154" s="371" t="str">
        <f t="shared" ca="1" si="15"/>
        <v/>
      </c>
      <c r="W154" s="378" t="str">
        <f t="shared" ca="1" si="16"/>
        <v/>
      </c>
      <c r="X154" s="376" t="str">
        <f t="shared" ca="1" si="17"/>
        <v/>
      </c>
      <c r="Y154" s="1103" t="str">
        <f t="shared" ca="1" si="18"/>
        <v/>
      </c>
      <c r="Z154" s="1097"/>
      <c r="AE154" s="1104" t="str">
        <f t="shared" ca="1" si="23"/>
        <v/>
      </c>
      <c r="AF154" s="371" t="str">
        <f t="shared" ca="1" si="24"/>
        <v/>
      </c>
      <c r="AG154" s="371" t="str">
        <f t="shared" ca="1" si="27"/>
        <v/>
      </c>
      <c r="AH154" s="371" t="str">
        <f t="shared" ca="1" si="25"/>
        <v/>
      </c>
      <c r="AI154" s="1105" t="str">
        <f t="shared" ca="1" si="8"/>
        <v/>
      </c>
      <c r="AJ154" s="417" t="str">
        <f t="shared" ca="1" si="19"/>
        <v/>
      </c>
      <c r="AK154" s="1106" t="str">
        <f t="shared" ca="1" si="28"/>
        <v/>
      </c>
      <c r="AL154" s="1107" t="str">
        <f t="shared" ca="1" si="26"/>
        <v/>
      </c>
      <c r="BC154" s="40"/>
      <c r="BD154" s="40"/>
      <c r="BE154" s="40"/>
      <c r="BF154" s="40"/>
      <c r="BG154" s="40"/>
    </row>
    <row r="155" spans="1:59" ht="18" customHeight="1">
      <c r="A155" s="1095" t="str">
        <f ca="1"/>
        <v/>
      </c>
      <c r="B155" s="399" t="str">
        <f ca="1"/>
        <v/>
      </c>
      <c r="C155" s="399" t="str">
        <f ca="1"/>
        <v/>
      </c>
      <c r="D155" s="400" t="str">
        <f ca="1"/>
        <v/>
      </c>
      <c r="E155" s="401" t="str">
        <f t="shared" ca="1" si="10"/>
        <v/>
      </c>
      <c r="F155" s="411"/>
      <c r="G155" s="407"/>
      <c r="N155" s="376" t="str">
        <f t="shared" ca="1" si="20"/>
        <v/>
      </c>
      <c r="O155" s="377" t="str">
        <f t="shared" ca="1" si="11"/>
        <v/>
      </c>
      <c r="P155" s="371" t="str">
        <f t="shared" ca="1" si="21"/>
        <v/>
      </c>
      <c r="Q155" s="371" t="str">
        <f t="shared" ca="1" si="12"/>
        <v/>
      </c>
      <c r="R155" s="378" t="str">
        <f t="shared" ca="1" si="22"/>
        <v/>
      </c>
      <c r="S155" s="417" t="str">
        <f t="shared" ca="1" si="13"/>
        <v/>
      </c>
      <c r="U155" s="376" t="str">
        <f t="shared" ca="1" si="14"/>
        <v/>
      </c>
      <c r="V155" s="371" t="str">
        <f t="shared" ca="1" si="15"/>
        <v/>
      </c>
      <c r="W155" s="378" t="str">
        <f t="shared" ca="1" si="16"/>
        <v/>
      </c>
      <c r="X155" s="376" t="str">
        <f t="shared" ca="1" si="17"/>
        <v/>
      </c>
      <c r="Y155" s="1103" t="str">
        <f t="shared" ca="1" si="18"/>
        <v/>
      </c>
      <c r="Z155" s="1097"/>
      <c r="AA155" s="1108"/>
      <c r="AB155" s="1108"/>
      <c r="AC155" s="1108"/>
      <c r="AE155" s="1104" t="str">
        <f t="shared" ca="1" si="23"/>
        <v/>
      </c>
      <c r="AF155" s="371" t="str">
        <f t="shared" ca="1" si="24"/>
        <v/>
      </c>
      <c r="AG155" s="371" t="str">
        <f t="shared" ca="1" si="27"/>
        <v/>
      </c>
      <c r="AH155" s="371" t="str">
        <f t="shared" ca="1" si="25"/>
        <v/>
      </c>
      <c r="AI155" s="1105" t="str">
        <f ca="1">IF(AF155="","",AL155*$AK$221/AK155)</f>
        <v/>
      </c>
      <c r="AJ155" s="417" t="str">
        <f t="shared" ca="1" si="19"/>
        <v/>
      </c>
      <c r="AK155" s="1106" t="str">
        <f t="shared" ca="1" si="28"/>
        <v/>
      </c>
      <c r="AL155" s="1107" t="str">
        <f t="shared" ca="1" si="26"/>
        <v/>
      </c>
      <c r="BC155" s="40"/>
      <c r="BD155" s="40"/>
      <c r="BE155" s="40"/>
      <c r="BF155" s="40"/>
      <c r="BG155" s="40"/>
    </row>
    <row r="156" spans="1:59" ht="18" customHeight="1">
      <c r="A156" s="1095" t="str">
        <f ca="1"/>
        <v/>
      </c>
      <c r="B156" s="399" t="str">
        <f ca="1"/>
        <v/>
      </c>
      <c r="C156" s="399" t="str">
        <f ca="1"/>
        <v/>
      </c>
      <c r="D156" s="400" t="str">
        <f ca="1"/>
        <v/>
      </c>
      <c r="E156" s="401" t="str">
        <f t="shared" ca="1" si="10"/>
        <v/>
      </c>
      <c r="F156" s="411"/>
      <c r="G156" s="407"/>
      <c r="N156" s="376" t="str">
        <f t="shared" ca="1" si="20"/>
        <v/>
      </c>
      <c r="O156" s="377" t="str">
        <f t="shared" ca="1" si="11"/>
        <v/>
      </c>
      <c r="P156" s="371" t="str">
        <f t="shared" ca="1" si="21"/>
        <v/>
      </c>
      <c r="Q156" s="371" t="str">
        <f t="shared" ca="1" si="12"/>
        <v/>
      </c>
      <c r="R156" s="378" t="str">
        <f t="shared" ca="1" si="22"/>
        <v/>
      </c>
      <c r="S156" s="417" t="str">
        <f t="shared" ca="1" si="13"/>
        <v/>
      </c>
      <c r="U156" s="376" t="str">
        <f t="shared" ca="1" si="14"/>
        <v/>
      </c>
      <c r="V156" s="371" t="str">
        <f t="shared" ca="1" si="15"/>
        <v/>
      </c>
      <c r="W156" s="378" t="str">
        <f t="shared" ca="1" si="16"/>
        <v/>
      </c>
      <c r="X156" s="376" t="str">
        <f t="shared" ca="1" si="17"/>
        <v/>
      </c>
      <c r="Y156" s="1103" t="str">
        <f t="shared" ca="1" si="18"/>
        <v/>
      </c>
      <c r="Z156" s="1097"/>
      <c r="AA156" s="1108"/>
      <c r="AB156" s="1108"/>
      <c r="AC156" s="1108"/>
      <c r="AE156" s="1104" t="str">
        <f t="shared" ca="1" si="23"/>
        <v/>
      </c>
      <c r="AF156" s="371" t="str">
        <f t="shared" ca="1" si="24"/>
        <v/>
      </c>
      <c r="AG156" s="371" t="str">
        <f t="shared" ca="1" si="27"/>
        <v/>
      </c>
      <c r="AH156" s="371" t="str">
        <f t="shared" ca="1" si="25"/>
        <v/>
      </c>
      <c r="AI156" s="1105" t="str">
        <f t="shared" ca="1" si="8"/>
        <v/>
      </c>
      <c r="AJ156" s="417" t="str">
        <f t="shared" ca="1" si="19"/>
        <v/>
      </c>
      <c r="AK156" s="1106" t="str">
        <f t="shared" ca="1" si="28"/>
        <v/>
      </c>
      <c r="AL156" s="1107" t="str">
        <f t="shared" ca="1" si="26"/>
        <v/>
      </c>
      <c r="BC156" s="40"/>
      <c r="BD156" s="40"/>
      <c r="BE156" s="40"/>
      <c r="BF156" s="40"/>
      <c r="BG156" s="40"/>
    </row>
    <row r="157" spans="1:59" ht="18" customHeight="1">
      <c r="A157" s="1095" t="str">
        <f ca="1"/>
        <v/>
      </c>
      <c r="B157" s="399" t="str">
        <f ca="1"/>
        <v/>
      </c>
      <c r="C157" s="399" t="str">
        <f ca="1"/>
        <v/>
      </c>
      <c r="D157" s="400" t="str">
        <f ca="1"/>
        <v/>
      </c>
      <c r="E157" s="401" t="str">
        <f t="shared" ca="1" si="10"/>
        <v/>
      </c>
      <c r="F157" s="411"/>
      <c r="G157" s="407"/>
      <c r="N157" s="376" t="str">
        <f t="shared" ca="1" si="20"/>
        <v/>
      </c>
      <c r="O157" s="377" t="str">
        <f t="shared" ca="1" si="11"/>
        <v/>
      </c>
      <c r="P157" s="371" t="str">
        <f t="shared" ca="1" si="21"/>
        <v/>
      </c>
      <c r="Q157" s="371" t="str">
        <f t="shared" ca="1" si="12"/>
        <v/>
      </c>
      <c r="R157" s="378" t="str">
        <f t="shared" ca="1" si="22"/>
        <v/>
      </c>
      <c r="S157" s="417" t="str">
        <f t="shared" ca="1" si="13"/>
        <v/>
      </c>
      <c r="U157" s="376" t="str">
        <f t="shared" ca="1" si="14"/>
        <v/>
      </c>
      <c r="V157" s="371" t="str">
        <f t="shared" ca="1" si="15"/>
        <v/>
      </c>
      <c r="W157" s="378" t="str">
        <f t="shared" ca="1" si="16"/>
        <v/>
      </c>
      <c r="X157" s="376" t="str">
        <f t="shared" ca="1" si="17"/>
        <v/>
      </c>
      <c r="Y157" s="1103" t="str">
        <f t="shared" ca="1" si="18"/>
        <v/>
      </c>
      <c r="Z157" s="1097"/>
      <c r="AA157" s="1108"/>
      <c r="AB157" s="1108"/>
      <c r="AC157" s="1108"/>
      <c r="AE157" s="1104" t="str">
        <f t="shared" ca="1" si="23"/>
        <v/>
      </c>
      <c r="AF157" s="371" t="str">
        <f t="shared" ca="1" si="24"/>
        <v/>
      </c>
      <c r="AG157" s="371" t="str">
        <f t="shared" ca="1" si="27"/>
        <v/>
      </c>
      <c r="AH157" s="371" t="str">
        <f t="shared" ca="1" si="25"/>
        <v/>
      </c>
      <c r="AI157" s="1105" t="str">
        <f t="shared" ca="1" si="8"/>
        <v/>
      </c>
      <c r="AJ157" s="417" t="str">
        <f t="shared" ca="1" si="19"/>
        <v/>
      </c>
      <c r="AK157" s="1106" t="str">
        <f t="shared" ca="1" si="28"/>
        <v/>
      </c>
      <c r="AL157" s="1107" t="str">
        <f t="shared" ca="1" si="26"/>
        <v/>
      </c>
      <c r="BC157" s="40"/>
      <c r="BD157" s="40"/>
      <c r="BE157" s="40"/>
      <c r="BF157" s="40"/>
      <c r="BG157" s="40"/>
    </row>
    <row r="158" spans="1:59" ht="18" customHeight="1">
      <c r="A158" s="1095" t="str">
        <f ca="1"/>
        <v/>
      </c>
      <c r="B158" s="399" t="str">
        <f ca="1"/>
        <v/>
      </c>
      <c r="C158" s="399" t="str">
        <f ca="1"/>
        <v/>
      </c>
      <c r="D158" s="400" t="str">
        <f ca="1"/>
        <v/>
      </c>
      <c r="E158" s="401" t="str">
        <f t="shared" ca="1" si="10"/>
        <v/>
      </c>
      <c r="F158" s="411"/>
      <c r="G158" s="407"/>
      <c r="N158" s="376" t="str">
        <f t="shared" ca="1" si="20"/>
        <v/>
      </c>
      <c r="O158" s="377" t="str">
        <f t="shared" ca="1" si="11"/>
        <v/>
      </c>
      <c r="P158" s="371" t="str">
        <f t="shared" ca="1" si="21"/>
        <v/>
      </c>
      <c r="Q158" s="371" t="str">
        <f t="shared" ca="1" si="12"/>
        <v/>
      </c>
      <c r="R158" s="378" t="str">
        <f t="shared" ca="1" si="22"/>
        <v/>
      </c>
      <c r="S158" s="417" t="str">
        <f t="shared" ca="1" si="13"/>
        <v/>
      </c>
      <c r="U158" s="376" t="str">
        <f t="shared" ca="1" si="14"/>
        <v/>
      </c>
      <c r="V158" s="371" t="str">
        <f t="shared" ca="1" si="15"/>
        <v/>
      </c>
      <c r="W158" s="378" t="str">
        <f t="shared" ca="1" si="16"/>
        <v/>
      </c>
      <c r="X158" s="376" t="str">
        <f t="shared" ca="1" si="17"/>
        <v/>
      </c>
      <c r="Y158" s="1103" t="str">
        <f t="shared" ca="1" si="18"/>
        <v/>
      </c>
      <c r="Z158" s="1097"/>
      <c r="AA158" s="1108"/>
      <c r="AB158" s="1108"/>
      <c r="AC158" s="1108"/>
      <c r="AE158" s="1104" t="str">
        <f t="shared" ca="1" si="23"/>
        <v/>
      </c>
      <c r="AF158" s="371" t="str">
        <f t="shared" ca="1" si="24"/>
        <v/>
      </c>
      <c r="AG158" s="371" t="str">
        <f t="shared" ca="1" si="27"/>
        <v/>
      </c>
      <c r="AH158" s="371" t="str">
        <f t="shared" ca="1" si="25"/>
        <v/>
      </c>
      <c r="AI158" s="1105" t="str">
        <f t="shared" ca="1" si="8"/>
        <v/>
      </c>
      <c r="AJ158" s="417" t="str">
        <f t="shared" ca="1" si="19"/>
        <v/>
      </c>
      <c r="AK158" s="1106" t="str">
        <f t="shared" ca="1" si="28"/>
        <v/>
      </c>
      <c r="AL158" s="1107" t="str">
        <f t="shared" ca="1" si="26"/>
        <v/>
      </c>
      <c r="BC158" s="40"/>
      <c r="BD158" s="40"/>
      <c r="BE158" s="40"/>
      <c r="BF158" s="40"/>
      <c r="BG158" s="40"/>
    </row>
    <row r="159" spans="1:59" ht="18" customHeight="1">
      <c r="A159" s="1095" t="str">
        <f ca="1"/>
        <v/>
      </c>
      <c r="B159" s="399" t="str">
        <f ca="1"/>
        <v/>
      </c>
      <c r="C159" s="399" t="str">
        <f ca="1"/>
        <v/>
      </c>
      <c r="D159" s="400" t="str">
        <f ca="1"/>
        <v/>
      </c>
      <c r="E159" s="401" t="str">
        <f t="shared" ca="1" si="10"/>
        <v/>
      </c>
      <c r="F159" s="411"/>
      <c r="G159" s="407"/>
      <c r="N159" s="376" t="str">
        <f t="shared" ca="1" si="20"/>
        <v/>
      </c>
      <c r="O159" s="377" t="str">
        <f t="shared" ca="1" si="11"/>
        <v/>
      </c>
      <c r="P159" s="371" t="str">
        <f t="shared" ca="1" si="21"/>
        <v/>
      </c>
      <c r="Q159" s="371" t="str">
        <f t="shared" ca="1" si="12"/>
        <v/>
      </c>
      <c r="R159" s="378" t="str">
        <f t="shared" ca="1" si="22"/>
        <v/>
      </c>
      <c r="S159" s="417" t="str">
        <f t="shared" ca="1" si="13"/>
        <v/>
      </c>
      <c r="U159" s="376" t="str">
        <f t="shared" ca="1" si="14"/>
        <v/>
      </c>
      <c r="V159" s="371" t="str">
        <f t="shared" ca="1" si="15"/>
        <v/>
      </c>
      <c r="W159" s="378" t="str">
        <f t="shared" ca="1" si="16"/>
        <v/>
      </c>
      <c r="X159" s="376" t="str">
        <f t="shared" ca="1" si="17"/>
        <v/>
      </c>
      <c r="Y159" s="1103" t="str">
        <f t="shared" ca="1" si="18"/>
        <v/>
      </c>
      <c r="Z159" s="1097"/>
      <c r="AA159" s="1108"/>
      <c r="AB159" s="1108"/>
      <c r="AC159" s="1108"/>
      <c r="AE159" s="1104" t="str">
        <f t="shared" ca="1" si="23"/>
        <v/>
      </c>
      <c r="AF159" s="371" t="str">
        <f t="shared" ca="1" si="24"/>
        <v/>
      </c>
      <c r="AG159" s="371" t="str">
        <f t="shared" ca="1" si="27"/>
        <v/>
      </c>
      <c r="AH159" s="371" t="str">
        <f t="shared" ca="1" si="25"/>
        <v/>
      </c>
      <c r="AI159" s="1105" t="str">
        <f t="shared" ca="1" si="8"/>
        <v/>
      </c>
      <c r="AJ159" s="417" t="str">
        <f t="shared" ca="1" si="19"/>
        <v/>
      </c>
      <c r="AK159" s="1106" t="str">
        <f t="shared" ca="1" si="28"/>
        <v/>
      </c>
      <c r="AL159" s="1107" t="str">
        <f t="shared" ca="1" si="26"/>
        <v/>
      </c>
      <c r="BC159" s="40"/>
      <c r="BD159" s="40"/>
      <c r="BE159" s="40"/>
      <c r="BF159" s="40"/>
      <c r="BG159" s="40"/>
    </row>
    <row r="160" spans="1:59" ht="18" customHeight="1">
      <c r="A160" s="1095" t="str">
        <f ca="1"/>
        <v/>
      </c>
      <c r="B160" s="399" t="str">
        <f ca="1"/>
        <v/>
      </c>
      <c r="C160" s="399" t="str">
        <f ca="1"/>
        <v/>
      </c>
      <c r="D160" s="400" t="str">
        <f ca="1"/>
        <v/>
      </c>
      <c r="E160" s="401" t="str">
        <f t="shared" ca="1" si="10"/>
        <v/>
      </c>
      <c r="F160" s="411"/>
      <c r="G160" s="407"/>
      <c r="N160" s="376" t="str">
        <f t="shared" ca="1" si="20"/>
        <v/>
      </c>
      <c r="O160" s="377" t="str">
        <f t="shared" ca="1" si="11"/>
        <v/>
      </c>
      <c r="P160" s="371" t="str">
        <f t="shared" ca="1" si="21"/>
        <v/>
      </c>
      <c r="Q160" s="371" t="str">
        <f t="shared" ca="1" si="12"/>
        <v/>
      </c>
      <c r="R160" s="378" t="str">
        <f t="shared" ca="1" si="22"/>
        <v/>
      </c>
      <c r="S160" s="417" t="str">
        <f t="shared" ca="1" si="13"/>
        <v/>
      </c>
      <c r="U160" s="376" t="str">
        <f t="shared" ca="1" si="14"/>
        <v/>
      </c>
      <c r="V160" s="371" t="str">
        <f t="shared" ca="1" si="15"/>
        <v/>
      </c>
      <c r="W160" s="378" t="str">
        <f t="shared" ca="1" si="16"/>
        <v/>
      </c>
      <c r="X160" s="376" t="str">
        <f t="shared" ca="1" si="17"/>
        <v/>
      </c>
      <c r="Y160" s="1103" t="str">
        <f t="shared" ca="1" si="18"/>
        <v/>
      </c>
      <c r="Z160" s="1097"/>
      <c r="AA160" s="1108"/>
      <c r="AB160" s="1108"/>
      <c r="AC160" s="1108"/>
      <c r="AE160" s="1104" t="str">
        <f t="shared" ca="1" si="23"/>
        <v/>
      </c>
      <c r="AF160" s="371" t="str">
        <f t="shared" ca="1" si="24"/>
        <v/>
      </c>
      <c r="AG160" s="371" t="str">
        <f t="shared" ca="1" si="27"/>
        <v/>
      </c>
      <c r="AH160" s="371" t="str">
        <f t="shared" ca="1" si="25"/>
        <v/>
      </c>
      <c r="AI160" s="1105" t="str">
        <f t="shared" ca="1" si="8"/>
        <v/>
      </c>
      <c r="AJ160" s="417" t="str">
        <f t="shared" ca="1" si="19"/>
        <v/>
      </c>
      <c r="AK160" s="1106" t="str">
        <f t="shared" ca="1" si="28"/>
        <v/>
      </c>
      <c r="AL160" s="1107" t="str">
        <f t="shared" ca="1" si="26"/>
        <v/>
      </c>
      <c r="BC160" s="40"/>
      <c r="BD160" s="40"/>
      <c r="BE160" s="40"/>
      <c r="BF160" s="40"/>
      <c r="BG160" s="40"/>
    </row>
    <row r="161" spans="1:59" ht="18" customHeight="1">
      <c r="A161" s="1095" t="str">
        <f ca="1"/>
        <v/>
      </c>
      <c r="B161" s="399" t="str">
        <f ca="1"/>
        <v/>
      </c>
      <c r="C161" s="399" t="str">
        <f ca="1"/>
        <v/>
      </c>
      <c r="D161" s="400" t="str">
        <f ca="1"/>
        <v/>
      </c>
      <c r="E161" s="401" t="str">
        <f t="shared" ca="1" si="10"/>
        <v/>
      </c>
      <c r="F161" s="411"/>
      <c r="G161" s="407"/>
      <c r="N161" s="376" t="str">
        <f t="shared" ca="1" si="20"/>
        <v/>
      </c>
      <c r="O161" s="377" t="str">
        <f t="shared" ca="1" si="11"/>
        <v/>
      </c>
      <c r="P161" s="371" t="str">
        <f t="shared" ca="1" si="21"/>
        <v/>
      </c>
      <c r="Q161" s="371" t="str">
        <f t="shared" ca="1" si="12"/>
        <v/>
      </c>
      <c r="R161" s="378" t="str">
        <f t="shared" ca="1" si="22"/>
        <v/>
      </c>
      <c r="S161" s="417" t="str">
        <f t="shared" ca="1" si="13"/>
        <v/>
      </c>
      <c r="U161" s="376" t="str">
        <f t="shared" ca="1" si="14"/>
        <v/>
      </c>
      <c r="V161" s="371" t="str">
        <f t="shared" ca="1" si="15"/>
        <v/>
      </c>
      <c r="W161" s="378" t="str">
        <f t="shared" ca="1" si="16"/>
        <v/>
      </c>
      <c r="X161" s="376" t="str">
        <f t="shared" ca="1" si="17"/>
        <v/>
      </c>
      <c r="Y161" s="1103" t="str">
        <f t="shared" ca="1" si="18"/>
        <v/>
      </c>
      <c r="Z161" s="1097"/>
      <c r="AA161" s="1108"/>
      <c r="AB161" s="1108"/>
      <c r="AC161" s="1108"/>
      <c r="AE161" s="1104" t="str">
        <f t="shared" ca="1" si="23"/>
        <v/>
      </c>
      <c r="AF161" s="371" t="str">
        <f t="shared" ca="1" si="24"/>
        <v/>
      </c>
      <c r="AG161" s="371" t="str">
        <f t="shared" ca="1" si="27"/>
        <v/>
      </c>
      <c r="AH161" s="371" t="str">
        <f t="shared" ca="1" si="25"/>
        <v/>
      </c>
      <c r="AI161" s="1105" t="str">
        <f t="shared" ca="1" si="8"/>
        <v/>
      </c>
      <c r="AJ161" s="417" t="str">
        <f t="shared" ca="1" si="19"/>
        <v/>
      </c>
      <c r="AK161" s="1106" t="str">
        <f t="shared" ca="1" si="28"/>
        <v/>
      </c>
      <c r="AL161" s="1107" t="str">
        <f t="shared" ca="1" si="26"/>
        <v/>
      </c>
      <c r="BC161" s="40"/>
      <c r="BD161" s="40"/>
      <c r="BE161" s="40"/>
      <c r="BF161" s="40"/>
      <c r="BG161" s="40"/>
    </row>
    <row r="162" spans="1:59" ht="18" customHeight="1">
      <c r="A162" s="1095" t="str">
        <f ca="1"/>
        <v/>
      </c>
      <c r="B162" s="399" t="str">
        <f ca="1"/>
        <v/>
      </c>
      <c r="C162" s="399" t="str">
        <f ca="1"/>
        <v/>
      </c>
      <c r="D162" s="400" t="str">
        <f ca="1"/>
        <v/>
      </c>
      <c r="E162" s="401" t="str">
        <f t="shared" ca="1" si="10"/>
        <v/>
      </c>
      <c r="F162" s="411"/>
      <c r="G162" s="407"/>
      <c r="N162" s="376" t="str">
        <f t="shared" ca="1" si="20"/>
        <v/>
      </c>
      <c r="O162" s="377" t="str">
        <f t="shared" ca="1" si="11"/>
        <v/>
      </c>
      <c r="P162" s="371" t="str">
        <f t="shared" ca="1" si="21"/>
        <v/>
      </c>
      <c r="Q162" s="371" t="str">
        <f t="shared" ca="1" si="12"/>
        <v/>
      </c>
      <c r="R162" s="378" t="str">
        <f t="shared" ca="1" si="22"/>
        <v/>
      </c>
      <c r="S162" s="417" t="str">
        <f t="shared" ca="1" si="13"/>
        <v/>
      </c>
      <c r="U162" s="376" t="str">
        <f t="shared" ca="1" si="14"/>
        <v/>
      </c>
      <c r="V162" s="371" t="str">
        <f t="shared" ca="1" si="15"/>
        <v/>
      </c>
      <c r="W162" s="378" t="str">
        <f t="shared" ca="1" si="16"/>
        <v/>
      </c>
      <c r="X162" s="376" t="str">
        <f t="shared" ca="1" si="17"/>
        <v/>
      </c>
      <c r="Y162" s="1103" t="str">
        <f t="shared" ca="1" si="18"/>
        <v/>
      </c>
      <c r="Z162" s="1097"/>
      <c r="AA162" s="1108"/>
      <c r="AB162" s="1108"/>
      <c r="AC162" s="1108"/>
      <c r="AE162" s="1104" t="str">
        <f t="shared" ca="1" si="23"/>
        <v/>
      </c>
      <c r="AF162" s="371" t="str">
        <f t="shared" ca="1" si="24"/>
        <v/>
      </c>
      <c r="AG162" s="371" t="str">
        <f t="shared" ca="1" si="27"/>
        <v/>
      </c>
      <c r="AH162" s="371" t="str">
        <f t="shared" ca="1" si="25"/>
        <v/>
      </c>
      <c r="AI162" s="1105" t="str">
        <f t="shared" ca="1" si="8"/>
        <v/>
      </c>
      <c r="AJ162" s="417" t="str">
        <f t="shared" ca="1" si="19"/>
        <v/>
      </c>
      <c r="AK162" s="1106" t="str">
        <f t="shared" ca="1" si="28"/>
        <v/>
      </c>
      <c r="AL162" s="1107" t="str">
        <f t="shared" ca="1" si="26"/>
        <v/>
      </c>
      <c r="BC162" s="40"/>
      <c r="BD162" s="40"/>
      <c r="BE162" s="40"/>
      <c r="BF162" s="40"/>
      <c r="BG162" s="40"/>
    </row>
    <row r="163" spans="1:59" ht="18" customHeight="1">
      <c r="A163" s="1095" t="str">
        <f ca="1"/>
        <v/>
      </c>
      <c r="B163" s="399" t="str">
        <f ca="1"/>
        <v/>
      </c>
      <c r="C163" s="399" t="str">
        <f ca="1"/>
        <v/>
      </c>
      <c r="D163" s="400" t="str">
        <f ca="1"/>
        <v/>
      </c>
      <c r="E163" s="401" t="str">
        <f t="shared" ca="1" si="10"/>
        <v/>
      </c>
      <c r="F163" s="411"/>
      <c r="G163" s="407"/>
      <c r="N163" s="376" t="str">
        <f t="shared" ca="1" si="20"/>
        <v/>
      </c>
      <c r="O163" s="377" t="str">
        <f t="shared" ca="1" si="11"/>
        <v/>
      </c>
      <c r="P163" s="371" t="str">
        <f t="shared" ca="1" si="21"/>
        <v/>
      </c>
      <c r="Q163" s="371" t="str">
        <f t="shared" ca="1" si="12"/>
        <v/>
      </c>
      <c r="R163" s="378" t="str">
        <f t="shared" ca="1" si="22"/>
        <v/>
      </c>
      <c r="S163" s="417" t="str">
        <f t="shared" ca="1" si="13"/>
        <v/>
      </c>
      <c r="U163" s="376" t="str">
        <f t="shared" ca="1" si="14"/>
        <v/>
      </c>
      <c r="V163" s="371" t="str">
        <f t="shared" ca="1" si="15"/>
        <v/>
      </c>
      <c r="W163" s="378" t="str">
        <f t="shared" ca="1" si="16"/>
        <v/>
      </c>
      <c r="X163" s="376" t="str">
        <f t="shared" ca="1" si="17"/>
        <v/>
      </c>
      <c r="Y163" s="1103" t="str">
        <f t="shared" ca="1" si="18"/>
        <v/>
      </c>
      <c r="Z163" s="1097"/>
      <c r="AA163" s="1108"/>
      <c r="AB163" s="1108"/>
      <c r="AC163" s="1108"/>
      <c r="AE163" s="1104" t="str">
        <f t="shared" ca="1" si="23"/>
        <v/>
      </c>
      <c r="AF163" s="371" t="str">
        <f t="shared" ca="1" si="24"/>
        <v/>
      </c>
      <c r="AG163" s="371" t="str">
        <f t="shared" ca="1" si="27"/>
        <v/>
      </c>
      <c r="AH163" s="371" t="str">
        <f t="shared" ca="1" si="25"/>
        <v/>
      </c>
      <c r="AI163" s="1105" t="str">
        <f t="shared" ca="1" si="8"/>
        <v/>
      </c>
      <c r="AJ163" s="417" t="str">
        <f t="shared" ca="1" si="19"/>
        <v/>
      </c>
      <c r="AK163" s="1106" t="str">
        <f t="shared" ca="1" si="28"/>
        <v/>
      </c>
      <c r="AL163" s="1107" t="str">
        <f t="shared" ca="1" si="26"/>
        <v/>
      </c>
      <c r="BC163" s="40"/>
      <c r="BD163" s="40"/>
      <c r="BE163" s="40"/>
      <c r="BF163" s="40"/>
      <c r="BG163" s="40"/>
    </row>
    <row r="164" spans="1:59" ht="18" customHeight="1">
      <c r="A164" s="1095" t="str">
        <f ca="1"/>
        <v/>
      </c>
      <c r="B164" s="399" t="str">
        <f ca="1"/>
        <v/>
      </c>
      <c r="C164" s="399" t="str">
        <f ca="1"/>
        <v/>
      </c>
      <c r="D164" s="400" t="str">
        <f ca="1"/>
        <v/>
      </c>
      <c r="E164" s="401" t="str">
        <f t="shared" ca="1" si="10"/>
        <v/>
      </c>
      <c r="F164" s="411"/>
      <c r="G164" s="407"/>
      <c r="N164" s="376" t="str">
        <f t="shared" ca="1" si="20"/>
        <v/>
      </c>
      <c r="O164" s="377" t="str">
        <f t="shared" ca="1" si="11"/>
        <v/>
      </c>
      <c r="P164" s="371" t="str">
        <f t="shared" ca="1" si="21"/>
        <v/>
      </c>
      <c r="Q164" s="371" t="str">
        <f t="shared" ca="1" si="12"/>
        <v/>
      </c>
      <c r="R164" s="378" t="str">
        <f t="shared" ca="1" si="22"/>
        <v/>
      </c>
      <c r="S164" s="417" t="str">
        <f t="shared" ca="1" si="13"/>
        <v/>
      </c>
      <c r="U164" s="376" t="str">
        <f t="shared" ca="1" si="14"/>
        <v/>
      </c>
      <c r="V164" s="371" t="str">
        <f t="shared" ca="1" si="15"/>
        <v/>
      </c>
      <c r="W164" s="378" t="str">
        <f t="shared" ca="1" si="16"/>
        <v/>
      </c>
      <c r="X164" s="376" t="str">
        <f t="shared" ca="1" si="17"/>
        <v/>
      </c>
      <c r="Y164" s="1103" t="str">
        <f t="shared" ca="1" si="18"/>
        <v/>
      </c>
      <c r="Z164" s="1097"/>
      <c r="AA164" s="1108"/>
      <c r="AB164" s="1108"/>
      <c r="AC164" s="1108"/>
      <c r="AE164" s="1104" t="str">
        <f t="shared" ca="1" si="23"/>
        <v/>
      </c>
      <c r="AF164" s="371" t="str">
        <f t="shared" ca="1" si="24"/>
        <v/>
      </c>
      <c r="AG164" s="371" t="str">
        <f t="shared" ca="1" si="27"/>
        <v/>
      </c>
      <c r="AH164" s="371" t="str">
        <f t="shared" ca="1" si="25"/>
        <v/>
      </c>
      <c r="AI164" s="1105" t="str">
        <f t="shared" ca="1" si="8"/>
        <v/>
      </c>
      <c r="AJ164" s="417" t="str">
        <f t="shared" ca="1" si="19"/>
        <v/>
      </c>
      <c r="AK164" s="1106" t="str">
        <f t="shared" ca="1" si="28"/>
        <v/>
      </c>
      <c r="AL164" s="1107" t="str">
        <f t="shared" ca="1" si="26"/>
        <v/>
      </c>
      <c r="BC164" s="40"/>
      <c r="BD164" s="40"/>
      <c r="BE164" s="40"/>
      <c r="BF164" s="40"/>
      <c r="BG164" s="40"/>
    </row>
    <row r="165" spans="1:59" ht="18" customHeight="1">
      <c r="A165" s="1095" t="str">
        <f ca="1"/>
        <v/>
      </c>
      <c r="B165" s="399" t="str">
        <f ca="1"/>
        <v/>
      </c>
      <c r="C165" s="399" t="str">
        <f ca="1"/>
        <v/>
      </c>
      <c r="D165" s="400" t="str">
        <f ca="1"/>
        <v/>
      </c>
      <c r="E165" s="401" t="str">
        <f t="shared" ca="1" si="10"/>
        <v/>
      </c>
      <c r="F165" s="411"/>
      <c r="G165" s="407"/>
      <c r="N165" s="376" t="str">
        <f t="shared" ca="1" si="20"/>
        <v/>
      </c>
      <c r="O165" s="377" t="str">
        <f t="shared" ca="1" si="11"/>
        <v/>
      </c>
      <c r="P165" s="371" t="str">
        <f t="shared" ca="1" si="21"/>
        <v/>
      </c>
      <c r="Q165" s="371" t="str">
        <f t="shared" ca="1" si="12"/>
        <v/>
      </c>
      <c r="R165" s="378" t="str">
        <f t="shared" ca="1" si="22"/>
        <v/>
      </c>
      <c r="S165" s="417" t="str">
        <f t="shared" ca="1" si="13"/>
        <v/>
      </c>
      <c r="U165" s="376" t="str">
        <f t="shared" ca="1" si="14"/>
        <v/>
      </c>
      <c r="V165" s="371" t="str">
        <f t="shared" ca="1" si="15"/>
        <v/>
      </c>
      <c r="W165" s="378" t="str">
        <f t="shared" ca="1" si="16"/>
        <v/>
      </c>
      <c r="X165" s="376" t="str">
        <f t="shared" ca="1" si="17"/>
        <v/>
      </c>
      <c r="Y165" s="1103" t="str">
        <f t="shared" ca="1" si="18"/>
        <v/>
      </c>
      <c r="Z165" s="1097"/>
      <c r="AA165" s="1108"/>
      <c r="AB165" s="1108"/>
      <c r="AC165" s="1108"/>
      <c r="AE165" s="1104" t="str">
        <f t="shared" ca="1" si="23"/>
        <v/>
      </c>
      <c r="AF165" s="371" t="str">
        <f t="shared" ca="1" si="24"/>
        <v/>
      </c>
      <c r="AG165" s="371" t="str">
        <f t="shared" ca="1" si="27"/>
        <v/>
      </c>
      <c r="AH165" s="371" t="str">
        <f t="shared" ca="1" si="25"/>
        <v/>
      </c>
      <c r="AI165" s="1105" t="str">
        <f t="shared" ca="1" si="8"/>
        <v/>
      </c>
      <c r="AJ165" s="417" t="str">
        <f t="shared" ca="1" si="19"/>
        <v/>
      </c>
      <c r="AK165" s="1106" t="str">
        <f t="shared" ca="1" si="28"/>
        <v/>
      </c>
      <c r="AL165" s="1107" t="str">
        <f t="shared" ca="1" si="26"/>
        <v/>
      </c>
      <c r="BC165" s="40"/>
      <c r="BD165" s="40"/>
      <c r="BE165" s="40"/>
      <c r="BF165" s="40"/>
      <c r="BG165" s="40"/>
    </row>
    <row r="166" spans="1:59" ht="18" customHeight="1">
      <c r="A166" s="1095" t="str">
        <f ca="1"/>
        <v/>
      </c>
      <c r="B166" s="399" t="str">
        <f ca="1"/>
        <v/>
      </c>
      <c r="C166" s="399" t="str">
        <f ca="1"/>
        <v/>
      </c>
      <c r="D166" s="400" t="str">
        <f ca="1"/>
        <v/>
      </c>
      <c r="E166" s="401" t="str">
        <f t="shared" ca="1" si="10"/>
        <v/>
      </c>
      <c r="F166" s="411"/>
      <c r="G166" s="407"/>
      <c r="N166" s="376" t="str">
        <f t="shared" ca="1" si="20"/>
        <v/>
      </c>
      <c r="O166" s="377" t="str">
        <f t="shared" ca="1" si="11"/>
        <v/>
      </c>
      <c r="P166" s="371" t="str">
        <f t="shared" ca="1" si="21"/>
        <v/>
      </c>
      <c r="Q166" s="371" t="str">
        <f t="shared" ca="1" si="12"/>
        <v/>
      </c>
      <c r="R166" s="378" t="str">
        <f t="shared" ca="1" si="22"/>
        <v/>
      </c>
      <c r="S166" s="417" t="str">
        <f t="shared" ca="1" si="13"/>
        <v/>
      </c>
      <c r="U166" s="376" t="str">
        <f t="shared" ca="1" si="14"/>
        <v/>
      </c>
      <c r="V166" s="371" t="str">
        <f t="shared" ca="1" si="15"/>
        <v/>
      </c>
      <c r="W166" s="378" t="str">
        <f t="shared" ca="1" si="16"/>
        <v/>
      </c>
      <c r="X166" s="376" t="str">
        <f t="shared" ca="1" si="17"/>
        <v/>
      </c>
      <c r="Y166" s="1103" t="str">
        <f t="shared" ca="1" si="18"/>
        <v/>
      </c>
      <c r="Z166" s="1097"/>
      <c r="AA166" s="1108"/>
      <c r="AB166" s="1108"/>
      <c r="AC166" s="1108"/>
      <c r="AE166" s="1104" t="str">
        <f t="shared" ca="1" si="23"/>
        <v/>
      </c>
      <c r="AF166" s="371" t="str">
        <f t="shared" ca="1" si="24"/>
        <v/>
      </c>
      <c r="AG166" s="371" t="str">
        <f t="shared" ca="1" si="27"/>
        <v/>
      </c>
      <c r="AH166" s="371" t="str">
        <f t="shared" ca="1" si="25"/>
        <v/>
      </c>
      <c r="AI166" s="1105" t="str">
        <f t="shared" ca="1" si="8"/>
        <v/>
      </c>
      <c r="AJ166" s="417" t="str">
        <f t="shared" ca="1" si="19"/>
        <v/>
      </c>
      <c r="AK166" s="1106" t="str">
        <f t="shared" ca="1" si="28"/>
        <v/>
      </c>
      <c r="AL166" s="1107" t="str">
        <f t="shared" ca="1" si="26"/>
        <v/>
      </c>
      <c r="BC166" s="40"/>
      <c r="BD166" s="40"/>
      <c r="BE166" s="40"/>
      <c r="BF166" s="40"/>
      <c r="BG166" s="40"/>
    </row>
    <row r="167" spans="1:59" ht="18" customHeight="1">
      <c r="A167" s="1095" t="str">
        <f ca="1"/>
        <v/>
      </c>
      <c r="B167" s="399" t="str">
        <f ca="1"/>
        <v/>
      </c>
      <c r="C167" s="399" t="str">
        <f ca="1"/>
        <v/>
      </c>
      <c r="D167" s="400" t="str">
        <f ca="1"/>
        <v/>
      </c>
      <c r="E167" s="401" t="str">
        <f t="shared" ca="1" si="10"/>
        <v/>
      </c>
      <c r="F167" s="411"/>
      <c r="G167" s="407"/>
      <c r="N167" s="376" t="str">
        <f t="shared" ca="1" si="20"/>
        <v/>
      </c>
      <c r="O167" s="377" t="str">
        <f t="shared" ca="1" si="11"/>
        <v/>
      </c>
      <c r="P167" s="371" t="str">
        <f t="shared" ca="1" si="21"/>
        <v/>
      </c>
      <c r="Q167" s="371" t="str">
        <f t="shared" ca="1" si="12"/>
        <v/>
      </c>
      <c r="R167" s="378" t="str">
        <f t="shared" ca="1" si="22"/>
        <v/>
      </c>
      <c r="S167" s="417" t="str">
        <f t="shared" ca="1" si="13"/>
        <v/>
      </c>
      <c r="U167" s="376" t="str">
        <f t="shared" ca="1" si="14"/>
        <v/>
      </c>
      <c r="V167" s="371" t="str">
        <f t="shared" ca="1" si="15"/>
        <v/>
      </c>
      <c r="W167" s="378" t="str">
        <f t="shared" ca="1" si="16"/>
        <v/>
      </c>
      <c r="X167" s="376" t="str">
        <f t="shared" ca="1" si="17"/>
        <v/>
      </c>
      <c r="Y167" s="1103" t="str">
        <f t="shared" ca="1" si="18"/>
        <v/>
      </c>
      <c r="Z167" s="1097"/>
      <c r="AA167" s="1108"/>
      <c r="AB167" s="1108"/>
      <c r="AC167" s="1108"/>
      <c r="AE167" s="1104" t="str">
        <f t="shared" ca="1" si="23"/>
        <v/>
      </c>
      <c r="AF167" s="371" t="str">
        <f t="shared" ca="1" si="24"/>
        <v/>
      </c>
      <c r="AG167" s="371" t="str">
        <f t="shared" ca="1" si="27"/>
        <v/>
      </c>
      <c r="AH167" s="371" t="str">
        <f t="shared" ca="1" si="25"/>
        <v/>
      </c>
      <c r="AI167" s="1105" t="str">
        <f t="shared" ca="1" si="8"/>
        <v/>
      </c>
      <c r="AJ167" s="417" t="str">
        <f t="shared" ca="1" si="19"/>
        <v/>
      </c>
      <c r="AK167" s="1106" t="str">
        <f t="shared" ca="1" si="28"/>
        <v/>
      </c>
      <c r="AL167" s="1107" t="str">
        <f t="shared" ca="1" si="26"/>
        <v/>
      </c>
      <c r="BC167" s="40"/>
      <c r="BD167" s="40"/>
      <c r="BE167" s="40"/>
      <c r="BF167" s="40"/>
      <c r="BG167" s="40"/>
    </row>
    <row r="168" spans="1:59" ht="18" customHeight="1">
      <c r="A168" s="1095" t="str">
        <f ca="1"/>
        <v/>
      </c>
      <c r="B168" s="399" t="str">
        <f ca="1"/>
        <v/>
      </c>
      <c r="C168" s="399" t="str">
        <f ca="1"/>
        <v/>
      </c>
      <c r="D168" s="400" t="str">
        <f ca="1"/>
        <v/>
      </c>
      <c r="E168" s="401" t="str">
        <f t="shared" ca="1" si="10"/>
        <v/>
      </c>
      <c r="F168" s="411"/>
      <c r="G168" s="407"/>
      <c r="N168" s="376" t="str">
        <f t="shared" ca="1" si="20"/>
        <v/>
      </c>
      <c r="O168" s="377" t="str">
        <f t="shared" ca="1" si="11"/>
        <v/>
      </c>
      <c r="P168" s="371" t="str">
        <f t="shared" ca="1" si="21"/>
        <v/>
      </c>
      <c r="Q168" s="371" t="str">
        <f t="shared" ca="1" si="12"/>
        <v/>
      </c>
      <c r="R168" s="378" t="str">
        <f t="shared" ca="1" si="22"/>
        <v/>
      </c>
      <c r="S168" s="417" t="str">
        <f t="shared" ca="1" si="13"/>
        <v/>
      </c>
      <c r="U168" s="376" t="str">
        <f t="shared" ca="1" si="14"/>
        <v/>
      </c>
      <c r="V168" s="371" t="str">
        <f t="shared" ca="1" si="15"/>
        <v/>
      </c>
      <c r="W168" s="378" t="str">
        <f t="shared" ca="1" si="16"/>
        <v/>
      </c>
      <c r="X168" s="376" t="str">
        <f t="shared" ca="1" si="17"/>
        <v/>
      </c>
      <c r="Y168" s="1103" t="str">
        <f t="shared" ca="1" si="18"/>
        <v/>
      </c>
      <c r="Z168" s="1097"/>
      <c r="AA168" s="1108"/>
      <c r="AB168" s="1108"/>
      <c r="AC168" s="1108"/>
      <c r="AE168" s="1104" t="str">
        <f t="shared" ca="1" si="23"/>
        <v/>
      </c>
      <c r="AF168" s="371" t="str">
        <f t="shared" ca="1" si="24"/>
        <v/>
      </c>
      <c r="AG168" s="371" t="str">
        <f t="shared" ca="1" si="27"/>
        <v/>
      </c>
      <c r="AH168" s="371" t="str">
        <f t="shared" ca="1" si="25"/>
        <v/>
      </c>
      <c r="AI168" s="1105" t="str">
        <f t="shared" ca="1" si="8"/>
        <v/>
      </c>
      <c r="AJ168" s="417" t="str">
        <f t="shared" ca="1" si="19"/>
        <v/>
      </c>
      <c r="AK168" s="1106" t="str">
        <f t="shared" ca="1" si="28"/>
        <v/>
      </c>
      <c r="AL168" s="1107" t="str">
        <f t="shared" ca="1" si="26"/>
        <v/>
      </c>
      <c r="BC168" s="40"/>
      <c r="BD168" s="40"/>
      <c r="BE168" s="40"/>
      <c r="BF168" s="40"/>
      <c r="BG168" s="40"/>
    </row>
    <row r="169" spans="1:59" ht="18" customHeight="1">
      <c r="A169" s="1095" t="str">
        <f ca="1"/>
        <v/>
      </c>
      <c r="B169" s="399" t="str">
        <f ca="1"/>
        <v/>
      </c>
      <c r="C169" s="399" t="str">
        <f ca="1"/>
        <v/>
      </c>
      <c r="D169" s="400" t="str">
        <f ca="1"/>
        <v/>
      </c>
      <c r="E169" s="401" t="str">
        <f t="shared" ca="1" si="10"/>
        <v/>
      </c>
      <c r="F169" s="411"/>
      <c r="G169" s="407"/>
      <c r="N169" s="376" t="str">
        <f t="shared" ca="1" si="20"/>
        <v/>
      </c>
      <c r="O169" s="377" t="str">
        <f t="shared" ca="1" si="11"/>
        <v/>
      </c>
      <c r="P169" s="371" t="str">
        <f t="shared" ca="1" si="21"/>
        <v/>
      </c>
      <c r="Q169" s="371" t="str">
        <f t="shared" ca="1" si="12"/>
        <v/>
      </c>
      <c r="R169" s="378" t="str">
        <f t="shared" ca="1" si="22"/>
        <v/>
      </c>
      <c r="S169" s="417" t="str">
        <f t="shared" ca="1" si="13"/>
        <v/>
      </c>
      <c r="U169" s="376" t="str">
        <f t="shared" ca="1" si="14"/>
        <v/>
      </c>
      <c r="V169" s="371" t="str">
        <f t="shared" ca="1" si="15"/>
        <v/>
      </c>
      <c r="W169" s="378" t="str">
        <f t="shared" ca="1" si="16"/>
        <v/>
      </c>
      <c r="X169" s="376" t="str">
        <f t="shared" ca="1" si="17"/>
        <v/>
      </c>
      <c r="Y169" s="1103" t="str">
        <f t="shared" ca="1" si="18"/>
        <v/>
      </c>
      <c r="Z169" s="1097"/>
      <c r="AA169" s="1108"/>
      <c r="AB169" s="1108"/>
      <c r="AC169" s="1108"/>
      <c r="AE169" s="1104" t="str">
        <f t="shared" ca="1" si="23"/>
        <v/>
      </c>
      <c r="AF169" s="371" t="str">
        <f t="shared" ca="1" si="24"/>
        <v/>
      </c>
      <c r="AG169" s="371" t="str">
        <f t="shared" ca="1" si="27"/>
        <v/>
      </c>
      <c r="AH169" s="371" t="str">
        <f t="shared" ca="1" si="25"/>
        <v/>
      </c>
      <c r="AI169" s="1105" t="str">
        <f t="shared" ca="1" si="8"/>
        <v/>
      </c>
      <c r="AJ169" s="417" t="str">
        <f t="shared" ca="1" si="19"/>
        <v/>
      </c>
      <c r="AK169" s="1106" t="str">
        <f t="shared" ca="1" si="28"/>
        <v/>
      </c>
      <c r="AL169" s="1107" t="str">
        <f t="shared" ca="1" si="26"/>
        <v/>
      </c>
      <c r="BC169" s="40"/>
      <c r="BD169" s="40"/>
      <c r="BE169" s="40"/>
      <c r="BF169" s="40"/>
      <c r="BG169" s="40"/>
    </row>
    <row r="170" spans="1:59" ht="18" customHeight="1">
      <c r="A170" s="1095" t="str">
        <f ca="1"/>
        <v/>
      </c>
      <c r="B170" s="399" t="str">
        <f ca="1"/>
        <v/>
      </c>
      <c r="C170" s="399" t="str">
        <f ca="1"/>
        <v/>
      </c>
      <c r="D170" s="400" t="str">
        <f ca="1"/>
        <v/>
      </c>
      <c r="E170" s="401" t="str">
        <f t="shared" ca="1" si="10"/>
        <v/>
      </c>
      <c r="F170" s="411"/>
      <c r="G170" s="407"/>
      <c r="N170" s="376" t="str">
        <f t="shared" ca="1" si="20"/>
        <v/>
      </c>
      <c r="O170" s="377" t="str">
        <f t="shared" ca="1" si="11"/>
        <v/>
      </c>
      <c r="P170" s="371" t="str">
        <f t="shared" ca="1" si="21"/>
        <v/>
      </c>
      <c r="Q170" s="371" t="str">
        <f t="shared" ca="1" si="12"/>
        <v/>
      </c>
      <c r="R170" s="378" t="str">
        <f t="shared" ca="1" si="22"/>
        <v/>
      </c>
      <c r="S170" s="417" t="str">
        <f t="shared" ca="1" si="13"/>
        <v/>
      </c>
      <c r="U170" s="376" t="str">
        <f t="shared" ca="1" si="14"/>
        <v/>
      </c>
      <c r="V170" s="371" t="str">
        <f t="shared" ca="1" si="15"/>
        <v/>
      </c>
      <c r="W170" s="378" t="str">
        <f t="shared" ca="1" si="16"/>
        <v/>
      </c>
      <c r="X170" s="376" t="str">
        <f t="shared" ca="1" si="17"/>
        <v/>
      </c>
      <c r="Y170" s="1103" t="str">
        <f t="shared" ca="1" si="18"/>
        <v/>
      </c>
      <c r="Z170" s="1097"/>
      <c r="AA170" s="1108"/>
      <c r="AB170" s="1108"/>
      <c r="AC170" s="1108"/>
      <c r="AE170" s="1104" t="str">
        <f t="shared" ca="1" si="23"/>
        <v/>
      </c>
      <c r="AF170" s="371" t="str">
        <f t="shared" ca="1" si="24"/>
        <v/>
      </c>
      <c r="AG170" s="371" t="str">
        <f t="shared" ca="1" si="27"/>
        <v/>
      </c>
      <c r="AH170" s="371" t="str">
        <f t="shared" ca="1" si="25"/>
        <v/>
      </c>
      <c r="AI170" s="1105" t="str">
        <f t="shared" ca="1" si="8"/>
        <v/>
      </c>
      <c r="AJ170" s="417" t="str">
        <f t="shared" ca="1" si="19"/>
        <v/>
      </c>
      <c r="AK170" s="1106" t="str">
        <f t="shared" ca="1" si="28"/>
        <v/>
      </c>
      <c r="AL170" s="1107" t="str">
        <f t="shared" ca="1" si="26"/>
        <v/>
      </c>
      <c r="BC170" s="40"/>
      <c r="BD170" s="40"/>
      <c r="BE170" s="40"/>
      <c r="BF170" s="40"/>
      <c r="BG170" s="40"/>
    </row>
    <row r="171" spans="1:59" ht="18" customHeight="1">
      <c r="A171" s="1095" t="str">
        <f ca="1"/>
        <v/>
      </c>
      <c r="B171" s="399" t="str">
        <f ca="1"/>
        <v/>
      </c>
      <c r="C171" s="399" t="str">
        <f ca="1"/>
        <v/>
      </c>
      <c r="D171" s="400" t="str">
        <f ca="1"/>
        <v/>
      </c>
      <c r="E171" s="401" t="str">
        <f t="shared" ca="1" si="10"/>
        <v/>
      </c>
      <c r="F171" s="411"/>
      <c r="G171" s="407"/>
      <c r="N171" s="376" t="str">
        <f t="shared" ca="1" si="20"/>
        <v/>
      </c>
      <c r="O171" s="377" t="str">
        <f t="shared" ca="1" si="11"/>
        <v/>
      </c>
      <c r="P171" s="371" t="str">
        <f t="shared" ca="1" si="21"/>
        <v/>
      </c>
      <c r="Q171" s="371" t="str">
        <f t="shared" ca="1" si="12"/>
        <v/>
      </c>
      <c r="R171" s="378" t="str">
        <f t="shared" ca="1" si="22"/>
        <v/>
      </c>
      <c r="S171" s="417" t="str">
        <f t="shared" ca="1" si="13"/>
        <v/>
      </c>
      <c r="U171" s="376" t="str">
        <f t="shared" ca="1" si="14"/>
        <v/>
      </c>
      <c r="V171" s="371" t="str">
        <f t="shared" ca="1" si="15"/>
        <v/>
      </c>
      <c r="W171" s="378" t="str">
        <f t="shared" ca="1" si="16"/>
        <v/>
      </c>
      <c r="X171" s="376" t="str">
        <f t="shared" ca="1" si="17"/>
        <v/>
      </c>
      <c r="Y171" s="1103" t="str">
        <f t="shared" ca="1" si="18"/>
        <v/>
      </c>
      <c r="Z171" s="1097"/>
      <c r="AA171" s="1108"/>
      <c r="AB171" s="1108"/>
      <c r="AC171" s="1108"/>
      <c r="AE171" s="1104" t="str">
        <f t="shared" ca="1" si="23"/>
        <v/>
      </c>
      <c r="AF171" s="371" t="str">
        <f t="shared" ca="1" si="24"/>
        <v/>
      </c>
      <c r="AG171" s="371" t="str">
        <f t="shared" ca="1" si="27"/>
        <v/>
      </c>
      <c r="AH171" s="371" t="str">
        <f t="shared" ca="1" si="25"/>
        <v/>
      </c>
      <c r="AI171" s="1105" t="str">
        <f t="shared" ca="1" si="8"/>
        <v/>
      </c>
      <c r="AJ171" s="417" t="str">
        <f t="shared" ca="1" si="19"/>
        <v/>
      </c>
      <c r="AK171" s="1106" t="str">
        <f t="shared" ca="1" si="28"/>
        <v/>
      </c>
      <c r="AL171" s="1107" t="str">
        <f t="shared" ca="1" si="26"/>
        <v/>
      </c>
      <c r="BC171" s="40"/>
      <c r="BD171" s="40"/>
      <c r="BE171" s="40"/>
      <c r="BF171" s="40"/>
      <c r="BG171" s="40"/>
    </row>
    <row r="172" spans="1:59" ht="18" customHeight="1">
      <c r="A172" s="1095" t="str">
        <f ca="1"/>
        <v/>
      </c>
      <c r="B172" s="399" t="str">
        <f ca="1"/>
        <v/>
      </c>
      <c r="C172" s="399" t="str">
        <f ca="1"/>
        <v/>
      </c>
      <c r="D172" s="400" t="str">
        <f ca="1"/>
        <v/>
      </c>
      <c r="E172" s="401" t="str">
        <f t="shared" ca="1" si="10"/>
        <v/>
      </c>
      <c r="F172" s="411"/>
      <c r="G172" s="407"/>
      <c r="N172" s="376" t="str">
        <f t="shared" ca="1" si="20"/>
        <v/>
      </c>
      <c r="O172" s="377" t="str">
        <f t="shared" ca="1" si="11"/>
        <v/>
      </c>
      <c r="P172" s="371" t="str">
        <f t="shared" ca="1" si="21"/>
        <v/>
      </c>
      <c r="Q172" s="371" t="str">
        <f t="shared" ca="1" si="12"/>
        <v/>
      </c>
      <c r="R172" s="378" t="str">
        <f t="shared" ca="1" si="22"/>
        <v/>
      </c>
      <c r="S172" s="417" t="str">
        <f t="shared" ca="1" si="13"/>
        <v/>
      </c>
      <c r="U172" s="376" t="str">
        <f t="shared" ca="1" si="14"/>
        <v/>
      </c>
      <c r="V172" s="371" t="str">
        <f t="shared" ca="1" si="15"/>
        <v/>
      </c>
      <c r="W172" s="378" t="str">
        <f t="shared" ca="1" si="16"/>
        <v/>
      </c>
      <c r="X172" s="376" t="str">
        <f t="shared" ca="1" si="17"/>
        <v/>
      </c>
      <c r="Y172" s="1103" t="str">
        <f t="shared" ca="1" si="18"/>
        <v/>
      </c>
      <c r="Z172" s="1097"/>
      <c r="AA172" s="1108"/>
      <c r="AB172" s="1108"/>
      <c r="AC172" s="1108"/>
      <c r="AE172" s="1104" t="str">
        <f t="shared" ca="1" si="23"/>
        <v/>
      </c>
      <c r="AF172" s="371" t="str">
        <f t="shared" ca="1" si="24"/>
        <v/>
      </c>
      <c r="AG172" s="371" t="str">
        <f t="shared" ca="1" si="27"/>
        <v/>
      </c>
      <c r="AH172" s="371" t="str">
        <f t="shared" ca="1" si="25"/>
        <v/>
      </c>
      <c r="AI172" s="1105" t="str">
        <f t="shared" ca="1" si="8"/>
        <v/>
      </c>
      <c r="AJ172" s="417" t="str">
        <f t="shared" ca="1" si="19"/>
        <v/>
      </c>
      <c r="AK172" s="1106" t="str">
        <f t="shared" ca="1" si="28"/>
        <v/>
      </c>
      <c r="AL172" s="1107" t="str">
        <f t="shared" ca="1" si="26"/>
        <v/>
      </c>
      <c r="BC172" s="40"/>
      <c r="BD172" s="40"/>
      <c r="BE172" s="40"/>
      <c r="BF172" s="40"/>
      <c r="BG172" s="40"/>
    </row>
    <row r="173" spans="1:59" ht="18" customHeight="1">
      <c r="A173" s="1095" t="str">
        <f ca="1"/>
        <v/>
      </c>
      <c r="B173" s="399" t="str">
        <f ca="1"/>
        <v/>
      </c>
      <c r="C173" s="399" t="str">
        <f ca="1"/>
        <v/>
      </c>
      <c r="D173" s="400" t="str">
        <f ca="1"/>
        <v/>
      </c>
      <c r="E173" s="401" t="str">
        <f t="shared" ca="1" si="10"/>
        <v/>
      </c>
      <c r="F173" s="411"/>
      <c r="G173" s="407"/>
      <c r="N173" s="376" t="str">
        <f t="shared" ca="1" si="20"/>
        <v/>
      </c>
      <c r="O173" s="377" t="str">
        <f t="shared" ca="1" si="11"/>
        <v/>
      </c>
      <c r="P173" s="371" t="str">
        <f t="shared" ca="1" si="21"/>
        <v/>
      </c>
      <c r="Q173" s="371" t="str">
        <f t="shared" ca="1" si="12"/>
        <v/>
      </c>
      <c r="R173" s="378" t="str">
        <f t="shared" ca="1" si="22"/>
        <v/>
      </c>
      <c r="S173" s="417" t="str">
        <f t="shared" ca="1" si="13"/>
        <v/>
      </c>
      <c r="U173" s="376" t="str">
        <f t="shared" ca="1" si="14"/>
        <v/>
      </c>
      <c r="V173" s="371" t="str">
        <f t="shared" ca="1" si="15"/>
        <v/>
      </c>
      <c r="W173" s="378" t="str">
        <f t="shared" ca="1" si="16"/>
        <v/>
      </c>
      <c r="X173" s="376" t="str">
        <f t="shared" ca="1" si="17"/>
        <v/>
      </c>
      <c r="Y173" s="1103" t="str">
        <f t="shared" ca="1" si="18"/>
        <v/>
      </c>
      <c r="Z173" s="1097"/>
      <c r="AA173" s="1108"/>
      <c r="AB173" s="1108"/>
      <c r="AC173" s="1108"/>
      <c r="AE173" s="1104" t="str">
        <f t="shared" ca="1" si="23"/>
        <v/>
      </c>
      <c r="AF173" s="371" t="str">
        <f t="shared" ca="1" si="24"/>
        <v/>
      </c>
      <c r="AG173" s="371" t="str">
        <f t="shared" ca="1" si="27"/>
        <v/>
      </c>
      <c r="AH173" s="371" t="str">
        <f t="shared" ca="1" si="25"/>
        <v/>
      </c>
      <c r="AI173" s="1105" t="str">
        <f t="shared" ca="1" si="8"/>
        <v/>
      </c>
      <c r="AJ173" s="417" t="str">
        <f t="shared" ca="1" si="19"/>
        <v/>
      </c>
      <c r="AK173" s="1106" t="str">
        <f t="shared" ca="1" si="28"/>
        <v/>
      </c>
      <c r="AL173" s="1107" t="str">
        <f t="shared" ca="1" si="26"/>
        <v/>
      </c>
      <c r="BC173" s="40"/>
      <c r="BD173" s="40"/>
      <c r="BE173" s="40"/>
      <c r="BF173" s="40"/>
      <c r="BG173" s="40"/>
    </row>
    <row r="174" spans="1:59" ht="18" customHeight="1">
      <c r="A174" s="1095" t="str">
        <f ca="1"/>
        <v/>
      </c>
      <c r="B174" s="399" t="str">
        <f ca="1"/>
        <v/>
      </c>
      <c r="C174" s="399" t="str">
        <f ca="1"/>
        <v/>
      </c>
      <c r="D174" s="400" t="str">
        <f ca="1"/>
        <v/>
      </c>
      <c r="E174" s="401" t="str">
        <f t="shared" ca="1" si="10"/>
        <v/>
      </c>
      <c r="F174" s="411"/>
      <c r="G174" s="407"/>
      <c r="N174" s="376" t="str">
        <f t="shared" ca="1" si="20"/>
        <v/>
      </c>
      <c r="O174" s="377" t="str">
        <f t="shared" ca="1" si="11"/>
        <v/>
      </c>
      <c r="P174" s="371" t="str">
        <f t="shared" ca="1" si="21"/>
        <v/>
      </c>
      <c r="Q174" s="371" t="str">
        <f t="shared" ca="1" si="12"/>
        <v/>
      </c>
      <c r="R174" s="378" t="str">
        <f t="shared" ca="1" si="22"/>
        <v/>
      </c>
      <c r="S174" s="417" t="str">
        <f t="shared" ca="1" si="13"/>
        <v/>
      </c>
      <c r="U174" s="376" t="str">
        <f t="shared" ca="1" si="14"/>
        <v/>
      </c>
      <c r="V174" s="371" t="str">
        <f t="shared" ca="1" si="15"/>
        <v/>
      </c>
      <c r="W174" s="378" t="str">
        <f t="shared" ca="1" si="16"/>
        <v/>
      </c>
      <c r="X174" s="376" t="str">
        <f t="shared" ca="1" si="17"/>
        <v/>
      </c>
      <c r="Y174" s="1103" t="str">
        <f t="shared" ca="1" si="18"/>
        <v/>
      </c>
      <c r="Z174" s="1097"/>
      <c r="AA174" s="1108"/>
      <c r="AB174" s="1108"/>
      <c r="AC174" s="1108"/>
      <c r="AE174" s="1104" t="str">
        <f t="shared" ca="1" si="23"/>
        <v/>
      </c>
      <c r="AF174" s="371" t="str">
        <f t="shared" ca="1" si="24"/>
        <v/>
      </c>
      <c r="AG174" s="371" t="str">
        <f t="shared" ca="1" si="27"/>
        <v/>
      </c>
      <c r="AH174" s="371" t="str">
        <f t="shared" ca="1" si="25"/>
        <v/>
      </c>
      <c r="AI174" s="1105" t="str">
        <f t="shared" ca="1" si="8"/>
        <v/>
      </c>
      <c r="AJ174" s="417" t="str">
        <f t="shared" ca="1" si="19"/>
        <v/>
      </c>
      <c r="AK174" s="1106" t="str">
        <f t="shared" ca="1" si="28"/>
        <v/>
      </c>
      <c r="AL174" s="1107" t="str">
        <f t="shared" ca="1" si="26"/>
        <v/>
      </c>
      <c r="BC174" s="40"/>
      <c r="BD174" s="40"/>
      <c r="BE174" s="40"/>
      <c r="BF174" s="40"/>
      <c r="BG174" s="40"/>
    </row>
    <row r="175" spans="1:59" ht="18" customHeight="1">
      <c r="A175" s="1095" t="str">
        <f ca="1"/>
        <v/>
      </c>
      <c r="B175" s="399" t="str">
        <f ca="1"/>
        <v/>
      </c>
      <c r="C175" s="399" t="str">
        <f ca="1"/>
        <v/>
      </c>
      <c r="D175" s="400" t="str">
        <f ca="1"/>
        <v/>
      </c>
      <c r="E175" s="401" t="str">
        <f t="shared" ca="1" si="10"/>
        <v/>
      </c>
      <c r="F175" s="411"/>
      <c r="G175" s="407"/>
      <c r="N175" s="376" t="str">
        <f t="shared" ca="1" si="20"/>
        <v/>
      </c>
      <c r="O175" s="377" t="str">
        <f t="shared" ca="1" si="11"/>
        <v/>
      </c>
      <c r="P175" s="371" t="str">
        <f t="shared" ca="1" si="21"/>
        <v/>
      </c>
      <c r="Q175" s="371" t="str">
        <f t="shared" ca="1" si="12"/>
        <v/>
      </c>
      <c r="R175" s="378" t="str">
        <f t="shared" ca="1" si="22"/>
        <v/>
      </c>
      <c r="S175" s="417" t="str">
        <f t="shared" ca="1" si="13"/>
        <v/>
      </c>
      <c r="U175" s="376" t="str">
        <f t="shared" ca="1" si="14"/>
        <v/>
      </c>
      <c r="V175" s="371" t="str">
        <f t="shared" ca="1" si="15"/>
        <v/>
      </c>
      <c r="W175" s="378" t="str">
        <f t="shared" ca="1" si="16"/>
        <v/>
      </c>
      <c r="X175" s="376" t="str">
        <f t="shared" ca="1" si="17"/>
        <v/>
      </c>
      <c r="Y175" s="1103" t="str">
        <f t="shared" ca="1" si="18"/>
        <v/>
      </c>
      <c r="Z175" s="1097"/>
      <c r="AA175" s="1108"/>
      <c r="AB175" s="1108"/>
      <c r="AC175" s="1108"/>
      <c r="AE175" s="1104" t="str">
        <f t="shared" ca="1" si="23"/>
        <v/>
      </c>
      <c r="AF175" s="371" t="str">
        <f t="shared" ca="1" si="24"/>
        <v/>
      </c>
      <c r="AG175" s="371" t="str">
        <f t="shared" ca="1" si="27"/>
        <v/>
      </c>
      <c r="AH175" s="371" t="str">
        <f t="shared" ca="1" si="25"/>
        <v/>
      </c>
      <c r="AI175" s="1105" t="str">
        <f t="shared" ca="1" si="8"/>
        <v/>
      </c>
      <c r="AJ175" s="417" t="str">
        <f t="shared" ca="1" si="19"/>
        <v/>
      </c>
      <c r="AK175" s="1106" t="str">
        <f t="shared" ca="1" si="28"/>
        <v/>
      </c>
      <c r="AL175" s="1107" t="str">
        <f t="shared" ca="1" si="26"/>
        <v/>
      </c>
      <c r="BC175" s="40"/>
      <c r="BD175" s="40"/>
      <c r="BE175" s="40"/>
      <c r="BF175" s="40"/>
      <c r="BG175" s="40"/>
    </row>
    <row r="176" spans="1:59" ht="18" customHeight="1">
      <c r="A176" s="1095" t="str">
        <f ca="1"/>
        <v/>
      </c>
      <c r="B176" s="399" t="str">
        <f ca="1"/>
        <v/>
      </c>
      <c r="C176" s="399" t="str">
        <f ca="1"/>
        <v/>
      </c>
      <c r="D176" s="400" t="str">
        <f ca="1"/>
        <v/>
      </c>
      <c r="E176" s="401" t="str">
        <f t="shared" ca="1" si="10"/>
        <v/>
      </c>
      <c r="F176" s="411"/>
      <c r="G176" s="407"/>
      <c r="N176" s="376" t="str">
        <f t="shared" ca="1" si="20"/>
        <v/>
      </c>
      <c r="O176" s="377" t="str">
        <f t="shared" ca="1" si="11"/>
        <v/>
      </c>
      <c r="P176" s="371" t="str">
        <f t="shared" ca="1" si="21"/>
        <v/>
      </c>
      <c r="Q176" s="371" t="str">
        <f t="shared" ca="1" si="12"/>
        <v/>
      </c>
      <c r="R176" s="378" t="str">
        <f t="shared" ca="1" si="22"/>
        <v/>
      </c>
      <c r="S176" s="417" t="str">
        <f t="shared" ca="1" si="13"/>
        <v/>
      </c>
      <c r="U176" s="376" t="str">
        <f t="shared" ca="1" si="14"/>
        <v/>
      </c>
      <c r="V176" s="371" t="str">
        <f t="shared" ca="1" si="15"/>
        <v/>
      </c>
      <c r="W176" s="378" t="str">
        <f t="shared" ca="1" si="16"/>
        <v/>
      </c>
      <c r="X176" s="376" t="str">
        <f t="shared" ca="1" si="17"/>
        <v/>
      </c>
      <c r="Y176" s="1103" t="str">
        <f t="shared" ca="1" si="18"/>
        <v/>
      </c>
      <c r="Z176" s="1097"/>
      <c r="AA176" s="1108"/>
      <c r="AB176" s="1108"/>
      <c r="AC176" s="1108"/>
      <c r="AE176" s="1104" t="str">
        <f t="shared" ca="1" si="23"/>
        <v/>
      </c>
      <c r="AF176" s="371" t="str">
        <f t="shared" ca="1" si="24"/>
        <v/>
      </c>
      <c r="AG176" s="371" t="str">
        <f t="shared" ca="1" si="27"/>
        <v/>
      </c>
      <c r="AH176" s="371" t="str">
        <f t="shared" ca="1" si="25"/>
        <v/>
      </c>
      <c r="AI176" s="1105" t="str">
        <f t="shared" ca="1" si="8"/>
        <v/>
      </c>
      <c r="AJ176" s="417" t="str">
        <f t="shared" ca="1" si="19"/>
        <v/>
      </c>
      <c r="AK176" s="1106" t="str">
        <f t="shared" ca="1" si="28"/>
        <v/>
      </c>
      <c r="AL176" s="1107" t="str">
        <f t="shared" ca="1" si="26"/>
        <v/>
      </c>
      <c r="BC176" s="40"/>
      <c r="BD176" s="40"/>
      <c r="BE176" s="40"/>
      <c r="BF176" s="40"/>
      <c r="BG176" s="40"/>
    </row>
    <row r="177" spans="1:59" ht="18" customHeight="1">
      <c r="A177" s="1095" t="str">
        <f ca="1"/>
        <v/>
      </c>
      <c r="B177" s="399" t="str">
        <f ca="1"/>
        <v/>
      </c>
      <c r="C177" s="399" t="str">
        <f ca="1"/>
        <v/>
      </c>
      <c r="D177" s="400" t="str">
        <f ca="1"/>
        <v/>
      </c>
      <c r="E177" s="401" t="str">
        <f t="shared" ca="1" si="10"/>
        <v/>
      </c>
      <c r="F177" s="411"/>
      <c r="G177" s="407"/>
      <c r="N177" s="376" t="str">
        <f t="shared" ca="1" si="20"/>
        <v/>
      </c>
      <c r="O177" s="377" t="str">
        <f t="shared" ca="1" si="11"/>
        <v/>
      </c>
      <c r="P177" s="371" t="str">
        <f t="shared" ca="1" si="21"/>
        <v/>
      </c>
      <c r="Q177" s="371" t="str">
        <f t="shared" ca="1" si="12"/>
        <v/>
      </c>
      <c r="R177" s="378" t="str">
        <f t="shared" ca="1" si="22"/>
        <v/>
      </c>
      <c r="S177" s="417" t="str">
        <f t="shared" ca="1" si="13"/>
        <v/>
      </c>
      <c r="U177" s="376" t="str">
        <f t="shared" ca="1" si="14"/>
        <v/>
      </c>
      <c r="V177" s="371" t="str">
        <f t="shared" ca="1" si="15"/>
        <v/>
      </c>
      <c r="W177" s="378" t="str">
        <f t="shared" ca="1" si="16"/>
        <v/>
      </c>
      <c r="X177" s="376" t="str">
        <f t="shared" ca="1" si="17"/>
        <v/>
      </c>
      <c r="Y177" s="1103" t="str">
        <f t="shared" ca="1" si="18"/>
        <v/>
      </c>
      <c r="Z177" s="1097"/>
      <c r="AA177" s="1108"/>
      <c r="AB177" s="1108"/>
      <c r="AC177" s="1108"/>
      <c r="AE177" s="1104" t="str">
        <f t="shared" ca="1" si="23"/>
        <v/>
      </c>
      <c r="AF177" s="371" t="str">
        <f t="shared" ca="1" si="24"/>
        <v/>
      </c>
      <c r="AG177" s="371" t="str">
        <f t="shared" ca="1" si="27"/>
        <v/>
      </c>
      <c r="AH177" s="371" t="str">
        <f t="shared" ca="1" si="25"/>
        <v/>
      </c>
      <c r="AI177" s="1105" t="str">
        <f t="shared" ca="1" si="8"/>
        <v/>
      </c>
      <c r="AJ177" s="417" t="str">
        <f t="shared" ca="1" si="19"/>
        <v/>
      </c>
      <c r="AK177" s="1106" t="str">
        <f t="shared" ca="1" si="28"/>
        <v/>
      </c>
      <c r="AL177" s="1107" t="str">
        <f t="shared" ca="1" si="26"/>
        <v/>
      </c>
      <c r="BC177" s="40"/>
      <c r="BD177" s="40"/>
      <c r="BE177" s="40"/>
      <c r="BF177" s="40"/>
      <c r="BG177" s="40"/>
    </row>
    <row r="178" spans="1:59" ht="18" customHeight="1">
      <c r="A178" s="1095" t="str">
        <f ca="1"/>
        <v/>
      </c>
      <c r="B178" s="399" t="str">
        <f ca="1"/>
        <v/>
      </c>
      <c r="C178" s="399" t="str">
        <f ca="1"/>
        <v/>
      </c>
      <c r="D178" s="400" t="str">
        <f ca="1"/>
        <v/>
      </c>
      <c r="E178" s="401" t="str">
        <f t="shared" ca="1" si="10"/>
        <v/>
      </c>
      <c r="F178" s="411"/>
      <c r="G178" s="407"/>
      <c r="N178" s="376" t="str">
        <f t="shared" ca="1" si="20"/>
        <v/>
      </c>
      <c r="O178" s="377" t="str">
        <f t="shared" ca="1" si="11"/>
        <v/>
      </c>
      <c r="P178" s="371" t="str">
        <f t="shared" ca="1" si="21"/>
        <v/>
      </c>
      <c r="Q178" s="371" t="str">
        <f t="shared" ca="1" si="12"/>
        <v/>
      </c>
      <c r="R178" s="378" t="str">
        <f t="shared" ca="1" si="22"/>
        <v/>
      </c>
      <c r="S178" s="417" t="str">
        <f t="shared" ca="1" si="13"/>
        <v/>
      </c>
      <c r="U178" s="376" t="str">
        <f t="shared" ca="1" si="14"/>
        <v/>
      </c>
      <c r="V178" s="371" t="str">
        <f t="shared" ca="1" si="15"/>
        <v/>
      </c>
      <c r="W178" s="378" t="str">
        <f t="shared" ca="1" si="16"/>
        <v/>
      </c>
      <c r="X178" s="376" t="str">
        <f t="shared" ca="1" si="17"/>
        <v/>
      </c>
      <c r="Y178" s="1103" t="str">
        <f t="shared" ca="1" si="18"/>
        <v/>
      </c>
      <c r="Z178" s="1097"/>
      <c r="AA178" s="1108"/>
      <c r="AB178" s="1108"/>
      <c r="AC178" s="1108"/>
      <c r="AE178" s="1104" t="str">
        <f t="shared" ca="1" si="23"/>
        <v/>
      </c>
      <c r="AF178" s="371" t="str">
        <f t="shared" ca="1" si="24"/>
        <v/>
      </c>
      <c r="AG178" s="371" t="str">
        <f t="shared" ca="1" si="27"/>
        <v/>
      </c>
      <c r="AH178" s="371" t="str">
        <f t="shared" ca="1" si="25"/>
        <v/>
      </c>
      <c r="AI178" s="1105" t="str">
        <f t="shared" ca="1" si="8"/>
        <v/>
      </c>
      <c r="AJ178" s="417" t="str">
        <f t="shared" ca="1" si="19"/>
        <v/>
      </c>
      <c r="AK178" s="1106" t="str">
        <f t="shared" ca="1" si="28"/>
        <v/>
      </c>
      <c r="AL178" s="1107" t="str">
        <f t="shared" ca="1" si="26"/>
        <v/>
      </c>
      <c r="BC178" s="40"/>
      <c r="BD178" s="40"/>
      <c r="BE178" s="40"/>
      <c r="BF178" s="40"/>
      <c r="BG178" s="40"/>
    </row>
    <row r="179" spans="1:59" ht="18" customHeight="1">
      <c r="A179" s="1095" t="str">
        <f ca="1"/>
        <v/>
      </c>
      <c r="B179" s="399" t="str">
        <f ca="1"/>
        <v/>
      </c>
      <c r="C179" s="399" t="str">
        <f ca="1"/>
        <v/>
      </c>
      <c r="D179" s="400" t="str">
        <f ca="1"/>
        <v/>
      </c>
      <c r="E179" s="401" t="str">
        <f t="shared" ca="1" si="10"/>
        <v/>
      </c>
      <c r="F179" s="411"/>
      <c r="G179" s="407"/>
      <c r="N179" s="376" t="str">
        <f t="shared" ca="1" si="20"/>
        <v/>
      </c>
      <c r="O179" s="377" t="str">
        <f t="shared" ca="1" si="11"/>
        <v/>
      </c>
      <c r="P179" s="371" t="str">
        <f t="shared" ca="1" si="21"/>
        <v/>
      </c>
      <c r="Q179" s="371" t="str">
        <f t="shared" ca="1" si="12"/>
        <v/>
      </c>
      <c r="R179" s="378" t="str">
        <f t="shared" ca="1" si="22"/>
        <v/>
      </c>
      <c r="S179" s="417" t="str">
        <f t="shared" ca="1" si="13"/>
        <v/>
      </c>
      <c r="U179" s="376" t="str">
        <f t="shared" ca="1" si="14"/>
        <v/>
      </c>
      <c r="V179" s="371" t="str">
        <f t="shared" ca="1" si="15"/>
        <v/>
      </c>
      <c r="W179" s="378" t="str">
        <f t="shared" ca="1" si="16"/>
        <v/>
      </c>
      <c r="X179" s="376" t="str">
        <f t="shared" ca="1" si="17"/>
        <v/>
      </c>
      <c r="Y179" s="1103" t="str">
        <f t="shared" ca="1" si="18"/>
        <v/>
      </c>
      <c r="Z179" s="1097"/>
      <c r="AA179" s="1108"/>
      <c r="AB179" s="1108"/>
      <c r="AC179" s="1108"/>
      <c r="AE179" s="1104" t="str">
        <f t="shared" ca="1" si="23"/>
        <v/>
      </c>
      <c r="AF179" s="371" t="str">
        <f t="shared" ca="1" si="24"/>
        <v/>
      </c>
      <c r="AG179" s="371" t="str">
        <f t="shared" ca="1" si="27"/>
        <v/>
      </c>
      <c r="AH179" s="371" t="str">
        <f t="shared" ca="1" si="25"/>
        <v/>
      </c>
      <c r="AI179" s="1105" t="str">
        <f t="shared" ca="1" si="8"/>
        <v/>
      </c>
      <c r="AJ179" s="417" t="str">
        <f t="shared" ca="1" si="19"/>
        <v/>
      </c>
      <c r="AK179" s="1106" t="str">
        <f t="shared" ca="1" si="28"/>
        <v/>
      </c>
      <c r="AL179" s="1107" t="str">
        <f t="shared" ca="1" si="26"/>
        <v/>
      </c>
      <c r="BC179" s="40"/>
      <c r="BD179" s="40"/>
      <c r="BE179" s="40"/>
      <c r="BF179" s="40"/>
      <c r="BG179" s="40"/>
    </row>
    <row r="180" spans="1:59" ht="18" customHeight="1">
      <c r="A180" s="1095" t="str">
        <f ca="1"/>
        <v/>
      </c>
      <c r="B180" s="399" t="str">
        <f ca="1"/>
        <v/>
      </c>
      <c r="C180" s="399" t="str">
        <f ca="1"/>
        <v/>
      </c>
      <c r="D180" s="400" t="str">
        <f ca="1"/>
        <v/>
      </c>
      <c r="E180" s="401" t="str">
        <f t="shared" ca="1" si="10"/>
        <v/>
      </c>
      <c r="F180" s="411"/>
      <c r="G180" s="407"/>
      <c r="N180" s="376" t="str">
        <f t="shared" ca="1" si="20"/>
        <v/>
      </c>
      <c r="O180" s="377" t="str">
        <f t="shared" ca="1" si="11"/>
        <v/>
      </c>
      <c r="P180" s="371" t="str">
        <f t="shared" ca="1" si="21"/>
        <v/>
      </c>
      <c r="Q180" s="371" t="str">
        <f t="shared" ca="1" si="12"/>
        <v/>
      </c>
      <c r="R180" s="378" t="str">
        <f t="shared" ca="1" si="22"/>
        <v/>
      </c>
      <c r="S180" s="417" t="str">
        <f t="shared" ca="1" si="13"/>
        <v/>
      </c>
      <c r="U180" s="376" t="str">
        <f t="shared" ca="1" si="14"/>
        <v/>
      </c>
      <c r="V180" s="371" t="str">
        <f t="shared" ca="1" si="15"/>
        <v/>
      </c>
      <c r="W180" s="378" t="str">
        <f t="shared" ca="1" si="16"/>
        <v/>
      </c>
      <c r="X180" s="376" t="str">
        <f t="shared" ca="1" si="17"/>
        <v/>
      </c>
      <c r="Y180" s="1103" t="str">
        <f t="shared" ca="1" si="18"/>
        <v/>
      </c>
      <c r="Z180" s="1097"/>
      <c r="AA180" s="1108"/>
      <c r="AB180" s="1108"/>
      <c r="AC180" s="1108"/>
      <c r="AE180" s="1104" t="str">
        <f t="shared" ca="1" si="23"/>
        <v/>
      </c>
      <c r="AF180" s="371" t="str">
        <f t="shared" ca="1" si="24"/>
        <v/>
      </c>
      <c r="AG180" s="371" t="str">
        <f t="shared" ca="1" si="27"/>
        <v/>
      </c>
      <c r="AH180" s="371" t="str">
        <f t="shared" ca="1" si="25"/>
        <v/>
      </c>
      <c r="AI180" s="1105" t="str">
        <f t="shared" ca="1" si="8"/>
        <v/>
      </c>
      <c r="AJ180" s="417" t="str">
        <f t="shared" ca="1" si="19"/>
        <v/>
      </c>
      <c r="AK180" s="1106" t="str">
        <f t="shared" ca="1" si="28"/>
        <v/>
      </c>
      <c r="AL180" s="1107" t="str">
        <f t="shared" ca="1" si="26"/>
        <v/>
      </c>
      <c r="BC180" s="40"/>
      <c r="BD180" s="40"/>
      <c r="BE180" s="40"/>
      <c r="BF180" s="40"/>
      <c r="BG180" s="40"/>
    </row>
    <row r="181" spans="1:59" ht="18" customHeight="1">
      <c r="A181" s="1095" t="str">
        <f ca="1"/>
        <v/>
      </c>
      <c r="B181" s="399" t="str">
        <f ca="1"/>
        <v/>
      </c>
      <c r="C181" s="399" t="str">
        <f ca="1"/>
        <v/>
      </c>
      <c r="D181" s="400" t="str">
        <f ca="1"/>
        <v/>
      </c>
      <c r="E181" s="401" t="str">
        <f t="shared" ca="1" si="10"/>
        <v/>
      </c>
      <c r="F181" s="411"/>
      <c r="G181" s="407"/>
      <c r="N181" s="376" t="str">
        <f t="shared" ca="1" si="20"/>
        <v/>
      </c>
      <c r="O181" s="377" t="str">
        <f t="shared" ca="1" si="11"/>
        <v/>
      </c>
      <c r="P181" s="371" t="str">
        <f t="shared" ca="1" si="21"/>
        <v/>
      </c>
      <c r="Q181" s="371" t="str">
        <f t="shared" ca="1" si="12"/>
        <v/>
      </c>
      <c r="R181" s="378" t="str">
        <f t="shared" ca="1" si="22"/>
        <v/>
      </c>
      <c r="S181" s="417" t="str">
        <f t="shared" ca="1" si="13"/>
        <v/>
      </c>
      <c r="U181" s="376" t="str">
        <f t="shared" ca="1" si="14"/>
        <v/>
      </c>
      <c r="V181" s="371" t="str">
        <f t="shared" ca="1" si="15"/>
        <v/>
      </c>
      <c r="W181" s="378" t="str">
        <f t="shared" ca="1" si="16"/>
        <v/>
      </c>
      <c r="X181" s="376" t="str">
        <f t="shared" ca="1" si="17"/>
        <v/>
      </c>
      <c r="Y181" s="1103" t="str">
        <f t="shared" ca="1" si="18"/>
        <v/>
      </c>
      <c r="Z181" s="1097"/>
      <c r="AA181" s="1108"/>
      <c r="AB181" s="1108"/>
      <c r="AC181" s="1108"/>
      <c r="AE181" s="1104" t="str">
        <f t="shared" ca="1" si="23"/>
        <v/>
      </c>
      <c r="AF181" s="371" t="str">
        <f t="shared" ca="1" si="24"/>
        <v/>
      </c>
      <c r="AG181" s="371" t="str">
        <f t="shared" ca="1" si="27"/>
        <v/>
      </c>
      <c r="AH181" s="371" t="str">
        <f t="shared" ca="1" si="25"/>
        <v/>
      </c>
      <c r="AI181" s="1105" t="str">
        <f t="shared" ca="1" si="8"/>
        <v/>
      </c>
      <c r="AJ181" s="417" t="str">
        <f t="shared" ca="1" si="19"/>
        <v/>
      </c>
      <c r="AK181" s="1106" t="str">
        <f t="shared" ca="1" si="28"/>
        <v/>
      </c>
      <c r="AL181" s="1107" t="str">
        <f t="shared" ca="1" si="26"/>
        <v/>
      </c>
      <c r="BC181" s="40"/>
      <c r="BD181" s="40"/>
      <c r="BE181" s="40"/>
      <c r="BF181" s="40"/>
      <c r="BG181" s="40"/>
    </row>
    <row r="182" spans="1:59" ht="18" customHeight="1">
      <c r="A182" s="1095" t="str">
        <f ca="1"/>
        <v/>
      </c>
      <c r="B182" s="399" t="str">
        <f ca="1"/>
        <v/>
      </c>
      <c r="C182" s="399" t="str">
        <f ca="1"/>
        <v/>
      </c>
      <c r="D182" s="400" t="str">
        <f ca="1"/>
        <v/>
      </c>
      <c r="E182" s="401" t="str">
        <f t="shared" ca="1" si="10"/>
        <v/>
      </c>
      <c r="F182" s="411"/>
      <c r="G182" s="407"/>
      <c r="N182" s="376" t="str">
        <f t="shared" ca="1" si="20"/>
        <v/>
      </c>
      <c r="O182" s="377" t="str">
        <f t="shared" ca="1" si="11"/>
        <v/>
      </c>
      <c r="P182" s="371" t="str">
        <f t="shared" ca="1" si="21"/>
        <v/>
      </c>
      <c r="Q182" s="371" t="str">
        <f t="shared" ca="1" si="12"/>
        <v/>
      </c>
      <c r="R182" s="378" t="str">
        <f t="shared" ca="1" si="22"/>
        <v/>
      </c>
      <c r="S182" s="417" t="str">
        <f t="shared" ca="1" si="13"/>
        <v/>
      </c>
      <c r="U182" s="376" t="str">
        <f t="shared" ca="1" si="14"/>
        <v/>
      </c>
      <c r="V182" s="371" t="str">
        <f t="shared" ca="1" si="15"/>
        <v/>
      </c>
      <c r="W182" s="378" t="str">
        <f t="shared" ca="1" si="16"/>
        <v/>
      </c>
      <c r="X182" s="376" t="str">
        <f t="shared" ca="1" si="17"/>
        <v/>
      </c>
      <c r="Y182" s="1103" t="str">
        <f t="shared" ca="1" si="18"/>
        <v/>
      </c>
      <c r="Z182" s="1097"/>
      <c r="AA182" s="1108"/>
      <c r="AB182" s="1108"/>
      <c r="AC182" s="1108"/>
      <c r="AE182" s="1104" t="str">
        <f t="shared" ca="1" si="23"/>
        <v/>
      </c>
      <c r="AF182" s="371" t="str">
        <f t="shared" ca="1" si="24"/>
        <v/>
      </c>
      <c r="AG182" s="371" t="str">
        <f t="shared" ca="1" si="27"/>
        <v/>
      </c>
      <c r="AH182" s="371" t="str">
        <f t="shared" ca="1" si="25"/>
        <v/>
      </c>
      <c r="AI182" s="1105" t="str">
        <f t="shared" ca="1" si="8"/>
        <v/>
      </c>
      <c r="AJ182" s="417" t="str">
        <f t="shared" ca="1" si="19"/>
        <v/>
      </c>
      <c r="AK182" s="1106" t="str">
        <f t="shared" ca="1" si="28"/>
        <v/>
      </c>
      <c r="AL182" s="1107" t="str">
        <f t="shared" ca="1" si="26"/>
        <v/>
      </c>
      <c r="BC182" s="40"/>
      <c r="BD182" s="40"/>
      <c r="BE182" s="40"/>
      <c r="BF182" s="40"/>
      <c r="BG182" s="40"/>
    </row>
    <row r="183" spans="1:59" ht="18" customHeight="1">
      <c r="A183" s="1095" t="str">
        <f ca="1"/>
        <v/>
      </c>
      <c r="B183" s="399" t="str">
        <f ca="1"/>
        <v/>
      </c>
      <c r="C183" s="399" t="str">
        <f ca="1"/>
        <v/>
      </c>
      <c r="D183" s="400" t="str">
        <f ca="1"/>
        <v/>
      </c>
      <c r="E183" s="401" t="str">
        <f t="shared" ca="1" si="10"/>
        <v/>
      </c>
      <c r="F183" s="411"/>
      <c r="G183" s="407"/>
      <c r="N183" s="376" t="str">
        <f t="shared" ca="1" si="20"/>
        <v/>
      </c>
      <c r="O183" s="377" t="str">
        <f t="shared" ca="1" si="11"/>
        <v/>
      </c>
      <c r="P183" s="371" t="str">
        <f t="shared" ca="1" si="21"/>
        <v/>
      </c>
      <c r="Q183" s="371" t="str">
        <f t="shared" ca="1" si="12"/>
        <v/>
      </c>
      <c r="R183" s="378" t="str">
        <f t="shared" ca="1" si="22"/>
        <v/>
      </c>
      <c r="S183" s="417" t="str">
        <f t="shared" ca="1" si="13"/>
        <v/>
      </c>
      <c r="U183" s="376" t="str">
        <f t="shared" ca="1" si="14"/>
        <v/>
      </c>
      <c r="V183" s="371" t="str">
        <f t="shared" ca="1" si="15"/>
        <v/>
      </c>
      <c r="W183" s="378" t="str">
        <f t="shared" ca="1" si="16"/>
        <v/>
      </c>
      <c r="X183" s="376" t="str">
        <f t="shared" ca="1" si="17"/>
        <v/>
      </c>
      <c r="Y183" s="1103" t="str">
        <f t="shared" ca="1" si="18"/>
        <v/>
      </c>
      <c r="Z183" s="1097"/>
      <c r="AA183" s="1108"/>
      <c r="AB183" s="1108"/>
      <c r="AC183" s="1108"/>
      <c r="AE183" s="1104" t="str">
        <f t="shared" ca="1" si="23"/>
        <v/>
      </c>
      <c r="AF183" s="371" t="str">
        <f t="shared" ca="1" si="24"/>
        <v/>
      </c>
      <c r="AG183" s="371" t="str">
        <f t="shared" ca="1" si="27"/>
        <v/>
      </c>
      <c r="AH183" s="371" t="str">
        <f t="shared" ca="1" si="25"/>
        <v/>
      </c>
      <c r="AI183" s="1105" t="str">
        <f t="shared" ca="1" si="8"/>
        <v/>
      </c>
      <c r="AJ183" s="417" t="str">
        <f t="shared" ca="1" si="19"/>
        <v/>
      </c>
      <c r="AK183" s="1106" t="str">
        <f t="shared" ca="1" si="28"/>
        <v/>
      </c>
      <c r="AL183" s="1107" t="str">
        <f t="shared" ca="1" si="26"/>
        <v/>
      </c>
      <c r="BC183" s="40"/>
      <c r="BD183" s="40"/>
      <c r="BE183" s="40"/>
      <c r="BF183" s="40"/>
      <c r="BG183" s="40"/>
    </row>
    <row r="184" spans="1:59" ht="18" customHeight="1">
      <c r="A184" s="1095" t="str">
        <f ca="1"/>
        <v/>
      </c>
      <c r="B184" s="399" t="str">
        <f ca="1"/>
        <v/>
      </c>
      <c r="C184" s="399" t="str">
        <f ca="1"/>
        <v/>
      </c>
      <c r="D184" s="400" t="str">
        <f ca="1"/>
        <v/>
      </c>
      <c r="E184" s="401" t="str">
        <f t="shared" ca="1" si="10"/>
        <v/>
      </c>
      <c r="F184" s="411"/>
      <c r="G184" s="407"/>
      <c r="N184" s="376" t="str">
        <f t="shared" ca="1" si="20"/>
        <v/>
      </c>
      <c r="O184" s="377" t="str">
        <f t="shared" ca="1" si="11"/>
        <v/>
      </c>
      <c r="P184" s="371" t="str">
        <f t="shared" ca="1" si="21"/>
        <v/>
      </c>
      <c r="Q184" s="371" t="str">
        <f t="shared" ca="1" si="12"/>
        <v/>
      </c>
      <c r="R184" s="378" t="str">
        <f t="shared" ca="1" si="22"/>
        <v/>
      </c>
      <c r="S184" s="417" t="str">
        <f t="shared" ca="1" si="13"/>
        <v/>
      </c>
      <c r="U184" s="376" t="str">
        <f t="shared" ca="1" si="14"/>
        <v/>
      </c>
      <c r="V184" s="371" t="str">
        <f t="shared" ca="1" si="15"/>
        <v/>
      </c>
      <c r="W184" s="378" t="str">
        <f t="shared" ca="1" si="16"/>
        <v/>
      </c>
      <c r="X184" s="376" t="str">
        <f t="shared" ca="1" si="17"/>
        <v/>
      </c>
      <c r="Y184" s="1103" t="str">
        <f t="shared" ca="1" si="18"/>
        <v/>
      </c>
      <c r="Z184" s="1097"/>
      <c r="AA184" s="1108"/>
      <c r="AB184" s="1108"/>
      <c r="AC184" s="1108"/>
      <c r="AE184" s="1104" t="str">
        <f t="shared" ca="1" si="23"/>
        <v/>
      </c>
      <c r="AF184" s="371" t="str">
        <f t="shared" ca="1" si="24"/>
        <v/>
      </c>
      <c r="AG184" s="371" t="str">
        <f t="shared" ca="1" si="27"/>
        <v/>
      </c>
      <c r="AH184" s="371" t="str">
        <f t="shared" ca="1" si="25"/>
        <v/>
      </c>
      <c r="AI184" s="1105" t="str">
        <f t="shared" ca="1" si="8"/>
        <v/>
      </c>
      <c r="AJ184" s="417" t="str">
        <f t="shared" ca="1" si="19"/>
        <v/>
      </c>
      <c r="AK184" s="1106" t="str">
        <f t="shared" ca="1" si="28"/>
        <v/>
      </c>
      <c r="AL184" s="1107" t="str">
        <f t="shared" ca="1" si="26"/>
        <v/>
      </c>
      <c r="BC184" s="40"/>
      <c r="BD184" s="40"/>
      <c r="BE184" s="40"/>
      <c r="BF184" s="40"/>
      <c r="BG184" s="40"/>
    </row>
    <row r="185" spans="1:59" ht="18" customHeight="1">
      <c r="A185" s="1095" t="str">
        <f ca="1"/>
        <v/>
      </c>
      <c r="B185" s="399" t="str">
        <f ca="1"/>
        <v/>
      </c>
      <c r="C185" s="399" t="str">
        <f ca="1"/>
        <v/>
      </c>
      <c r="D185" s="400" t="str">
        <f ca="1"/>
        <v/>
      </c>
      <c r="E185" s="401" t="str">
        <f t="shared" ca="1" si="10"/>
        <v/>
      </c>
      <c r="F185" s="411"/>
      <c r="G185" s="407"/>
      <c r="N185" s="376" t="str">
        <f t="shared" ca="1" si="20"/>
        <v/>
      </c>
      <c r="O185" s="377" t="str">
        <f t="shared" ca="1" si="11"/>
        <v/>
      </c>
      <c r="P185" s="371" t="str">
        <f t="shared" ca="1" si="21"/>
        <v/>
      </c>
      <c r="Q185" s="371" t="str">
        <f t="shared" ca="1" si="12"/>
        <v/>
      </c>
      <c r="R185" s="378" t="str">
        <f t="shared" ca="1" si="22"/>
        <v/>
      </c>
      <c r="S185" s="417" t="str">
        <f t="shared" ca="1" si="13"/>
        <v/>
      </c>
      <c r="U185" s="376" t="str">
        <f t="shared" ca="1" si="14"/>
        <v/>
      </c>
      <c r="V185" s="371" t="str">
        <f t="shared" ca="1" si="15"/>
        <v/>
      </c>
      <c r="W185" s="378" t="str">
        <f t="shared" ca="1" si="16"/>
        <v/>
      </c>
      <c r="X185" s="376" t="str">
        <f t="shared" ca="1" si="17"/>
        <v/>
      </c>
      <c r="Y185" s="1103" t="str">
        <f t="shared" ca="1" si="18"/>
        <v/>
      </c>
      <c r="Z185" s="1097"/>
      <c r="AA185" s="1108"/>
      <c r="AB185" s="1108"/>
      <c r="AC185" s="1108"/>
      <c r="AE185" s="1104" t="str">
        <f t="shared" ca="1" si="23"/>
        <v/>
      </c>
      <c r="AF185" s="371" t="str">
        <f t="shared" ca="1" si="24"/>
        <v/>
      </c>
      <c r="AG185" s="371" t="str">
        <f t="shared" ca="1" si="27"/>
        <v/>
      </c>
      <c r="AH185" s="371" t="str">
        <f t="shared" ca="1" si="25"/>
        <v/>
      </c>
      <c r="AI185" s="1105" t="str">
        <f t="shared" ca="1" si="8"/>
        <v/>
      </c>
      <c r="AJ185" s="417" t="str">
        <f t="shared" ca="1" si="19"/>
        <v/>
      </c>
      <c r="AK185" s="1106" t="str">
        <f t="shared" ca="1" si="28"/>
        <v/>
      </c>
      <c r="AL185" s="1107" t="str">
        <f t="shared" ca="1" si="26"/>
        <v/>
      </c>
      <c r="BC185" s="40"/>
      <c r="BD185" s="40"/>
      <c r="BE185" s="40"/>
      <c r="BF185" s="40"/>
      <c r="BG185" s="40"/>
    </row>
    <row r="186" spans="1:59" ht="18" customHeight="1">
      <c r="A186" s="1095" t="str">
        <f ca="1"/>
        <v/>
      </c>
      <c r="B186" s="399" t="str">
        <f ca="1"/>
        <v/>
      </c>
      <c r="C186" s="399" t="str">
        <f ca="1"/>
        <v/>
      </c>
      <c r="D186" s="400" t="str">
        <f ca="1"/>
        <v/>
      </c>
      <c r="E186" s="401" t="str">
        <f t="shared" ca="1" si="10"/>
        <v/>
      </c>
      <c r="F186" s="411"/>
      <c r="G186" s="407"/>
      <c r="N186" s="376" t="str">
        <f t="shared" ca="1" si="20"/>
        <v/>
      </c>
      <c r="O186" s="377" t="str">
        <f t="shared" ca="1" si="11"/>
        <v/>
      </c>
      <c r="P186" s="371" t="str">
        <f t="shared" ca="1" si="21"/>
        <v/>
      </c>
      <c r="Q186" s="371" t="str">
        <f t="shared" ca="1" si="12"/>
        <v/>
      </c>
      <c r="R186" s="378" t="str">
        <f t="shared" ca="1" si="22"/>
        <v/>
      </c>
      <c r="S186" s="417" t="str">
        <f t="shared" ca="1" si="13"/>
        <v/>
      </c>
      <c r="U186" s="376" t="str">
        <f t="shared" ca="1" si="14"/>
        <v/>
      </c>
      <c r="V186" s="371" t="str">
        <f t="shared" ca="1" si="15"/>
        <v/>
      </c>
      <c r="W186" s="378" t="str">
        <f t="shared" ca="1" si="16"/>
        <v/>
      </c>
      <c r="X186" s="376" t="str">
        <f t="shared" ca="1" si="17"/>
        <v/>
      </c>
      <c r="Y186" s="1103" t="str">
        <f t="shared" ca="1" si="18"/>
        <v/>
      </c>
      <c r="Z186" s="1097"/>
      <c r="AA186" s="1108"/>
      <c r="AB186" s="1108"/>
      <c r="AC186" s="1108"/>
      <c r="AE186" s="1104" t="str">
        <f t="shared" ca="1" si="23"/>
        <v/>
      </c>
      <c r="AF186" s="371" t="str">
        <f t="shared" ca="1" si="24"/>
        <v/>
      </c>
      <c r="AG186" s="371" t="str">
        <f t="shared" ca="1" si="27"/>
        <v/>
      </c>
      <c r="AH186" s="371" t="str">
        <f t="shared" ca="1" si="25"/>
        <v/>
      </c>
      <c r="AI186" s="1105" t="str">
        <f t="shared" ca="1" si="8"/>
        <v/>
      </c>
      <c r="AJ186" s="417" t="str">
        <f t="shared" ca="1" si="19"/>
        <v/>
      </c>
      <c r="AK186" s="1106" t="str">
        <f t="shared" ca="1" si="28"/>
        <v/>
      </c>
      <c r="AL186" s="1107" t="str">
        <f t="shared" ca="1" si="26"/>
        <v/>
      </c>
      <c r="BC186" s="40"/>
      <c r="BD186" s="40"/>
      <c r="BE186" s="40"/>
      <c r="BF186" s="40"/>
      <c r="BG186" s="40"/>
    </row>
    <row r="187" spans="1:59" ht="18" customHeight="1">
      <c r="A187" s="1095" t="str">
        <f ca="1"/>
        <v/>
      </c>
      <c r="B187" s="399" t="str">
        <f ca="1"/>
        <v/>
      </c>
      <c r="C187" s="399" t="str">
        <f ca="1"/>
        <v/>
      </c>
      <c r="D187" s="400" t="str">
        <f ca="1"/>
        <v/>
      </c>
      <c r="E187" s="401" t="str">
        <f t="shared" ca="1" si="10"/>
        <v/>
      </c>
      <c r="F187" s="411"/>
      <c r="G187" s="407"/>
      <c r="N187" s="376" t="str">
        <f t="shared" ca="1" si="20"/>
        <v/>
      </c>
      <c r="O187" s="377" t="str">
        <f t="shared" ca="1" si="11"/>
        <v/>
      </c>
      <c r="P187" s="371" t="str">
        <f t="shared" ca="1" si="21"/>
        <v/>
      </c>
      <c r="Q187" s="371" t="str">
        <f t="shared" ca="1" si="12"/>
        <v/>
      </c>
      <c r="R187" s="378" t="str">
        <f t="shared" ca="1" si="22"/>
        <v/>
      </c>
      <c r="S187" s="417" t="str">
        <f t="shared" ca="1" si="13"/>
        <v/>
      </c>
      <c r="U187" s="376" t="str">
        <f t="shared" ca="1" si="14"/>
        <v/>
      </c>
      <c r="V187" s="371" t="str">
        <f t="shared" ca="1" si="15"/>
        <v/>
      </c>
      <c r="W187" s="378" t="str">
        <f t="shared" ca="1" si="16"/>
        <v/>
      </c>
      <c r="X187" s="376" t="str">
        <f t="shared" ca="1" si="17"/>
        <v/>
      </c>
      <c r="Y187" s="1103" t="str">
        <f t="shared" ca="1" si="18"/>
        <v/>
      </c>
      <c r="Z187" s="1097"/>
      <c r="AA187" s="1108"/>
      <c r="AB187" s="1108"/>
      <c r="AC187" s="1108"/>
      <c r="AE187" s="1104" t="str">
        <f t="shared" ca="1" si="23"/>
        <v/>
      </c>
      <c r="AF187" s="371" t="str">
        <f t="shared" ca="1" si="24"/>
        <v/>
      </c>
      <c r="AG187" s="371" t="str">
        <f t="shared" ca="1" si="27"/>
        <v/>
      </c>
      <c r="AH187" s="371" t="str">
        <f t="shared" ca="1" si="25"/>
        <v/>
      </c>
      <c r="AI187" s="1105" t="str">
        <f t="shared" ca="1" si="8"/>
        <v/>
      </c>
      <c r="AJ187" s="417" t="str">
        <f t="shared" ca="1" si="19"/>
        <v/>
      </c>
      <c r="AK187" s="1106" t="str">
        <f t="shared" ca="1" si="28"/>
        <v/>
      </c>
      <c r="AL187" s="1107" t="str">
        <f t="shared" ca="1" si="26"/>
        <v/>
      </c>
      <c r="BC187" s="40"/>
      <c r="BD187" s="40"/>
      <c r="BE187" s="40"/>
      <c r="BF187" s="40"/>
      <c r="BG187" s="40"/>
    </row>
    <row r="188" spans="1:59" ht="18" customHeight="1">
      <c r="A188" s="1095" t="str">
        <f ca="1"/>
        <v/>
      </c>
      <c r="B188" s="399" t="str">
        <f ca="1"/>
        <v/>
      </c>
      <c r="C188" s="399" t="str">
        <f ca="1"/>
        <v/>
      </c>
      <c r="D188" s="400" t="str">
        <f ca="1"/>
        <v/>
      </c>
      <c r="E188" s="401" t="str">
        <f t="shared" ca="1" si="10"/>
        <v/>
      </c>
      <c r="F188" s="411"/>
      <c r="G188" s="407"/>
      <c r="N188" s="376" t="str">
        <f t="shared" ca="1" si="20"/>
        <v/>
      </c>
      <c r="O188" s="377" t="str">
        <f t="shared" ca="1" si="11"/>
        <v/>
      </c>
      <c r="P188" s="371" t="str">
        <f t="shared" ca="1" si="21"/>
        <v/>
      </c>
      <c r="Q188" s="371" t="str">
        <f t="shared" ca="1" si="12"/>
        <v/>
      </c>
      <c r="R188" s="378" t="str">
        <f t="shared" ca="1" si="22"/>
        <v/>
      </c>
      <c r="S188" s="417" t="str">
        <f t="shared" ca="1" si="13"/>
        <v/>
      </c>
      <c r="U188" s="376" t="str">
        <f t="shared" ca="1" si="14"/>
        <v/>
      </c>
      <c r="V188" s="371" t="str">
        <f t="shared" ca="1" si="15"/>
        <v/>
      </c>
      <c r="W188" s="378" t="str">
        <f t="shared" ca="1" si="16"/>
        <v/>
      </c>
      <c r="X188" s="376" t="str">
        <f t="shared" ca="1" si="17"/>
        <v/>
      </c>
      <c r="Y188" s="1103" t="str">
        <f t="shared" ca="1" si="18"/>
        <v/>
      </c>
      <c r="Z188" s="1097"/>
      <c r="AA188" s="1108"/>
      <c r="AB188" s="1108"/>
      <c r="AC188" s="1108"/>
      <c r="AE188" s="1104" t="str">
        <f t="shared" ca="1" si="23"/>
        <v/>
      </c>
      <c r="AF188" s="371" t="str">
        <f t="shared" ca="1" si="24"/>
        <v/>
      </c>
      <c r="AG188" s="371" t="str">
        <f t="shared" ca="1" si="27"/>
        <v/>
      </c>
      <c r="AH188" s="371" t="str">
        <f t="shared" ca="1" si="25"/>
        <v/>
      </c>
      <c r="AI188" s="1105" t="str">
        <f t="shared" ca="1" si="8"/>
        <v/>
      </c>
      <c r="AJ188" s="417" t="str">
        <f t="shared" ca="1" si="19"/>
        <v/>
      </c>
      <c r="AK188" s="1106" t="str">
        <f t="shared" ca="1" si="28"/>
        <v/>
      </c>
      <c r="AL188" s="1107" t="str">
        <f t="shared" ca="1" si="26"/>
        <v/>
      </c>
      <c r="BC188" s="40"/>
      <c r="BD188" s="40"/>
      <c r="BE188" s="40"/>
      <c r="BF188" s="40"/>
      <c r="BG188" s="40"/>
    </row>
    <row r="189" spans="1:59" ht="18" customHeight="1">
      <c r="A189" s="1095" t="str">
        <f ca="1"/>
        <v/>
      </c>
      <c r="B189" s="399" t="str">
        <f ca="1"/>
        <v/>
      </c>
      <c r="C189" s="399" t="str">
        <f ca="1"/>
        <v/>
      </c>
      <c r="D189" s="400" t="str">
        <f ca="1"/>
        <v/>
      </c>
      <c r="E189" s="401" t="str">
        <f t="shared" ca="1" si="10"/>
        <v/>
      </c>
      <c r="F189" s="411"/>
      <c r="G189" s="407"/>
      <c r="N189" s="376" t="str">
        <f t="shared" ca="1" si="20"/>
        <v/>
      </c>
      <c r="O189" s="377" t="str">
        <f t="shared" ca="1" si="11"/>
        <v/>
      </c>
      <c r="P189" s="371" t="str">
        <f t="shared" ca="1" si="21"/>
        <v/>
      </c>
      <c r="Q189" s="371" t="str">
        <f t="shared" ca="1" si="12"/>
        <v/>
      </c>
      <c r="R189" s="378" t="str">
        <f t="shared" ca="1" si="22"/>
        <v/>
      </c>
      <c r="S189" s="417" t="str">
        <f t="shared" ca="1" si="13"/>
        <v/>
      </c>
      <c r="U189" s="376" t="str">
        <f t="shared" ca="1" si="14"/>
        <v/>
      </c>
      <c r="V189" s="371" t="str">
        <f t="shared" ca="1" si="15"/>
        <v/>
      </c>
      <c r="W189" s="378" t="str">
        <f t="shared" ca="1" si="16"/>
        <v/>
      </c>
      <c r="X189" s="376" t="str">
        <f t="shared" ca="1" si="17"/>
        <v/>
      </c>
      <c r="Y189" s="1103" t="str">
        <f t="shared" ca="1" si="18"/>
        <v/>
      </c>
      <c r="Z189" s="1097"/>
      <c r="AA189" s="1108"/>
      <c r="AB189" s="1108"/>
      <c r="AC189" s="1108"/>
      <c r="AE189" s="1104" t="str">
        <f t="shared" ca="1" si="23"/>
        <v/>
      </c>
      <c r="AF189" s="371" t="str">
        <f t="shared" ca="1" si="24"/>
        <v/>
      </c>
      <c r="AG189" s="371" t="str">
        <f t="shared" ca="1" si="27"/>
        <v/>
      </c>
      <c r="AH189" s="371" t="str">
        <f t="shared" ca="1" si="25"/>
        <v/>
      </c>
      <c r="AI189" s="1105" t="str">
        <f t="shared" ca="1" si="8"/>
        <v/>
      </c>
      <c r="AJ189" s="417" t="str">
        <f t="shared" ca="1" si="19"/>
        <v/>
      </c>
      <c r="AK189" s="1106" t="str">
        <f t="shared" ca="1" si="28"/>
        <v/>
      </c>
      <c r="AL189" s="1107" t="str">
        <f t="shared" ca="1" si="26"/>
        <v/>
      </c>
      <c r="BC189" s="40"/>
      <c r="BD189" s="40"/>
      <c r="BE189" s="40"/>
      <c r="BF189" s="40"/>
      <c r="BG189" s="40"/>
    </row>
    <row r="190" spans="1:59" ht="18" customHeight="1">
      <c r="A190" s="1095" t="str">
        <f ca="1"/>
        <v/>
      </c>
      <c r="B190" s="399" t="str">
        <f ca="1"/>
        <v/>
      </c>
      <c r="C190" s="399" t="str">
        <f ca="1"/>
        <v/>
      </c>
      <c r="D190" s="400" t="str">
        <f ca="1"/>
        <v/>
      </c>
      <c r="E190" s="401" t="str">
        <f t="shared" ca="1" si="10"/>
        <v/>
      </c>
      <c r="F190" s="411"/>
      <c r="G190" s="407"/>
      <c r="N190" s="376" t="str">
        <f t="shared" ca="1" si="20"/>
        <v/>
      </c>
      <c r="O190" s="377" t="str">
        <f t="shared" ca="1" si="11"/>
        <v/>
      </c>
      <c r="P190" s="371" t="str">
        <f t="shared" ca="1" si="21"/>
        <v/>
      </c>
      <c r="Q190" s="371" t="str">
        <f t="shared" ca="1" si="12"/>
        <v/>
      </c>
      <c r="R190" s="378" t="str">
        <f t="shared" ca="1" si="22"/>
        <v/>
      </c>
      <c r="S190" s="417" t="str">
        <f t="shared" ca="1" si="13"/>
        <v/>
      </c>
      <c r="U190" s="376" t="str">
        <f t="shared" ca="1" si="14"/>
        <v/>
      </c>
      <c r="V190" s="371" t="str">
        <f t="shared" ca="1" si="15"/>
        <v/>
      </c>
      <c r="W190" s="378" t="str">
        <f t="shared" ca="1" si="16"/>
        <v/>
      </c>
      <c r="X190" s="376" t="str">
        <f t="shared" ca="1" si="17"/>
        <v/>
      </c>
      <c r="Y190" s="1103" t="str">
        <f t="shared" ca="1" si="18"/>
        <v/>
      </c>
      <c r="Z190" s="1097"/>
      <c r="AA190" s="1108"/>
      <c r="AB190" s="1108"/>
      <c r="AC190" s="1108"/>
      <c r="AE190" s="1104" t="str">
        <f t="shared" ca="1" si="23"/>
        <v/>
      </c>
      <c r="AF190" s="371" t="str">
        <f t="shared" ca="1" si="24"/>
        <v/>
      </c>
      <c r="AG190" s="371" t="str">
        <f t="shared" ca="1" si="27"/>
        <v/>
      </c>
      <c r="AH190" s="371" t="str">
        <f t="shared" ca="1" si="25"/>
        <v/>
      </c>
      <c r="AI190" s="1105" t="str">
        <f t="shared" ca="1" si="8"/>
        <v/>
      </c>
      <c r="AJ190" s="417" t="str">
        <f t="shared" ca="1" si="19"/>
        <v/>
      </c>
      <c r="AK190" s="1106" t="str">
        <f t="shared" ca="1" si="28"/>
        <v/>
      </c>
      <c r="AL190" s="1107" t="str">
        <f t="shared" ca="1" si="26"/>
        <v/>
      </c>
      <c r="BC190" s="40"/>
      <c r="BD190" s="40"/>
      <c r="BE190" s="40"/>
      <c r="BF190" s="40"/>
      <c r="BG190" s="40"/>
    </row>
    <row r="191" spans="1:59" ht="18" customHeight="1">
      <c r="A191" s="1095" t="str">
        <f ca="1"/>
        <v/>
      </c>
      <c r="B191" s="399" t="str">
        <f ca="1"/>
        <v/>
      </c>
      <c r="C191" s="399" t="str">
        <f ca="1"/>
        <v/>
      </c>
      <c r="D191" s="400" t="str">
        <f ca="1"/>
        <v/>
      </c>
      <c r="E191" s="401" t="str">
        <f t="shared" ca="1" si="10"/>
        <v/>
      </c>
      <c r="F191" s="411"/>
      <c r="G191" s="407"/>
      <c r="N191" s="376" t="str">
        <f t="shared" ca="1" si="20"/>
        <v/>
      </c>
      <c r="O191" s="377" t="str">
        <f t="shared" ca="1" si="11"/>
        <v/>
      </c>
      <c r="P191" s="371" t="str">
        <f t="shared" ca="1" si="21"/>
        <v/>
      </c>
      <c r="Q191" s="371" t="str">
        <f t="shared" ca="1" si="12"/>
        <v/>
      </c>
      <c r="R191" s="378" t="str">
        <f t="shared" ca="1" si="22"/>
        <v/>
      </c>
      <c r="S191" s="417" t="str">
        <f t="shared" ca="1" si="13"/>
        <v/>
      </c>
      <c r="U191" s="376" t="str">
        <f t="shared" ca="1" si="14"/>
        <v/>
      </c>
      <c r="V191" s="371" t="str">
        <f t="shared" ca="1" si="15"/>
        <v/>
      </c>
      <c r="W191" s="378" t="str">
        <f t="shared" ca="1" si="16"/>
        <v/>
      </c>
      <c r="X191" s="376" t="str">
        <f t="shared" ca="1" si="17"/>
        <v/>
      </c>
      <c r="Y191" s="1103" t="str">
        <f t="shared" ca="1" si="18"/>
        <v/>
      </c>
      <c r="Z191" s="1097"/>
      <c r="AA191" s="1108"/>
      <c r="AB191" s="1108"/>
      <c r="AC191" s="1108"/>
      <c r="AE191" s="1104" t="str">
        <f t="shared" ca="1" si="23"/>
        <v/>
      </c>
      <c r="AF191" s="371" t="str">
        <f t="shared" ca="1" si="24"/>
        <v/>
      </c>
      <c r="AG191" s="371" t="str">
        <f t="shared" ca="1" si="27"/>
        <v/>
      </c>
      <c r="AH191" s="371" t="str">
        <f t="shared" ca="1" si="25"/>
        <v/>
      </c>
      <c r="AI191" s="1105" t="str">
        <f t="shared" ca="1" si="8"/>
        <v/>
      </c>
      <c r="AJ191" s="417" t="str">
        <f t="shared" ca="1" si="19"/>
        <v/>
      </c>
      <c r="AK191" s="1106" t="str">
        <f t="shared" ca="1" si="28"/>
        <v/>
      </c>
      <c r="AL191" s="1107" t="str">
        <f t="shared" ca="1" si="26"/>
        <v/>
      </c>
      <c r="BC191" s="40"/>
      <c r="BD191" s="40"/>
      <c r="BE191" s="40"/>
      <c r="BF191" s="40"/>
      <c r="BG191" s="40"/>
    </row>
    <row r="192" spans="1:59" ht="18" customHeight="1">
      <c r="A192" s="1095" t="str">
        <f ca="1"/>
        <v/>
      </c>
      <c r="B192" s="399" t="str">
        <f ca="1"/>
        <v/>
      </c>
      <c r="C192" s="399" t="str">
        <f ca="1"/>
        <v/>
      </c>
      <c r="D192" s="400" t="str">
        <f ca="1"/>
        <v/>
      </c>
      <c r="E192" s="401" t="str">
        <f t="shared" ca="1" si="10"/>
        <v/>
      </c>
      <c r="F192" s="411"/>
      <c r="G192" s="407"/>
      <c r="N192" s="376" t="str">
        <f t="shared" ca="1" si="20"/>
        <v/>
      </c>
      <c r="O192" s="377" t="str">
        <f t="shared" ca="1" si="11"/>
        <v/>
      </c>
      <c r="P192" s="371" t="str">
        <f t="shared" ca="1" si="21"/>
        <v/>
      </c>
      <c r="Q192" s="371" t="str">
        <f t="shared" ca="1" si="12"/>
        <v/>
      </c>
      <c r="R192" s="378" t="str">
        <f t="shared" ca="1" si="22"/>
        <v/>
      </c>
      <c r="S192" s="417" t="str">
        <f t="shared" ca="1" si="13"/>
        <v/>
      </c>
      <c r="U192" s="376" t="str">
        <f t="shared" ca="1" si="14"/>
        <v/>
      </c>
      <c r="V192" s="371" t="str">
        <f t="shared" ca="1" si="15"/>
        <v/>
      </c>
      <c r="W192" s="378" t="str">
        <f t="shared" ca="1" si="16"/>
        <v/>
      </c>
      <c r="X192" s="376" t="str">
        <f t="shared" ca="1" si="17"/>
        <v/>
      </c>
      <c r="Y192" s="1103" t="str">
        <f t="shared" ca="1" si="18"/>
        <v/>
      </c>
      <c r="Z192" s="1097"/>
      <c r="AA192" s="1108"/>
      <c r="AB192" s="1108"/>
      <c r="AC192" s="1108"/>
      <c r="AE192" s="1104" t="str">
        <f t="shared" ca="1" si="23"/>
        <v/>
      </c>
      <c r="AF192" s="371" t="str">
        <f t="shared" ca="1" si="24"/>
        <v/>
      </c>
      <c r="AG192" s="371" t="str">
        <f t="shared" ca="1" si="27"/>
        <v/>
      </c>
      <c r="AH192" s="371" t="str">
        <f t="shared" ca="1" si="25"/>
        <v/>
      </c>
      <c r="AI192" s="1105" t="str">
        <f t="shared" ca="1" si="8"/>
        <v/>
      </c>
      <c r="AJ192" s="417" t="str">
        <f t="shared" ca="1" si="19"/>
        <v/>
      </c>
      <c r="AK192" s="1106" t="str">
        <f t="shared" ca="1" si="28"/>
        <v/>
      </c>
      <c r="AL192" s="1107" t="str">
        <f t="shared" ca="1" si="26"/>
        <v/>
      </c>
      <c r="BC192" s="40"/>
      <c r="BD192" s="40"/>
      <c r="BE192" s="40"/>
      <c r="BF192" s="40"/>
      <c r="BG192" s="40"/>
    </row>
    <row r="193" spans="1:59" ht="18" customHeight="1">
      <c r="A193" s="1095" t="str">
        <f ca="1"/>
        <v/>
      </c>
      <c r="B193" s="399" t="str">
        <f ca="1"/>
        <v/>
      </c>
      <c r="C193" s="399" t="str">
        <f ca="1"/>
        <v/>
      </c>
      <c r="D193" s="400" t="str">
        <f ca="1"/>
        <v/>
      </c>
      <c r="E193" s="401" t="str">
        <f t="shared" ca="1" si="10"/>
        <v/>
      </c>
      <c r="F193" s="411"/>
      <c r="G193" s="407"/>
      <c r="N193" s="376" t="str">
        <f t="shared" ca="1" si="20"/>
        <v/>
      </c>
      <c r="O193" s="377" t="str">
        <f t="shared" ca="1" si="11"/>
        <v/>
      </c>
      <c r="P193" s="371" t="str">
        <f t="shared" ca="1" si="21"/>
        <v/>
      </c>
      <c r="Q193" s="371" t="str">
        <f t="shared" ca="1" si="12"/>
        <v/>
      </c>
      <c r="R193" s="378" t="str">
        <f t="shared" ca="1" si="22"/>
        <v/>
      </c>
      <c r="S193" s="417" t="str">
        <f t="shared" ca="1" si="13"/>
        <v/>
      </c>
      <c r="U193" s="376" t="str">
        <f t="shared" ca="1" si="14"/>
        <v/>
      </c>
      <c r="V193" s="371" t="str">
        <f t="shared" ca="1" si="15"/>
        <v/>
      </c>
      <c r="W193" s="378" t="str">
        <f t="shared" ca="1" si="16"/>
        <v/>
      </c>
      <c r="X193" s="376" t="str">
        <f t="shared" ca="1" si="17"/>
        <v/>
      </c>
      <c r="Y193" s="1103" t="str">
        <f t="shared" ca="1" si="18"/>
        <v/>
      </c>
      <c r="Z193" s="1097"/>
      <c r="AA193" s="1108"/>
      <c r="AB193" s="1108"/>
      <c r="AC193" s="1108"/>
      <c r="AE193" s="1104" t="str">
        <f t="shared" ca="1" si="23"/>
        <v/>
      </c>
      <c r="AF193" s="371" t="str">
        <f t="shared" ca="1" si="24"/>
        <v/>
      </c>
      <c r="AG193" s="371" t="str">
        <f t="shared" ca="1" si="27"/>
        <v/>
      </c>
      <c r="AH193" s="371" t="str">
        <f t="shared" ca="1" si="25"/>
        <v/>
      </c>
      <c r="AI193" s="1105" t="str">
        <f t="shared" ca="1" si="8"/>
        <v/>
      </c>
      <c r="AJ193" s="417" t="str">
        <f t="shared" ca="1" si="19"/>
        <v/>
      </c>
      <c r="AK193" s="1106" t="str">
        <f t="shared" ca="1" si="28"/>
        <v/>
      </c>
      <c r="AL193" s="1107" t="str">
        <f t="shared" ca="1" si="26"/>
        <v/>
      </c>
      <c r="BC193" s="40"/>
      <c r="BD193" s="40"/>
      <c r="BE193" s="40"/>
      <c r="BF193" s="40"/>
      <c r="BG193" s="40"/>
    </row>
    <row r="194" spans="1:59" ht="18" customHeight="1">
      <c r="A194" s="1095" t="str">
        <f ca="1"/>
        <v/>
      </c>
      <c r="B194" s="399" t="str">
        <f ca="1"/>
        <v/>
      </c>
      <c r="C194" s="399" t="str">
        <f ca="1"/>
        <v/>
      </c>
      <c r="D194" s="400" t="str">
        <f ca="1"/>
        <v/>
      </c>
      <c r="E194" s="401" t="str">
        <f t="shared" ca="1" si="10"/>
        <v/>
      </c>
      <c r="F194" s="411"/>
      <c r="G194" s="407"/>
      <c r="N194" s="376" t="str">
        <f t="shared" ca="1" si="20"/>
        <v/>
      </c>
      <c r="O194" s="377" t="str">
        <f t="shared" ca="1" si="11"/>
        <v/>
      </c>
      <c r="P194" s="371" t="str">
        <f t="shared" ca="1" si="21"/>
        <v/>
      </c>
      <c r="Q194" s="371" t="str">
        <f t="shared" ca="1" si="12"/>
        <v/>
      </c>
      <c r="R194" s="378" t="str">
        <f t="shared" ca="1" si="22"/>
        <v/>
      </c>
      <c r="S194" s="417" t="str">
        <f t="shared" ca="1" si="13"/>
        <v/>
      </c>
      <c r="U194" s="376" t="str">
        <f t="shared" ca="1" si="14"/>
        <v/>
      </c>
      <c r="V194" s="371" t="str">
        <f t="shared" ca="1" si="15"/>
        <v/>
      </c>
      <c r="W194" s="378" t="str">
        <f t="shared" ca="1" si="16"/>
        <v/>
      </c>
      <c r="X194" s="376" t="str">
        <f t="shared" ca="1" si="17"/>
        <v/>
      </c>
      <c r="Y194" s="1103" t="str">
        <f t="shared" ca="1" si="18"/>
        <v/>
      </c>
      <c r="Z194" s="1097"/>
      <c r="AA194" s="1108"/>
      <c r="AB194" s="1108"/>
      <c r="AC194" s="1108"/>
      <c r="AE194" s="1104" t="str">
        <f t="shared" ca="1" si="23"/>
        <v/>
      </c>
      <c r="AF194" s="371" t="str">
        <f t="shared" ca="1" si="24"/>
        <v/>
      </c>
      <c r="AG194" s="371" t="str">
        <f t="shared" ca="1" si="27"/>
        <v/>
      </c>
      <c r="AH194" s="371" t="str">
        <f t="shared" ca="1" si="25"/>
        <v/>
      </c>
      <c r="AI194" s="1105" t="str">
        <f t="shared" ca="1" si="8"/>
        <v/>
      </c>
      <c r="AJ194" s="417" t="str">
        <f t="shared" ca="1" si="19"/>
        <v/>
      </c>
      <c r="AK194" s="1106" t="str">
        <f t="shared" ca="1" si="28"/>
        <v/>
      </c>
      <c r="AL194" s="1107" t="str">
        <f t="shared" ca="1" si="26"/>
        <v/>
      </c>
      <c r="BC194" s="40"/>
      <c r="BD194" s="40"/>
      <c r="BE194" s="40"/>
      <c r="BF194" s="40"/>
      <c r="BG194" s="40"/>
    </row>
    <row r="195" spans="1:59" ht="18" customHeight="1">
      <c r="A195" s="1095" t="str">
        <f ca="1"/>
        <v/>
      </c>
      <c r="B195" s="399" t="str">
        <f ca="1"/>
        <v/>
      </c>
      <c r="C195" s="399" t="str">
        <f ca="1"/>
        <v/>
      </c>
      <c r="D195" s="400" t="str">
        <f ca="1"/>
        <v/>
      </c>
      <c r="E195" s="401" t="str">
        <f t="shared" ca="1" si="10"/>
        <v/>
      </c>
      <c r="F195" s="411"/>
      <c r="G195" s="407"/>
      <c r="N195" s="376" t="str">
        <f t="shared" ca="1" si="20"/>
        <v/>
      </c>
      <c r="O195" s="377" t="str">
        <f t="shared" ca="1" si="11"/>
        <v/>
      </c>
      <c r="P195" s="371" t="str">
        <f t="shared" ca="1" si="21"/>
        <v/>
      </c>
      <c r="Q195" s="371" t="str">
        <f t="shared" ca="1" si="12"/>
        <v/>
      </c>
      <c r="R195" s="378" t="str">
        <f t="shared" ca="1" si="22"/>
        <v/>
      </c>
      <c r="S195" s="417" t="str">
        <f t="shared" ca="1" si="13"/>
        <v/>
      </c>
      <c r="U195" s="376" t="str">
        <f t="shared" ca="1" si="14"/>
        <v/>
      </c>
      <c r="V195" s="371" t="str">
        <f t="shared" ca="1" si="15"/>
        <v/>
      </c>
      <c r="W195" s="378" t="str">
        <f t="shared" ca="1" si="16"/>
        <v/>
      </c>
      <c r="X195" s="376" t="str">
        <f t="shared" ca="1" si="17"/>
        <v/>
      </c>
      <c r="Y195" s="1103" t="str">
        <f t="shared" ca="1" si="18"/>
        <v/>
      </c>
      <c r="Z195" s="1097"/>
      <c r="AA195" s="1108"/>
      <c r="AB195" s="1108"/>
      <c r="AC195" s="1108"/>
      <c r="AE195" s="1104" t="str">
        <f t="shared" ca="1" si="23"/>
        <v/>
      </c>
      <c r="AF195" s="371" t="str">
        <f t="shared" ca="1" si="24"/>
        <v/>
      </c>
      <c r="AG195" s="371" t="str">
        <f t="shared" ca="1" si="27"/>
        <v/>
      </c>
      <c r="AH195" s="371" t="str">
        <f t="shared" ca="1" si="25"/>
        <v/>
      </c>
      <c r="AI195" s="1105" t="str">
        <f t="shared" ca="1" si="8"/>
        <v/>
      </c>
      <c r="AJ195" s="417" t="str">
        <f t="shared" ca="1" si="19"/>
        <v/>
      </c>
      <c r="AK195" s="1106" t="str">
        <f t="shared" ca="1" si="28"/>
        <v/>
      </c>
      <c r="AL195" s="1107" t="str">
        <f t="shared" ca="1" si="26"/>
        <v/>
      </c>
      <c r="BC195" s="40"/>
      <c r="BD195" s="40"/>
      <c r="BE195" s="40"/>
      <c r="BF195" s="40"/>
      <c r="BG195" s="40"/>
    </row>
    <row r="196" spans="1:59" ht="18" customHeight="1">
      <c r="A196" s="1095" t="str">
        <f ca="1"/>
        <v/>
      </c>
      <c r="B196" s="399" t="str">
        <f ca="1"/>
        <v/>
      </c>
      <c r="C196" s="399" t="str">
        <f ca="1"/>
        <v/>
      </c>
      <c r="D196" s="400" t="str">
        <f ca="1"/>
        <v/>
      </c>
      <c r="E196" s="401" t="str">
        <f t="shared" ca="1" si="10"/>
        <v/>
      </c>
      <c r="F196" s="411"/>
      <c r="G196" s="407"/>
      <c r="N196" s="376" t="str">
        <f t="shared" ca="1" si="20"/>
        <v/>
      </c>
      <c r="O196" s="377" t="str">
        <f t="shared" ca="1" si="11"/>
        <v/>
      </c>
      <c r="P196" s="371" t="str">
        <f t="shared" ca="1" si="21"/>
        <v/>
      </c>
      <c r="Q196" s="371" t="str">
        <f t="shared" ca="1" si="12"/>
        <v/>
      </c>
      <c r="R196" s="378" t="str">
        <f t="shared" ca="1" si="22"/>
        <v/>
      </c>
      <c r="S196" s="417" t="str">
        <f t="shared" ca="1" si="13"/>
        <v/>
      </c>
      <c r="U196" s="376" t="str">
        <f t="shared" ca="1" si="14"/>
        <v/>
      </c>
      <c r="V196" s="371" t="str">
        <f t="shared" ca="1" si="15"/>
        <v/>
      </c>
      <c r="W196" s="378" t="str">
        <f t="shared" ca="1" si="16"/>
        <v/>
      </c>
      <c r="X196" s="376" t="str">
        <f t="shared" ca="1" si="17"/>
        <v/>
      </c>
      <c r="Y196" s="1103" t="str">
        <f t="shared" ca="1" si="18"/>
        <v/>
      </c>
      <c r="Z196" s="1097"/>
      <c r="AA196" s="1108"/>
      <c r="AB196" s="1108"/>
      <c r="AC196" s="1108"/>
      <c r="AE196" s="1104" t="str">
        <f t="shared" ca="1" si="23"/>
        <v/>
      </c>
      <c r="AF196" s="371" t="str">
        <f t="shared" ca="1" si="24"/>
        <v/>
      </c>
      <c r="AG196" s="371" t="str">
        <f t="shared" ca="1" si="27"/>
        <v/>
      </c>
      <c r="AH196" s="371" t="str">
        <f t="shared" ca="1" si="25"/>
        <v/>
      </c>
      <c r="AI196" s="1105" t="str">
        <f t="shared" ca="1" si="8"/>
        <v/>
      </c>
      <c r="AJ196" s="417" t="str">
        <f t="shared" ca="1" si="19"/>
        <v/>
      </c>
      <c r="AK196" s="1106" t="str">
        <f t="shared" ca="1" si="28"/>
        <v/>
      </c>
      <c r="AL196" s="1107" t="str">
        <f t="shared" ca="1" si="26"/>
        <v/>
      </c>
      <c r="BC196" s="40"/>
      <c r="BD196" s="40"/>
      <c r="BE196" s="40"/>
      <c r="BF196" s="40"/>
      <c r="BG196" s="40"/>
    </row>
    <row r="197" spans="1:59" ht="18" customHeight="1">
      <c r="A197" s="1095" t="str">
        <f ca="1"/>
        <v/>
      </c>
      <c r="B197" s="399" t="str">
        <f ca="1"/>
        <v/>
      </c>
      <c r="C197" s="399" t="str">
        <f ca="1"/>
        <v/>
      </c>
      <c r="D197" s="400" t="str">
        <f ca="1"/>
        <v/>
      </c>
      <c r="E197" s="401" t="str">
        <f t="shared" ca="1" si="10"/>
        <v/>
      </c>
      <c r="F197" s="411"/>
      <c r="G197" s="407"/>
      <c r="N197" s="376" t="str">
        <f t="shared" ca="1" si="20"/>
        <v/>
      </c>
      <c r="O197" s="377" t="str">
        <f t="shared" ca="1" si="11"/>
        <v/>
      </c>
      <c r="P197" s="371" t="str">
        <f t="shared" ca="1" si="21"/>
        <v/>
      </c>
      <c r="Q197" s="371" t="str">
        <f t="shared" ca="1" si="12"/>
        <v/>
      </c>
      <c r="R197" s="378" t="str">
        <f t="shared" ca="1" si="22"/>
        <v/>
      </c>
      <c r="S197" s="417" t="str">
        <f t="shared" ca="1" si="13"/>
        <v/>
      </c>
      <c r="U197" s="376" t="str">
        <f t="shared" ca="1" si="14"/>
        <v/>
      </c>
      <c r="V197" s="371" t="str">
        <f t="shared" ca="1" si="15"/>
        <v/>
      </c>
      <c r="W197" s="378" t="str">
        <f t="shared" ca="1" si="16"/>
        <v/>
      </c>
      <c r="X197" s="376" t="str">
        <f t="shared" ca="1" si="17"/>
        <v/>
      </c>
      <c r="Y197" s="1103" t="str">
        <f t="shared" ca="1" si="18"/>
        <v/>
      </c>
      <c r="Z197" s="1097"/>
      <c r="AA197" s="1108"/>
      <c r="AB197" s="1108"/>
      <c r="AC197" s="1108"/>
      <c r="AE197" s="1104" t="str">
        <f t="shared" ca="1" si="23"/>
        <v/>
      </c>
      <c r="AF197" s="371" t="str">
        <f t="shared" ca="1" si="24"/>
        <v/>
      </c>
      <c r="AG197" s="371" t="str">
        <f t="shared" ca="1" si="27"/>
        <v/>
      </c>
      <c r="AH197" s="371" t="str">
        <f t="shared" ca="1" si="25"/>
        <v/>
      </c>
      <c r="AI197" s="1105" t="str">
        <f t="shared" ca="1" si="8"/>
        <v/>
      </c>
      <c r="AJ197" s="417" t="str">
        <f t="shared" ca="1" si="19"/>
        <v/>
      </c>
      <c r="AK197" s="1106" t="str">
        <f t="shared" ca="1" si="28"/>
        <v/>
      </c>
      <c r="AL197" s="1107" t="str">
        <f t="shared" ca="1" si="26"/>
        <v/>
      </c>
      <c r="BC197" s="40"/>
      <c r="BD197" s="40"/>
      <c r="BE197" s="40"/>
      <c r="BF197" s="40"/>
      <c r="BG197" s="40"/>
    </row>
    <row r="198" spans="1:59" ht="18" customHeight="1">
      <c r="A198" s="1095" t="str">
        <f ca="1"/>
        <v/>
      </c>
      <c r="B198" s="399" t="str">
        <f ca="1"/>
        <v/>
      </c>
      <c r="C198" s="399" t="str">
        <f ca="1"/>
        <v/>
      </c>
      <c r="D198" s="400" t="str">
        <f ca="1"/>
        <v/>
      </c>
      <c r="E198" s="401" t="str">
        <f t="shared" ca="1" si="10"/>
        <v/>
      </c>
      <c r="F198" s="411"/>
      <c r="G198" s="407"/>
      <c r="N198" s="376" t="str">
        <f t="shared" ca="1" si="20"/>
        <v/>
      </c>
      <c r="O198" s="377" t="str">
        <f t="shared" ca="1" si="11"/>
        <v/>
      </c>
      <c r="P198" s="371" t="str">
        <f t="shared" ca="1" si="21"/>
        <v/>
      </c>
      <c r="Q198" s="371" t="str">
        <f t="shared" ca="1" si="12"/>
        <v/>
      </c>
      <c r="R198" s="378" t="str">
        <f t="shared" ca="1" si="22"/>
        <v/>
      </c>
      <c r="S198" s="417" t="str">
        <f t="shared" ca="1" si="13"/>
        <v/>
      </c>
      <c r="U198" s="376" t="str">
        <f t="shared" ca="1" si="14"/>
        <v/>
      </c>
      <c r="V198" s="371" t="str">
        <f t="shared" ca="1" si="15"/>
        <v/>
      </c>
      <c r="W198" s="378" t="str">
        <f t="shared" ca="1" si="16"/>
        <v/>
      </c>
      <c r="X198" s="376" t="str">
        <f t="shared" ca="1" si="17"/>
        <v/>
      </c>
      <c r="Y198" s="1103" t="str">
        <f t="shared" ca="1" si="18"/>
        <v/>
      </c>
      <c r="Z198" s="1097"/>
      <c r="AA198" s="1108"/>
      <c r="AB198" s="1108"/>
      <c r="AC198" s="1108"/>
      <c r="AE198" s="1104" t="str">
        <f t="shared" ca="1" si="23"/>
        <v/>
      </c>
      <c r="AF198" s="371" t="str">
        <f t="shared" ca="1" si="24"/>
        <v/>
      </c>
      <c r="AG198" s="371" t="str">
        <f t="shared" ca="1" si="27"/>
        <v/>
      </c>
      <c r="AH198" s="371" t="str">
        <f t="shared" ca="1" si="25"/>
        <v/>
      </c>
      <c r="AI198" s="1105" t="str">
        <f t="shared" ca="1" si="8"/>
        <v/>
      </c>
      <c r="AJ198" s="417" t="str">
        <f t="shared" ca="1" si="19"/>
        <v/>
      </c>
      <c r="AK198" s="1106" t="str">
        <f t="shared" ca="1" si="28"/>
        <v/>
      </c>
      <c r="AL198" s="1107" t="str">
        <f t="shared" ca="1" si="26"/>
        <v/>
      </c>
      <c r="BC198" s="40"/>
      <c r="BD198" s="40"/>
      <c r="BE198" s="40"/>
      <c r="BF198" s="40"/>
      <c r="BG198" s="40"/>
    </row>
    <row r="199" spans="1:59" ht="18" customHeight="1">
      <c r="A199" s="1095" t="str">
        <f ca="1"/>
        <v/>
      </c>
      <c r="B199" s="399" t="str">
        <f ca="1"/>
        <v/>
      </c>
      <c r="C199" s="399" t="str">
        <f ca="1"/>
        <v/>
      </c>
      <c r="D199" s="400" t="str">
        <f ca="1"/>
        <v/>
      </c>
      <c r="E199" s="401" t="str">
        <f t="shared" ca="1" si="10"/>
        <v/>
      </c>
      <c r="F199" s="411"/>
      <c r="G199" s="407"/>
      <c r="N199" s="376" t="str">
        <f t="shared" ca="1" si="20"/>
        <v/>
      </c>
      <c r="O199" s="377" t="str">
        <f t="shared" ca="1" si="11"/>
        <v/>
      </c>
      <c r="P199" s="371" t="str">
        <f t="shared" ca="1" si="21"/>
        <v/>
      </c>
      <c r="Q199" s="371" t="str">
        <f t="shared" ca="1" si="12"/>
        <v/>
      </c>
      <c r="R199" s="378" t="str">
        <f t="shared" ca="1" si="22"/>
        <v/>
      </c>
      <c r="S199" s="417" t="str">
        <f t="shared" ca="1" si="13"/>
        <v/>
      </c>
      <c r="U199" s="376" t="str">
        <f t="shared" ca="1" si="14"/>
        <v/>
      </c>
      <c r="V199" s="371" t="str">
        <f t="shared" ca="1" si="15"/>
        <v/>
      </c>
      <c r="W199" s="378" t="str">
        <f t="shared" ca="1" si="16"/>
        <v/>
      </c>
      <c r="X199" s="376" t="str">
        <f t="shared" ca="1" si="17"/>
        <v/>
      </c>
      <c r="Y199" s="1103" t="str">
        <f t="shared" ca="1" si="18"/>
        <v/>
      </c>
      <c r="Z199" s="1097"/>
      <c r="AA199" s="1108"/>
      <c r="AB199" s="1108"/>
      <c r="AC199" s="1108"/>
      <c r="AE199" s="1104" t="str">
        <f t="shared" ca="1" si="23"/>
        <v/>
      </c>
      <c r="AF199" s="371" t="str">
        <f t="shared" ca="1" si="24"/>
        <v/>
      </c>
      <c r="AG199" s="371" t="str">
        <f t="shared" ca="1" si="27"/>
        <v/>
      </c>
      <c r="AH199" s="371" t="str">
        <f t="shared" ca="1" si="25"/>
        <v/>
      </c>
      <c r="AI199" s="1105" t="str">
        <f t="shared" ca="1" si="8"/>
        <v/>
      </c>
      <c r="AJ199" s="417" t="str">
        <f t="shared" ca="1" si="19"/>
        <v/>
      </c>
      <c r="AK199" s="1106" t="str">
        <f t="shared" ca="1" si="28"/>
        <v/>
      </c>
      <c r="AL199" s="1107" t="str">
        <f t="shared" ca="1" si="26"/>
        <v/>
      </c>
      <c r="BC199" s="40"/>
      <c r="BD199" s="40"/>
      <c r="BE199" s="40"/>
      <c r="BF199" s="40"/>
      <c r="BG199" s="40"/>
    </row>
    <row r="200" spans="1:59" ht="18" customHeight="1">
      <c r="A200" s="1095" t="str">
        <f ca="1"/>
        <v/>
      </c>
      <c r="B200" s="399" t="str">
        <f ca="1"/>
        <v/>
      </c>
      <c r="C200" s="399" t="str">
        <f ca="1"/>
        <v/>
      </c>
      <c r="D200" s="400" t="str">
        <f ca="1"/>
        <v/>
      </c>
      <c r="E200" s="401" t="str">
        <f t="shared" ca="1" si="10"/>
        <v/>
      </c>
      <c r="F200" s="411"/>
      <c r="G200" s="407"/>
      <c r="N200" s="376" t="str">
        <f t="shared" ca="1" si="20"/>
        <v/>
      </c>
      <c r="O200" s="377" t="str">
        <f t="shared" ca="1" si="11"/>
        <v/>
      </c>
      <c r="P200" s="371" t="str">
        <f t="shared" ca="1" si="21"/>
        <v/>
      </c>
      <c r="Q200" s="371" t="str">
        <f t="shared" ca="1" si="12"/>
        <v/>
      </c>
      <c r="R200" s="378" t="str">
        <f t="shared" ca="1" si="22"/>
        <v/>
      </c>
      <c r="S200" s="417" t="str">
        <f t="shared" ca="1" si="13"/>
        <v/>
      </c>
      <c r="U200" s="376" t="str">
        <f t="shared" ca="1" si="14"/>
        <v/>
      </c>
      <c r="V200" s="371" t="str">
        <f t="shared" ca="1" si="15"/>
        <v/>
      </c>
      <c r="W200" s="378" t="str">
        <f t="shared" ca="1" si="16"/>
        <v/>
      </c>
      <c r="X200" s="376" t="str">
        <f t="shared" ca="1" si="17"/>
        <v/>
      </c>
      <c r="Y200" s="1103" t="str">
        <f t="shared" ca="1" si="18"/>
        <v/>
      </c>
      <c r="Z200" s="1097"/>
      <c r="AA200" s="1108"/>
      <c r="AB200" s="1108"/>
      <c r="AC200" s="1108"/>
      <c r="AE200" s="1104" t="str">
        <f t="shared" ca="1" si="23"/>
        <v/>
      </c>
      <c r="AF200" s="371" t="str">
        <f t="shared" ca="1" si="24"/>
        <v/>
      </c>
      <c r="AG200" s="371" t="str">
        <f t="shared" ca="1" si="27"/>
        <v/>
      </c>
      <c r="AH200" s="371" t="str">
        <f t="shared" ca="1" si="25"/>
        <v/>
      </c>
      <c r="AI200" s="1105" t="str">
        <f t="shared" ref="AI200:AI214" ca="1" si="29">IF(AF200="","",AL200*$AK$221/AK200)</f>
        <v/>
      </c>
      <c r="AJ200" s="417" t="str">
        <f t="shared" ca="1" si="19"/>
        <v/>
      </c>
      <c r="AK200" s="1106" t="str">
        <f t="shared" ca="1" si="28"/>
        <v/>
      </c>
      <c r="AL200" s="1107" t="str">
        <f t="shared" ca="1" si="26"/>
        <v/>
      </c>
      <c r="BC200" s="40"/>
      <c r="BD200" s="40"/>
      <c r="BE200" s="40"/>
      <c r="BF200" s="40"/>
      <c r="BG200" s="40"/>
    </row>
    <row r="201" spans="1:59" ht="18" customHeight="1">
      <c r="A201" s="1095" t="str">
        <f ca="1"/>
        <v/>
      </c>
      <c r="B201" s="399" t="str">
        <f ca="1"/>
        <v/>
      </c>
      <c r="C201" s="399" t="str">
        <f ca="1"/>
        <v/>
      </c>
      <c r="D201" s="400" t="str">
        <f ca="1"/>
        <v/>
      </c>
      <c r="E201" s="401" t="str">
        <f t="shared" ca="1" si="10"/>
        <v/>
      </c>
      <c r="F201" s="411"/>
      <c r="G201" s="407"/>
      <c r="N201" s="376" t="str">
        <f t="shared" ca="1" si="20"/>
        <v/>
      </c>
      <c r="O201" s="377" t="str">
        <f t="shared" ca="1" si="11"/>
        <v/>
      </c>
      <c r="P201" s="371" t="str">
        <f t="shared" ca="1" si="21"/>
        <v/>
      </c>
      <c r="Q201" s="371" t="str">
        <f t="shared" ca="1" si="12"/>
        <v/>
      </c>
      <c r="R201" s="378" t="str">
        <f t="shared" ca="1" si="22"/>
        <v/>
      </c>
      <c r="S201" s="417" t="str">
        <f t="shared" ca="1" si="13"/>
        <v/>
      </c>
      <c r="U201" s="376" t="str">
        <f t="shared" ca="1" si="14"/>
        <v/>
      </c>
      <c r="V201" s="371" t="str">
        <f t="shared" ca="1" si="15"/>
        <v/>
      </c>
      <c r="W201" s="378" t="str">
        <f t="shared" ca="1" si="16"/>
        <v/>
      </c>
      <c r="X201" s="376" t="str">
        <f t="shared" ca="1" si="17"/>
        <v/>
      </c>
      <c r="Y201" s="1103" t="str">
        <f t="shared" ca="1" si="18"/>
        <v/>
      </c>
      <c r="Z201" s="1097"/>
      <c r="AA201" s="1108"/>
      <c r="AB201" s="1108"/>
      <c r="AC201" s="1108"/>
      <c r="AE201" s="1104" t="str">
        <f t="shared" ca="1" si="23"/>
        <v/>
      </c>
      <c r="AF201" s="371" t="str">
        <f t="shared" ca="1" si="24"/>
        <v/>
      </c>
      <c r="AG201" s="371" t="str">
        <f t="shared" ca="1" si="27"/>
        <v/>
      </c>
      <c r="AH201" s="371" t="str">
        <f t="shared" ca="1" si="25"/>
        <v/>
      </c>
      <c r="AI201" s="1105" t="str">
        <f t="shared" ca="1" si="29"/>
        <v/>
      </c>
      <c r="AJ201" s="417" t="str">
        <f t="shared" ca="1" si="19"/>
        <v/>
      </c>
      <c r="AK201" s="1106" t="str">
        <f t="shared" ca="1" si="28"/>
        <v/>
      </c>
      <c r="AL201" s="1107" t="str">
        <f t="shared" ca="1" si="26"/>
        <v/>
      </c>
      <c r="BC201" s="40"/>
      <c r="BD201" s="40"/>
      <c r="BE201" s="40"/>
      <c r="BF201" s="40"/>
      <c r="BG201" s="40"/>
    </row>
    <row r="202" spans="1:59" ht="18" customHeight="1">
      <c r="A202" s="1095" t="str">
        <f ca="1"/>
        <v/>
      </c>
      <c r="B202" s="399" t="str">
        <f ca="1"/>
        <v/>
      </c>
      <c r="C202" s="399" t="str">
        <f ca="1"/>
        <v/>
      </c>
      <c r="D202" s="400" t="str">
        <f ca="1"/>
        <v/>
      </c>
      <c r="E202" s="401" t="str">
        <f t="shared" ref="E202:E211" ca="1" si="30">IF(A202=90,$C$28-D202,IF(A202=45,$C$27-D202,""))</f>
        <v/>
      </c>
      <c r="F202" s="411"/>
      <c r="G202" s="407"/>
      <c r="N202" s="376" t="str">
        <f t="shared" ca="1" si="20"/>
        <v/>
      </c>
      <c r="O202" s="377" t="str">
        <f t="shared" ref="O202:O211" ca="1" si="31">IF(N202="","",IF($C$17="unten",C202,IF($C$17="oben",$C$14-C202)))</f>
        <v/>
      </c>
      <c r="P202" s="371" t="str">
        <f t="shared" ca="1" si="21"/>
        <v/>
      </c>
      <c r="Q202" s="371" t="str">
        <f t="shared" ref="Q202:Q211" ca="1" si="32">IF(N202="","",$C$26*$C$32*E202/$C$33)</f>
        <v/>
      </c>
      <c r="R202" s="378" t="str">
        <f t="shared" ca="1" si="22"/>
        <v/>
      </c>
      <c r="S202" s="417" t="str">
        <f t="shared" ref="S202:S211" ca="1" si="33">IF(N202="","",P202*$R$224/E202)</f>
        <v/>
      </c>
      <c r="U202" s="376" t="str">
        <f t="shared" ref="U202:U211" ca="1" si="34">IF(OR(A202=45),IF($C$17="unten",IF($O$16&gt;C202,"",C202-$O$16),IF($C$17="oben",IF($O$16&gt;$C$14-C202,"",$C$14-C202-$O$16))),"")</f>
        <v/>
      </c>
      <c r="V202" s="371" t="str">
        <f t="shared" ref="V202:V211" ca="1" si="35">IF(U202="","",MIN($C$26*$C$32*E202,$C$34)*U202/MAX($U$138:$U$211)/2^0.5)</f>
        <v/>
      </c>
      <c r="W202" s="378" t="str">
        <f t="shared" ref="W202:W211" ca="1" si="36">IF(U202="","",$C$33*U202/MAX($U$138:$U$211)/2^0.5)</f>
        <v/>
      </c>
      <c r="X202" s="376" t="str">
        <f t="shared" ref="X202:X211" ca="1" si="37">IF(A202=45,IF($C$17="unten",ABS(C202-$O$16),IF($C$17="oben",ABS($C$14-C202-$O$16))),"")</f>
        <v/>
      </c>
      <c r="Y202" s="1103" t="str">
        <f t="shared" ref="Y202:Y211" ca="1" si="38">IF(OR(A202=45),(X202)^2,"")</f>
        <v/>
      </c>
      <c r="Z202" s="1097"/>
      <c r="AA202" s="1108"/>
      <c r="AB202" s="1108"/>
      <c r="AC202" s="1108"/>
      <c r="AE202" s="1104" t="str">
        <f t="shared" ca="1" si="23"/>
        <v/>
      </c>
      <c r="AF202" s="371" t="str">
        <f t="shared" ca="1" si="24"/>
        <v/>
      </c>
      <c r="AG202" s="371" t="str">
        <f t="shared" ca="1" si="27"/>
        <v/>
      </c>
      <c r="AH202" s="371" t="str">
        <f t="shared" ca="1" si="25"/>
        <v/>
      </c>
      <c r="AI202" s="1105" t="str">
        <f t="shared" ca="1" si="29"/>
        <v/>
      </c>
      <c r="AJ202" s="417" t="str">
        <f t="shared" ref="AJ202:AJ211" ca="1" si="39">IF(AE202="","",AG202*$AJ$224/E202)</f>
        <v/>
      </c>
      <c r="AK202" s="1106" t="str">
        <f t="shared" ca="1" si="28"/>
        <v/>
      </c>
      <c r="AL202" s="1107" t="str">
        <f t="shared" ca="1" si="26"/>
        <v/>
      </c>
      <c r="BC202" s="40"/>
      <c r="BD202" s="40"/>
      <c r="BE202" s="40"/>
      <c r="BF202" s="40"/>
      <c r="BG202" s="40"/>
    </row>
    <row r="203" spans="1:59" ht="18" customHeight="1">
      <c r="A203" s="1095" t="str">
        <f ca="1"/>
        <v/>
      </c>
      <c r="B203" s="399" t="str">
        <f ca="1"/>
        <v/>
      </c>
      <c r="C203" s="399" t="str">
        <f ca="1"/>
        <v/>
      </c>
      <c r="D203" s="400" t="str">
        <f ca="1"/>
        <v/>
      </c>
      <c r="E203" s="401" t="str">
        <f t="shared" ca="1" si="30"/>
        <v/>
      </c>
      <c r="F203" s="411"/>
      <c r="G203" s="407"/>
      <c r="N203" s="376" t="str">
        <f t="shared" ref="N203:N211" ca="1" si="40">IF(OR(A203=90),IF($C$17="unten",IF($O$16&gt;C203,"",C203-$O$16),IF($C$17="oben",IF($O$16&gt;$C$14-C203,"",$C$14-C203-$O$16))),"")</f>
        <v/>
      </c>
      <c r="O203" s="377" t="str">
        <f t="shared" ca="1" si="31"/>
        <v/>
      </c>
      <c r="P203" s="371" t="str">
        <f t="shared" ref="P203:P211" ca="1" si="41">IF(N203="","",MIN($C$26*$C$32*E203,$C$34)*N203/MAX($N$138:$N$211))</f>
        <v/>
      </c>
      <c r="Q203" s="371" t="str">
        <f t="shared" ca="1" si="32"/>
        <v/>
      </c>
      <c r="R203" s="378" t="str">
        <f t="shared" ref="R203:R211" ca="1" si="42">IF(N203="","",P203/Q203)</f>
        <v/>
      </c>
      <c r="S203" s="417" t="str">
        <f t="shared" ca="1" si="33"/>
        <v/>
      </c>
      <c r="U203" s="376" t="str">
        <f t="shared" ca="1" si="34"/>
        <v/>
      </c>
      <c r="V203" s="371" t="str">
        <f t="shared" ca="1" si="35"/>
        <v/>
      </c>
      <c r="W203" s="378" t="str">
        <f t="shared" ca="1" si="36"/>
        <v/>
      </c>
      <c r="X203" s="376" t="str">
        <f t="shared" ca="1" si="37"/>
        <v/>
      </c>
      <c r="Y203" s="1103" t="str">
        <f t="shared" ca="1" si="38"/>
        <v/>
      </c>
      <c r="Z203" s="1097"/>
      <c r="AA203" s="1108"/>
      <c r="AB203" s="1108"/>
      <c r="AC203" s="1108"/>
      <c r="AE203" s="1104" t="str">
        <f t="shared" ref="AE203:AE211" ca="1" si="43">IF(OR(A203=90),IF($C$17="unten",IF($AF$16&gt;=C203,"",C203-$AF$16),IF($C$17="oben",IF($AF$16&gt;=$C$14-C203,"",$C$14-C203-$AF$16))),"")</f>
        <v/>
      </c>
      <c r="AF203" s="371" t="str">
        <f t="shared" ref="AF203:AF217" ca="1" si="44">IF(AE203="","",IF($C$17="unten",C203,IF($C$17="oben",$C$14-C203)))</f>
        <v/>
      </c>
      <c r="AG203" s="371" t="str">
        <f t="shared" ca="1" si="27"/>
        <v/>
      </c>
      <c r="AH203" s="371" t="str">
        <f t="shared" ref="AH203:AH211" ca="1" si="45">IF(AE203="","",$C$26*$C$32*E203/$C$33)</f>
        <v/>
      </c>
      <c r="AI203" s="1105" t="str">
        <f t="shared" ca="1" si="29"/>
        <v/>
      </c>
      <c r="AJ203" s="417" t="str">
        <f t="shared" ca="1" si="39"/>
        <v/>
      </c>
      <c r="AK203" s="1106" t="str">
        <f t="shared" ca="1" si="28"/>
        <v/>
      </c>
      <c r="AL203" s="1107" t="str">
        <f t="shared" ref="AL203:AL211" ca="1" si="46">IF(AE203="","",$AM$138*AE203/MAX($AE$138:$AE$211))</f>
        <v/>
      </c>
      <c r="BC203" s="40"/>
      <c r="BD203" s="40"/>
      <c r="BE203" s="40"/>
      <c r="BF203" s="40"/>
      <c r="BG203" s="40"/>
    </row>
    <row r="204" spans="1:59" ht="18" customHeight="1">
      <c r="A204" s="1095" t="str">
        <f ca="1"/>
        <v/>
      </c>
      <c r="B204" s="399" t="str">
        <f ca="1"/>
        <v/>
      </c>
      <c r="C204" s="399" t="str">
        <f ca="1"/>
        <v/>
      </c>
      <c r="D204" s="400" t="str">
        <f ca="1"/>
        <v/>
      </c>
      <c r="E204" s="401" t="str">
        <f t="shared" ca="1" si="30"/>
        <v/>
      </c>
      <c r="F204" s="411"/>
      <c r="G204" s="407"/>
      <c r="N204" s="376" t="str">
        <f t="shared" ca="1" si="40"/>
        <v/>
      </c>
      <c r="O204" s="377" t="str">
        <f t="shared" ca="1" si="31"/>
        <v/>
      </c>
      <c r="P204" s="371" t="str">
        <f t="shared" ca="1" si="41"/>
        <v/>
      </c>
      <c r="Q204" s="371" t="str">
        <f t="shared" ca="1" si="32"/>
        <v/>
      </c>
      <c r="R204" s="378" t="str">
        <f t="shared" ca="1" si="42"/>
        <v/>
      </c>
      <c r="S204" s="417" t="str">
        <f t="shared" ca="1" si="33"/>
        <v/>
      </c>
      <c r="U204" s="376" t="str">
        <f t="shared" ca="1" si="34"/>
        <v/>
      </c>
      <c r="V204" s="371" t="str">
        <f t="shared" ca="1" si="35"/>
        <v/>
      </c>
      <c r="W204" s="378" t="str">
        <f t="shared" ca="1" si="36"/>
        <v/>
      </c>
      <c r="X204" s="376" t="str">
        <f t="shared" ca="1" si="37"/>
        <v/>
      </c>
      <c r="Y204" s="1103" t="str">
        <f t="shared" ca="1" si="38"/>
        <v/>
      </c>
      <c r="Z204" s="1097"/>
      <c r="AA204" s="1108"/>
      <c r="AB204" s="1108"/>
      <c r="AC204" s="1108"/>
      <c r="AE204" s="1104" t="str">
        <f t="shared" ca="1" si="43"/>
        <v/>
      </c>
      <c r="AF204" s="371" t="str">
        <f t="shared" ca="1" si="44"/>
        <v/>
      </c>
      <c r="AG204" s="371" t="str">
        <f t="shared" ref="AG204:AG211" ca="1" si="47">IF(AF204="","",AH204*AI204)</f>
        <v/>
      </c>
      <c r="AH204" s="371" t="str">
        <f t="shared" ca="1" si="45"/>
        <v/>
      </c>
      <c r="AI204" s="1105" t="str">
        <f t="shared" ca="1" si="29"/>
        <v/>
      </c>
      <c r="AJ204" s="417" t="str">
        <f t="shared" ca="1" si="39"/>
        <v/>
      </c>
      <c r="AK204" s="1106" t="str">
        <f t="shared" ref="AK204:AK214" ca="1" si="48">IF(AE204="","",AL204/AE204)</f>
        <v/>
      </c>
      <c r="AL204" s="1107" t="str">
        <f t="shared" ca="1" si="46"/>
        <v/>
      </c>
      <c r="BC204" s="40"/>
      <c r="BD204" s="40"/>
      <c r="BE204" s="40"/>
      <c r="BF204" s="40"/>
      <c r="BG204" s="40"/>
    </row>
    <row r="205" spans="1:59" ht="18" customHeight="1">
      <c r="A205" s="1095" t="str">
        <f ca="1"/>
        <v/>
      </c>
      <c r="B205" s="399" t="str">
        <f ca="1"/>
        <v/>
      </c>
      <c r="C205" s="399" t="str">
        <f ca="1"/>
        <v/>
      </c>
      <c r="D205" s="400" t="str">
        <f ca="1"/>
        <v/>
      </c>
      <c r="E205" s="401" t="str">
        <f t="shared" ca="1" si="30"/>
        <v/>
      </c>
      <c r="F205" s="411"/>
      <c r="G205" s="407"/>
      <c r="N205" s="376" t="str">
        <f t="shared" ca="1" si="40"/>
        <v/>
      </c>
      <c r="O205" s="377" t="str">
        <f t="shared" ca="1" si="31"/>
        <v/>
      </c>
      <c r="P205" s="371" t="str">
        <f t="shared" ca="1" si="41"/>
        <v/>
      </c>
      <c r="Q205" s="371" t="str">
        <f t="shared" ca="1" si="32"/>
        <v/>
      </c>
      <c r="R205" s="378" t="str">
        <f t="shared" ca="1" si="42"/>
        <v/>
      </c>
      <c r="S205" s="417" t="str">
        <f t="shared" ca="1" si="33"/>
        <v/>
      </c>
      <c r="U205" s="376" t="str">
        <f t="shared" ca="1" si="34"/>
        <v/>
      </c>
      <c r="V205" s="371" t="str">
        <f t="shared" ca="1" si="35"/>
        <v/>
      </c>
      <c r="W205" s="378" t="str">
        <f t="shared" ca="1" si="36"/>
        <v/>
      </c>
      <c r="X205" s="376" t="str">
        <f t="shared" ca="1" si="37"/>
        <v/>
      </c>
      <c r="Y205" s="1103" t="str">
        <f t="shared" ca="1" si="38"/>
        <v/>
      </c>
      <c r="Z205" s="1097"/>
      <c r="AA205" s="1108"/>
      <c r="AB205" s="1108"/>
      <c r="AC205" s="1108"/>
      <c r="AE205" s="1104" t="str">
        <f t="shared" ca="1" si="43"/>
        <v/>
      </c>
      <c r="AF205" s="371" t="str">
        <f t="shared" ca="1" si="44"/>
        <v/>
      </c>
      <c r="AG205" s="371" t="str">
        <f t="shared" ca="1" si="47"/>
        <v/>
      </c>
      <c r="AH205" s="371" t="str">
        <f t="shared" ca="1" si="45"/>
        <v/>
      </c>
      <c r="AI205" s="1105" t="str">
        <f t="shared" ca="1" si="29"/>
        <v/>
      </c>
      <c r="AJ205" s="417" t="str">
        <f t="shared" ca="1" si="39"/>
        <v/>
      </c>
      <c r="AK205" s="1106" t="str">
        <f t="shared" ca="1" si="48"/>
        <v/>
      </c>
      <c r="AL205" s="1107" t="str">
        <f t="shared" ca="1" si="46"/>
        <v/>
      </c>
      <c r="BC205" s="40"/>
      <c r="BD205" s="40"/>
      <c r="BE205" s="40"/>
      <c r="BF205" s="40"/>
      <c r="BG205" s="40"/>
    </row>
    <row r="206" spans="1:59" ht="18" customHeight="1">
      <c r="A206" s="1095" t="str">
        <f ca="1"/>
        <v/>
      </c>
      <c r="B206" s="399" t="str">
        <f ca="1"/>
        <v/>
      </c>
      <c r="C206" s="399" t="str">
        <f ca="1"/>
        <v/>
      </c>
      <c r="D206" s="400" t="str">
        <f ca="1"/>
        <v/>
      </c>
      <c r="E206" s="401" t="str">
        <f t="shared" ca="1" si="30"/>
        <v/>
      </c>
      <c r="F206" s="411"/>
      <c r="G206" s="407"/>
      <c r="N206" s="376" t="str">
        <f t="shared" ca="1" si="40"/>
        <v/>
      </c>
      <c r="O206" s="377" t="str">
        <f t="shared" ca="1" si="31"/>
        <v/>
      </c>
      <c r="P206" s="371" t="str">
        <f t="shared" ca="1" si="41"/>
        <v/>
      </c>
      <c r="Q206" s="371" t="str">
        <f t="shared" ca="1" si="32"/>
        <v/>
      </c>
      <c r="R206" s="378" t="str">
        <f t="shared" ca="1" si="42"/>
        <v/>
      </c>
      <c r="S206" s="417" t="str">
        <f t="shared" ca="1" si="33"/>
        <v/>
      </c>
      <c r="U206" s="376" t="str">
        <f t="shared" ca="1" si="34"/>
        <v/>
      </c>
      <c r="V206" s="371" t="str">
        <f t="shared" ca="1" si="35"/>
        <v/>
      </c>
      <c r="W206" s="378" t="str">
        <f t="shared" ca="1" si="36"/>
        <v/>
      </c>
      <c r="X206" s="376" t="str">
        <f t="shared" ca="1" si="37"/>
        <v/>
      </c>
      <c r="Y206" s="1103" t="str">
        <f t="shared" ca="1" si="38"/>
        <v/>
      </c>
      <c r="Z206" s="1097"/>
      <c r="AA206" s="1108"/>
      <c r="AB206" s="1108"/>
      <c r="AC206" s="1108"/>
      <c r="AE206" s="1104" t="str">
        <f t="shared" ca="1" si="43"/>
        <v/>
      </c>
      <c r="AF206" s="371" t="str">
        <f t="shared" ca="1" si="44"/>
        <v/>
      </c>
      <c r="AG206" s="371" t="str">
        <f t="shared" ca="1" si="47"/>
        <v/>
      </c>
      <c r="AH206" s="371" t="str">
        <f t="shared" ca="1" si="45"/>
        <v/>
      </c>
      <c r="AI206" s="1105" t="str">
        <f t="shared" ca="1" si="29"/>
        <v/>
      </c>
      <c r="AJ206" s="417" t="str">
        <f t="shared" ca="1" si="39"/>
        <v/>
      </c>
      <c r="AK206" s="1106" t="str">
        <f t="shared" ca="1" si="48"/>
        <v/>
      </c>
      <c r="AL206" s="1107" t="str">
        <f t="shared" ca="1" si="46"/>
        <v/>
      </c>
      <c r="BC206" s="40"/>
      <c r="BD206" s="40"/>
      <c r="BE206" s="40"/>
      <c r="BF206" s="40"/>
      <c r="BG206" s="40"/>
    </row>
    <row r="207" spans="1:59" ht="18" customHeight="1">
      <c r="A207" s="1095" t="str">
        <f ca="1"/>
        <v/>
      </c>
      <c r="B207" s="399" t="str">
        <f ca="1"/>
        <v/>
      </c>
      <c r="C207" s="399" t="str">
        <f ca="1"/>
        <v/>
      </c>
      <c r="D207" s="400" t="str">
        <f ca="1"/>
        <v/>
      </c>
      <c r="E207" s="401" t="str">
        <f t="shared" ca="1" si="30"/>
        <v/>
      </c>
      <c r="F207" s="411"/>
      <c r="G207" s="407"/>
      <c r="N207" s="376" t="str">
        <f t="shared" ca="1" si="40"/>
        <v/>
      </c>
      <c r="O207" s="377" t="str">
        <f t="shared" ca="1" si="31"/>
        <v/>
      </c>
      <c r="P207" s="371" t="str">
        <f t="shared" ca="1" si="41"/>
        <v/>
      </c>
      <c r="Q207" s="371" t="str">
        <f t="shared" ca="1" si="32"/>
        <v/>
      </c>
      <c r="R207" s="378" t="str">
        <f t="shared" ca="1" si="42"/>
        <v/>
      </c>
      <c r="S207" s="417" t="str">
        <f t="shared" ca="1" si="33"/>
        <v/>
      </c>
      <c r="U207" s="376" t="str">
        <f t="shared" ca="1" si="34"/>
        <v/>
      </c>
      <c r="V207" s="371" t="str">
        <f t="shared" ca="1" si="35"/>
        <v/>
      </c>
      <c r="W207" s="378" t="str">
        <f t="shared" ca="1" si="36"/>
        <v/>
      </c>
      <c r="X207" s="376" t="str">
        <f t="shared" ca="1" si="37"/>
        <v/>
      </c>
      <c r="Y207" s="1103" t="str">
        <f t="shared" ca="1" si="38"/>
        <v/>
      </c>
      <c r="Z207" s="1097"/>
      <c r="AA207" s="1108"/>
      <c r="AB207" s="1108"/>
      <c r="AC207" s="1108"/>
      <c r="AE207" s="1104" t="str">
        <f t="shared" ca="1" si="43"/>
        <v/>
      </c>
      <c r="AF207" s="371" t="str">
        <f t="shared" ca="1" si="44"/>
        <v/>
      </c>
      <c r="AG207" s="371" t="str">
        <f t="shared" ca="1" si="47"/>
        <v/>
      </c>
      <c r="AH207" s="371" t="str">
        <f t="shared" ca="1" si="45"/>
        <v/>
      </c>
      <c r="AI207" s="1105" t="str">
        <f t="shared" ca="1" si="29"/>
        <v/>
      </c>
      <c r="AJ207" s="417" t="str">
        <f t="shared" ca="1" si="39"/>
        <v/>
      </c>
      <c r="AK207" s="1106" t="str">
        <f t="shared" ca="1" si="48"/>
        <v/>
      </c>
      <c r="AL207" s="1107" t="str">
        <f t="shared" ca="1" si="46"/>
        <v/>
      </c>
      <c r="BC207" s="40"/>
      <c r="BD207" s="40"/>
      <c r="BE207" s="40"/>
      <c r="BF207" s="40"/>
      <c r="BG207" s="40"/>
    </row>
    <row r="208" spans="1:59" ht="18" customHeight="1">
      <c r="A208" s="1095" t="str">
        <f ca="1"/>
        <v/>
      </c>
      <c r="B208" s="399" t="str">
        <f ca="1"/>
        <v/>
      </c>
      <c r="C208" s="399" t="str">
        <f ca="1"/>
        <v/>
      </c>
      <c r="D208" s="400" t="str">
        <f ca="1"/>
        <v/>
      </c>
      <c r="E208" s="401" t="str">
        <f t="shared" ca="1" si="30"/>
        <v/>
      </c>
      <c r="F208" s="411"/>
      <c r="G208" s="407"/>
      <c r="N208" s="376" t="str">
        <f t="shared" ca="1" si="40"/>
        <v/>
      </c>
      <c r="O208" s="377" t="str">
        <f t="shared" ca="1" si="31"/>
        <v/>
      </c>
      <c r="P208" s="371" t="str">
        <f t="shared" ca="1" si="41"/>
        <v/>
      </c>
      <c r="Q208" s="371" t="str">
        <f t="shared" ca="1" si="32"/>
        <v/>
      </c>
      <c r="R208" s="378" t="str">
        <f t="shared" ca="1" si="42"/>
        <v/>
      </c>
      <c r="S208" s="417" t="str">
        <f t="shared" ca="1" si="33"/>
        <v/>
      </c>
      <c r="U208" s="376" t="str">
        <f t="shared" ca="1" si="34"/>
        <v/>
      </c>
      <c r="V208" s="371" t="str">
        <f t="shared" ca="1" si="35"/>
        <v/>
      </c>
      <c r="W208" s="378" t="str">
        <f t="shared" ca="1" si="36"/>
        <v/>
      </c>
      <c r="X208" s="376" t="str">
        <f t="shared" ca="1" si="37"/>
        <v/>
      </c>
      <c r="Y208" s="1103" t="str">
        <f t="shared" ca="1" si="38"/>
        <v/>
      </c>
      <c r="Z208" s="1097"/>
      <c r="AA208" s="1108"/>
      <c r="AB208" s="1108"/>
      <c r="AC208" s="1108"/>
      <c r="AE208" s="1104" t="str">
        <f t="shared" ca="1" si="43"/>
        <v/>
      </c>
      <c r="AF208" s="371" t="str">
        <f t="shared" ca="1" si="44"/>
        <v/>
      </c>
      <c r="AG208" s="371" t="str">
        <f t="shared" ca="1" si="47"/>
        <v/>
      </c>
      <c r="AH208" s="371" t="str">
        <f t="shared" ca="1" si="45"/>
        <v/>
      </c>
      <c r="AI208" s="1105" t="str">
        <f t="shared" ca="1" si="29"/>
        <v/>
      </c>
      <c r="AJ208" s="417" t="str">
        <f t="shared" ca="1" si="39"/>
        <v/>
      </c>
      <c r="AK208" s="1106" t="str">
        <f t="shared" ca="1" si="48"/>
        <v/>
      </c>
      <c r="AL208" s="1107" t="str">
        <f t="shared" ca="1" si="46"/>
        <v/>
      </c>
      <c r="BC208" s="40"/>
      <c r="BD208" s="40"/>
      <c r="BE208" s="40"/>
      <c r="BF208" s="40"/>
      <c r="BG208" s="40"/>
    </row>
    <row r="209" spans="1:59" ht="18" customHeight="1">
      <c r="A209" s="1095" t="str">
        <f ca="1"/>
        <v/>
      </c>
      <c r="B209" s="399" t="str">
        <f ca="1"/>
        <v/>
      </c>
      <c r="C209" s="399" t="str">
        <f ca="1"/>
        <v/>
      </c>
      <c r="D209" s="400" t="str">
        <f ca="1"/>
        <v/>
      </c>
      <c r="E209" s="401" t="str">
        <f t="shared" ca="1" si="30"/>
        <v/>
      </c>
      <c r="F209" s="411"/>
      <c r="G209" s="407"/>
      <c r="N209" s="376" t="str">
        <f t="shared" ca="1" si="40"/>
        <v/>
      </c>
      <c r="O209" s="377" t="str">
        <f t="shared" ca="1" si="31"/>
        <v/>
      </c>
      <c r="P209" s="371" t="str">
        <f t="shared" ca="1" si="41"/>
        <v/>
      </c>
      <c r="Q209" s="371" t="str">
        <f t="shared" ca="1" si="32"/>
        <v/>
      </c>
      <c r="R209" s="378" t="str">
        <f t="shared" ca="1" si="42"/>
        <v/>
      </c>
      <c r="S209" s="417" t="str">
        <f t="shared" ca="1" si="33"/>
        <v/>
      </c>
      <c r="U209" s="376" t="str">
        <f t="shared" ca="1" si="34"/>
        <v/>
      </c>
      <c r="V209" s="371" t="str">
        <f t="shared" ca="1" si="35"/>
        <v/>
      </c>
      <c r="W209" s="378" t="str">
        <f t="shared" ca="1" si="36"/>
        <v/>
      </c>
      <c r="X209" s="376" t="str">
        <f t="shared" ca="1" si="37"/>
        <v/>
      </c>
      <c r="Y209" s="1103" t="str">
        <f t="shared" ca="1" si="38"/>
        <v/>
      </c>
      <c r="Z209" s="1097"/>
      <c r="AA209" s="1108"/>
      <c r="AB209" s="1108"/>
      <c r="AC209" s="1108"/>
      <c r="AE209" s="1104" t="str">
        <f t="shared" ca="1" si="43"/>
        <v/>
      </c>
      <c r="AF209" s="371" t="str">
        <f t="shared" ca="1" si="44"/>
        <v/>
      </c>
      <c r="AG209" s="371" t="str">
        <f t="shared" ca="1" si="47"/>
        <v/>
      </c>
      <c r="AH209" s="371" t="str">
        <f t="shared" ca="1" si="45"/>
        <v/>
      </c>
      <c r="AI209" s="1105" t="str">
        <f t="shared" ca="1" si="29"/>
        <v/>
      </c>
      <c r="AJ209" s="417" t="str">
        <f t="shared" ca="1" si="39"/>
        <v/>
      </c>
      <c r="AK209" s="1106" t="str">
        <f t="shared" ca="1" si="48"/>
        <v/>
      </c>
      <c r="AL209" s="1107" t="str">
        <f t="shared" ca="1" si="46"/>
        <v/>
      </c>
      <c r="BC209" s="40"/>
      <c r="BD209" s="40"/>
      <c r="BE209" s="40"/>
      <c r="BF209" s="40"/>
      <c r="BG209" s="40"/>
    </row>
    <row r="210" spans="1:59" ht="18" customHeight="1">
      <c r="A210" s="1095" t="str">
        <f ca="1"/>
        <v/>
      </c>
      <c r="B210" s="399" t="str">
        <f ca="1"/>
        <v/>
      </c>
      <c r="C210" s="399" t="str">
        <f ca="1"/>
        <v/>
      </c>
      <c r="D210" s="400" t="str">
        <f ca="1"/>
        <v/>
      </c>
      <c r="E210" s="401" t="str">
        <f t="shared" ca="1" si="30"/>
        <v/>
      </c>
      <c r="F210" s="411"/>
      <c r="G210" s="407"/>
      <c r="N210" s="376" t="str">
        <f t="shared" ca="1" si="40"/>
        <v/>
      </c>
      <c r="O210" s="377" t="str">
        <f t="shared" ca="1" si="31"/>
        <v/>
      </c>
      <c r="P210" s="371" t="str">
        <f t="shared" ca="1" si="41"/>
        <v/>
      </c>
      <c r="Q210" s="371" t="str">
        <f t="shared" ca="1" si="32"/>
        <v/>
      </c>
      <c r="R210" s="378" t="str">
        <f t="shared" ca="1" si="42"/>
        <v/>
      </c>
      <c r="S210" s="417" t="str">
        <f t="shared" ca="1" si="33"/>
        <v/>
      </c>
      <c r="U210" s="376" t="str">
        <f t="shared" ca="1" si="34"/>
        <v/>
      </c>
      <c r="V210" s="371" t="str">
        <f t="shared" ca="1" si="35"/>
        <v/>
      </c>
      <c r="W210" s="378" t="str">
        <f t="shared" ca="1" si="36"/>
        <v/>
      </c>
      <c r="X210" s="376" t="str">
        <f t="shared" ca="1" si="37"/>
        <v/>
      </c>
      <c r="Y210" s="1103" t="str">
        <f t="shared" ca="1" si="38"/>
        <v/>
      </c>
      <c r="Z210" s="1097"/>
      <c r="AA210" s="1108"/>
      <c r="AB210" s="1108"/>
      <c r="AC210" s="1108"/>
      <c r="AE210" s="1104" t="str">
        <f t="shared" ca="1" si="43"/>
        <v/>
      </c>
      <c r="AF210" s="371" t="str">
        <f t="shared" ca="1" si="44"/>
        <v/>
      </c>
      <c r="AG210" s="371" t="str">
        <f t="shared" ca="1" si="47"/>
        <v/>
      </c>
      <c r="AH210" s="371" t="str">
        <f t="shared" ca="1" si="45"/>
        <v/>
      </c>
      <c r="AI210" s="1105" t="str">
        <f t="shared" ca="1" si="29"/>
        <v/>
      </c>
      <c r="AJ210" s="417" t="str">
        <f t="shared" ca="1" si="39"/>
        <v/>
      </c>
      <c r="AK210" s="1106" t="str">
        <f t="shared" ca="1" si="48"/>
        <v/>
      </c>
      <c r="AL210" s="1107" t="str">
        <f t="shared" ca="1" si="46"/>
        <v/>
      </c>
      <c r="BC210" s="40"/>
      <c r="BD210" s="40"/>
      <c r="BE210" s="40"/>
      <c r="BF210" s="40"/>
      <c r="BG210" s="40"/>
    </row>
    <row r="211" spans="1:59" ht="18" customHeight="1">
      <c r="A211" s="1095" t="str">
        <f ca="1"/>
        <v/>
      </c>
      <c r="B211" s="399" t="str">
        <f ca="1"/>
        <v/>
      </c>
      <c r="C211" s="399" t="str">
        <f ca="1"/>
        <v/>
      </c>
      <c r="D211" s="400" t="str">
        <f ca="1"/>
        <v/>
      </c>
      <c r="E211" s="401" t="str">
        <f t="shared" ca="1" si="30"/>
        <v/>
      </c>
      <c r="F211" s="411"/>
      <c r="G211" s="407"/>
      <c r="N211" s="379" t="str">
        <f t="shared" ca="1" si="40"/>
        <v/>
      </c>
      <c r="O211" s="380" t="str">
        <f t="shared" ca="1" si="31"/>
        <v/>
      </c>
      <c r="P211" s="372" t="str">
        <f t="shared" ca="1" si="41"/>
        <v/>
      </c>
      <c r="Q211" s="372" t="str">
        <f t="shared" ca="1" si="32"/>
        <v/>
      </c>
      <c r="R211" s="381" t="str">
        <f t="shared" ca="1" si="42"/>
        <v/>
      </c>
      <c r="S211" s="418" t="str">
        <f t="shared" ca="1" si="33"/>
        <v/>
      </c>
      <c r="U211" s="379" t="str">
        <f t="shared" ca="1" si="34"/>
        <v/>
      </c>
      <c r="V211" s="372" t="str">
        <f t="shared" ca="1" si="35"/>
        <v/>
      </c>
      <c r="W211" s="381" t="str">
        <f t="shared" ca="1" si="36"/>
        <v/>
      </c>
      <c r="X211" s="376" t="str">
        <f t="shared" ca="1" si="37"/>
        <v/>
      </c>
      <c r="Y211" s="382" t="str">
        <f t="shared" ca="1" si="38"/>
        <v/>
      </c>
      <c r="Z211" s="1097"/>
      <c r="AA211" s="1108"/>
      <c r="AB211" s="1108"/>
      <c r="AC211" s="1108"/>
      <c r="AE211" s="1109" t="str">
        <f t="shared" ca="1" si="43"/>
        <v/>
      </c>
      <c r="AF211" s="372" t="str">
        <f t="shared" ca="1" si="44"/>
        <v/>
      </c>
      <c r="AG211" s="371" t="str">
        <f t="shared" ca="1" si="47"/>
        <v/>
      </c>
      <c r="AH211" s="372" t="str">
        <f t="shared" ca="1" si="45"/>
        <v/>
      </c>
      <c r="AI211" s="1110" t="str">
        <f t="shared" ca="1" si="29"/>
        <v/>
      </c>
      <c r="AJ211" s="418" t="str">
        <f t="shared" ca="1" si="39"/>
        <v/>
      </c>
      <c r="AK211" s="1106" t="str">
        <f t="shared" ca="1" si="48"/>
        <v/>
      </c>
      <c r="AL211" s="1107" t="str">
        <f t="shared" ca="1" si="46"/>
        <v/>
      </c>
      <c r="BC211" s="40"/>
      <c r="BD211" s="40"/>
      <c r="BE211" s="40"/>
      <c r="BF211" s="40"/>
      <c r="BG211" s="40"/>
    </row>
    <row r="212" spans="1:59" ht="18" customHeight="1">
      <c r="A212" s="1073" t="str">
        <f>IF(AND($C$74="ja",$C$17="unten"),"",IF(AND($C$56="ja",$C$17="unten",$C$58&gt;0),"Schraubenkreuz",""))</f>
        <v/>
      </c>
      <c r="B212" s="1074"/>
      <c r="C212" s="1074" t="str">
        <f>IF(A212="","",IF(A212="Schraubenkreuz",$C$14+25+0*$C$64,IF(A212="Zuglasche",$C$14+50)))</f>
        <v/>
      </c>
      <c r="D212" s="1074"/>
      <c r="E212" s="1075"/>
      <c r="F212" s="1233" t="s">
        <v>2328</v>
      </c>
      <c r="G212" s="407"/>
      <c r="N212" s="103"/>
      <c r="O212" s="54"/>
      <c r="P212" s="54"/>
      <c r="Q212" s="54"/>
      <c r="R212" s="54"/>
      <c r="S212" s="297"/>
      <c r="T212" s="39"/>
      <c r="U212" s="103"/>
      <c r="V212" s="54"/>
      <c r="W212" s="105"/>
      <c r="X212" s="103"/>
      <c r="Y212" s="105"/>
      <c r="Z212" s="39"/>
      <c r="AA212" s="39"/>
      <c r="AB212" s="39"/>
      <c r="AC212" s="39"/>
      <c r="AE212" s="1073" t="str">
        <f t="shared" ref="AE212:AE217" si="49">IF(C212="","",IF($C$17="unten",ABS(C212-$AF$16),IF($C$17="oben",ABS($C$14-C212-$AF$16))))</f>
        <v/>
      </c>
      <c r="AF212" s="1076" t="str">
        <f t="shared" si="44"/>
        <v/>
      </c>
      <c r="AG212" s="1076" t="str">
        <f t="shared" ref="AG212:AG217" si="50">IF(C212="","",AH212*AI212)</f>
        <v/>
      </c>
      <c r="AH212" s="1076" t="str">
        <f>IF(AE212="","",IF(A212="Schraubenkreuz",$C$69,IF(A212="Zuglasche",$C$87)))</f>
        <v/>
      </c>
      <c r="AI212" s="1077" t="str">
        <f t="shared" si="29"/>
        <v/>
      </c>
      <c r="AJ212" s="1078"/>
      <c r="AK212" s="1078" t="str">
        <f t="shared" si="48"/>
        <v/>
      </c>
      <c r="AL212" s="1078" t="str">
        <f t="shared" ref="AL212:AL213" si="51">IF(AE212="","",$AM$135*AE212/MAX($AE$135:$AE$137,$AE$212:$AE$214))</f>
        <v/>
      </c>
      <c r="BC212" s="40"/>
      <c r="BD212" s="40"/>
      <c r="BE212" s="40"/>
      <c r="BF212" s="40"/>
      <c r="BG212" s="40"/>
    </row>
    <row r="213" spans="1:59" ht="18" customHeight="1">
      <c r="A213" s="1081" t="str">
        <f>IF(AND($C$74="ja",$C$17="unten"),"",IF(AND($C$56="ja",$C$17="unten",$C$58&gt;1),"Schraubenkreuz",""))</f>
        <v/>
      </c>
      <c r="B213" s="1082"/>
      <c r="C213" s="1082" t="str">
        <f>IF(A213="","",IF(A213="Schraubenkreuz",$C$14+25+1*$C$64,IF(A213="Zuglasche",$C$14+50)))</f>
        <v/>
      </c>
      <c r="D213" s="1082"/>
      <c r="E213" s="1083"/>
      <c r="F213" s="411"/>
      <c r="G213" s="407"/>
      <c r="N213" s="68"/>
      <c r="O213" s="39"/>
      <c r="P213" s="39"/>
      <c r="Q213" s="39"/>
      <c r="R213" s="39"/>
      <c r="S213" s="53"/>
      <c r="T213" s="39"/>
      <c r="U213" s="68"/>
      <c r="V213" s="39"/>
      <c r="W213" s="104"/>
      <c r="X213" s="68"/>
      <c r="Y213" s="104"/>
      <c r="Z213" s="39"/>
      <c r="AA213" s="39"/>
      <c r="AB213" s="39"/>
      <c r="AC213" s="39"/>
      <c r="AE213" s="1081" t="str">
        <f t="shared" si="49"/>
        <v/>
      </c>
      <c r="AF213" s="1084" t="str">
        <f t="shared" si="44"/>
        <v/>
      </c>
      <c r="AG213" s="1084" t="str">
        <f t="shared" si="50"/>
        <v/>
      </c>
      <c r="AH213" s="1084" t="str">
        <f>IF(AE213="","",IF(A213="Schraubenkreuz",$C$69,IF(A213="Zuglasche",$C$87)))</f>
        <v/>
      </c>
      <c r="AI213" s="1085" t="str">
        <f t="shared" si="29"/>
        <v/>
      </c>
      <c r="AJ213" s="1086"/>
      <c r="AK213" s="1086" t="str">
        <f t="shared" si="48"/>
        <v/>
      </c>
      <c r="AL213" s="1086" t="str">
        <f t="shared" si="51"/>
        <v/>
      </c>
      <c r="BC213" s="40"/>
      <c r="BD213" s="40"/>
      <c r="BE213" s="40"/>
      <c r="BF213" s="40"/>
      <c r="BG213" s="40"/>
    </row>
    <row r="214" spans="1:59" ht="18" customHeight="1">
      <c r="A214" s="1088" t="str">
        <f>IF(AND($C$74="ja",$C$17="unten"),"Zuglasche",IF(AND($C$56="ja",$C$17="unten",$C$58&gt;2),"Schraubenkreuz",""))</f>
        <v/>
      </c>
      <c r="B214" s="1089"/>
      <c r="C214" s="1089" t="str">
        <f>IF(A214="","",IF(A214="Schraubenkreuz",$C$14+25+2*$C$64,IF(A214="Zuglasche",$C$14+50)))</f>
        <v/>
      </c>
      <c r="D214" s="1089"/>
      <c r="E214" s="1090"/>
      <c r="F214" s="411"/>
      <c r="G214" s="407"/>
      <c r="N214" s="68"/>
      <c r="O214" s="39"/>
      <c r="P214" s="39"/>
      <c r="Q214" s="39"/>
      <c r="R214" s="39"/>
      <c r="S214" s="53"/>
      <c r="T214" s="39"/>
      <c r="U214" s="68"/>
      <c r="V214" s="39"/>
      <c r="W214" s="104"/>
      <c r="X214" s="68"/>
      <c r="Y214" s="104"/>
      <c r="Z214" s="39"/>
      <c r="AA214" s="39"/>
      <c r="AB214" s="39"/>
      <c r="AC214" s="39"/>
      <c r="AE214" s="1088" t="str">
        <f t="shared" si="49"/>
        <v/>
      </c>
      <c r="AF214" s="1091" t="str">
        <f t="shared" si="44"/>
        <v/>
      </c>
      <c r="AG214" s="1091" t="str">
        <f t="shared" si="50"/>
        <v/>
      </c>
      <c r="AH214" s="1091" t="str">
        <f>IF(AE214="","",IF(A214="Schraubenkreuz",$C$69,IF(A214="Zuglasche",$C$87)))</f>
        <v/>
      </c>
      <c r="AI214" s="1092" t="str">
        <f t="shared" si="29"/>
        <v/>
      </c>
      <c r="AJ214" s="1093"/>
      <c r="AK214" s="1093" t="str">
        <f t="shared" si="48"/>
        <v/>
      </c>
      <c r="AL214" s="1093" t="str">
        <f>IF(AE214="","",$AM$135*AE214/MAX($AE$135:$AE$137,$AE$212:$AE$214))</f>
        <v/>
      </c>
      <c r="BC214" s="40"/>
      <c r="BD214" s="40"/>
      <c r="BE214" s="40"/>
      <c r="BF214" s="40"/>
      <c r="BG214" s="40"/>
    </row>
    <row r="215" spans="1:59" ht="18" customHeight="1">
      <c r="A215" s="1050" t="str">
        <f>IF(AND($C$92="ja",$C$17="oben",$C$97&gt;ROW(A215)-ROW($A$215)),90,"")</f>
        <v/>
      </c>
      <c r="B215" s="1051" t="str">
        <f>IF(AND($C$92="ja",$C$17="oben",$C$97&gt;ROW(A215)-ROW($A$215)),10,"")</f>
        <v/>
      </c>
      <c r="C215" s="1051" t="str">
        <f>IF(AND($C$92="ja",$C$17="oben",$C$97&gt;ROW(A215)-ROW($A$215)),$C$14-$C$98,"")</f>
        <v/>
      </c>
      <c r="D215" s="1051"/>
      <c r="E215" s="1052" t="str">
        <f>IF(AND($C$92="ja",$C$17="oben",$C$97&gt;ROW(A132)-ROW($A$132)),$C$96,"")</f>
        <v/>
      </c>
      <c r="F215" s="411"/>
      <c r="G215" s="407"/>
      <c r="N215" s="68"/>
      <c r="O215" s="39"/>
      <c r="P215" s="39"/>
      <c r="Q215" s="39"/>
      <c r="R215" s="39"/>
      <c r="S215" s="53"/>
      <c r="T215" s="39"/>
      <c r="U215" s="68"/>
      <c r="V215" s="39"/>
      <c r="W215" s="104"/>
      <c r="X215" s="68"/>
      <c r="Y215" s="104"/>
      <c r="Z215" s="39"/>
      <c r="AA215" s="39"/>
      <c r="AB215" s="39"/>
      <c r="AC215" s="39"/>
      <c r="AE215" s="1053" t="str">
        <f t="shared" si="49"/>
        <v/>
      </c>
      <c r="AF215" s="1054" t="str">
        <f t="shared" si="44"/>
        <v/>
      </c>
      <c r="AG215" s="1055" t="str">
        <f>IF(C215="","",AH215*AI215)</f>
        <v/>
      </c>
      <c r="AH215" s="1055" t="str">
        <f>IF(AE215="","",$C$102/$C$104)</f>
        <v/>
      </c>
      <c r="AI215" s="1056" t="str">
        <f>IF(AE215="","",$AM$132)</f>
        <v/>
      </c>
      <c r="AJ215" s="1056"/>
      <c r="AK215" s="1056"/>
      <c r="AL215" s="1056"/>
      <c r="BC215" s="40"/>
      <c r="BD215" s="40"/>
      <c r="BE215" s="40"/>
      <c r="BF215" s="40"/>
      <c r="BG215" s="40"/>
    </row>
    <row r="216" spans="1:59" ht="18" customHeight="1">
      <c r="A216" s="1058" t="str">
        <f>IF(AND($C$92="ja",$C$17="oben",$C$97&gt;ROW(A216)-ROW($A$215)),90,"")</f>
        <v/>
      </c>
      <c r="B216" s="1059" t="str">
        <f>IF(AND($C$92="ja",$C$17="oben",$C$97&gt;ROW(A216)-ROW($A$1508)),IF($C$13=60,$C$13-10,$C$13/2),"")</f>
        <v/>
      </c>
      <c r="C216" s="1059" t="str">
        <f>IF(AND($C$92="ja",$C$17="oben",$C$97&gt;ROW(A216)-ROW($A$215)),$C$14-$C$98,"")</f>
        <v/>
      </c>
      <c r="D216" s="1059"/>
      <c r="E216" s="1060" t="str">
        <f>IF(AND($C$92="ja",$C$17="oben",$C$97&gt;ROW(A133)-ROW($A$132)),$C$96,"")</f>
        <v/>
      </c>
      <c r="F216" s="411"/>
      <c r="G216" s="407"/>
      <c r="N216" s="68"/>
      <c r="O216" s="39"/>
      <c r="P216" s="39"/>
      <c r="Q216" s="39"/>
      <c r="R216" s="39"/>
      <c r="S216" s="53"/>
      <c r="T216" s="39"/>
      <c r="U216" s="68"/>
      <c r="V216" s="39"/>
      <c r="W216" s="104"/>
      <c r="X216" s="68"/>
      <c r="Y216" s="104"/>
      <c r="Z216" s="39"/>
      <c r="AA216" s="39"/>
      <c r="AB216" s="39"/>
      <c r="AC216" s="39"/>
      <c r="AE216" s="1061" t="str">
        <f t="shared" si="49"/>
        <v/>
      </c>
      <c r="AF216" s="1062" t="str">
        <f t="shared" si="44"/>
        <v/>
      </c>
      <c r="AG216" s="1063" t="str">
        <f t="shared" si="50"/>
        <v/>
      </c>
      <c r="AH216" s="1063" t="str">
        <f>IF(AE216="","",$C$102/$C$104)</f>
        <v/>
      </c>
      <c r="AI216" s="1064" t="str">
        <f t="shared" ref="AI216:AI217" si="52">IF(AE216="","",$AM$132)</f>
        <v/>
      </c>
      <c r="AJ216" s="1064"/>
      <c r="AK216" s="1064"/>
      <c r="AL216" s="1064"/>
      <c r="BC216" s="40"/>
      <c r="BD216" s="40"/>
      <c r="BE216" s="40"/>
      <c r="BF216" s="40"/>
      <c r="BG216" s="40"/>
    </row>
    <row r="217" spans="1:59" ht="18" customHeight="1">
      <c r="A217" s="1065" t="str">
        <f>IF(AND($C$92="ja",$C$17="oben",$C$97&gt;ROW(A217)-ROW($A$215)),90,"")</f>
        <v/>
      </c>
      <c r="B217" s="1066" t="str">
        <f>IF(AND($C$92="ja",$C$17="oben",$C$97&gt;ROW(A217)-ROW($A$215)),IF($C$13=60,"",$C$13-10),"")</f>
        <v/>
      </c>
      <c r="C217" s="1066" t="str">
        <f>IF(AND($C$92="ja",$C$17="oben",$C$97&gt;ROW(A217)-ROW($A$215)),$C$14-$C$98,"")</f>
        <v/>
      </c>
      <c r="D217" s="1066"/>
      <c r="E217" s="1067" t="str">
        <f>IF(AND($C$92="ja",$C$17="oben",$C$97&gt;ROW(A134)-ROW($A$132)),$C$96,"")</f>
        <v/>
      </c>
      <c r="F217" s="411"/>
      <c r="G217" s="407"/>
      <c r="N217" s="69"/>
      <c r="O217" s="37"/>
      <c r="P217" s="37"/>
      <c r="Q217" s="37"/>
      <c r="R217" s="37"/>
      <c r="S217" s="300"/>
      <c r="T217" s="39"/>
      <c r="U217" s="69"/>
      <c r="V217" s="37"/>
      <c r="W217" s="101"/>
      <c r="X217" s="69"/>
      <c r="Y217" s="101"/>
      <c r="Z217" s="39"/>
      <c r="AA217" s="39"/>
      <c r="AB217" s="39"/>
      <c r="AC217" s="39"/>
      <c r="AE217" s="1068" t="str">
        <f t="shared" si="49"/>
        <v/>
      </c>
      <c r="AF217" s="1069" t="str">
        <f t="shared" si="44"/>
        <v/>
      </c>
      <c r="AG217" s="1070" t="str">
        <f t="shared" si="50"/>
        <v/>
      </c>
      <c r="AH217" s="1070" t="str">
        <f>IF(AE217="","",$C$102/$C$104)</f>
        <v/>
      </c>
      <c r="AI217" s="1071" t="str">
        <f t="shared" si="52"/>
        <v/>
      </c>
      <c r="AJ217" s="1072"/>
      <c r="AK217" s="1072"/>
      <c r="AL217" s="1072"/>
      <c r="BC217" s="40"/>
      <c r="BD217" s="40"/>
      <c r="BE217" s="40"/>
      <c r="BF217" s="40"/>
      <c r="BG217" s="40"/>
    </row>
    <row r="218" spans="1:59" ht="18" customHeight="1">
      <c r="B218" s="47"/>
      <c r="N218" s="39"/>
      <c r="O218" s="43"/>
      <c r="P218" s="39"/>
      <c r="Q218" s="43"/>
      <c r="R218" s="43"/>
      <c r="U218" s="49"/>
      <c r="V218" s="49"/>
      <c r="W218" s="1111"/>
      <c r="X218" s="1112"/>
      <c r="Y218" s="39"/>
      <c r="Z218" s="39"/>
      <c r="AE218" s="43"/>
      <c r="BC218" s="40"/>
      <c r="BD218" s="40"/>
      <c r="BE218" s="40"/>
      <c r="BF218" s="40"/>
      <c r="BG218" s="40"/>
    </row>
    <row r="219" spans="1:59" ht="18" customHeight="1">
      <c r="A219" s="71" t="s">
        <v>10</v>
      </c>
      <c r="B219" s="72" t="s">
        <v>101</v>
      </c>
      <c r="C219" s="165" t="s">
        <v>246</v>
      </c>
      <c r="D219" s="72"/>
      <c r="E219" s="118" t="s">
        <v>100</v>
      </c>
      <c r="N219" s="353" t="s">
        <v>628</v>
      </c>
      <c r="O219" s="76" t="s">
        <v>265</v>
      </c>
      <c r="P219" s="99" t="s">
        <v>142</v>
      </c>
      <c r="Q219" s="123"/>
      <c r="R219" s="73" t="s">
        <v>259</v>
      </c>
      <c r="S219" s="419" t="s">
        <v>278</v>
      </c>
      <c r="U219" s="353"/>
      <c r="V219" s="99" t="s">
        <v>252</v>
      </c>
      <c r="W219" s="88" t="s">
        <v>259</v>
      </c>
      <c r="X219" s="98"/>
      <c r="Y219" s="1113" t="s">
        <v>1848</v>
      </c>
      <c r="Z219" s="39"/>
      <c r="AE219" s="353" t="s">
        <v>628</v>
      </c>
      <c r="AF219" s="76" t="s">
        <v>265</v>
      </c>
      <c r="AG219" s="99" t="s">
        <v>142</v>
      </c>
      <c r="AH219" s="1114"/>
      <c r="AI219" s="73" t="s">
        <v>259</v>
      </c>
      <c r="AJ219" s="419" t="s">
        <v>278</v>
      </c>
      <c r="AK219" s="414" t="s">
        <v>1849</v>
      </c>
      <c r="BC219" s="40"/>
      <c r="BD219" s="40"/>
      <c r="BE219" s="40"/>
      <c r="BF219" s="40"/>
      <c r="BG219" s="40"/>
    </row>
    <row r="220" spans="1:59" ht="18" customHeight="1">
      <c r="A220" s="100" t="s">
        <v>124</v>
      </c>
      <c r="B220" s="74" t="s">
        <v>99</v>
      </c>
      <c r="C220" s="166" t="s">
        <v>99</v>
      </c>
      <c r="D220" s="74"/>
      <c r="E220" s="120" t="s">
        <v>124</v>
      </c>
      <c r="N220" s="354" t="s">
        <v>99</v>
      </c>
      <c r="O220" s="78" t="s">
        <v>99</v>
      </c>
      <c r="P220" s="81" t="s">
        <v>126</v>
      </c>
      <c r="Q220" s="78"/>
      <c r="R220" s="75" t="s">
        <v>99</v>
      </c>
      <c r="S220" s="420" t="s">
        <v>126</v>
      </c>
      <c r="U220" s="354"/>
      <c r="V220" s="81" t="s">
        <v>126</v>
      </c>
      <c r="W220" s="121" t="s">
        <v>99</v>
      </c>
      <c r="X220" s="100"/>
      <c r="Y220" s="82" t="s">
        <v>99</v>
      </c>
      <c r="Z220" s="39"/>
      <c r="AE220" s="354" t="s">
        <v>99</v>
      </c>
      <c r="AF220" s="78" t="s">
        <v>99</v>
      </c>
      <c r="AG220" s="81" t="s">
        <v>126</v>
      </c>
      <c r="AH220" s="1115"/>
      <c r="AI220" s="75" t="s">
        <v>99</v>
      </c>
      <c r="AJ220" s="420" t="s">
        <v>126</v>
      </c>
      <c r="AK220" s="415" t="s">
        <v>124</v>
      </c>
      <c r="BC220" s="40"/>
      <c r="BD220" s="40"/>
      <c r="BE220" s="40"/>
      <c r="BF220" s="40"/>
      <c r="BG220" s="40"/>
    </row>
    <row r="221" spans="1:59" ht="18" customHeight="1">
      <c r="A221" s="1116">
        <f ca="1">COUNT(A138:A211)</f>
        <v>12</v>
      </c>
      <c r="B221" s="402">
        <f ca="1">SUM(B138:B211)/COUNT(B138:B211)</f>
        <v>30</v>
      </c>
      <c r="C221" s="403">
        <f ca="1">SUM(C138:C211)/COUNT(C138:C211)</f>
        <v>180.5</v>
      </c>
      <c r="D221" s="402"/>
      <c r="E221" s="404">
        <f ca="1">SUMIF(A138:A211,45)/45</f>
        <v>7</v>
      </c>
      <c r="N221" s="384">
        <f ca="1">MAX(N138:N211)</f>
        <v>9.793984617586375</v>
      </c>
      <c r="O221" s="371">
        <f ca="1">MAX(O138:O211)</f>
        <v>300</v>
      </c>
      <c r="P221" s="372" t="e">
        <f ca="1">MAX(P138:P211)</f>
        <v>#DIV/0!</v>
      </c>
      <c r="Q221" s="383"/>
      <c r="R221" s="378" t="e">
        <f ca="1">MAX(R132:R211)</f>
        <v>#DIV/0!</v>
      </c>
      <c r="S221" s="417" t="e">
        <f ca="1">SUM(S138:S217)</f>
        <v>#DIV/0!</v>
      </c>
      <c r="U221" s="384"/>
      <c r="V221" s="372">
        <f ca="1">MAX(V138:V211)</f>
        <v>0</v>
      </c>
      <c r="W221" s="1110">
        <f ca="1">MAX(W132:W211)</f>
        <v>0</v>
      </c>
      <c r="X221" s="1117"/>
      <c r="Y221" s="382">
        <f ca="1">MAX(X138:X211)</f>
        <v>210.20601538241363</v>
      </c>
      <c r="Z221" s="1097"/>
      <c r="AA221" s="1108"/>
      <c r="AB221" s="1108"/>
      <c r="AC221" s="1108"/>
      <c r="AE221" s="384">
        <f ca="1">IF(COUNT(AE138:AE211)=0,MAX(AE135:AE137,AE212:AE214),MAX(AE138:AE211))</f>
        <v>9.6421976964628016</v>
      </c>
      <c r="AF221" s="371">
        <f ca="1">MAX(AF138:AF211)</f>
        <v>300</v>
      </c>
      <c r="AG221" s="371" t="e">
        <f ca="1">MAX(AG138:AG211)</f>
        <v>#DIV/0!</v>
      </c>
      <c r="AH221" s="377"/>
      <c r="AI221" s="378">
        <f ca="1">IF(COUNT(AE138:AE211)=0,MAX(AI135:AI137,AI212:AI214),MAX(AI138:AI211))</f>
        <v>0.75</v>
      </c>
      <c r="AJ221" s="417" t="e">
        <f ca="1">SUM(AJ138:AJ211)</f>
        <v>#DIV/0!</v>
      </c>
      <c r="AK221" s="1102">
        <f ca="1">MIN(AK135:AK214)</f>
        <v>7.7783097133046153E-2</v>
      </c>
      <c r="BC221" s="40"/>
      <c r="BD221" s="40"/>
      <c r="BE221" s="40"/>
      <c r="BF221" s="40"/>
      <c r="BG221" s="40"/>
    </row>
    <row r="222" spans="1:59" ht="18" customHeight="1">
      <c r="A222" s="1118"/>
      <c r="B222" s="76" t="s">
        <v>103</v>
      </c>
      <c r="C222" s="99" t="s">
        <v>104</v>
      </c>
      <c r="D222" s="99"/>
      <c r="E222" s="118"/>
      <c r="N222" s="355"/>
      <c r="O222" s="324" t="s">
        <v>253</v>
      </c>
      <c r="P222" s="123" t="s">
        <v>130</v>
      </c>
      <c r="Q222" s="322" t="s">
        <v>256</v>
      </c>
      <c r="R222" s="118" t="s">
        <v>281</v>
      </c>
      <c r="S222" s="416" t="s">
        <v>279</v>
      </c>
      <c r="U222" s="355"/>
      <c r="V222" s="123" t="s">
        <v>251</v>
      </c>
      <c r="W222" s="119"/>
      <c r="X222" s="98"/>
      <c r="Y222" s="1113" t="s">
        <v>1850</v>
      </c>
      <c r="Z222" s="39"/>
      <c r="AD222" s="355" t="s">
        <v>2207</v>
      </c>
      <c r="AE222" s="355" t="s">
        <v>1851</v>
      </c>
      <c r="AF222" s="324" t="s">
        <v>253</v>
      </c>
      <c r="AG222" s="123" t="s">
        <v>130</v>
      </c>
      <c r="AH222" s="123" t="s">
        <v>1852</v>
      </c>
      <c r="AI222" s="73" t="s">
        <v>1853</v>
      </c>
      <c r="AJ222" s="118" t="s">
        <v>281</v>
      </c>
      <c r="AK222" s="416" t="s">
        <v>279</v>
      </c>
      <c r="AL222" s="1119" t="s">
        <v>280</v>
      </c>
      <c r="BC222" s="40"/>
      <c r="BD222" s="40"/>
      <c r="BE222" s="40"/>
      <c r="BF222" s="40"/>
      <c r="BG222" s="40"/>
    </row>
    <row r="223" spans="1:59" ht="18" customHeight="1">
      <c r="A223" s="1120"/>
      <c r="B223" s="77" t="s">
        <v>99</v>
      </c>
      <c r="C223" s="81" t="s">
        <v>99</v>
      </c>
      <c r="D223" s="81"/>
      <c r="E223" s="82"/>
      <c r="N223" s="356"/>
      <c r="O223" s="325" t="s">
        <v>99</v>
      </c>
      <c r="P223" s="78" t="s">
        <v>126</v>
      </c>
      <c r="Q223" s="81" t="s">
        <v>163</v>
      </c>
      <c r="R223" s="82" t="s">
        <v>99</v>
      </c>
      <c r="S223" s="422" t="s">
        <v>280</v>
      </c>
      <c r="U223" s="356"/>
      <c r="V223" s="78" t="s">
        <v>126</v>
      </c>
      <c r="W223" s="83"/>
      <c r="X223" s="100"/>
      <c r="Y223" s="82" t="s">
        <v>1847</v>
      </c>
      <c r="Z223" s="39"/>
      <c r="AD223" s="356" t="s">
        <v>99</v>
      </c>
      <c r="AE223" s="356" t="s">
        <v>99</v>
      </c>
      <c r="AF223" s="325" t="s">
        <v>99</v>
      </c>
      <c r="AG223" s="78" t="s">
        <v>126</v>
      </c>
      <c r="AH223" s="81" t="s">
        <v>126</v>
      </c>
      <c r="AI223" s="75" t="s">
        <v>99</v>
      </c>
      <c r="AJ223" s="82" t="s">
        <v>99</v>
      </c>
      <c r="AK223" s="82" t="s">
        <v>124</v>
      </c>
      <c r="BC223" s="40"/>
      <c r="BD223" s="40"/>
      <c r="BE223" s="40"/>
      <c r="BF223" s="40"/>
      <c r="BG223" s="40"/>
    </row>
    <row r="224" spans="1:59" ht="18" customHeight="1">
      <c r="A224" s="1121"/>
      <c r="B224" s="405">
        <f ca="1">MAX(B138:B211)-MIN(B138:B211)</f>
        <v>40.5</v>
      </c>
      <c r="C224" s="405">
        <f ca="1">MAX(C138:C211)-MIN(C138:C211)</f>
        <v>240</v>
      </c>
      <c r="D224" s="405"/>
      <c r="E224" s="406"/>
      <c r="N224" s="387"/>
      <c r="O224" s="385">
        <f ca="1">SUM(O138:O211)</f>
        <v>600</v>
      </c>
      <c r="P224" s="372" t="e">
        <f ca="1">SUM(P138:P211)</f>
        <v>#DIV/0!</v>
      </c>
      <c r="Q224" s="386" t="e">
        <f ca="1">SUMPRODUCT(Q141:Q214,N141:N214,N141:N214)</f>
        <v>#DIV/0!</v>
      </c>
      <c r="R224" s="382">
        <f ca="1">INDEX($E138:$E211,MATCH(MAX(O138:O211),O138:O211,0))</f>
        <v>120</v>
      </c>
      <c r="S224" s="421" t="e">
        <f ca="1">P224/S221</f>
        <v>#DIV/0!</v>
      </c>
      <c r="U224" s="387"/>
      <c r="V224" s="388">
        <f ca="1">SUM(V138:V211)</f>
        <v>0</v>
      </c>
      <c r="W224" s="1122"/>
      <c r="X224" s="1117"/>
      <c r="Y224" s="1123">
        <f ca="1">SUM(Y138:Y211)</f>
        <v>123395.93075423047</v>
      </c>
      <c r="Z224" s="1124"/>
      <c r="AA224" s="1108"/>
      <c r="AB224" s="1108"/>
      <c r="AC224" s="1108"/>
      <c r="AD224" s="387">
        <f>MAX(AE212:AE214,AE135:AE137)</f>
        <v>0</v>
      </c>
      <c r="AE224" s="387">
        <f>MAX(AE215:AE217,AE132:AE134)</f>
        <v>0</v>
      </c>
      <c r="AF224" s="385">
        <f ca="1">SUM(AF138:AF211)</f>
        <v>600</v>
      </c>
      <c r="AG224" s="372" t="e">
        <f ca="1">SUM(AG138:AG211)</f>
        <v>#DIV/0!</v>
      </c>
      <c r="AH224" s="372">
        <f>SUM(AG212:AG214,AG135:AG137)</f>
        <v>0</v>
      </c>
      <c r="AI224" s="381">
        <f>MAX(AI215:AI217,AI132:AI134)</f>
        <v>0</v>
      </c>
      <c r="AJ224" s="382">
        <f ca="1">INDEX($E138:$E211,MATCH(MAX(AF138:AF211),AF138:AF211,0))</f>
        <v>120</v>
      </c>
      <c r="AK224" s="421" t="e">
        <f ca="1">AG224/AJ221</f>
        <v>#DIV/0!</v>
      </c>
      <c r="AL224" s="40" t="s">
        <v>1854</v>
      </c>
      <c r="BC224" s="40"/>
      <c r="BD224" s="40"/>
      <c r="BE224" s="40"/>
      <c r="BF224" s="40"/>
      <c r="BG224" s="40"/>
    </row>
    <row r="225" spans="1:59" ht="18" customHeight="1">
      <c r="A225" s="40"/>
      <c r="B225" s="43"/>
      <c r="C225" s="40"/>
      <c r="D225" s="40"/>
      <c r="E225" s="40"/>
      <c r="K225" s="40"/>
      <c r="N225" s="309"/>
      <c r="P225" s="41"/>
      <c r="Q225" s="43"/>
      <c r="R225" s="43"/>
      <c r="S225" s="102"/>
      <c r="X225" s="43"/>
      <c r="AE225" s="43"/>
      <c r="AJ225" s="102"/>
      <c r="BC225" s="40"/>
      <c r="BD225" s="40"/>
      <c r="BE225" s="40"/>
      <c r="BF225" s="40"/>
      <c r="BG225" s="40"/>
    </row>
    <row r="226" spans="1:59" ht="18" customHeight="1">
      <c r="B226" s="47"/>
      <c r="N226" s="40" t="s">
        <v>162</v>
      </c>
      <c r="U226" s="40" t="s">
        <v>161</v>
      </c>
      <c r="W226" s="309"/>
      <c r="X226" s="1125"/>
      <c r="Y226" s="309"/>
      <c r="Z226" s="309"/>
      <c r="AE226" s="40" t="s">
        <v>1838</v>
      </c>
      <c r="BC226" s="40"/>
      <c r="BD226" s="40"/>
      <c r="BE226" s="40"/>
      <c r="BF226" s="40"/>
      <c r="BG226" s="40"/>
    </row>
    <row r="227" spans="1:59" ht="18" customHeight="1">
      <c r="A227" s="1126" t="s">
        <v>11</v>
      </c>
      <c r="B227" s="330"/>
      <c r="C227" s="89"/>
      <c r="D227" s="89"/>
      <c r="E227" s="108"/>
      <c r="N227" s="125" t="s">
        <v>1</v>
      </c>
      <c r="O227" s="112"/>
      <c r="P227" s="112"/>
      <c r="Q227" s="112"/>
      <c r="R227" s="113"/>
      <c r="S227" s="113"/>
      <c r="U227" s="125" t="s">
        <v>1</v>
      </c>
      <c r="V227" s="326" t="s">
        <v>255</v>
      </c>
      <c r="W227" s="327"/>
      <c r="X227" s="1127"/>
      <c r="Y227" s="328"/>
      <c r="Z227" s="159"/>
      <c r="AE227" s="1128" t="s">
        <v>1</v>
      </c>
      <c r="AF227" s="112"/>
      <c r="AG227" s="112"/>
      <c r="AH227" s="112"/>
      <c r="AI227" s="113"/>
      <c r="AJ227" s="113"/>
      <c r="AK227" s="113"/>
      <c r="AL227" s="113"/>
      <c r="BC227" s="40"/>
      <c r="BD227" s="40"/>
      <c r="BE227" s="40"/>
      <c r="BF227" s="40"/>
      <c r="BG227" s="40"/>
    </row>
    <row r="228" spans="1:59" ht="18" customHeight="1">
      <c r="A228" s="114" t="s">
        <v>9</v>
      </c>
      <c r="B228" s="115" t="s">
        <v>105</v>
      </c>
      <c r="C228" s="115" t="s">
        <v>106</v>
      </c>
      <c r="D228" s="115"/>
      <c r="E228" s="129" t="s">
        <v>113</v>
      </c>
      <c r="N228" s="125" t="s">
        <v>257</v>
      </c>
      <c r="O228" s="116" t="s">
        <v>114</v>
      </c>
      <c r="P228" s="116" t="s">
        <v>131</v>
      </c>
      <c r="Q228" s="116" t="s">
        <v>132</v>
      </c>
      <c r="R228" s="124" t="s">
        <v>116</v>
      </c>
      <c r="S228" s="409" t="s">
        <v>277</v>
      </c>
      <c r="U228" s="125" t="s">
        <v>257</v>
      </c>
      <c r="V228" s="116" t="s">
        <v>250</v>
      </c>
      <c r="W228" s="116" t="s">
        <v>116</v>
      </c>
      <c r="X228" s="114" t="s">
        <v>107</v>
      </c>
      <c r="Y228" s="130" t="s">
        <v>1839</v>
      </c>
      <c r="Z228" s="163"/>
      <c r="AE228" s="1129" t="s">
        <v>1840</v>
      </c>
      <c r="AF228" s="1130" t="s">
        <v>1841</v>
      </c>
      <c r="AG228" s="1130" t="s">
        <v>1842</v>
      </c>
      <c r="AH228" s="1130" t="s">
        <v>1843</v>
      </c>
      <c r="AI228" s="409" t="s">
        <v>1855</v>
      </c>
      <c r="AJ228" s="409" t="s">
        <v>277</v>
      </c>
      <c r="AK228" s="1131" t="s">
        <v>1845</v>
      </c>
      <c r="AL228" s="1131" t="s">
        <v>1846</v>
      </c>
      <c r="BC228" s="40"/>
      <c r="BD228" s="40"/>
      <c r="BE228" s="40"/>
      <c r="BF228" s="40"/>
      <c r="BG228" s="40"/>
    </row>
    <row r="229" spans="1:59" ht="18" customHeight="1">
      <c r="A229" s="117" t="s">
        <v>125</v>
      </c>
      <c r="B229" s="94" t="s">
        <v>99</v>
      </c>
      <c r="C229" s="94" t="s">
        <v>99</v>
      </c>
      <c r="D229" s="94"/>
      <c r="E229" s="131" t="s">
        <v>99</v>
      </c>
      <c r="M229" s="40"/>
      <c r="N229" s="136" t="s">
        <v>99</v>
      </c>
      <c r="O229" s="95" t="s">
        <v>99</v>
      </c>
      <c r="P229" s="95" t="s">
        <v>126</v>
      </c>
      <c r="Q229" s="95" t="s">
        <v>127</v>
      </c>
      <c r="R229" s="128" t="s">
        <v>99</v>
      </c>
      <c r="S229" s="410" t="s">
        <v>126</v>
      </c>
      <c r="U229" s="136" t="s">
        <v>99</v>
      </c>
      <c r="V229" s="95" t="s">
        <v>126</v>
      </c>
      <c r="W229" s="95" t="s">
        <v>99</v>
      </c>
      <c r="X229" s="117" t="s">
        <v>99</v>
      </c>
      <c r="Y229" s="132" t="s">
        <v>1847</v>
      </c>
      <c r="Z229" s="163"/>
      <c r="AE229" s="1132" t="s">
        <v>99</v>
      </c>
      <c r="AF229" s="1133" t="s">
        <v>99</v>
      </c>
      <c r="AG229" s="1133" t="s">
        <v>126</v>
      </c>
      <c r="AH229" s="1133" t="s">
        <v>127</v>
      </c>
      <c r="AI229" s="410" t="s">
        <v>99</v>
      </c>
      <c r="AJ229" s="410" t="s">
        <v>126</v>
      </c>
      <c r="AK229" s="1134" t="s">
        <v>124</v>
      </c>
      <c r="AL229" s="1134" t="s">
        <v>99</v>
      </c>
      <c r="BC229" s="40"/>
      <c r="BD229" s="40"/>
      <c r="BE229" s="40"/>
      <c r="BF229" s="40"/>
      <c r="BG229" s="40"/>
    </row>
    <row r="230" spans="1:59" ht="18" customHeight="1">
      <c r="A230" s="1073" t="str">
        <f>IF(AND($D$74="ja",$C$17="oben"),"Zuglasche",IF(AND($D$56="ja",$C$17="oben",$D$58&gt;2),"Schraubenkreuz",""))</f>
        <v/>
      </c>
      <c r="B230" s="1074"/>
      <c r="C230" s="1074" t="str">
        <f>IF(A230="","",IF(A230="Schraubenkreuz",-$D$63-2*$D$64,IF(A230="Zuglasche",-50)))</f>
        <v/>
      </c>
      <c r="D230" s="1074"/>
      <c r="E230" s="1075"/>
      <c r="N230" s="103"/>
      <c r="O230" s="54"/>
      <c r="P230" s="54"/>
      <c r="Q230" s="54"/>
      <c r="R230" s="105"/>
      <c r="S230" s="105"/>
      <c r="T230" s="39"/>
      <c r="U230" s="103"/>
      <c r="V230" s="54"/>
      <c r="W230" s="54"/>
      <c r="X230" s="54"/>
      <c r="Y230" s="105"/>
      <c r="Z230" s="39"/>
      <c r="AA230" s="39"/>
      <c r="AB230" s="39"/>
      <c r="AC230" s="39"/>
      <c r="AE230" s="1073" t="str">
        <f>IF(C230="","",IF($C$17="unten",ABS(C230-$AL$16),IF($C$17="oben",ABS($C$14-C230-$AL$16))))</f>
        <v/>
      </c>
      <c r="AF230" s="1076" t="str">
        <f>IF(AE230="","",IF($C$17="unten",C230,IF($C$17="oben",$C$14-C230)))</f>
        <v/>
      </c>
      <c r="AG230" s="1076" t="str">
        <f>IF(C230="","",AH230*AI230)</f>
        <v/>
      </c>
      <c r="AH230" s="1076" t="str">
        <f>IF(AE230="","",IF(A230="Schraubenkreuz",$D$69,IF(A230="Zuglasche","FEHLER")))</f>
        <v/>
      </c>
      <c r="AI230" s="1078" t="str">
        <f>IF(AF230="","",AL230*$AK$313/AK230)</f>
        <v/>
      </c>
      <c r="AJ230" s="1135"/>
      <c r="AK230" s="1079" t="str">
        <f>IF(AE230="","",AL230/AE230)</f>
        <v/>
      </c>
      <c r="AL230" s="1078" t="str">
        <f>IF(AE230="","",IF(A230="Schraubenkreuz",$D$70*AE230/MAX($AE$230:$AE$232),IF(A230="Zuglasche","FEHLER")))</f>
        <v/>
      </c>
      <c r="AM230" s="1080" t="str">
        <f>IF(D56="ja",$D$70,"")</f>
        <v/>
      </c>
      <c r="BC230" s="40"/>
      <c r="BD230" s="40"/>
      <c r="BE230" s="40"/>
      <c r="BF230" s="40"/>
      <c r="BG230" s="40"/>
    </row>
    <row r="231" spans="1:59" ht="18" customHeight="1">
      <c r="A231" s="1081" t="str">
        <f>IF(AND($D$74="ja",$C$17="oben"),"",IF(AND($D$56="ja",$C$17="oben",$D$58&gt;1),"Schraubenkreuz",""))</f>
        <v/>
      </c>
      <c r="B231" s="1082"/>
      <c r="C231" s="1082" t="str">
        <f>IF(A231="","",IF(A231="Schraubenkreuz",-$D$63-1*$D$64,IF(A231="Zuglasche",-50)))</f>
        <v/>
      </c>
      <c r="D231" s="1082"/>
      <c r="E231" s="1083"/>
      <c r="N231" s="68"/>
      <c r="O231" s="39"/>
      <c r="P231" s="39"/>
      <c r="Q231" s="39"/>
      <c r="R231" s="104"/>
      <c r="S231" s="104"/>
      <c r="T231" s="39"/>
      <c r="U231" s="68"/>
      <c r="V231" s="39"/>
      <c r="W231" s="39"/>
      <c r="X231" s="39"/>
      <c r="Y231" s="104"/>
      <c r="Z231" s="39"/>
      <c r="AA231" s="39"/>
      <c r="AB231" s="39"/>
      <c r="AC231" s="39"/>
      <c r="AE231" s="1081" t="str">
        <f>IF(C231="","",IF($C$17="unten",ABS(C231-$AL$16),IF($C$17="oben",ABS($C$14-C231-$AL$16))))</f>
        <v/>
      </c>
      <c r="AF231" s="1084" t="str">
        <f t="shared" ref="AF231:AF294" si="53">IF(AE231="","",IF($C$17="unten",C231,IF($C$17="oben",$C$14-C231)))</f>
        <v/>
      </c>
      <c r="AG231" s="1084" t="str">
        <f>IF(C231="","",AH231*AI231)</f>
        <v/>
      </c>
      <c r="AH231" s="1084" t="str">
        <f>IF(AE231="","",IF(A231="Schraubenkreuz",$D$69,IF(A231="Zuglasche","FEHLER")))</f>
        <v/>
      </c>
      <c r="AI231" s="1086" t="str">
        <f t="shared" ref="AI231:AI294" si="54">IF(AF231="","",AL231*$AK$313/AK231)</f>
        <v/>
      </c>
      <c r="AJ231" s="1136"/>
      <c r="AK231" s="1087" t="str">
        <f t="shared" ref="AK231:AK232" si="55">IF(AE231="","",AL231/AE231)</f>
        <v/>
      </c>
      <c r="AL231" s="1086" t="str">
        <f>IF(AE231="","",IF(A231="Schraubenkreuz",$D$70*AE231/MAX($AE$230:$AE$232),IF(A231="Zuglasche","FEHLER")))</f>
        <v/>
      </c>
      <c r="BC231" s="40"/>
      <c r="BD231" s="40"/>
      <c r="BE231" s="40"/>
      <c r="BF231" s="40"/>
      <c r="BG231" s="40"/>
    </row>
    <row r="232" spans="1:59" ht="18" customHeight="1">
      <c r="A232" s="1088" t="str">
        <f>IF(AND($D$74="ja",$C$17="oben"),"",IF(AND($D$56="ja",$C$17="oben",$D$58&gt;0),"Schraubenkreuz",""))</f>
        <v/>
      </c>
      <c r="B232" s="1089"/>
      <c r="C232" s="1089" t="str">
        <f>IF(A232="","",IF(A232="Schraubenkreuz",-$D$63-0*$D$64,IF(A232="Zuglasche",-50)))</f>
        <v/>
      </c>
      <c r="D232" s="1089"/>
      <c r="E232" s="1090"/>
      <c r="N232" s="69"/>
      <c r="O232" s="37"/>
      <c r="P232" s="37"/>
      <c r="Q232" s="37"/>
      <c r="R232" s="101"/>
      <c r="S232" s="101"/>
      <c r="T232" s="39"/>
      <c r="U232" s="69"/>
      <c r="V232" s="37"/>
      <c r="W232" s="37"/>
      <c r="X232" s="37"/>
      <c r="Y232" s="101"/>
      <c r="Z232" s="39"/>
      <c r="AA232" s="39"/>
      <c r="AB232" s="39"/>
      <c r="AC232" s="39"/>
      <c r="AE232" s="1088" t="str">
        <f>IF(C232="","",IF($C$17="unten",ABS(C232-$AL$16),IF($C$17="oben",ABS($C$14-C232-$AL$16))))</f>
        <v/>
      </c>
      <c r="AF232" s="1091" t="str">
        <f t="shared" si="53"/>
        <v/>
      </c>
      <c r="AG232" s="1091" t="str">
        <f>IF(C232="","",AH232*AI232)</f>
        <v/>
      </c>
      <c r="AH232" s="1091" t="str">
        <f>IF(AE232="","",IF(A232="Schraubenkreuz",$D$69,IF(A232="Zuglasche","FEHLER")))</f>
        <v/>
      </c>
      <c r="AI232" s="1093" t="str">
        <f t="shared" si="54"/>
        <v/>
      </c>
      <c r="AJ232" s="1137"/>
      <c r="AK232" s="1094" t="str">
        <f t="shared" si="55"/>
        <v/>
      </c>
      <c r="AL232" s="1093" t="str">
        <f>IF(AE232="","",IF(A232="Schraubenkreuz",$D$70*AE232/MAX($AE$230:$AE$232),IF(A232="Zuglasche","FEHLER")))</f>
        <v/>
      </c>
      <c r="BC232" s="40"/>
      <c r="BD232" s="40"/>
      <c r="BE232" s="40"/>
      <c r="BF232" s="40"/>
      <c r="BG232" s="40"/>
    </row>
    <row r="233" spans="1:59" ht="18" customHeight="1">
      <c r="A233" s="1095" cm="1">
        <f t="array" aca="1" ref="A233:D306" ca="1">INDIRECT(E353):INDIRECT(E354)</f>
        <v>90</v>
      </c>
      <c r="B233" s="399">
        <f ca="1"/>
        <v>50</v>
      </c>
      <c r="C233" s="400">
        <f ca="1"/>
        <v>10</v>
      </c>
      <c r="D233" s="400">
        <f ca="1"/>
        <v>40</v>
      </c>
      <c r="E233" s="401">
        <f t="shared" ref="E233:E296" ca="1" si="56">IF(A233=90,$C$45-D233,IF(A233=45,$C$44-D233,""))</f>
        <v>200</v>
      </c>
      <c r="N233" s="389" t="str">
        <f t="shared" ref="N233:N296" ca="1" si="57">IF(OR(A233=90),IF($C$17="unten",IF($U$16&gt;C233,"",C233-$U$16),IF($C$17="oben",IF($U$16&gt;$C$14-C233,"",$C$14-C233-$U$16))),"")</f>
        <v/>
      </c>
      <c r="O233" s="390" t="str">
        <f t="shared" ref="O233:O296" ca="1" si="58">IF(N233="","",IF($C$17="unten",C233,IF($C$17="oben",$C$14-C233)))</f>
        <v/>
      </c>
      <c r="P233" s="390" t="str">
        <f ca="1">IF(N233="","",MIN($C$43*$C$49*E233,$C$51)*N233/MAX($N$233:$N$306))</f>
        <v/>
      </c>
      <c r="Q233" s="390" t="str">
        <f t="shared" ref="Q233:Q296" ca="1" si="59">IF(N233="","",$C$43*$C$49*E233/$C$50)</f>
        <v/>
      </c>
      <c r="R233" s="391" t="str">
        <f ca="1">IF(N233="","",P233/Q233)</f>
        <v/>
      </c>
      <c r="S233" s="395" t="str">
        <f t="shared" ref="S233:S296" ca="1" si="60">IF(N233="","",P233*$R$316/E233)</f>
        <v/>
      </c>
      <c r="U233" s="389" t="str">
        <f t="shared" ref="U233:U296" ca="1" si="61">IF(OR(A233=45),IF($C$17="unten",IF($U$16&gt;C233,"",C233-$U$16),IF($C$17="oben",IF($U$16&gt;$C$14-C233,"",$C$14-C233-$U$16))),"")</f>
        <v/>
      </c>
      <c r="V233" s="390" t="str">
        <f t="shared" ref="V233:V296" ca="1" si="62">IF(U233="","",MIN($C$26*$C$32*E233,$C$34)*U233/MAX($U$233:$U$306)/2^0.5)</f>
        <v/>
      </c>
      <c r="W233" s="394" t="str">
        <f t="shared" ref="W233:W296" ca="1" si="63">IF(U233="","",$C$50*U233/MAX($U$233:$U$306)/2^0.5)</f>
        <v/>
      </c>
      <c r="X233" s="389" t="str">
        <f t="shared" ref="X233:X296" ca="1" si="64">IF(A233=45,IF($C$17="unten",ABS(C233-$U$16),IF($C$17="oben",ABS($C$14-C233-$U$16))),"")</f>
        <v/>
      </c>
      <c r="Y233" s="1138" t="str">
        <f ca="1">IF(U233="","",(X233)^2)</f>
        <v/>
      </c>
      <c r="Z233" s="1097"/>
      <c r="AA233" s="1108"/>
      <c r="AB233" s="1108"/>
      <c r="AC233" s="1108"/>
      <c r="AE233" s="1139" t="str">
        <f t="shared" ref="AE233:AE296" ca="1" si="65">IF(OR(A233=90),IF($C$17="unten",IF($AL$16&gt;=C233,"",C233-$AL$16),IF($C$17="oben",IF($AL$16&gt;=$C$14-C233,"",$C$14-C233-$AL$16))),"")</f>
        <v/>
      </c>
      <c r="AF233" s="393" t="str">
        <f t="shared" ca="1" si="53"/>
        <v/>
      </c>
      <c r="AG233" s="393" t="str">
        <f ca="1">IF(AF233="","",AH233*AI233)</f>
        <v/>
      </c>
      <c r="AH233" s="393" t="str">
        <f t="shared" ref="AH233:AH296" ca="1" si="66">IF(AE233="","",$C$43*$C$49*E233/$C$50)</f>
        <v/>
      </c>
      <c r="AI233" s="1140" t="str">
        <f t="shared" ca="1" si="54"/>
        <v/>
      </c>
      <c r="AJ233" s="395" t="str">
        <f t="shared" ref="AJ233:AJ296" ca="1" si="67">IF(AE233="","",AG233*$AJ$316/E233)</f>
        <v/>
      </c>
      <c r="AK233" s="1141" t="str">
        <f ca="1">IF(AE233="","",AL233/AE233)</f>
        <v/>
      </c>
      <c r="AL233" s="1140" t="str">
        <f t="shared" ref="AL233:AL296" ca="1" si="68">IF(AE233="","",$C$33*AE233/MAX($AE$233:$AE$306))</f>
        <v/>
      </c>
      <c r="AM233" s="1142">
        <f>C33</f>
        <v>0.75</v>
      </c>
      <c r="BC233" s="40"/>
      <c r="BD233" s="40"/>
      <c r="BE233" s="40"/>
      <c r="BF233" s="40"/>
      <c r="BG233" s="40"/>
    </row>
    <row r="234" spans="1:59" ht="18" customHeight="1">
      <c r="A234" s="1095">
        <f ca="1"/>
        <v>90</v>
      </c>
      <c r="B234" s="399">
        <f ca="1"/>
        <v>10</v>
      </c>
      <c r="C234" s="400">
        <f ca="1"/>
        <v>10</v>
      </c>
      <c r="D234" s="400">
        <f ca="1"/>
        <v>40</v>
      </c>
      <c r="E234" s="401">
        <f t="shared" ca="1" si="56"/>
        <v>200</v>
      </c>
      <c r="N234" s="392" t="str">
        <f t="shared" ca="1" si="57"/>
        <v/>
      </c>
      <c r="O234" s="393" t="str">
        <f t="shared" ca="1" si="58"/>
        <v/>
      </c>
      <c r="P234" s="393" t="str">
        <f t="shared" ref="P234:P297" ca="1" si="69">IF(N234="","",MIN($C$43*$C$49*E234,$C$51)*N234/MAX($N$233:$N$306))</f>
        <v/>
      </c>
      <c r="Q234" s="393" t="str">
        <f t="shared" ca="1" si="59"/>
        <v/>
      </c>
      <c r="R234" s="394" t="str">
        <f t="shared" ref="R234:R297" ca="1" si="70">IF(N234="","",P234/Q234)</f>
        <v/>
      </c>
      <c r="S234" s="395" t="str">
        <f t="shared" ca="1" si="60"/>
        <v/>
      </c>
      <c r="U234" s="392" t="str">
        <f t="shared" ca="1" si="61"/>
        <v/>
      </c>
      <c r="V234" s="393" t="str">
        <f t="shared" ca="1" si="62"/>
        <v/>
      </c>
      <c r="W234" s="394" t="str">
        <f t="shared" ca="1" si="63"/>
        <v/>
      </c>
      <c r="X234" s="392" t="str">
        <f t="shared" ca="1" si="64"/>
        <v/>
      </c>
      <c r="Y234" s="395" t="str">
        <f t="shared" ref="Y234:Y297" ca="1" si="71">IF(U234="","",(X234)^2)</f>
        <v/>
      </c>
      <c r="Z234" s="1097"/>
      <c r="AA234" s="1108"/>
      <c r="AB234" s="1108"/>
      <c r="AC234" s="1108"/>
      <c r="AE234" s="1139" t="str">
        <f t="shared" ca="1" si="65"/>
        <v/>
      </c>
      <c r="AF234" s="393" t="str">
        <f t="shared" ca="1" si="53"/>
        <v/>
      </c>
      <c r="AG234" s="393" t="str">
        <f ca="1">IF(AF234="","",AH234*AI234)</f>
        <v/>
      </c>
      <c r="AH234" s="393" t="str">
        <f t="shared" ca="1" si="66"/>
        <v/>
      </c>
      <c r="AI234" s="1143" t="str">
        <f t="shared" ca="1" si="54"/>
        <v/>
      </c>
      <c r="AJ234" s="395" t="str">
        <f t="shared" ca="1" si="67"/>
        <v/>
      </c>
      <c r="AK234" s="1144" t="str">
        <f ca="1">IF(AE234="","",AL234/AE234)</f>
        <v/>
      </c>
      <c r="AL234" s="1143" t="str">
        <f t="shared" ca="1" si="68"/>
        <v/>
      </c>
      <c r="BC234" s="40"/>
      <c r="BD234" s="40"/>
      <c r="BE234" s="40"/>
      <c r="BF234" s="40"/>
      <c r="BG234" s="40"/>
    </row>
    <row r="235" spans="1:59" ht="18" customHeight="1">
      <c r="A235" s="1095">
        <f ca="1"/>
        <v>45</v>
      </c>
      <c r="B235" s="399">
        <f ca="1"/>
        <v>9.75</v>
      </c>
      <c r="C235" s="400">
        <f ca="1"/>
        <v>56</v>
      </c>
      <c r="D235" s="400">
        <f ca="1"/>
        <v>17.5</v>
      </c>
      <c r="E235" s="401">
        <f t="shared" ca="1" si="56"/>
        <v>142.5</v>
      </c>
      <c r="N235" s="392" t="str">
        <f t="shared" ca="1" si="57"/>
        <v/>
      </c>
      <c r="O235" s="393" t="str">
        <f t="shared" ca="1" si="58"/>
        <v/>
      </c>
      <c r="P235" s="393" t="str">
        <f t="shared" ca="1" si="69"/>
        <v/>
      </c>
      <c r="Q235" s="393" t="str">
        <f t="shared" ca="1" si="59"/>
        <v/>
      </c>
      <c r="R235" s="394" t="str">
        <f t="shared" ca="1" si="70"/>
        <v/>
      </c>
      <c r="S235" s="395" t="str">
        <f t="shared" ca="1" si="60"/>
        <v/>
      </c>
      <c r="U235" s="392">
        <f t="shared" ca="1" si="61"/>
        <v>35.961944829909861</v>
      </c>
      <c r="V235" s="393" t="e">
        <f t="shared" ca="1" si="62"/>
        <v>#DIV/0!</v>
      </c>
      <c r="W235" s="394">
        <f t="shared" ca="1" si="63"/>
        <v>9.0834085699979139E-2</v>
      </c>
      <c r="X235" s="392">
        <f t="shared" ca="1" si="64"/>
        <v>35.961944829909861</v>
      </c>
      <c r="Y235" s="395">
        <f t="shared" ca="1" si="71"/>
        <v>1293.2614759494807</v>
      </c>
      <c r="Z235" s="1097"/>
      <c r="AA235" s="1108"/>
      <c r="AB235" s="1108"/>
      <c r="AC235" s="1108"/>
      <c r="AE235" s="1139" t="str">
        <f t="shared" ca="1" si="65"/>
        <v/>
      </c>
      <c r="AF235" s="393" t="str">
        <f t="shared" ca="1" si="53"/>
        <v/>
      </c>
      <c r="AG235" s="393" t="str">
        <f t="shared" ref="AG235:AG298" ca="1" si="72">IF(AF235="","",AH235*AI235)</f>
        <v/>
      </c>
      <c r="AH235" s="393" t="str">
        <f t="shared" ca="1" si="66"/>
        <v/>
      </c>
      <c r="AI235" s="1143" t="str">
        <f t="shared" ca="1" si="54"/>
        <v/>
      </c>
      <c r="AJ235" s="395" t="str">
        <f t="shared" ca="1" si="67"/>
        <v/>
      </c>
      <c r="AK235" s="1144" t="str">
        <f t="shared" ref="AK235:AK298" ca="1" si="73">IF(AE235="","",AL235/AE235)</f>
        <v/>
      </c>
      <c r="AL235" s="1143" t="str">
        <f t="shared" ca="1" si="68"/>
        <v/>
      </c>
      <c r="BC235" s="40"/>
      <c r="BD235" s="40"/>
      <c r="BE235" s="40"/>
      <c r="BF235" s="40"/>
      <c r="BG235" s="40"/>
    </row>
    <row r="236" spans="1:59" ht="18" customHeight="1">
      <c r="A236" s="1095">
        <f ca="1"/>
        <v>90</v>
      </c>
      <c r="B236" s="399">
        <f ca="1"/>
        <v>30</v>
      </c>
      <c r="C236" s="400">
        <f ca="1"/>
        <v>70</v>
      </c>
      <c r="D236" s="400">
        <f ca="1"/>
        <v>14</v>
      </c>
      <c r="E236" s="401">
        <f t="shared" ca="1" si="56"/>
        <v>226</v>
      </c>
      <c r="N236" s="392">
        <f t="shared" ca="1" si="57"/>
        <v>49.961944829909861</v>
      </c>
      <c r="O236" s="393">
        <f t="shared" ca="1" si="58"/>
        <v>70</v>
      </c>
      <c r="P236" s="393">
        <f t="shared" ca="1" si="69"/>
        <v>1482.0605121759124</v>
      </c>
      <c r="Q236" s="393">
        <f t="shared" ca="1" si="59"/>
        <v>9095.3896716354084</v>
      </c>
      <c r="R236" s="394">
        <f t="shared" ca="1" si="70"/>
        <v>0.16294634597106036</v>
      </c>
      <c r="S236" s="395">
        <f t="shared" ca="1" si="60"/>
        <v>1465.6660374837011</v>
      </c>
      <c r="U236" s="392" t="str">
        <f t="shared" ca="1" si="61"/>
        <v/>
      </c>
      <c r="V236" s="393" t="str">
        <f t="shared" ca="1" si="62"/>
        <v/>
      </c>
      <c r="W236" s="394" t="str">
        <f t="shared" ca="1" si="63"/>
        <v/>
      </c>
      <c r="X236" s="392" t="str">
        <f t="shared" ca="1" si="64"/>
        <v/>
      </c>
      <c r="Y236" s="395" t="str">
        <f t="shared" ca="1" si="71"/>
        <v/>
      </c>
      <c r="Z236" s="1097"/>
      <c r="AA236" s="1108"/>
      <c r="AB236" s="1108"/>
      <c r="AC236" s="1108"/>
      <c r="AE236" s="1139">
        <f t="shared" ca="1" si="65"/>
        <v>49.961944829909861</v>
      </c>
      <c r="AF236" s="393">
        <f t="shared" ca="1" si="53"/>
        <v>70</v>
      </c>
      <c r="AG236" s="393">
        <f t="shared" ca="1" si="72"/>
        <v>1482.0605121759127</v>
      </c>
      <c r="AH236" s="393">
        <f t="shared" ca="1" si="66"/>
        <v>9095.3896716354084</v>
      </c>
      <c r="AI236" s="1143">
        <f t="shared" ca="1" si="54"/>
        <v>0.16294634597106039</v>
      </c>
      <c r="AJ236" s="395">
        <f t="shared" ca="1" si="67"/>
        <v>1465.6660374837013</v>
      </c>
      <c r="AK236" s="1144">
        <f t="shared" ca="1" si="73"/>
        <v>3.2614091890496642E-3</v>
      </c>
      <c r="AL236" s="1143">
        <f t="shared" ca="1" si="68"/>
        <v>0.16294634597106039</v>
      </c>
      <c r="BC236" s="40"/>
      <c r="BD236" s="40"/>
      <c r="BE236" s="40"/>
      <c r="BF236" s="40"/>
      <c r="BG236" s="40"/>
    </row>
    <row r="237" spans="1:59" ht="18" customHeight="1">
      <c r="A237" s="1095">
        <f ca="1"/>
        <v>45</v>
      </c>
      <c r="B237" s="399">
        <f ca="1"/>
        <v>50.25</v>
      </c>
      <c r="C237" s="400">
        <f ca="1"/>
        <v>76</v>
      </c>
      <c r="D237" s="400">
        <f ca="1"/>
        <v>17.5</v>
      </c>
      <c r="E237" s="401">
        <f t="shared" ca="1" si="56"/>
        <v>142.5</v>
      </c>
      <c r="N237" s="392" t="str">
        <f t="shared" ca="1" si="57"/>
        <v/>
      </c>
      <c r="O237" s="393" t="str">
        <f t="shared" ca="1" si="58"/>
        <v/>
      </c>
      <c r="P237" s="393" t="str">
        <f t="shared" ca="1" si="69"/>
        <v/>
      </c>
      <c r="Q237" s="393" t="str">
        <f t="shared" ca="1" si="59"/>
        <v/>
      </c>
      <c r="R237" s="394" t="str">
        <f t="shared" ca="1" si="70"/>
        <v/>
      </c>
      <c r="S237" s="395" t="str">
        <f t="shared" ca="1" si="60"/>
        <v/>
      </c>
      <c r="U237" s="392">
        <f t="shared" ca="1" si="61"/>
        <v>55.961944829909861</v>
      </c>
      <c r="V237" s="393" t="e">
        <f t="shared" ca="1" si="62"/>
        <v>#DIV/0!</v>
      </c>
      <c r="W237" s="394">
        <f t="shared" ca="1" si="63"/>
        <v>0.14135086733100571</v>
      </c>
      <c r="X237" s="392">
        <f ca="1">IF(A237=45,IF($C$17="unten",ABS(C237-$U$16),IF($C$17="oben",ABS($C$14-C237-$U$16))),"")</f>
        <v>55.961944829909861</v>
      </c>
      <c r="Y237" s="395">
        <f t="shared" ca="1" si="71"/>
        <v>3131.7392691458749</v>
      </c>
      <c r="Z237" s="1097"/>
      <c r="AA237" s="1108"/>
      <c r="AB237" s="1108"/>
      <c r="AC237" s="1108"/>
      <c r="AE237" s="1139" t="str">
        <f t="shared" ca="1" si="65"/>
        <v/>
      </c>
      <c r="AF237" s="393" t="str">
        <f t="shared" ca="1" si="53"/>
        <v/>
      </c>
      <c r="AG237" s="393" t="str">
        <f t="shared" ca="1" si="72"/>
        <v/>
      </c>
      <c r="AH237" s="393" t="str">
        <f t="shared" ca="1" si="66"/>
        <v/>
      </c>
      <c r="AI237" s="1143" t="str">
        <f t="shared" ca="1" si="54"/>
        <v/>
      </c>
      <c r="AJ237" s="395" t="str">
        <f t="shared" ca="1" si="67"/>
        <v/>
      </c>
      <c r="AK237" s="1144" t="str">
        <f t="shared" ca="1" si="73"/>
        <v/>
      </c>
      <c r="AL237" s="1143" t="str">
        <f t="shared" ca="1" si="68"/>
        <v/>
      </c>
      <c r="BC237" s="40"/>
      <c r="BD237" s="40"/>
      <c r="BE237" s="40"/>
      <c r="BF237" s="40"/>
      <c r="BG237" s="40"/>
    </row>
    <row r="238" spans="1:59" ht="18" customHeight="1">
      <c r="A238" s="1095">
        <f ca="1"/>
        <v>45</v>
      </c>
      <c r="B238" s="399">
        <f ca="1"/>
        <v>9.75</v>
      </c>
      <c r="C238" s="400">
        <f ca="1"/>
        <v>114</v>
      </c>
      <c r="D238" s="400">
        <f ca="1"/>
        <v>17.5</v>
      </c>
      <c r="E238" s="401">
        <f t="shared" ca="1" si="56"/>
        <v>142.5</v>
      </c>
      <c r="N238" s="392" t="str">
        <f t="shared" ca="1" si="57"/>
        <v/>
      </c>
      <c r="O238" s="393" t="str">
        <f t="shared" ca="1" si="58"/>
        <v/>
      </c>
      <c r="P238" s="393" t="str">
        <f t="shared" ca="1" si="69"/>
        <v/>
      </c>
      <c r="Q238" s="393" t="str">
        <f t="shared" ca="1" si="59"/>
        <v/>
      </c>
      <c r="R238" s="394" t="str">
        <f t="shared" ca="1" si="70"/>
        <v/>
      </c>
      <c r="S238" s="395" t="str">
        <f t="shared" ca="1" si="60"/>
        <v/>
      </c>
      <c r="U238" s="392">
        <f t="shared" ca="1" si="61"/>
        <v>93.961944829909868</v>
      </c>
      <c r="V238" s="393" t="e">
        <f t="shared" ca="1" si="62"/>
        <v>#DIV/0!</v>
      </c>
      <c r="W238" s="394">
        <f t="shared" ca="1" si="63"/>
        <v>0.23733275242995633</v>
      </c>
      <c r="X238" s="392">
        <f t="shared" ca="1" si="64"/>
        <v>93.961944829909868</v>
      </c>
      <c r="Y238" s="395">
        <f t="shared" ca="1" si="71"/>
        <v>8828.8470762190263</v>
      </c>
      <c r="Z238" s="1097"/>
      <c r="AA238" s="1108"/>
      <c r="AB238" s="1108"/>
      <c r="AC238" s="1108"/>
      <c r="AE238" s="1139" t="str">
        <f t="shared" ca="1" si="65"/>
        <v/>
      </c>
      <c r="AF238" s="393" t="str">
        <f t="shared" ca="1" si="53"/>
        <v/>
      </c>
      <c r="AG238" s="393" t="str">
        <f t="shared" ca="1" si="72"/>
        <v/>
      </c>
      <c r="AH238" s="393" t="str">
        <f t="shared" ca="1" si="66"/>
        <v/>
      </c>
      <c r="AI238" s="1143" t="str">
        <f t="shared" ca="1" si="54"/>
        <v/>
      </c>
      <c r="AJ238" s="395" t="str">
        <f t="shared" ca="1" si="67"/>
        <v/>
      </c>
      <c r="AK238" s="1144" t="str">
        <f t="shared" ca="1" si="73"/>
        <v/>
      </c>
      <c r="AL238" s="1143" t="str">
        <f t="shared" ca="1" si="68"/>
        <v/>
      </c>
      <c r="BC238" s="40"/>
      <c r="BD238" s="40"/>
      <c r="BE238" s="40"/>
      <c r="BF238" s="40"/>
      <c r="BG238" s="40"/>
    </row>
    <row r="239" spans="1:59" ht="18" customHeight="1">
      <c r="A239" s="1095">
        <f ca="1"/>
        <v>45</v>
      </c>
      <c r="B239" s="399">
        <f ca="1"/>
        <v>50.25</v>
      </c>
      <c r="C239" s="400">
        <f ca="1"/>
        <v>134</v>
      </c>
      <c r="D239" s="400">
        <f ca="1"/>
        <v>17.5</v>
      </c>
      <c r="E239" s="401">
        <f t="shared" ca="1" si="56"/>
        <v>142.5</v>
      </c>
      <c r="N239" s="392" t="str">
        <f t="shared" ca="1" si="57"/>
        <v/>
      </c>
      <c r="O239" s="393" t="str">
        <f t="shared" ca="1" si="58"/>
        <v/>
      </c>
      <c r="P239" s="393" t="str">
        <f t="shared" ca="1" si="69"/>
        <v/>
      </c>
      <c r="Q239" s="393" t="str">
        <f t="shared" ca="1" si="59"/>
        <v/>
      </c>
      <c r="R239" s="394" t="str">
        <f t="shared" ca="1" si="70"/>
        <v/>
      </c>
      <c r="S239" s="395" t="str">
        <f t="shared" ca="1" si="60"/>
        <v/>
      </c>
      <c r="U239" s="392">
        <f t="shared" ca="1" si="61"/>
        <v>113.96194482990987</v>
      </c>
      <c r="V239" s="393" t="e">
        <f t="shared" ca="1" si="62"/>
        <v>#DIV/0!</v>
      </c>
      <c r="W239" s="394">
        <f t="shared" ca="1" si="63"/>
        <v>0.2878495340609829</v>
      </c>
      <c r="X239" s="392">
        <f t="shared" ca="1" si="64"/>
        <v>113.96194482990987</v>
      </c>
      <c r="Y239" s="395">
        <f t="shared" ca="1" si="71"/>
        <v>12987.324869415421</v>
      </c>
      <c r="Z239" s="1097"/>
      <c r="AA239" s="1108"/>
      <c r="AB239" s="1108"/>
      <c r="AC239" s="1108"/>
      <c r="AE239" s="1139" t="str">
        <f t="shared" ca="1" si="65"/>
        <v/>
      </c>
      <c r="AF239" s="393" t="str">
        <f t="shared" ca="1" si="53"/>
        <v/>
      </c>
      <c r="AG239" s="393" t="str">
        <f t="shared" ca="1" si="72"/>
        <v/>
      </c>
      <c r="AH239" s="393" t="str">
        <f t="shared" ca="1" si="66"/>
        <v/>
      </c>
      <c r="AI239" s="1143" t="str">
        <f t="shared" ca="1" si="54"/>
        <v/>
      </c>
      <c r="AJ239" s="395" t="str">
        <f t="shared" ca="1" si="67"/>
        <v/>
      </c>
      <c r="AK239" s="1144" t="str">
        <f t="shared" ca="1" si="73"/>
        <v/>
      </c>
      <c r="AL239" s="1143" t="str">
        <f t="shared" ca="1" si="68"/>
        <v/>
      </c>
      <c r="BC239" s="40"/>
      <c r="BD239" s="40"/>
      <c r="BE239" s="40"/>
      <c r="BF239" s="40"/>
      <c r="BG239" s="40"/>
    </row>
    <row r="240" spans="1:59" ht="18" customHeight="1">
      <c r="A240" s="1095">
        <f ca="1"/>
        <v>45</v>
      </c>
      <c r="B240" s="399">
        <f ca="1"/>
        <v>9.75</v>
      </c>
      <c r="C240" s="400">
        <f ca="1"/>
        <v>172</v>
      </c>
      <c r="D240" s="400">
        <f ca="1"/>
        <v>17.5</v>
      </c>
      <c r="E240" s="401">
        <f t="shared" ca="1" si="56"/>
        <v>142.5</v>
      </c>
      <c r="N240" s="392" t="str">
        <f t="shared" ca="1" si="57"/>
        <v/>
      </c>
      <c r="O240" s="393" t="str">
        <f t="shared" ca="1" si="58"/>
        <v/>
      </c>
      <c r="P240" s="393" t="str">
        <f t="shared" ca="1" si="69"/>
        <v/>
      </c>
      <c r="Q240" s="393" t="str">
        <f t="shared" ca="1" si="59"/>
        <v/>
      </c>
      <c r="R240" s="394" t="str">
        <f t="shared" ca="1" si="70"/>
        <v/>
      </c>
      <c r="S240" s="395" t="str">
        <f t="shared" ca="1" si="60"/>
        <v/>
      </c>
      <c r="U240" s="392">
        <f t="shared" ca="1" si="61"/>
        <v>151.96194482990987</v>
      </c>
      <c r="V240" s="393" t="e">
        <f t="shared" ca="1" si="62"/>
        <v>#DIV/0!</v>
      </c>
      <c r="W240" s="394">
        <f t="shared" ca="1" si="63"/>
        <v>0.38383141915993352</v>
      </c>
      <c r="X240" s="392">
        <f t="shared" ca="1" si="64"/>
        <v>151.96194482990987</v>
      </c>
      <c r="Y240" s="395">
        <f t="shared" ca="1" si="71"/>
        <v>23092.43267648857</v>
      </c>
      <c r="Z240" s="1097"/>
      <c r="AA240" s="1108"/>
      <c r="AB240" s="1108"/>
      <c r="AC240" s="1108"/>
      <c r="AE240" s="1139" t="str">
        <f t="shared" ca="1" si="65"/>
        <v/>
      </c>
      <c r="AF240" s="393" t="str">
        <f t="shared" ca="1" si="53"/>
        <v/>
      </c>
      <c r="AG240" s="393" t="str">
        <f t="shared" ca="1" si="72"/>
        <v/>
      </c>
      <c r="AH240" s="393" t="str">
        <f t="shared" ca="1" si="66"/>
        <v/>
      </c>
      <c r="AI240" s="1143" t="str">
        <f t="shared" ca="1" si="54"/>
        <v/>
      </c>
      <c r="AJ240" s="395" t="str">
        <f t="shared" ca="1" si="67"/>
        <v/>
      </c>
      <c r="AK240" s="1144" t="str">
        <f t="shared" ca="1" si="73"/>
        <v/>
      </c>
      <c r="AL240" s="1143" t="str">
        <f t="shared" ca="1" si="68"/>
        <v/>
      </c>
      <c r="BC240" s="40"/>
      <c r="BD240" s="40"/>
      <c r="BE240" s="40"/>
      <c r="BF240" s="40"/>
      <c r="BG240" s="40"/>
    </row>
    <row r="241" spans="1:59" s="39" customFormat="1" ht="18" customHeight="1">
      <c r="A241" s="1095">
        <f ca="1"/>
        <v>45</v>
      </c>
      <c r="B241" s="399">
        <f ca="1"/>
        <v>50.25</v>
      </c>
      <c r="C241" s="400">
        <f ca="1"/>
        <v>192</v>
      </c>
      <c r="D241" s="400">
        <f ca="1"/>
        <v>17.5</v>
      </c>
      <c r="E241" s="401">
        <f t="shared" ca="1" si="56"/>
        <v>142.5</v>
      </c>
      <c r="H241" s="46"/>
      <c r="N241" s="392" t="str">
        <f t="shared" ca="1" si="57"/>
        <v/>
      </c>
      <c r="O241" s="393" t="str">
        <f t="shared" ca="1" si="58"/>
        <v/>
      </c>
      <c r="P241" s="393" t="str">
        <f t="shared" ca="1" si="69"/>
        <v/>
      </c>
      <c r="Q241" s="393" t="str">
        <f t="shared" ca="1" si="59"/>
        <v/>
      </c>
      <c r="R241" s="394" t="str">
        <f t="shared" ca="1" si="70"/>
        <v/>
      </c>
      <c r="S241" s="395" t="str">
        <f t="shared" ca="1" si="60"/>
        <v/>
      </c>
      <c r="T241" s="40"/>
      <c r="U241" s="392">
        <f t="shared" ca="1" si="61"/>
        <v>171.96194482990987</v>
      </c>
      <c r="V241" s="393" t="e">
        <f t="shared" ca="1" si="62"/>
        <v>#DIV/0!</v>
      </c>
      <c r="W241" s="394">
        <f t="shared" ca="1" si="63"/>
        <v>0.43434820079096009</v>
      </c>
      <c r="X241" s="392">
        <f t="shared" ca="1" si="64"/>
        <v>171.96194482990987</v>
      </c>
      <c r="Y241" s="395">
        <f t="shared" ca="1" si="71"/>
        <v>29570.910469684964</v>
      </c>
      <c r="Z241" s="1097"/>
      <c r="AA241" s="1108"/>
      <c r="AB241" s="1108"/>
      <c r="AC241" s="1108"/>
      <c r="AD241" s="43"/>
      <c r="AE241" s="1139" t="str">
        <f t="shared" ca="1" si="65"/>
        <v/>
      </c>
      <c r="AF241" s="393" t="str">
        <f t="shared" ca="1" si="53"/>
        <v/>
      </c>
      <c r="AG241" s="393" t="str">
        <f t="shared" ca="1" si="72"/>
        <v/>
      </c>
      <c r="AH241" s="393" t="str">
        <f t="shared" ca="1" si="66"/>
        <v/>
      </c>
      <c r="AI241" s="1143" t="str">
        <f t="shared" ca="1" si="54"/>
        <v/>
      </c>
      <c r="AJ241" s="395" t="str">
        <f t="shared" ca="1" si="67"/>
        <v/>
      </c>
      <c r="AK241" s="1144" t="str">
        <f t="shared" ca="1" si="73"/>
        <v/>
      </c>
      <c r="AL241" s="1143" t="str">
        <f t="shared" ca="1" si="68"/>
        <v/>
      </c>
      <c r="AM241" s="40"/>
      <c r="AN241" s="40"/>
      <c r="AO241" s="40"/>
      <c r="AP241" s="40"/>
      <c r="AQ241" s="40"/>
      <c r="AR241" s="40"/>
      <c r="AS241" s="40"/>
      <c r="AT241" s="40"/>
      <c r="AU241" s="40"/>
      <c r="AV241" s="40"/>
      <c r="AW241" s="40"/>
      <c r="AX241" s="40"/>
      <c r="AY241" s="307"/>
      <c r="AZ241" s="40"/>
    </row>
    <row r="242" spans="1:59" s="39" customFormat="1" ht="18" customHeight="1">
      <c r="A242" s="1095">
        <f ca="1"/>
        <v>45</v>
      </c>
      <c r="B242" s="399">
        <f ca="1"/>
        <v>9.75</v>
      </c>
      <c r="C242" s="400">
        <f ca="1"/>
        <v>230</v>
      </c>
      <c r="D242" s="400">
        <f ca="1"/>
        <v>17.5</v>
      </c>
      <c r="E242" s="401">
        <f t="shared" ca="1" si="56"/>
        <v>142.5</v>
      </c>
      <c r="H242" s="46"/>
      <c r="N242" s="392" t="str">
        <f t="shared" ca="1" si="57"/>
        <v/>
      </c>
      <c r="O242" s="393" t="str">
        <f t="shared" ca="1" si="58"/>
        <v/>
      </c>
      <c r="P242" s="393" t="str">
        <f t="shared" ca="1" si="69"/>
        <v/>
      </c>
      <c r="Q242" s="393" t="str">
        <f t="shared" ca="1" si="59"/>
        <v/>
      </c>
      <c r="R242" s="394" t="str">
        <f t="shared" ca="1" si="70"/>
        <v/>
      </c>
      <c r="S242" s="395" t="str">
        <f t="shared" ca="1" si="60"/>
        <v/>
      </c>
      <c r="T242" s="40"/>
      <c r="U242" s="392">
        <f t="shared" ca="1" si="61"/>
        <v>209.96194482990987</v>
      </c>
      <c r="V242" s="393" t="e">
        <f t="shared" ca="1" si="62"/>
        <v>#DIV/0!</v>
      </c>
      <c r="W242" s="394">
        <f t="shared" ca="1" si="63"/>
        <v>0.5303300858899106</v>
      </c>
      <c r="X242" s="392">
        <f t="shared" ca="1" si="64"/>
        <v>209.96194482990987</v>
      </c>
      <c r="Y242" s="395">
        <f t="shared" ca="1" si="71"/>
        <v>44084.018276758114</v>
      </c>
      <c r="Z242" s="1097"/>
      <c r="AA242" s="1108"/>
      <c r="AB242" s="1108"/>
      <c r="AC242" s="1108"/>
      <c r="AD242" s="43"/>
      <c r="AE242" s="1139" t="str">
        <f t="shared" ca="1" si="65"/>
        <v/>
      </c>
      <c r="AF242" s="393" t="str">
        <f t="shared" ca="1" si="53"/>
        <v/>
      </c>
      <c r="AG242" s="393" t="str">
        <f t="shared" ca="1" si="72"/>
        <v/>
      </c>
      <c r="AH242" s="393" t="str">
        <f t="shared" ca="1" si="66"/>
        <v/>
      </c>
      <c r="AI242" s="1143" t="str">
        <f t="shared" ca="1" si="54"/>
        <v/>
      </c>
      <c r="AJ242" s="395" t="str">
        <f t="shared" ca="1" si="67"/>
        <v/>
      </c>
      <c r="AK242" s="1144" t="str">
        <f t="shared" ca="1" si="73"/>
        <v/>
      </c>
      <c r="AL242" s="1143" t="str">
        <f t="shared" ca="1" si="68"/>
        <v/>
      </c>
      <c r="AM242" s="40"/>
      <c r="AN242" s="40"/>
      <c r="AO242" s="40"/>
      <c r="AP242" s="40"/>
      <c r="AQ242" s="40"/>
      <c r="AR242" s="40"/>
      <c r="AS242" s="40"/>
      <c r="AT242" s="40"/>
      <c r="AU242" s="40"/>
      <c r="AV242" s="40"/>
      <c r="AW242" s="40"/>
      <c r="AX242" s="40"/>
      <c r="AY242" s="307"/>
      <c r="AZ242" s="40"/>
    </row>
    <row r="243" spans="1:59" s="39" customFormat="1" ht="18" customHeight="1">
      <c r="A243" s="1095">
        <f ca="1"/>
        <v>90</v>
      </c>
      <c r="B243" s="399">
        <f ca="1"/>
        <v>30</v>
      </c>
      <c r="C243" s="400">
        <f ca="1"/>
        <v>240</v>
      </c>
      <c r="D243" s="400">
        <f ca="1"/>
        <v>14</v>
      </c>
      <c r="E243" s="401">
        <f t="shared" ca="1" si="56"/>
        <v>226</v>
      </c>
      <c r="H243" s="46"/>
      <c r="N243" s="392">
        <f t="shared" ca="1" si="57"/>
        <v>219.96194482990987</v>
      </c>
      <c r="O243" s="393">
        <f t="shared" ca="1" si="58"/>
        <v>240</v>
      </c>
      <c r="P243" s="393">
        <f t="shared" ca="1" si="69"/>
        <v>6524.9043791959648</v>
      </c>
      <c r="Q243" s="393">
        <f t="shared" ca="1" si="59"/>
        <v>9095.3896716354084</v>
      </c>
      <c r="R243" s="394">
        <f t="shared" ca="1" si="70"/>
        <v>0.71738590810950331</v>
      </c>
      <c r="S243" s="395">
        <f t="shared" ca="1" si="60"/>
        <v>6452.7262334083989</v>
      </c>
      <c r="T243" s="40"/>
      <c r="U243" s="392" t="str">
        <f t="shared" ca="1" si="61"/>
        <v/>
      </c>
      <c r="V243" s="393" t="str">
        <f t="shared" ca="1" si="62"/>
        <v/>
      </c>
      <c r="W243" s="394" t="str">
        <f t="shared" ca="1" si="63"/>
        <v/>
      </c>
      <c r="X243" s="392" t="str">
        <f t="shared" ca="1" si="64"/>
        <v/>
      </c>
      <c r="Y243" s="395" t="str">
        <f t="shared" ca="1" si="71"/>
        <v/>
      </c>
      <c r="Z243" s="1097"/>
      <c r="AA243" s="1108"/>
      <c r="AB243" s="1108"/>
      <c r="AC243" s="1108"/>
      <c r="AD243" s="43"/>
      <c r="AE243" s="1139">
        <f t="shared" ca="1" si="65"/>
        <v>219.96194482990987</v>
      </c>
      <c r="AF243" s="393">
        <f t="shared" ca="1" si="53"/>
        <v>240</v>
      </c>
      <c r="AG243" s="393">
        <f t="shared" ca="1" si="72"/>
        <v>6524.9043791959648</v>
      </c>
      <c r="AH243" s="393">
        <f t="shared" ca="1" si="66"/>
        <v>9095.3896716354084</v>
      </c>
      <c r="AI243" s="1143">
        <f t="shared" ca="1" si="54"/>
        <v>0.71738590810950331</v>
      </c>
      <c r="AJ243" s="395">
        <f t="shared" ca="1" si="67"/>
        <v>6452.7262334083989</v>
      </c>
      <c r="AK243" s="1144">
        <f t="shared" ca="1" si="73"/>
        <v>3.2614091890496646E-3</v>
      </c>
      <c r="AL243" s="1143">
        <f t="shared" ca="1" si="68"/>
        <v>0.71738590810950342</v>
      </c>
      <c r="AM243" s="40"/>
      <c r="AN243" s="40"/>
      <c r="AO243" s="40"/>
      <c r="AP243" s="40"/>
      <c r="AQ243" s="40"/>
      <c r="AR243" s="40"/>
      <c r="AS243" s="40"/>
      <c r="AT243" s="40"/>
      <c r="AU243" s="40"/>
      <c r="AV243" s="40"/>
      <c r="AW243" s="40"/>
      <c r="AX243" s="40"/>
      <c r="AY243" s="307"/>
      <c r="AZ243" s="40"/>
    </row>
    <row r="244" spans="1:59" s="39" customFormat="1" ht="18" customHeight="1">
      <c r="A244" s="1095">
        <f ca="1"/>
        <v>90</v>
      </c>
      <c r="B244" s="399">
        <f ca="1"/>
        <v>50.25</v>
      </c>
      <c r="C244" s="400">
        <f ca="1"/>
        <v>250</v>
      </c>
      <c r="D244" s="400">
        <f ca="1"/>
        <v>16.5</v>
      </c>
      <c r="E244" s="401">
        <f t="shared" ca="1" si="56"/>
        <v>223.5</v>
      </c>
      <c r="H244" s="46"/>
      <c r="N244" s="392">
        <f t="shared" ca="1" si="57"/>
        <v>229.96194482990987</v>
      </c>
      <c r="O244" s="393">
        <f t="shared" ca="1" si="58"/>
        <v>250</v>
      </c>
      <c r="P244" s="393">
        <f t="shared" ca="1" si="69"/>
        <v>6746.0827155216157</v>
      </c>
      <c r="Q244" s="393">
        <f t="shared" ca="1" si="59"/>
        <v>8994.7769540288209</v>
      </c>
      <c r="R244" s="394">
        <f t="shared" ca="1" si="70"/>
        <v>0.75</v>
      </c>
      <c r="S244" s="395">
        <f t="shared" ca="1" si="60"/>
        <v>6746.0827155216157</v>
      </c>
      <c r="T244" s="40"/>
      <c r="U244" s="392" t="str">
        <f t="shared" ca="1" si="61"/>
        <v/>
      </c>
      <c r="V244" s="393" t="str">
        <f t="shared" ca="1" si="62"/>
        <v/>
      </c>
      <c r="W244" s="394" t="str">
        <f t="shared" ca="1" si="63"/>
        <v/>
      </c>
      <c r="X244" s="392" t="str">
        <f t="shared" ca="1" si="64"/>
        <v/>
      </c>
      <c r="Y244" s="395" t="str">
        <f t="shared" ca="1" si="71"/>
        <v/>
      </c>
      <c r="Z244" s="1097"/>
      <c r="AA244" s="1108"/>
      <c r="AB244" s="1108"/>
      <c r="AC244" s="1108"/>
      <c r="AD244" s="43"/>
      <c r="AE244" s="1139">
        <f t="shared" ca="1" si="65"/>
        <v>229.96194482990987</v>
      </c>
      <c r="AF244" s="393">
        <f t="shared" ca="1" si="53"/>
        <v>250</v>
      </c>
      <c r="AG244" s="393">
        <f t="shared" ca="1" si="72"/>
        <v>6746.0827155216157</v>
      </c>
      <c r="AH244" s="393">
        <f t="shared" ca="1" si="66"/>
        <v>8994.7769540288209</v>
      </c>
      <c r="AI244" s="1143">
        <f t="shared" ca="1" si="54"/>
        <v>0.75</v>
      </c>
      <c r="AJ244" s="395">
        <f t="shared" ca="1" si="67"/>
        <v>6746.0827155216157</v>
      </c>
      <c r="AK244" s="1144">
        <f t="shared" ca="1" si="73"/>
        <v>3.2614091890496642E-3</v>
      </c>
      <c r="AL244" s="1143">
        <f t="shared" ca="1" si="68"/>
        <v>0.75</v>
      </c>
      <c r="AM244" s="40"/>
      <c r="AN244" s="40"/>
      <c r="AO244" s="40"/>
      <c r="AP244" s="40"/>
      <c r="AQ244" s="40"/>
      <c r="AR244" s="40"/>
      <c r="AS244" s="40"/>
      <c r="AT244" s="40"/>
      <c r="AU244" s="40"/>
      <c r="AV244" s="40"/>
      <c r="AW244" s="40"/>
      <c r="AX244" s="40"/>
      <c r="AY244" s="307"/>
      <c r="AZ244" s="40"/>
    </row>
    <row r="245" spans="1:59" s="39" customFormat="1" ht="18" customHeight="1">
      <c r="A245" s="1095" t="str">
        <f ca="1"/>
        <v/>
      </c>
      <c r="B245" s="399" t="str">
        <f ca="1"/>
        <v/>
      </c>
      <c r="C245" s="400" t="str">
        <f ca="1"/>
        <v/>
      </c>
      <c r="D245" s="400" t="str">
        <f ca="1"/>
        <v/>
      </c>
      <c r="E245" s="401" t="str">
        <f t="shared" ca="1" si="56"/>
        <v/>
      </c>
      <c r="H245" s="46"/>
      <c r="N245" s="392" t="str">
        <f t="shared" ca="1" si="57"/>
        <v/>
      </c>
      <c r="O245" s="393" t="str">
        <f t="shared" ca="1" si="58"/>
        <v/>
      </c>
      <c r="P245" s="393" t="str">
        <f t="shared" ca="1" si="69"/>
        <v/>
      </c>
      <c r="Q245" s="393" t="str">
        <f t="shared" ca="1" si="59"/>
        <v/>
      </c>
      <c r="R245" s="394" t="str">
        <f t="shared" ca="1" si="70"/>
        <v/>
      </c>
      <c r="S245" s="395" t="str">
        <f t="shared" ca="1" si="60"/>
        <v/>
      </c>
      <c r="T245" s="40"/>
      <c r="U245" s="392" t="str">
        <f t="shared" ca="1" si="61"/>
        <v/>
      </c>
      <c r="V245" s="393" t="str">
        <f t="shared" ca="1" si="62"/>
        <v/>
      </c>
      <c r="W245" s="394" t="str">
        <f t="shared" ca="1" si="63"/>
        <v/>
      </c>
      <c r="X245" s="392" t="str">
        <f t="shared" ca="1" si="64"/>
        <v/>
      </c>
      <c r="Y245" s="395" t="str">
        <f t="shared" ca="1" si="71"/>
        <v/>
      </c>
      <c r="Z245" s="1097"/>
      <c r="AA245" s="1108"/>
      <c r="AB245" s="1108"/>
      <c r="AC245" s="1108"/>
      <c r="AD245" s="43"/>
      <c r="AE245" s="1139" t="str">
        <f t="shared" ca="1" si="65"/>
        <v/>
      </c>
      <c r="AF245" s="393" t="str">
        <f t="shared" ca="1" si="53"/>
        <v/>
      </c>
      <c r="AG245" s="393" t="str">
        <f t="shared" ca="1" si="72"/>
        <v/>
      </c>
      <c r="AH245" s="393" t="str">
        <f t="shared" ca="1" si="66"/>
        <v/>
      </c>
      <c r="AI245" s="1143" t="str">
        <f t="shared" ca="1" si="54"/>
        <v/>
      </c>
      <c r="AJ245" s="395" t="str">
        <f t="shared" ca="1" si="67"/>
        <v/>
      </c>
      <c r="AK245" s="1144" t="str">
        <f t="shared" ca="1" si="73"/>
        <v/>
      </c>
      <c r="AL245" s="1143" t="str">
        <f t="shared" ca="1" si="68"/>
        <v/>
      </c>
      <c r="AM245" s="40"/>
      <c r="AN245" s="40"/>
      <c r="AO245" s="40"/>
      <c r="AP245" s="40"/>
      <c r="AQ245" s="40"/>
      <c r="AR245" s="40"/>
      <c r="AS245" s="40"/>
      <c r="AT245" s="40"/>
      <c r="AU245" s="40"/>
      <c r="AV245" s="40"/>
      <c r="AW245" s="40"/>
      <c r="AX245" s="40"/>
      <c r="AY245" s="307"/>
      <c r="AZ245" s="40"/>
    </row>
    <row r="246" spans="1:59" s="39" customFormat="1" ht="18" customHeight="1">
      <c r="A246" s="1095" t="str">
        <f ca="1"/>
        <v/>
      </c>
      <c r="B246" s="399" t="str">
        <f ca="1"/>
        <v/>
      </c>
      <c r="C246" s="400" t="str">
        <f ca="1"/>
        <v/>
      </c>
      <c r="D246" s="400" t="str">
        <f ca="1"/>
        <v/>
      </c>
      <c r="E246" s="401" t="str">
        <f t="shared" ca="1" si="56"/>
        <v/>
      </c>
      <c r="H246" s="46"/>
      <c r="N246" s="392" t="str">
        <f t="shared" ca="1" si="57"/>
        <v/>
      </c>
      <c r="O246" s="393" t="str">
        <f t="shared" ca="1" si="58"/>
        <v/>
      </c>
      <c r="P246" s="393" t="str">
        <f t="shared" ca="1" si="69"/>
        <v/>
      </c>
      <c r="Q246" s="393" t="str">
        <f t="shared" ca="1" si="59"/>
        <v/>
      </c>
      <c r="R246" s="394" t="str">
        <f t="shared" ca="1" si="70"/>
        <v/>
      </c>
      <c r="S246" s="395" t="str">
        <f t="shared" ca="1" si="60"/>
        <v/>
      </c>
      <c r="T246" s="40"/>
      <c r="U246" s="392" t="str">
        <f t="shared" ca="1" si="61"/>
        <v/>
      </c>
      <c r="V246" s="393" t="str">
        <f t="shared" ca="1" si="62"/>
        <v/>
      </c>
      <c r="W246" s="394" t="str">
        <f t="shared" ca="1" si="63"/>
        <v/>
      </c>
      <c r="X246" s="392" t="str">
        <f t="shared" ca="1" si="64"/>
        <v/>
      </c>
      <c r="Y246" s="395" t="str">
        <f t="shared" ca="1" si="71"/>
        <v/>
      </c>
      <c r="Z246" s="1097"/>
      <c r="AA246" s="1108"/>
      <c r="AB246" s="1108"/>
      <c r="AC246" s="1108"/>
      <c r="AD246" s="43"/>
      <c r="AE246" s="1139" t="str">
        <f t="shared" ca="1" si="65"/>
        <v/>
      </c>
      <c r="AF246" s="393" t="str">
        <f t="shared" ca="1" si="53"/>
        <v/>
      </c>
      <c r="AG246" s="393" t="str">
        <f t="shared" ca="1" si="72"/>
        <v/>
      </c>
      <c r="AH246" s="393" t="str">
        <f t="shared" ca="1" si="66"/>
        <v/>
      </c>
      <c r="AI246" s="1143" t="str">
        <f t="shared" ca="1" si="54"/>
        <v/>
      </c>
      <c r="AJ246" s="395" t="str">
        <f t="shared" ca="1" si="67"/>
        <v/>
      </c>
      <c r="AK246" s="1144" t="str">
        <f t="shared" ca="1" si="73"/>
        <v/>
      </c>
      <c r="AL246" s="1143" t="str">
        <f t="shared" ca="1" si="68"/>
        <v/>
      </c>
      <c r="AM246" s="40"/>
      <c r="AN246" s="40"/>
      <c r="AO246" s="40"/>
      <c r="AP246" s="40"/>
      <c r="AQ246" s="40"/>
      <c r="AR246" s="40"/>
      <c r="AS246" s="40"/>
      <c r="AT246" s="40"/>
      <c r="AU246" s="40"/>
      <c r="AV246" s="40"/>
      <c r="AW246" s="40"/>
      <c r="AX246" s="40"/>
      <c r="AY246" s="307"/>
      <c r="AZ246" s="40"/>
    </row>
    <row r="247" spans="1:59" ht="18" customHeight="1">
      <c r="A247" s="1095" t="str">
        <f ca="1"/>
        <v/>
      </c>
      <c r="B247" s="399" t="str">
        <f ca="1"/>
        <v/>
      </c>
      <c r="C247" s="400" t="str">
        <f ca="1"/>
        <v/>
      </c>
      <c r="D247" s="400" t="str">
        <f ca="1"/>
        <v/>
      </c>
      <c r="E247" s="401" t="str">
        <f t="shared" ca="1" si="56"/>
        <v/>
      </c>
      <c r="N247" s="392" t="str">
        <f t="shared" ca="1" si="57"/>
        <v/>
      </c>
      <c r="O247" s="393" t="str">
        <f t="shared" ca="1" si="58"/>
        <v/>
      </c>
      <c r="P247" s="393" t="str">
        <f t="shared" ca="1" si="69"/>
        <v/>
      </c>
      <c r="Q247" s="393" t="str">
        <f t="shared" ca="1" si="59"/>
        <v/>
      </c>
      <c r="R247" s="394" t="str">
        <f t="shared" ca="1" si="70"/>
        <v/>
      </c>
      <c r="S247" s="395" t="str">
        <f t="shared" ca="1" si="60"/>
        <v/>
      </c>
      <c r="U247" s="392" t="str">
        <f t="shared" ca="1" si="61"/>
        <v/>
      </c>
      <c r="V247" s="393" t="str">
        <f t="shared" ca="1" si="62"/>
        <v/>
      </c>
      <c r="W247" s="394" t="str">
        <f t="shared" ca="1" si="63"/>
        <v/>
      </c>
      <c r="X247" s="392" t="str">
        <f t="shared" ca="1" si="64"/>
        <v/>
      </c>
      <c r="Y247" s="395" t="str">
        <f t="shared" ca="1" si="71"/>
        <v/>
      </c>
      <c r="Z247" s="1097"/>
      <c r="AA247" s="1108"/>
      <c r="AB247" s="1108"/>
      <c r="AC247" s="1108"/>
      <c r="AE247" s="1139" t="str">
        <f t="shared" ca="1" si="65"/>
        <v/>
      </c>
      <c r="AF247" s="393" t="str">
        <f t="shared" ca="1" si="53"/>
        <v/>
      </c>
      <c r="AG247" s="393" t="str">
        <f t="shared" ca="1" si="72"/>
        <v/>
      </c>
      <c r="AH247" s="393" t="str">
        <f t="shared" ca="1" si="66"/>
        <v/>
      </c>
      <c r="AI247" s="1143" t="str">
        <f t="shared" ca="1" si="54"/>
        <v/>
      </c>
      <c r="AJ247" s="395" t="str">
        <f t="shared" ca="1" si="67"/>
        <v/>
      </c>
      <c r="AK247" s="1144" t="str">
        <f t="shared" ca="1" si="73"/>
        <v/>
      </c>
      <c r="AL247" s="1143" t="str">
        <f t="shared" ca="1" si="68"/>
        <v/>
      </c>
      <c r="BC247" s="40"/>
      <c r="BD247" s="40"/>
      <c r="BE247" s="40"/>
      <c r="BF247" s="40"/>
      <c r="BG247" s="40"/>
    </row>
    <row r="248" spans="1:59" ht="18" customHeight="1">
      <c r="A248" s="1095" t="str">
        <f ca="1"/>
        <v/>
      </c>
      <c r="B248" s="399" t="str">
        <f ca="1"/>
        <v/>
      </c>
      <c r="C248" s="400" t="str">
        <f ca="1"/>
        <v/>
      </c>
      <c r="D248" s="400" t="str">
        <f ca="1"/>
        <v/>
      </c>
      <c r="E248" s="401" t="str">
        <f t="shared" ca="1" si="56"/>
        <v/>
      </c>
      <c r="N248" s="392" t="str">
        <f t="shared" ca="1" si="57"/>
        <v/>
      </c>
      <c r="O248" s="393" t="str">
        <f t="shared" ca="1" si="58"/>
        <v/>
      </c>
      <c r="P248" s="393" t="str">
        <f t="shared" ca="1" si="69"/>
        <v/>
      </c>
      <c r="Q248" s="393" t="str">
        <f t="shared" ca="1" si="59"/>
        <v/>
      </c>
      <c r="R248" s="394" t="str">
        <f t="shared" ca="1" si="70"/>
        <v/>
      </c>
      <c r="S248" s="395" t="str">
        <f t="shared" ca="1" si="60"/>
        <v/>
      </c>
      <c r="U248" s="392" t="str">
        <f t="shared" ca="1" si="61"/>
        <v/>
      </c>
      <c r="V248" s="393" t="str">
        <f t="shared" ca="1" si="62"/>
        <v/>
      </c>
      <c r="W248" s="394" t="str">
        <f t="shared" ca="1" si="63"/>
        <v/>
      </c>
      <c r="X248" s="392" t="str">
        <f t="shared" ca="1" si="64"/>
        <v/>
      </c>
      <c r="Y248" s="395" t="str">
        <f t="shared" ca="1" si="71"/>
        <v/>
      </c>
      <c r="Z248" s="1097"/>
      <c r="AA248" s="1108"/>
      <c r="AB248" s="1108"/>
      <c r="AC248" s="1108"/>
      <c r="AE248" s="1139" t="str">
        <f t="shared" ca="1" si="65"/>
        <v/>
      </c>
      <c r="AF248" s="393" t="str">
        <f t="shared" ca="1" si="53"/>
        <v/>
      </c>
      <c r="AG248" s="393" t="str">
        <f t="shared" ca="1" si="72"/>
        <v/>
      </c>
      <c r="AH248" s="393" t="str">
        <f t="shared" ca="1" si="66"/>
        <v/>
      </c>
      <c r="AI248" s="1143" t="str">
        <f t="shared" ca="1" si="54"/>
        <v/>
      </c>
      <c r="AJ248" s="395" t="str">
        <f t="shared" ca="1" si="67"/>
        <v/>
      </c>
      <c r="AK248" s="1144" t="str">
        <f t="shared" ca="1" si="73"/>
        <v/>
      </c>
      <c r="AL248" s="1143" t="str">
        <f t="shared" ca="1" si="68"/>
        <v/>
      </c>
      <c r="BC248" s="40"/>
      <c r="BD248" s="40"/>
      <c r="BE248" s="40"/>
      <c r="BF248" s="40"/>
      <c r="BG248" s="40"/>
    </row>
    <row r="249" spans="1:59" ht="18" customHeight="1">
      <c r="A249" s="1095" t="str">
        <f ca="1"/>
        <v/>
      </c>
      <c r="B249" s="399" t="str">
        <f ca="1"/>
        <v/>
      </c>
      <c r="C249" s="400" t="str">
        <f ca="1"/>
        <v/>
      </c>
      <c r="D249" s="400" t="str">
        <f ca="1"/>
        <v/>
      </c>
      <c r="E249" s="401" t="str">
        <f t="shared" ca="1" si="56"/>
        <v/>
      </c>
      <c r="N249" s="392" t="str">
        <f t="shared" ca="1" si="57"/>
        <v/>
      </c>
      <c r="O249" s="393" t="str">
        <f t="shared" ca="1" si="58"/>
        <v/>
      </c>
      <c r="P249" s="393" t="str">
        <f t="shared" ca="1" si="69"/>
        <v/>
      </c>
      <c r="Q249" s="393" t="str">
        <f t="shared" ca="1" si="59"/>
        <v/>
      </c>
      <c r="R249" s="394" t="str">
        <f t="shared" ca="1" si="70"/>
        <v/>
      </c>
      <c r="S249" s="395" t="str">
        <f t="shared" ca="1" si="60"/>
        <v/>
      </c>
      <c r="U249" s="392" t="str">
        <f t="shared" ca="1" si="61"/>
        <v/>
      </c>
      <c r="V249" s="393" t="str">
        <f t="shared" ca="1" si="62"/>
        <v/>
      </c>
      <c r="W249" s="394" t="str">
        <f t="shared" ca="1" si="63"/>
        <v/>
      </c>
      <c r="X249" s="392" t="str">
        <f t="shared" ca="1" si="64"/>
        <v/>
      </c>
      <c r="Y249" s="395" t="str">
        <f t="shared" ca="1" si="71"/>
        <v/>
      </c>
      <c r="Z249" s="1097"/>
      <c r="AA249" s="1108"/>
      <c r="AB249" s="1108"/>
      <c r="AC249" s="1108"/>
      <c r="AE249" s="1139" t="str">
        <f t="shared" ca="1" si="65"/>
        <v/>
      </c>
      <c r="AF249" s="393" t="str">
        <f t="shared" ca="1" si="53"/>
        <v/>
      </c>
      <c r="AG249" s="393" t="str">
        <f t="shared" ca="1" si="72"/>
        <v/>
      </c>
      <c r="AH249" s="393" t="str">
        <f t="shared" ca="1" si="66"/>
        <v/>
      </c>
      <c r="AI249" s="1143" t="str">
        <f t="shared" ca="1" si="54"/>
        <v/>
      </c>
      <c r="AJ249" s="395" t="str">
        <f t="shared" ca="1" si="67"/>
        <v/>
      </c>
      <c r="AK249" s="1144" t="str">
        <f t="shared" ca="1" si="73"/>
        <v/>
      </c>
      <c r="AL249" s="1143" t="str">
        <f t="shared" ca="1" si="68"/>
        <v/>
      </c>
      <c r="BC249" s="40"/>
      <c r="BD249" s="40"/>
      <c r="BE249" s="40"/>
      <c r="BF249" s="40"/>
      <c r="BG249" s="40"/>
    </row>
    <row r="250" spans="1:59" ht="18" customHeight="1">
      <c r="A250" s="1095" t="str">
        <f ca="1"/>
        <v/>
      </c>
      <c r="B250" s="399" t="str">
        <f ca="1"/>
        <v/>
      </c>
      <c r="C250" s="400" t="str">
        <f ca="1"/>
        <v/>
      </c>
      <c r="D250" s="400" t="str">
        <f ca="1"/>
        <v/>
      </c>
      <c r="E250" s="401" t="str">
        <f t="shared" ca="1" si="56"/>
        <v/>
      </c>
      <c r="N250" s="392" t="str">
        <f t="shared" ca="1" si="57"/>
        <v/>
      </c>
      <c r="O250" s="393" t="str">
        <f t="shared" ca="1" si="58"/>
        <v/>
      </c>
      <c r="P250" s="393" t="str">
        <f t="shared" ca="1" si="69"/>
        <v/>
      </c>
      <c r="Q250" s="393" t="str">
        <f t="shared" ca="1" si="59"/>
        <v/>
      </c>
      <c r="R250" s="394" t="str">
        <f t="shared" ca="1" si="70"/>
        <v/>
      </c>
      <c r="S250" s="395" t="str">
        <f t="shared" ca="1" si="60"/>
        <v/>
      </c>
      <c r="U250" s="392" t="str">
        <f t="shared" ca="1" si="61"/>
        <v/>
      </c>
      <c r="V250" s="393" t="str">
        <f t="shared" ca="1" si="62"/>
        <v/>
      </c>
      <c r="W250" s="394" t="str">
        <f t="shared" ca="1" si="63"/>
        <v/>
      </c>
      <c r="X250" s="392" t="str">
        <f t="shared" ca="1" si="64"/>
        <v/>
      </c>
      <c r="Y250" s="395" t="str">
        <f t="shared" ca="1" si="71"/>
        <v/>
      </c>
      <c r="Z250" s="1097"/>
      <c r="AA250" s="1108"/>
      <c r="AB250" s="1108"/>
      <c r="AC250" s="1108"/>
      <c r="AE250" s="1139" t="str">
        <f t="shared" ca="1" si="65"/>
        <v/>
      </c>
      <c r="AF250" s="393" t="str">
        <f t="shared" ca="1" si="53"/>
        <v/>
      </c>
      <c r="AG250" s="393" t="str">
        <f t="shared" ca="1" si="72"/>
        <v/>
      </c>
      <c r="AH250" s="393" t="str">
        <f t="shared" ca="1" si="66"/>
        <v/>
      </c>
      <c r="AI250" s="1143" t="str">
        <f t="shared" ca="1" si="54"/>
        <v/>
      </c>
      <c r="AJ250" s="395" t="str">
        <f t="shared" ca="1" si="67"/>
        <v/>
      </c>
      <c r="AK250" s="1144" t="str">
        <f t="shared" ca="1" si="73"/>
        <v/>
      </c>
      <c r="AL250" s="1143" t="str">
        <f t="shared" ca="1" si="68"/>
        <v/>
      </c>
      <c r="BC250" s="40"/>
      <c r="BD250" s="40"/>
      <c r="BE250" s="40"/>
      <c r="BF250" s="40"/>
      <c r="BG250" s="40"/>
    </row>
    <row r="251" spans="1:59" ht="18" customHeight="1">
      <c r="A251" s="1095" t="str">
        <f ca="1"/>
        <v/>
      </c>
      <c r="B251" s="399" t="str">
        <f ca="1"/>
        <v/>
      </c>
      <c r="C251" s="400" t="str">
        <f ca="1"/>
        <v/>
      </c>
      <c r="D251" s="400" t="str">
        <f ca="1"/>
        <v/>
      </c>
      <c r="E251" s="401" t="str">
        <f t="shared" ca="1" si="56"/>
        <v/>
      </c>
      <c r="N251" s="392" t="str">
        <f t="shared" ca="1" si="57"/>
        <v/>
      </c>
      <c r="O251" s="393" t="str">
        <f t="shared" ca="1" si="58"/>
        <v/>
      </c>
      <c r="P251" s="393" t="str">
        <f t="shared" ca="1" si="69"/>
        <v/>
      </c>
      <c r="Q251" s="393" t="str">
        <f t="shared" ca="1" si="59"/>
        <v/>
      </c>
      <c r="R251" s="394" t="str">
        <f t="shared" ca="1" si="70"/>
        <v/>
      </c>
      <c r="S251" s="395" t="str">
        <f t="shared" ca="1" si="60"/>
        <v/>
      </c>
      <c r="U251" s="392" t="str">
        <f t="shared" ca="1" si="61"/>
        <v/>
      </c>
      <c r="V251" s="393" t="str">
        <f t="shared" ca="1" si="62"/>
        <v/>
      </c>
      <c r="W251" s="394" t="str">
        <f t="shared" ca="1" si="63"/>
        <v/>
      </c>
      <c r="X251" s="392" t="str">
        <f t="shared" ca="1" si="64"/>
        <v/>
      </c>
      <c r="Y251" s="395" t="str">
        <f t="shared" ca="1" si="71"/>
        <v/>
      </c>
      <c r="Z251" s="1097"/>
      <c r="AA251" s="1108"/>
      <c r="AB251" s="1108"/>
      <c r="AC251" s="1108"/>
      <c r="AE251" s="1139" t="str">
        <f t="shared" ca="1" si="65"/>
        <v/>
      </c>
      <c r="AF251" s="393" t="str">
        <f t="shared" ca="1" si="53"/>
        <v/>
      </c>
      <c r="AG251" s="393" t="str">
        <f t="shared" ca="1" si="72"/>
        <v/>
      </c>
      <c r="AH251" s="393" t="str">
        <f t="shared" ca="1" si="66"/>
        <v/>
      </c>
      <c r="AI251" s="1143" t="str">
        <f t="shared" ca="1" si="54"/>
        <v/>
      </c>
      <c r="AJ251" s="395" t="str">
        <f t="shared" ca="1" si="67"/>
        <v/>
      </c>
      <c r="AK251" s="1144" t="str">
        <f t="shared" ca="1" si="73"/>
        <v/>
      </c>
      <c r="AL251" s="1143" t="str">
        <f t="shared" ca="1" si="68"/>
        <v/>
      </c>
      <c r="BC251" s="40"/>
      <c r="BD251" s="40"/>
      <c r="BE251" s="40"/>
      <c r="BF251" s="40"/>
      <c r="BG251" s="40"/>
    </row>
    <row r="252" spans="1:59" ht="18" customHeight="1">
      <c r="A252" s="1095" t="str">
        <f ca="1"/>
        <v/>
      </c>
      <c r="B252" s="399" t="str">
        <f ca="1"/>
        <v/>
      </c>
      <c r="C252" s="400" t="str">
        <f ca="1"/>
        <v/>
      </c>
      <c r="D252" s="400" t="str">
        <f ca="1"/>
        <v/>
      </c>
      <c r="E252" s="401" t="str">
        <f t="shared" ca="1" si="56"/>
        <v/>
      </c>
      <c r="N252" s="392" t="str">
        <f t="shared" ca="1" si="57"/>
        <v/>
      </c>
      <c r="O252" s="393" t="str">
        <f t="shared" ca="1" si="58"/>
        <v/>
      </c>
      <c r="P252" s="393" t="str">
        <f t="shared" ca="1" si="69"/>
        <v/>
      </c>
      <c r="Q252" s="393" t="str">
        <f t="shared" ca="1" si="59"/>
        <v/>
      </c>
      <c r="R252" s="394" t="str">
        <f t="shared" ca="1" si="70"/>
        <v/>
      </c>
      <c r="S252" s="395" t="str">
        <f t="shared" ca="1" si="60"/>
        <v/>
      </c>
      <c r="U252" s="392" t="str">
        <f t="shared" ca="1" si="61"/>
        <v/>
      </c>
      <c r="V252" s="393" t="str">
        <f t="shared" ca="1" si="62"/>
        <v/>
      </c>
      <c r="W252" s="394" t="str">
        <f t="shared" ca="1" si="63"/>
        <v/>
      </c>
      <c r="X252" s="392" t="str">
        <f t="shared" ca="1" si="64"/>
        <v/>
      </c>
      <c r="Y252" s="395" t="str">
        <f t="shared" ca="1" si="71"/>
        <v/>
      </c>
      <c r="Z252" s="1097"/>
      <c r="AA252" s="1108"/>
      <c r="AB252" s="1108"/>
      <c r="AC252" s="1108"/>
      <c r="AE252" s="1139" t="str">
        <f t="shared" ca="1" si="65"/>
        <v/>
      </c>
      <c r="AF252" s="393" t="str">
        <f t="shared" ca="1" si="53"/>
        <v/>
      </c>
      <c r="AG252" s="393" t="str">
        <f t="shared" ca="1" si="72"/>
        <v/>
      </c>
      <c r="AH252" s="393" t="str">
        <f t="shared" ca="1" si="66"/>
        <v/>
      </c>
      <c r="AI252" s="1143" t="str">
        <f t="shared" ca="1" si="54"/>
        <v/>
      </c>
      <c r="AJ252" s="395" t="str">
        <f t="shared" ca="1" si="67"/>
        <v/>
      </c>
      <c r="AK252" s="1144" t="str">
        <f t="shared" ca="1" si="73"/>
        <v/>
      </c>
      <c r="AL252" s="1143" t="str">
        <f t="shared" ca="1" si="68"/>
        <v/>
      </c>
      <c r="BC252" s="40"/>
      <c r="BD252" s="40"/>
      <c r="BE252" s="40"/>
      <c r="BF252" s="40"/>
      <c r="BG252" s="40"/>
    </row>
    <row r="253" spans="1:59" ht="18" customHeight="1">
      <c r="A253" s="1095" t="str">
        <f ca="1"/>
        <v/>
      </c>
      <c r="B253" s="399" t="str">
        <f ca="1"/>
        <v/>
      </c>
      <c r="C253" s="400" t="str">
        <f ca="1"/>
        <v/>
      </c>
      <c r="D253" s="400" t="str">
        <f ca="1"/>
        <v/>
      </c>
      <c r="E253" s="401" t="str">
        <f t="shared" ca="1" si="56"/>
        <v/>
      </c>
      <c r="N253" s="392" t="str">
        <f t="shared" ca="1" si="57"/>
        <v/>
      </c>
      <c r="O253" s="393" t="str">
        <f t="shared" ca="1" si="58"/>
        <v/>
      </c>
      <c r="P253" s="393" t="str">
        <f t="shared" ca="1" si="69"/>
        <v/>
      </c>
      <c r="Q253" s="393" t="str">
        <f t="shared" ca="1" si="59"/>
        <v/>
      </c>
      <c r="R253" s="394" t="str">
        <f t="shared" ca="1" si="70"/>
        <v/>
      </c>
      <c r="S253" s="395" t="str">
        <f t="shared" ca="1" si="60"/>
        <v/>
      </c>
      <c r="U253" s="392" t="str">
        <f t="shared" ca="1" si="61"/>
        <v/>
      </c>
      <c r="V253" s="393" t="str">
        <f t="shared" ca="1" si="62"/>
        <v/>
      </c>
      <c r="W253" s="394" t="str">
        <f t="shared" ca="1" si="63"/>
        <v/>
      </c>
      <c r="X253" s="392" t="str">
        <f t="shared" ca="1" si="64"/>
        <v/>
      </c>
      <c r="Y253" s="395" t="str">
        <f t="shared" ca="1" si="71"/>
        <v/>
      </c>
      <c r="Z253" s="1097"/>
      <c r="AA253" s="1108"/>
      <c r="AB253" s="1108"/>
      <c r="AC253" s="1108"/>
      <c r="AE253" s="1139" t="str">
        <f t="shared" ca="1" si="65"/>
        <v/>
      </c>
      <c r="AF253" s="393" t="str">
        <f t="shared" ca="1" si="53"/>
        <v/>
      </c>
      <c r="AG253" s="393" t="str">
        <f t="shared" ca="1" si="72"/>
        <v/>
      </c>
      <c r="AH253" s="393" t="str">
        <f t="shared" ca="1" si="66"/>
        <v/>
      </c>
      <c r="AI253" s="1143" t="str">
        <f t="shared" ca="1" si="54"/>
        <v/>
      </c>
      <c r="AJ253" s="395" t="str">
        <f t="shared" ca="1" si="67"/>
        <v/>
      </c>
      <c r="AK253" s="1144" t="str">
        <f t="shared" ca="1" si="73"/>
        <v/>
      </c>
      <c r="AL253" s="1143" t="str">
        <f t="shared" ca="1" si="68"/>
        <v/>
      </c>
      <c r="BC253" s="40"/>
      <c r="BD253" s="40"/>
      <c r="BE253" s="40"/>
      <c r="BF253" s="40"/>
      <c r="BG253" s="40"/>
    </row>
    <row r="254" spans="1:59" ht="18" customHeight="1">
      <c r="A254" s="1095" t="str">
        <f ca="1"/>
        <v/>
      </c>
      <c r="B254" s="399" t="str">
        <f ca="1"/>
        <v/>
      </c>
      <c r="C254" s="400" t="str">
        <f ca="1"/>
        <v/>
      </c>
      <c r="D254" s="400" t="str">
        <f ca="1"/>
        <v/>
      </c>
      <c r="E254" s="401" t="str">
        <f t="shared" ca="1" si="56"/>
        <v/>
      </c>
      <c r="N254" s="392" t="str">
        <f t="shared" ca="1" si="57"/>
        <v/>
      </c>
      <c r="O254" s="393" t="str">
        <f t="shared" ca="1" si="58"/>
        <v/>
      </c>
      <c r="P254" s="393" t="str">
        <f t="shared" ca="1" si="69"/>
        <v/>
      </c>
      <c r="Q254" s="393" t="str">
        <f t="shared" ca="1" si="59"/>
        <v/>
      </c>
      <c r="R254" s="394" t="str">
        <f t="shared" ca="1" si="70"/>
        <v/>
      </c>
      <c r="S254" s="395" t="str">
        <f t="shared" ca="1" si="60"/>
        <v/>
      </c>
      <c r="U254" s="392" t="str">
        <f t="shared" ca="1" si="61"/>
        <v/>
      </c>
      <c r="V254" s="393" t="str">
        <f t="shared" ca="1" si="62"/>
        <v/>
      </c>
      <c r="W254" s="394" t="str">
        <f t="shared" ca="1" si="63"/>
        <v/>
      </c>
      <c r="X254" s="392" t="str">
        <f t="shared" ca="1" si="64"/>
        <v/>
      </c>
      <c r="Y254" s="395" t="str">
        <f t="shared" ca="1" si="71"/>
        <v/>
      </c>
      <c r="Z254" s="1097"/>
      <c r="AA254" s="1108"/>
      <c r="AB254" s="1108"/>
      <c r="AC254" s="1108"/>
      <c r="AE254" s="1139" t="str">
        <f t="shared" ca="1" si="65"/>
        <v/>
      </c>
      <c r="AF254" s="393" t="str">
        <f t="shared" ca="1" si="53"/>
        <v/>
      </c>
      <c r="AG254" s="393" t="str">
        <f t="shared" ca="1" si="72"/>
        <v/>
      </c>
      <c r="AH254" s="393" t="str">
        <f t="shared" ca="1" si="66"/>
        <v/>
      </c>
      <c r="AI254" s="1143" t="str">
        <f t="shared" ca="1" si="54"/>
        <v/>
      </c>
      <c r="AJ254" s="395" t="str">
        <f t="shared" ca="1" si="67"/>
        <v/>
      </c>
      <c r="AK254" s="1144" t="str">
        <f t="shared" ca="1" si="73"/>
        <v/>
      </c>
      <c r="AL254" s="1143" t="str">
        <f t="shared" ca="1" si="68"/>
        <v/>
      </c>
      <c r="BC254" s="40"/>
      <c r="BD254" s="40"/>
      <c r="BE254" s="40"/>
      <c r="BF254" s="40"/>
      <c r="BG254" s="40"/>
    </row>
    <row r="255" spans="1:59" ht="18" customHeight="1">
      <c r="A255" s="1095" t="str">
        <f ca="1"/>
        <v/>
      </c>
      <c r="B255" s="399" t="str">
        <f ca="1"/>
        <v/>
      </c>
      <c r="C255" s="400" t="str">
        <f ca="1"/>
        <v/>
      </c>
      <c r="D255" s="400" t="str">
        <f ca="1"/>
        <v/>
      </c>
      <c r="E255" s="401" t="str">
        <f t="shared" ca="1" si="56"/>
        <v/>
      </c>
      <c r="N255" s="392" t="str">
        <f t="shared" ca="1" si="57"/>
        <v/>
      </c>
      <c r="O255" s="393" t="str">
        <f t="shared" ca="1" si="58"/>
        <v/>
      </c>
      <c r="P255" s="393" t="str">
        <f t="shared" ca="1" si="69"/>
        <v/>
      </c>
      <c r="Q255" s="393" t="str">
        <f t="shared" ca="1" si="59"/>
        <v/>
      </c>
      <c r="R255" s="394" t="str">
        <f t="shared" ca="1" si="70"/>
        <v/>
      </c>
      <c r="S255" s="395" t="str">
        <f t="shared" ca="1" si="60"/>
        <v/>
      </c>
      <c r="U255" s="392" t="str">
        <f t="shared" ca="1" si="61"/>
        <v/>
      </c>
      <c r="V255" s="393" t="str">
        <f t="shared" ca="1" si="62"/>
        <v/>
      </c>
      <c r="W255" s="394" t="str">
        <f t="shared" ca="1" si="63"/>
        <v/>
      </c>
      <c r="X255" s="392" t="str">
        <f t="shared" ca="1" si="64"/>
        <v/>
      </c>
      <c r="Y255" s="395" t="str">
        <f t="shared" ca="1" si="71"/>
        <v/>
      </c>
      <c r="Z255" s="1097"/>
      <c r="AA255" s="1108"/>
      <c r="AB255" s="1108"/>
      <c r="AC255" s="1108"/>
      <c r="AE255" s="1139" t="str">
        <f t="shared" ca="1" si="65"/>
        <v/>
      </c>
      <c r="AF255" s="393" t="str">
        <f t="shared" ca="1" si="53"/>
        <v/>
      </c>
      <c r="AG255" s="393" t="str">
        <f t="shared" ca="1" si="72"/>
        <v/>
      </c>
      <c r="AH255" s="393" t="str">
        <f t="shared" ca="1" si="66"/>
        <v/>
      </c>
      <c r="AI255" s="1143" t="str">
        <f t="shared" ca="1" si="54"/>
        <v/>
      </c>
      <c r="AJ255" s="395" t="str">
        <f t="shared" ca="1" si="67"/>
        <v/>
      </c>
      <c r="AK255" s="1144" t="str">
        <f t="shared" ca="1" si="73"/>
        <v/>
      </c>
      <c r="AL255" s="1143" t="str">
        <f t="shared" ca="1" si="68"/>
        <v/>
      </c>
      <c r="BC255" s="40"/>
      <c r="BD255" s="40"/>
      <c r="BE255" s="40"/>
      <c r="BF255" s="40"/>
      <c r="BG255" s="40"/>
    </row>
    <row r="256" spans="1:59" ht="18" customHeight="1">
      <c r="A256" s="1095" t="str">
        <f ca="1"/>
        <v/>
      </c>
      <c r="B256" s="399" t="str">
        <f ca="1"/>
        <v/>
      </c>
      <c r="C256" s="400" t="str">
        <f ca="1"/>
        <v/>
      </c>
      <c r="D256" s="400" t="str">
        <f ca="1"/>
        <v/>
      </c>
      <c r="E256" s="401" t="str">
        <f t="shared" ca="1" si="56"/>
        <v/>
      </c>
      <c r="N256" s="392" t="str">
        <f t="shared" ca="1" si="57"/>
        <v/>
      </c>
      <c r="O256" s="393" t="str">
        <f t="shared" ca="1" si="58"/>
        <v/>
      </c>
      <c r="P256" s="393" t="str">
        <f t="shared" ca="1" si="69"/>
        <v/>
      </c>
      <c r="Q256" s="393" t="str">
        <f t="shared" ca="1" si="59"/>
        <v/>
      </c>
      <c r="R256" s="394" t="str">
        <f t="shared" ca="1" si="70"/>
        <v/>
      </c>
      <c r="S256" s="395" t="str">
        <f t="shared" ca="1" si="60"/>
        <v/>
      </c>
      <c r="U256" s="392" t="str">
        <f t="shared" ca="1" si="61"/>
        <v/>
      </c>
      <c r="V256" s="393" t="str">
        <f t="shared" ca="1" si="62"/>
        <v/>
      </c>
      <c r="W256" s="394" t="str">
        <f t="shared" ca="1" si="63"/>
        <v/>
      </c>
      <c r="X256" s="392" t="str">
        <f t="shared" ca="1" si="64"/>
        <v/>
      </c>
      <c r="Y256" s="395" t="str">
        <f t="shared" ca="1" si="71"/>
        <v/>
      </c>
      <c r="Z256" s="1097"/>
      <c r="AA256" s="1108"/>
      <c r="AB256" s="1108"/>
      <c r="AC256" s="1108"/>
      <c r="AE256" s="1139" t="str">
        <f t="shared" ca="1" si="65"/>
        <v/>
      </c>
      <c r="AF256" s="393" t="str">
        <f t="shared" ca="1" si="53"/>
        <v/>
      </c>
      <c r="AG256" s="393" t="str">
        <f t="shared" ca="1" si="72"/>
        <v/>
      </c>
      <c r="AH256" s="393" t="str">
        <f t="shared" ca="1" si="66"/>
        <v/>
      </c>
      <c r="AI256" s="1143" t="str">
        <f t="shared" ca="1" si="54"/>
        <v/>
      </c>
      <c r="AJ256" s="395" t="str">
        <f t="shared" ca="1" si="67"/>
        <v/>
      </c>
      <c r="AK256" s="1144" t="str">
        <f t="shared" ca="1" si="73"/>
        <v/>
      </c>
      <c r="AL256" s="1143" t="str">
        <f t="shared" ca="1" si="68"/>
        <v/>
      </c>
      <c r="BC256" s="40"/>
      <c r="BD256" s="40"/>
      <c r="BE256" s="40"/>
      <c r="BF256" s="40"/>
      <c r="BG256" s="40"/>
    </row>
    <row r="257" spans="1:59" ht="18" customHeight="1">
      <c r="A257" s="1095" t="str">
        <f ca="1"/>
        <v/>
      </c>
      <c r="B257" s="399" t="str">
        <f ca="1"/>
        <v/>
      </c>
      <c r="C257" s="400" t="str">
        <f ca="1"/>
        <v/>
      </c>
      <c r="D257" s="400" t="str">
        <f ca="1"/>
        <v/>
      </c>
      <c r="E257" s="401" t="str">
        <f t="shared" ca="1" si="56"/>
        <v/>
      </c>
      <c r="N257" s="392" t="str">
        <f t="shared" ca="1" si="57"/>
        <v/>
      </c>
      <c r="O257" s="393" t="str">
        <f t="shared" ca="1" si="58"/>
        <v/>
      </c>
      <c r="P257" s="393" t="str">
        <f t="shared" ca="1" si="69"/>
        <v/>
      </c>
      <c r="Q257" s="393" t="str">
        <f t="shared" ca="1" si="59"/>
        <v/>
      </c>
      <c r="R257" s="394" t="str">
        <f t="shared" ca="1" si="70"/>
        <v/>
      </c>
      <c r="S257" s="395" t="str">
        <f t="shared" ca="1" si="60"/>
        <v/>
      </c>
      <c r="U257" s="392" t="str">
        <f t="shared" ca="1" si="61"/>
        <v/>
      </c>
      <c r="V257" s="393" t="str">
        <f t="shared" ca="1" si="62"/>
        <v/>
      </c>
      <c r="W257" s="394" t="str">
        <f t="shared" ca="1" si="63"/>
        <v/>
      </c>
      <c r="X257" s="392" t="str">
        <f t="shared" ca="1" si="64"/>
        <v/>
      </c>
      <c r="Y257" s="395" t="str">
        <f t="shared" ca="1" si="71"/>
        <v/>
      </c>
      <c r="Z257" s="1097"/>
      <c r="AA257" s="1108"/>
      <c r="AB257" s="1108"/>
      <c r="AC257" s="1108"/>
      <c r="AE257" s="1139" t="str">
        <f t="shared" ca="1" si="65"/>
        <v/>
      </c>
      <c r="AF257" s="393" t="str">
        <f t="shared" ca="1" si="53"/>
        <v/>
      </c>
      <c r="AG257" s="393" t="str">
        <f t="shared" ca="1" si="72"/>
        <v/>
      </c>
      <c r="AH257" s="393" t="str">
        <f t="shared" ca="1" si="66"/>
        <v/>
      </c>
      <c r="AI257" s="1143" t="str">
        <f t="shared" ca="1" si="54"/>
        <v/>
      </c>
      <c r="AJ257" s="395" t="str">
        <f t="shared" ca="1" si="67"/>
        <v/>
      </c>
      <c r="AK257" s="1144" t="str">
        <f t="shared" ca="1" si="73"/>
        <v/>
      </c>
      <c r="AL257" s="1143" t="str">
        <f t="shared" ca="1" si="68"/>
        <v/>
      </c>
      <c r="BC257" s="40"/>
      <c r="BD257" s="40"/>
      <c r="BE257" s="40"/>
      <c r="BF257" s="40"/>
      <c r="BG257" s="40"/>
    </row>
    <row r="258" spans="1:59" ht="18" customHeight="1">
      <c r="A258" s="1095" t="str">
        <f ca="1"/>
        <v/>
      </c>
      <c r="B258" s="399" t="str">
        <f ca="1"/>
        <v/>
      </c>
      <c r="C258" s="400" t="str">
        <f ca="1"/>
        <v/>
      </c>
      <c r="D258" s="400" t="str">
        <f ca="1"/>
        <v/>
      </c>
      <c r="E258" s="401" t="str">
        <f t="shared" ca="1" si="56"/>
        <v/>
      </c>
      <c r="N258" s="392" t="str">
        <f t="shared" ca="1" si="57"/>
        <v/>
      </c>
      <c r="O258" s="393" t="str">
        <f t="shared" ca="1" si="58"/>
        <v/>
      </c>
      <c r="P258" s="393" t="str">
        <f t="shared" ca="1" si="69"/>
        <v/>
      </c>
      <c r="Q258" s="393" t="str">
        <f t="shared" ca="1" si="59"/>
        <v/>
      </c>
      <c r="R258" s="394" t="str">
        <f t="shared" ca="1" si="70"/>
        <v/>
      </c>
      <c r="S258" s="395" t="str">
        <f t="shared" ca="1" si="60"/>
        <v/>
      </c>
      <c r="U258" s="392" t="str">
        <f t="shared" ca="1" si="61"/>
        <v/>
      </c>
      <c r="V258" s="393" t="str">
        <f t="shared" ca="1" si="62"/>
        <v/>
      </c>
      <c r="W258" s="394" t="str">
        <f t="shared" ca="1" si="63"/>
        <v/>
      </c>
      <c r="X258" s="392" t="str">
        <f t="shared" ca="1" si="64"/>
        <v/>
      </c>
      <c r="Y258" s="395" t="str">
        <f t="shared" ca="1" si="71"/>
        <v/>
      </c>
      <c r="Z258" s="1097"/>
      <c r="AA258" s="1108"/>
      <c r="AB258" s="1108"/>
      <c r="AC258" s="1108"/>
      <c r="AE258" s="1139" t="str">
        <f t="shared" ca="1" si="65"/>
        <v/>
      </c>
      <c r="AF258" s="393" t="str">
        <f t="shared" ca="1" si="53"/>
        <v/>
      </c>
      <c r="AG258" s="393" t="str">
        <f t="shared" ca="1" si="72"/>
        <v/>
      </c>
      <c r="AH258" s="393" t="str">
        <f t="shared" ca="1" si="66"/>
        <v/>
      </c>
      <c r="AI258" s="1143" t="str">
        <f t="shared" ca="1" si="54"/>
        <v/>
      </c>
      <c r="AJ258" s="395" t="str">
        <f t="shared" ca="1" si="67"/>
        <v/>
      </c>
      <c r="AK258" s="1144" t="str">
        <f t="shared" ca="1" si="73"/>
        <v/>
      </c>
      <c r="AL258" s="1143" t="str">
        <f t="shared" ca="1" si="68"/>
        <v/>
      </c>
      <c r="BC258" s="40"/>
      <c r="BD258" s="40"/>
      <c r="BE258" s="40"/>
      <c r="BF258" s="40"/>
      <c r="BG258" s="40"/>
    </row>
    <row r="259" spans="1:59" ht="18" customHeight="1">
      <c r="A259" s="1095" t="str">
        <f ca="1"/>
        <v/>
      </c>
      <c r="B259" s="399" t="str">
        <f ca="1"/>
        <v/>
      </c>
      <c r="C259" s="400" t="str">
        <f ca="1"/>
        <v/>
      </c>
      <c r="D259" s="400" t="str">
        <f ca="1"/>
        <v/>
      </c>
      <c r="E259" s="401" t="str">
        <f t="shared" ca="1" si="56"/>
        <v/>
      </c>
      <c r="N259" s="392" t="str">
        <f t="shared" ca="1" si="57"/>
        <v/>
      </c>
      <c r="O259" s="393" t="str">
        <f t="shared" ca="1" si="58"/>
        <v/>
      </c>
      <c r="P259" s="393" t="str">
        <f t="shared" ca="1" si="69"/>
        <v/>
      </c>
      <c r="Q259" s="393" t="str">
        <f t="shared" ca="1" si="59"/>
        <v/>
      </c>
      <c r="R259" s="394" t="str">
        <f t="shared" ca="1" si="70"/>
        <v/>
      </c>
      <c r="S259" s="395" t="str">
        <f t="shared" ca="1" si="60"/>
        <v/>
      </c>
      <c r="U259" s="392" t="str">
        <f t="shared" ca="1" si="61"/>
        <v/>
      </c>
      <c r="V259" s="393" t="str">
        <f t="shared" ca="1" si="62"/>
        <v/>
      </c>
      <c r="W259" s="394" t="str">
        <f t="shared" ca="1" si="63"/>
        <v/>
      </c>
      <c r="X259" s="392" t="str">
        <f t="shared" ca="1" si="64"/>
        <v/>
      </c>
      <c r="Y259" s="395" t="str">
        <f t="shared" ca="1" si="71"/>
        <v/>
      </c>
      <c r="Z259" s="1097"/>
      <c r="AA259" s="1108"/>
      <c r="AB259" s="1108"/>
      <c r="AC259" s="1108"/>
      <c r="AE259" s="1139" t="str">
        <f t="shared" ca="1" si="65"/>
        <v/>
      </c>
      <c r="AF259" s="393" t="str">
        <f t="shared" ca="1" si="53"/>
        <v/>
      </c>
      <c r="AG259" s="393" t="str">
        <f t="shared" ca="1" si="72"/>
        <v/>
      </c>
      <c r="AH259" s="393" t="str">
        <f t="shared" ca="1" si="66"/>
        <v/>
      </c>
      <c r="AI259" s="1143" t="str">
        <f t="shared" ca="1" si="54"/>
        <v/>
      </c>
      <c r="AJ259" s="395" t="str">
        <f t="shared" ca="1" si="67"/>
        <v/>
      </c>
      <c r="AK259" s="1144" t="str">
        <f t="shared" ca="1" si="73"/>
        <v/>
      </c>
      <c r="AL259" s="1143" t="str">
        <f t="shared" ca="1" si="68"/>
        <v/>
      </c>
      <c r="BC259" s="40"/>
      <c r="BD259" s="40"/>
      <c r="BE259" s="40"/>
      <c r="BF259" s="40"/>
      <c r="BG259" s="40"/>
    </row>
    <row r="260" spans="1:59" ht="18" customHeight="1">
      <c r="A260" s="1095" t="str">
        <f ca="1"/>
        <v/>
      </c>
      <c r="B260" s="399" t="str">
        <f ca="1"/>
        <v/>
      </c>
      <c r="C260" s="400" t="str">
        <f ca="1"/>
        <v/>
      </c>
      <c r="D260" s="400" t="str">
        <f ca="1"/>
        <v/>
      </c>
      <c r="E260" s="401" t="str">
        <f t="shared" ca="1" si="56"/>
        <v/>
      </c>
      <c r="N260" s="392" t="str">
        <f t="shared" ca="1" si="57"/>
        <v/>
      </c>
      <c r="O260" s="393" t="str">
        <f t="shared" ca="1" si="58"/>
        <v/>
      </c>
      <c r="P260" s="393" t="str">
        <f t="shared" ca="1" si="69"/>
        <v/>
      </c>
      <c r="Q260" s="393" t="str">
        <f t="shared" ca="1" si="59"/>
        <v/>
      </c>
      <c r="R260" s="394" t="str">
        <f t="shared" ca="1" si="70"/>
        <v/>
      </c>
      <c r="S260" s="395" t="str">
        <f t="shared" ca="1" si="60"/>
        <v/>
      </c>
      <c r="U260" s="392" t="str">
        <f t="shared" ca="1" si="61"/>
        <v/>
      </c>
      <c r="V260" s="393" t="str">
        <f t="shared" ca="1" si="62"/>
        <v/>
      </c>
      <c r="W260" s="394" t="str">
        <f t="shared" ca="1" si="63"/>
        <v/>
      </c>
      <c r="X260" s="392" t="str">
        <f t="shared" ca="1" si="64"/>
        <v/>
      </c>
      <c r="Y260" s="395" t="str">
        <f t="shared" ca="1" si="71"/>
        <v/>
      </c>
      <c r="Z260" s="1097"/>
      <c r="AA260" s="1108"/>
      <c r="AB260" s="1108"/>
      <c r="AC260" s="1108"/>
      <c r="AE260" s="1139" t="str">
        <f t="shared" ca="1" si="65"/>
        <v/>
      </c>
      <c r="AF260" s="393" t="str">
        <f t="shared" ca="1" si="53"/>
        <v/>
      </c>
      <c r="AG260" s="393" t="str">
        <f t="shared" ca="1" si="72"/>
        <v/>
      </c>
      <c r="AH260" s="393" t="str">
        <f t="shared" ca="1" si="66"/>
        <v/>
      </c>
      <c r="AI260" s="1143" t="str">
        <f t="shared" ca="1" si="54"/>
        <v/>
      </c>
      <c r="AJ260" s="395" t="str">
        <f t="shared" ca="1" si="67"/>
        <v/>
      </c>
      <c r="AK260" s="1144" t="str">
        <f t="shared" ca="1" si="73"/>
        <v/>
      </c>
      <c r="AL260" s="1143" t="str">
        <f t="shared" ca="1" si="68"/>
        <v/>
      </c>
      <c r="BC260" s="40"/>
      <c r="BD260" s="40"/>
      <c r="BE260" s="40"/>
      <c r="BF260" s="40"/>
      <c r="BG260" s="40"/>
    </row>
    <row r="261" spans="1:59" ht="18" customHeight="1">
      <c r="A261" s="1095" t="str">
        <f ca="1"/>
        <v/>
      </c>
      <c r="B261" s="399" t="str">
        <f ca="1"/>
        <v/>
      </c>
      <c r="C261" s="400" t="str">
        <f ca="1"/>
        <v/>
      </c>
      <c r="D261" s="400" t="str">
        <f ca="1"/>
        <v/>
      </c>
      <c r="E261" s="401" t="str">
        <f t="shared" ca="1" si="56"/>
        <v/>
      </c>
      <c r="N261" s="392" t="str">
        <f t="shared" ca="1" si="57"/>
        <v/>
      </c>
      <c r="O261" s="393" t="str">
        <f t="shared" ca="1" si="58"/>
        <v/>
      </c>
      <c r="P261" s="393" t="str">
        <f t="shared" ca="1" si="69"/>
        <v/>
      </c>
      <c r="Q261" s="393" t="str">
        <f t="shared" ca="1" si="59"/>
        <v/>
      </c>
      <c r="R261" s="394" t="str">
        <f t="shared" ca="1" si="70"/>
        <v/>
      </c>
      <c r="S261" s="395" t="str">
        <f t="shared" ca="1" si="60"/>
        <v/>
      </c>
      <c r="U261" s="392" t="str">
        <f t="shared" ca="1" si="61"/>
        <v/>
      </c>
      <c r="V261" s="393" t="str">
        <f t="shared" ca="1" si="62"/>
        <v/>
      </c>
      <c r="W261" s="394" t="str">
        <f t="shared" ca="1" si="63"/>
        <v/>
      </c>
      <c r="X261" s="392" t="str">
        <f t="shared" ca="1" si="64"/>
        <v/>
      </c>
      <c r="Y261" s="395" t="str">
        <f t="shared" ca="1" si="71"/>
        <v/>
      </c>
      <c r="Z261" s="1097"/>
      <c r="AA261" s="1108"/>
      <c r="AB261" s="1108"/>
      <c r="AC261" s="1108"/>
      <c r="AE261" s="1139" t="str">
        <f t="shared" ca="1" si="65"/>
        <v/>
      </c>
      <c r="AF261" s="393" t="str">
        <f t="shared" ca="1" si="53"/>
        <v/>
      </c>
      <c r="AG261" s="393" t="str">
        <f t="shared" ca="1" si="72"/>
        <v/>
      </c>
      <c r="AH261" s="393" t="str">
        <f t="shared" ca="1" si="66"/>
        <v/>
      </c>
      <c r="AI261" s="1143" t="str">
        <f t="shared" ca="1" si="54"/>
        <v/>
      </c>
      <c r="AJ261" s="395" t="str">
        <f t="shared" ca="1" si="67"/>
        <v/>
      </c>
      <c r="AK261" s="1144" t="str">
        <f t="shared" ca="1" si="73"/>
        <v/>
      </c>
      <c r="AL261" s="1143" t="str">
        <f t="shared" ca="1" si="68"/>
        <v/>
      </c>
      <c r="BC261" s="40"/>
      <c r="BD261" s="40"/>
      <c r="BE261" s="40"/>
      <c r="BF261" s="40"/>
      <c r="BG261" s="40"/>
    </row>
    <row r="262" spans="1:59" ht="18" customHeight="1">
      <c r="A262" s="1095" t="str">
        <f ca="1"/>
        <v/>
      </c>
      <c r="B262" s="399" t="str">
        <f ca="1"/>
        <v/>
      </c>
      <c r="C262" s="400" t="str">
        <f ca="1"/>
        <v/>
      </c>
      <c r="D262" s="400" t="str">
        <f ca="1"/>
        <v/>
      </c>
      <c r="E262" s="401" t="str">
        <f t="shared" ca="1" si="56"/>
        <v/>
      </c>
      <c r="N262" s="392" t="str">
        <f t="shared" ca="1" si="57"/>
        <v/>
      </c>
      <c r="O262" s="393" t="str">
        <f t="shared" ca="1" si="58"/>
        <v/>
      </c>
      <c r="P262" s="393" t="str">
        <f t="shared" ca="1" si="69"/>
        <v/>
      </c>
      <c r="Q262" s="393" t="str">
        <f t="shared" ca="1" si="59"/>
        <v/>
      </c>
      <c r="R262" s="394" t="str">
        <f t="shared" ca="1" si="70"/>
        <v/>
      </c>
      <c r="S262" s="395" t="str">
        <f t="shared" ca="1" si="60"/>
        <v/>
      </c>
      <c r="U262" s="392" t="str">
        <f t="shared" ca="1" si="61"/>
        <v/>
      </c>
      <c r="V262" s="393" t="str">
        <f t="shared" ca="1" si="62"/>
        <v/>
      </c>
      <c r="W262" s="394" t="str">
        <f t="shared" ca="1" si="63"/>
        <v/>
      </c>
      <c r="X262" s="392" t="str">
        <f t="shared" ca="1" si="64"/>
        <v/>
      </c>
      <c r="Y262" s="395" t="str">
        <f t="shared" ca="1" si="71"/>
        <v/>
      </c>
      <c r="Z262" s="1097"/>
      <c r="AA262" s="1108"/>
      <c r="AB262" s="1108"/>
      <c r="AC262" s="1108"/>
      <c r="AE262" s="1139" t="str">
        <f t="shared" ca="1" si="65"/>
        <v/>
      </c>
      <c r="AF262" s="393" t="str">
        <f t="shared" ca="1" si="53"/>
        <v/>
      </c>
      <c r="AG262" s="393" t="str">
        <f t="shared" ca="1" si="72"/>
        <v/>
      </c>
      <c r="AH262" s="393" t="str">
        <f t="shared" ca="1" si="66"/>
        <v/>
      </c>
      <c r="AI262" s="1143" t="str">
        <f t="shared" ca="1" si="54"/>
        <v/>
      </c>
      <c r="AJ262" s="395" t="str">
        <f t="shared" ca="1" si="67"/>
        <v/>
      </c>
      <c r="AK262" s="1144" t="str">
        <f t="shared" ca="1" si="73"/>
        <v/>
      </c>
      <c r="AL262" s="1143" t="str">
        <f t="shared" ca="1" si="68"/>
        <v/>
      </c>
      <c r="BC262" s="40"/>
      <c r="BD262" s="40"/>
      <c r="BE262" s="40"/>
      <c r="BF262" s="40"/>
      <c r="BG262" s="40"/>
    </row>
    <row r="263" spans="1:59" ht="18" customHeight="1">
      <c r="A263" s="1095" t="str">
        <f ca="1"/>
        <v/>
      </c>
      <c r="B263" s="399" t="str">
        <f ca="1"/>
        <v/>
      </c>
      <c r="C263" s="400" t="str">
        <f ca="1"/>
        <v/>
      </c>
      <c r="D263" s="400" t="str">
        <f ca="1"/>
        <v/>
      </c>
      <c r="E263" s="401" t="str">
        <f t="shared" ca="1" si="56"/>
        <v/>
      </c>
      <c r="N263" s="392" t="str">
        <f t="shared" ca="1" si="57"/>
        <v/>
      </c>
      <c r="O263" s="393" t="str">
        <f t="shared" ca="1" si="58"/>
        <v/>
      </c>
      <c r="P263" s="393" t="str">
        <f t="shared" ca="1" si="69"/>
        <v/>
      </c>
      <c r="Q263" s="393" t="str">
        <f t="shared" ca="1" si="59"/>
        <v/>
      </c>
      <c r="R263" s="394" t="str">
        <f t="shared" ca="1" si="70"/>
        <v/>
      </c>
      <c r="S263" s="395" t="str">
        <f t="shared" ca="1" si="60"/>
        <v/>
      </c>
      <c r="U263" s="392" t="str">
        <f t="shared" ca="1" si="61"/>
        <v/>
      </c>
      <c r="V263" s="393" t="str">
        <f t="shared" ca="1" si="62"/>
        <v/>
      </c>
      <c r="W263" s="394" t="str">
        <f t="shared" ca="1" si="63"/>
        <v/>
      </c>
      <c r="X263" s="392" t="str">
        <f t="shared" ca="1" si="64"/>
        <v/>
      </c>
      <c r="Y263" s="395" t="str">
        <f t="shared" ca="1" si="71"/>
        <v/>
      </c>
      <c r="Z263" s="1097"/>
      <c r="AA263" s="1108"/>
      <c r="AB263" s="1108"/>
      <c r="AC263" s="1108"/>
      <c r="AE263" s="1139" t="str">
        <f t="shared" ca="1" si="65"/>
        <v/>
      </c>
      <c r="AF263" s="393" t="str">
        <f t="shared" ca="1" si="53"/>
        <v/>
      </c>
      <c r="AG263" s="393" t="str">
        <f t="shared" ca="1" si="72"/>
        <v/>
      </c>
      <c r="AH263" s="393" t="str">
        <f t="shared" ca="1" si="66"/>
        <v/>
      </c>
      <c r="AI263" s="1143" t="str">
        <f t="shared" ca="1" si="54"/>
        <v/>
      </c>
      <c r="AJ263" s="395" t="str">
        <f t="shared" ca="1" si="67"/>
        <v/>
      </c>
      <c r="AK263" s="1144" t="str">
        <f t="shared" ca="1" si="73"/>
        <v/>
      </c>
      <c r="AL263" s="1143" t="str">
        <f t="shared" ca="1" si="68"/>
        <v/>
      </c>
      <c r="BC263" s="40"/>
      <c r="BD263" s="40"/>
      <c r="BE263" s="40"/>
      <c r="BF263" s="40"/>
      <c r="BG263" s="40"/>
    </row>
    <row r="264" spans="1:59" ht="18" customHeight="1">
      <c r="A264" s="1095" t="str">
        <f ca="1"/>
        <v/>
      </c>
      <c r="B264" s="399" t="str">
        <f ca="1"/>
        <v/>
      </c>
      <c r="C264" s="400" t="str">
        <f ca="1"/>
        <v/>
      </c>
      <c r="D264" s="400" t="str">
        <f ca="1"/>
        <v/>
      </c>
      <c r="E264" s="401" t="str">
        <f t="shared" ca="1" si="56"/>
        <v/>
      </c>
      <c r="N264" s="392" t="str">
        <f t="shared" ca="1" si="57"/>
        <v/>
      </c>
      <c r="O264" s="393" t="str">
        <f t="shared" ca="1" si="58"/>
        <v/>
      </c>
      <c r="P264" s="393" t="str">
        <f t="shared" ca="1" si="69"/>
        <v/>
      </c>
      <c r="Q264" s="393" t="str">
        <f t="shared" ca="1" si="59"/>
        <v/>
      </c>
      <c r="R264" s="394" t="str">
        <f t="shared" ca="1" si="70"/>
        <v/>
      </c>
      <c r="S264" s="395" t="str">
        <f t="shared" ca="1" si="60"/>
        <v/>
      </c>
      <c r="U264" s="392" t="str">
        <f t="shared" ca="1" si="61"/>
        <v/>
      </c>
      <c r="V264" s="393" t="str">
        <f t="shared" ca="1" si="62"/>
        <v/>
      </c>
      <c r="W264" s="394" t="str">
        <f t="shared" ca="1" si="63"/>
        <v/>
      </c>
      <c r="X264" s="392" t="str">
        <f t="shared" ca="1" si="64"/>
        <v/>
      </c>
      <c r="Y264" s="395" t="str">
        <f t="shared" ca="1" si="71"/>
        <v/>
      </c>
      <c r="Z264" s="1097"/>
      <c r="AA264" s="1108"/>
      <c r="AB264" s="1108"/>
      <c r="AC264" s="1108"/>
      <c r="AE264" s="1139" t="str">
        <f t="shared" ca="1" si="65"/>
        <v/>
      </c>
      <c r="AF264" s="393" t="str">
        <f t="shared" ca="1" si="53"/>
        <v/>
      </c>
      <c r="AG264" s="393" t="str">
        <f t="shared" ca="1" si="72"/>
        <v/>
      </c>
      <c r="AH264" s="393" t="str">
        <f t="shared" ca="1" si="66"/>
        <v/>
      </c>
      <c r="AI264" s="1143" t="str">
        <f t="shared" ca="1" si="54"/>
        <v/>
      </c>
      <c r="AJ264" s="395" t="str">
        <f t="shared" ca="1" si="67"/>
        <v/>
      </c>
      <c r="AK264" s="1144" t="str">
        <f t="shared" ca="1" si="73"/>
        <v/>
      </c>
      <c r="AL264" s="1143" t="str">
        <f t="shared" ca="1" si="68"/>
        <v/>
      </c>
      <c r="BC264" s="40"/>
      <c r="BD264" s="40"/>
      <c r="BE264" s="40"/>
      <c r="BF264" s="40"/>
      <c r="BG264" s="40"/>
    </row>
    <row r="265" spans="1:59" ht="18" customHeight="1">
      <c r="A265" s="1095" t="str">
        <f ca="1"/>
        <v/>
      </c>
      <c r="B265" s="399" t="str">
        <f ca="1"/>
        <v/>
      </c>
      <c r="C265" s="400" t="str">
        <f ca="1"/>
        <v/>
      </c>
      <c r="D265" s="400" t="str">
        <f ca="1"/>
        <v/>
      </c>
      <c r="E265" s="401" t="str">
        <f t="shared" ca="1" si="56"/>
        <v/>
      </c>
      <c r="N265" s="392" t="str">
        <f t="shared" ca="1" si="57"/>
        <v/>
      </c>
      <c r="O265" s="393" t="str">
        <f t="shared" ca="1" si="58"/>
        <v/>
      </c>
      <c r="P265" s="393" t="str">
        <f t="shared" ca="1" si="69"/>
        <v/>
      </c>
      <c r="Q265" s="393" t="str">
        <f t="shared" ca="1" si="59"/>
        <v/>
      </c>
      <c r="R265" s="394" t="str">
        <f t="shared" ca="1" si="70"/>
        <v/>
      </c>
      <c r="S265" s="395" t="str">
        <f t="shared" ca="1" si="60"/>
        <v/>
      </c>
      <c r="U265" s="392" t="str">
        <f t="shared" ca="1" si="61"/>
        <v/>
      </c>
      <c r="V265" s="393" t="str">
        <f t="shared" ca="1" si="62"/>
        <v/>
      </c>
      <c r="W265" s="394" t="str">
        <f t="shared" ca="1" si="63"/>
        <v/>
      </c>
      <c r="X265" s="392" t="str">
        <f t="shared" ca="1" si="64"/>
        <v/>
      </c>
      <c r="Y265" s="395" t="str">
        <f t="shared" ca="1" si="71"/>
        <v/>
      </c>
      <c r="Z265" s="1097"/>
      <c r="AA265" s="1108"/>
      <c r="AB265" s="1108"/>
      <c r="AC265" s="1108"/>
      <c r="AE265" s="1139" t="str">
        <f t="shared" ca="1" si="65"/>
        <v/>
      </c>
      <c r="AF265" s="393" t="str">
        <f t="shared" ca="1" si="53"/>
        <v/>
      </c>
      <c r="AG265" s="393" t="str">
        <f t="shared" ca="1" si="72"/>
        <v/>
      </c>
      <c r="AH265" s="393" t="str">
        <f t="shared" ca="1" si="66"/>
        <v/>
      </c>
      <c r="AI265" s="1143" t="str">
        <f t="shared" ca="1" si="54"/>
        <v/>
      </c>
      <c r="AJ265" s="395" t="str">
        <f t="shared" ca="1" si="67"/>
        <v/>
      </c>
      <c r="AK265" s="1144" t="str">
        <f t="shared" ca="1" si="73"/>
        <v/>
      </c>
      <c r="AL265" s="1143" t="str">
        <f t="shared" ca="1" si="68"/>
        <v/>
      </c>
      <c r="BC265" s="40"/>
      <c r="BD265" s="40"/>
      <c r="BE265" s="40"/>
      <c r="BF265" s="40"/>
      <c r="BG265" s="40"/>
    </row>
    <row r="266" spans="1:59" ht="18" customHeight="1">
      <c r="A266" s="1095" t="str">
        <f ca="1"/>
        <v/>
      </c>
      <c r="B266" s="399" t="str">
        <f ca="1"/>
        <v/>
      </c>
      <c r="C266" s="400" t="str">
        <f ca="1"/>
        <v/>
      </c>
      <c r="D266" s="400" t="str">
        <f ca="1"/>
        <v/>
      </c>
      <c r="E266" s="401" t="str">
        <f t="shared" ca="1" si="56"/>
        <v/>
      </c>
      <c r="N266" s="392" t="str">
        <f t="shared" ca="1" si="57"/>
        <v/>
      </c>
      <c r="O266" s="393" t="str">
        <f t="shared" ca="1" si="58"/>
        <v/>
      </c>
      <c r="P266" s="393" t="str">
        <f t="shared" ca="1" si="69"/>
        <v/>
      </c>
      <c r="Q266" s="393" t="str">
        <f t="shared" ca="1" si="59"/>
        <v/>
      </c>
      <c r="R266" s="394" t="str">
        <f t="shared" ca="1" si="70"/>
        <v/>
      </c>
      <c r="S266" s="395" t="str">
        <f t="shared" ca="1" si="60"/>
        <v/>
      </c>
      <c r="U266" s="392" t="str">
        <f t="shared" ca="1" si="61"/>
        <v/>
      </c>
      <c r="V266" s="393" t="str">
        <f t="shared" ca="1" si="62"/>
        <v/>
      </c>
      <c r="W266" s="394" t="str">
        <f t="shared" ca="1" si="63"/>
        <v/>
      </c>
      <c r="X266" s="392" t="str">
        <f t="shared" ca="1" si="64"/>
        <v/>
      </c>
      <c r="Y266" s="395" t="str">
        <f t="shared" ca="1" si="71"/>
        <v/>
      </c>
      <c r="Z266" s="1097"/>
      <c r="AA266" s="1108"/>
      <c r="AB266" s="1108"/>
      <c r="AC266" s="1108"/>
      <c r="AE266" s="1139" t="str">
        <f t="shared" ca="1" si="65"/>
        <v/>
      </c>
      <c r="AF266" s="393" t="str">
        <f t="shared" ca="1" si="53"/>
        <v/>
      </c>
      <c r="AG266" s="393" t="str">
        <f t="shared" ca="1" si="72"/>
        <v/>
      </c>
      <c r="AH266" s="393" t="str">
        <f t="shared" ca="1" si="66"/>
        <v/>
      </c>
      <c r="AI266" s="1143" t="str">
        <f t="shared" ca="1" si="54"/>
        <v/>
      </c>
      <c r="AJ266" s="395" t="str">
        <f t="shared" ca="1" si="67"/>
        <v/>
      </c>
      <c r="AK266" s="1144" t="str">
        <f t="shared" ca="1" si="73"/>
        <v/>
      </c>
      <c r="AL266" s="1143" t="str">
        <f t="shared" ca="1" si="68"/>
        <v/>
      </c>
      <c r="BC266" s="40"/>
      <c r="BD266" s="40"/>
      <c r="BE266" s="40"/>
      <c r="BF266" s="40"/>
      <c r="BG266" s="40"/>
    </row>
    <row r="267" spans="1:59" ht="18" customHeight="1">
      <c r="A267" s="1095" t="str">
        <f ca="1"/>
        <v/>
      </c>
      <c r="B267" s="399" t="str">
        <f ca="1"/>
        <v/>
      </c>
      <c r="C267" s="400" t="str">
        <f ca="1"/>
        <v/>
      </c>
      <c r="D267" s="400" t="str">
        <f ca="1"/>
        <v/>
      </c>
      <c r="E267" s="401" t="str">
        <f t="shared" ca="1" si="56"/>
        <v/>
      </c>
      <c r="N267" s="392" t="str">
        <f t="shared" ca="1" si="57"/>
        <v/>
      </c>
      <c r="O267" s="393" t="str">
        <f t="shared" ca="1" si="58"/>
        <v/>
      </c>
      <c r="P267" s="393" t="str">
        <f t="shared" ca="1" si="69"/>
        <v/>
      </c>
      <c r="Q267" s="393" t="str">
        <f t="shared" ca="1" si="59"/>
        <v/>
      </c>
      <c r="R267" s="394" t="str">
        <f t="shared" ca="1" si="70"/>
        <v/>
      </c>
      <c r="S267" s="395" t="str">
        <f t="shared" ca="1" si="60"/>
        <v/>
      </c>
      <c r="U267" s="392" t="str">
        <f t="shared" ca="1" si="61"/>
        <v/>
      </c>
      <c r="V267" s="393" t="str">
        <f t="shared" ca="1" si="62"/>
        <v/>
      </c>
      <c r="W267" s="394" t="str">
        <f t="shared" ca="1" si="63"/>
        <v/>
      </c>
      <c r="X267" s="392" t="str">
        <f t="shared" ca="1" si="64"/>
        <v/>
      </c>
      <c r="Y267" s="395" t="str">
        <f t="shared" ca="1" si="71"/>
        <v/>
      </c>
      <c r="Z267" s="1097"/>
      <c r="AA267" s="1108"/>
      <c r="AB267" s="1108"/>
      <c r="AC267" s="1108"/>
      <c r="AE267" s="1139" t="str">
        <f t="shared" ca="1" si="65"/>
        <v/>
      </c>
      <c r="AF267" s="393" t="str">
        <f t="shared" ca="1" si="53"/>
        <v/>
      </c>
      <c r="AG267" s="393" t="str">
        <f t="shared" ca="1" si="72"/>
        <v/>
      </c>
      <c r="AH267" s="393" t="str">
        <f t="shared" ca="1" si="66"/>
        <v/>
      </c>
      <c r="AI267" s="1143" t="str">
        <f t="shared" ca="1" si="54"/>
        <v/>
      </c>
      <c r="AJ267" s="395" t="str">
        <f t="shared" ca="1" si="67"/>
        <v/>
      </c>
      <c r="AK267" s="1144" t="str">
        <f t="shared" ca="1" si="73"/>
        <v/>
      </c>
      <c r="AL267" s="1143" t="str">
        <f t="shared" ca="1" si="68"/>
        <v/>
      </c>
      <c r="BC267" s="40"/>
      <c r="BD267" s="40"/>
      <c r="BE267" s="40"/>
      <c r="BF267" s="40"/>
      <c r="BG267" s="40"/>
    </row>
    <row r="268" spans="1:59" ht="18" customHeight="1">
      <c r="A268" s="1095" t="str">
        <f ca="1"/>
        <v/>
      </c>
      <c r="B268" s="399" t="str">
        <f ca="1"/>
        <v/>
      </c>
      <c r="C268" s="400" t="str">
        <f ca="1"/>
        <v/>
      </c>
      <c r="D268" s="400" t="str">
        <f ca="1"/>
        <v/>
      </c>
      <c r="E268" s="401" t="str">
        <f t="shared" ca="1" si="56"/>
        <v/>
      </c>
      <c r="N268" s="392" t="str">
        <f t="shared" ca="1" si="57"/>
        <v/>
      </c>
      <c r="O268" s="393" t="str">
        <f t="shared" ca="1" si="58"/>
        <v/>
      </c>
      <c r="P268" s="393" t="str">
        <f t="shared" ca="1" si="69"/>
        <v/>
      </c>
      <c r="Q268" s="393" t="str">
        <f t="shared" ca="1" si="59"/>
        <v/>
      </c>
      <c r="R268" s="394" t="str">
        <f t="shared" ca="1" si="70"/>
        <v/>
      </c>
      <c r="S268" s="395" t="str">
        <f t="shared" ca="1" si="60"/>
        <v/>
      </c>
      <c r="U268" s="392" t="str">
        <f t="shared" ca="1" si="61"/>
        <v/>
      </c>
      <c r="V268" s="393" t="str">
        <f t="shared" ca="1" si="62"/>
        <v/>
      </c>
      <c r="W268" s="394" t="str">
        <f t="shared" ca="1" si="63"/>
        <v/>
      </c>
      <c r="X268" s="392" t="str">
        <f t="shared" ca="1" si="64"/>
        <v/>
      </c>
      <c r="Y268" s="395" t="str">
        <f t="shared" ca="1" si="71"/>
        <v/>
      </c>
      <c r="Z268" s="1097"/>
      <c r="AA268" s="1108"/>
      <c r="AB268" s="1108"/>
      <c r="AC268" s="1108"/>
      <c r="AE268" s="1139" t="str">
        <f t="shared" ca="1" si="65"/>
        <v/>
      </c>
      <c r="AF268" s="393" t="str">
        <f t="shared" ca="1" si="53"/>
        <v/>
      </c>
      <c r="AG268" s="393" t="str">
        <f t="shared" ca="1" si="72"/>
        <v/>
      </c>
      <c r="AH268" s="393" t="str">
        <f t="shared" ca="1" si="66"/>
        <v/>
      </c>
      <c r="AI268" s="1143" t="str">
        <f t="shared" ca="1" si="54"/>
        <v/>
      </c>
      <c r="AJ268" s="395" t="str">
        <f t="shared" ca="1" si="67"/>
        <v/>
      </c>
      <c r="AK268" s="1144" t="str">
        <f t="shared" ca="1" si="73"/>
        <v/>
      </c>
      <c r="AL268" s="1143" t="str">
        <f t="shared" ca="1" si="68"/>
        <v/>
      </c>
      <c r="BC268" s="40"/>
      <c r="BD268" s="40"/>
      <c r="BE268" s="40"/>
      <c r="BF268" s="40"/>
      <c r="BG268" s="40"/>
    </row>
    <row r="269" spans="1:59" ht="18" customHeight="1">
      <c r="A269" s="1095" t="str">
        <f ca="1"/>
        <v/>
      </c>
      <c r="B269" s="399" t="str">
        <f ca="1"/>
        <v/>
      </c>
      <c r="C269" s="400" t="str">
        <f ca="1"/>
        <v/>
      </c>
      <c r="D269" s="400" t="str">
        <f ca="1"/>
        <v/>
      </c>
      <c r="E269" s="401" t="str">
        <f t="shared" ca="1" si="56"/>
        <v/>
      </c>
      <c r="N269" s="392" t="str">
        <f t="shared" ca="1" si="57"/>
        <v/>
      </c>
      <c r="O269" s="393" t="str">
        <f t="shared" ca="1" si="58"/>
        <v/>
      </c>
      <c r="P269" s="393" t="str">
        <f t="shared" ca="1" si="69"/>
        <v/>
      </c>
      <c r="Q269" s="393" t="str">
        <f t="shared" ca="1" si="59"/>
        <v/>
      </c>
      <c r="R269" s="394" t="str">
        <f t="shared" ca="1" si="70"/>
        <v/>
      </c>
      <c r="S269" s="395" t="str">
        <f t="shared" ca="1" si="60"/>
        <v/>
      </c>
      <c r="U269" s="392" t="str">
        <f t="shared" ca="1" si="61"/>
        <v/>
      </c>
      <c r="V269" s="393" t="str">
        <f t="shared" ca="1" si="62"/>
        <v/>
      </c>
      <c r="W269" s="394" t="str">
        <f t="shared" ca="1" si="63"/>
        <v/>
      </c>
      <c r="X269" s="392" t="str">
        <f t="shared" ca="1" si="64"/>
        <v/>
      </c>
      <c r="Y269" s="395" t="str">
        <f t="shared" ca="1" si="71"/>
        <v/>
      </c>
      <c r="Z269" s="1097"/>
      <c r="AA269" s="1108"/>
      <c r="AB269" s="1108"/>
      <c r="AC269" s="1108"/>
      <c r="AE269" s="1139" t="str">
        <f t="shared" ca="1" si="65"/>
        <v/>
      </c>
      <c r="AF269" s="393" t="str">
        <f t="shared" ca="1" si="53"/>
        <v/>
      </c>
      <c r="AG269" s="393" t="str">
        <f t="shared" ca="1" si="72"/>
        <v/>
      </c>
      <c r="AH269" s="393" t="str">
        <f t="shared" ca="1" si="66"/>
        <v/>
      </c>
      <c r="AI269" s="1143" t="str">
        <f t="shared" ca="1" si="54"/>
        <v/>
      </c>
      <c r="AJ269" s="395" t="str">
        <f t="shared" ca="1" si="67"/>
        <v/>
      </c>
      <c r="AK269" s="1144" t="str">
        <f t="shared" ca="1" si="73"/>
        <v/>
      </c>
      <c r="AL269" s="1143" t="str">
        <f t="shared" ca="1" si="68"/>
        <v/>
      </c>
      <c r="BC269" s="40"/>
      <c r="BD269" s="40"/>
      <c r="BE269" s="40"/>
      <c r="BF269" s="40"/>
      <c r="BG269" s="40"/>
    </row>
    <row r="270" spans="1:59" ht="18" customHeight="1">
      <c r="A270" s="1095" t="str">
        <f ca="1"/>
        <v/>
      </c>
      <c r="B270" s="399" t="str">
        <f ca="1"/>
        <v/>
      </c>
      <c r="C270" s="400" t="str">
        <f ca="1"/>
        <v/>
      </c>
      <c r="D270" s="400" t="str">
        <f ca="1"/>
        <v/>
      </c>
      <c r="E270" s="401" t="str">
        <f t="shared" ca="1" si="56"/>
        <v/>
      </c>
      <c r="N270" s="392" t="str">
        <f t="shared" ca="1" si="57"/>
        <v/>
      </c>
      <c r="O270" s="393" t="str">
        <f t="shared" ca="1" si="58"/>
        <v/>
      </c>
      <c r="P270" s="393" t="str">
        <f t="shared" ca="1" si="69"/>
        <v/>
      </c>
      <c r="Q270" s="393" t="str">
        <f t="shared" ca="1" si="59"/>
        <v/>
      </c>
      <c r="R270" s="394" t="str">
        <f t="shared" ca="1" si="70"/>
        <v/>
      </c>
      <c r="S270" s="395" t="str">
        <f t="shared" ca="1" si="60"/>
        <v/>
      </c>
      <c r="U270" s="392" t="str">
        <f t="shared" ca="1" si="61"/>
        <v/>
      </c>
      <c r="V270" s="393" t="str">
        <f t="shared" ca="1" si="62"/>
        <v/>
      </c>
      <c r="W270" s="394" t="str">
        <f t="shared" ca="1" si="63"/>
        <v/>
      </c>
      <c r="X270" s="392" t="str">
        <f t="shared" ca="1" si="64"/>
        <v/>
      </c>
      <c r="Y270" s="395" t="str">
        <f t="shared" ca="1" si="71"/>
        <v/>
      </c>
      <c r="Z270" s="1097"/>
      <c r="AA270" s="1108"/>
      <c r="AB270" s="1108"/>
      <c r="AC270" s="1108"/>
      <c r="AE270" s="1139" t="str">
        <f t="shared" ca="1" si="65"/>
        <v/>
      </c>
      <c r="AF270" s="393" t="str">
        <f t="shared" ca="1" si="53"/>
        <v/>
      </c>
      <c r="AG270" s="393" t="str">
        <f t="shared" ca="1" si="72"/>
        <v/>
      </c>
      <c r="AH270" s="393" t="str">
        <f t="shared" ca="1" si="66"/>
        <v/>
      </c>
      <c r="AI270" s="1143" t="str">
        <f t="shared" ca="1" si="54"/>
        <v/>
      </c>
      <c r="AJ270" s="395" t="str">
        <f t="shared" ca="1" si="67"/>
        <v/>
      </c>
      <c r="AK270" s="1144" t="str">
        <f t="shared" ca="1" si="73"/>
        <v/>
      </c>
      <c r="AL270" s="1143" t="str">
        <f t="shared" ca="1" si="68"/>
        <v/>
      </c>
      <c r="BC270" s="40"/>
      <c r="BD270" s="40"/>
      <c r="BE270" s="40"/>
      <c r="BF270" s="40"/>
      <c r="BG270" s="40"/>
    </row>
    <row r="271" spans="1:59" ht="18" customHeight="1">
      <c r="A271" s="1095" t="str">
        <f ca="1"/>
        <v/>
      </c>
      <c r="B271" s="399" t="str">
        <f ca="1"/>
        <v/>
      </c>
      <c r="C271" s="400" t="str">
        <f ca="1"/>
        <v/>
      </c>
      <c r="D271" s="400" t="str">
        <f ca="1"/>
        <v/>
      </c>
      <c r="E271" s="401" t="str">
        <f t="shared" ca="1" si="56"/>
        <v/>
      </c>
      <c r="N271" s="392" t="str">
        <f t="shared" ca="1" si="57"/>
        <v/>
      </c>
      <c r="O271" s="393" t="str">
        <f t="shared" ca="1" si="58"/>
        <v/>
      </c>
      <c r="P271" s="393" t="str">
        <f t="shared" ca="1" si="69"/>
        <v/>
      </c>
      <c r="Q271" s="393" t="str">
        <f t="shared" ca="1" si="59"/>
        <v/>
      </c>
      <c r="R271" s="394" t="str">
        <f t="shared" ca="1" si="70"/>
        <v/>
      </c>
      <c r="S271" s="395" t="str">
        <f t="shared" ca="1" si="60"/>
        <v/>
      </c>
      <c r="U271" s="392" t="str">
        <f t="shared" ca="1" si="61"/>
        <v/>
      </c>
      <c r="V271" s="393" t="str">
        <f t="shared" ca="1" si="62"/>
        <v/>
      </c>
      <c r="W271" s="394" t="str">
        <f t="shared" ca="1" si="63"/>
        <v/>
      </c>
      <c r="X271" s="392" t="str">
        <f t="shared" ca="1" si="64"/>
        <v/>
      </c>
      <c r="Y271" s="395" t="str">
        <f t="shared" ca="1" si="71"/>
        <v/>
      </c>
      <c r="Z271" s="1097"/>
      <c r="AA271" s="1108"/>
      <c r="AB271" s="1108"/>
      <c r="AC271" s="1108"/>
      <c r="AE271" s="1139" t="str">
        <f t="shared" ca="1" si="65"/>
        <v/>
      </c>
      <c r="AF271" s="393" t="str">
        <f t="shared" ca="1" si="53"/>
        <v/>
      </c>
      <c r="AG271" s="393" t="str">
        <f t="shared" ca="1" si="72"/>
        <v/>
      </c>
      <c r="AH271" s="393" t="str">
        <f t="shared" ca="1" si="66"/>
        <v/>
      </c>
      <c r="AI271" s="1143" t="str">
        <f t="shared" ca="1" si="54"/>
        <v/>
      </c>
      <c r="AJ271" s="395" t="str">
        <f t="shared" ca="1" si="67"/>
        <v/>
      </c>
      <c r="AK271" s="1144" t="str">
        <f t="shared" ca="1" si="73"/>
        <v/>
      </c>
      <c r="AL271" s="1143" t="str">
        <f t="shared" ca="1" si="68"/>
        <v/>
      </c>
      <c r="BC271" s="40"/>
      <c r="BD271" s="40"/>
      <c r="BE271" s="40"/>
      <c r="BF271" s="40"/>
      <c r="BG271" s="40"/>
    </row>
    <row r="272" spans="1:59" ht="18" customHeight="1">
      <c r="A272" s="1095" t="str">
        <f ca="1"/>
        <v/>
      </c>
      <c r="B272" s="399" t="str">
        <f ca="1"/>
        <v/>
      </c>
      <c r="C272" s="400" t="str">
        <f ca="1"/>
        <v/>
      </c>
      <c r="D272" s="400" t="str">
        <f ca="1"/>
        <v/>
      </c>
      <c r="E272" s="401" t="str">
        <f t="shared" ca="1" si="56"/>
        <v/>
      </c>
      <c r="N272" s="392" t="str">
        <f t="shared" ca="1" si="57"/>
        <v/>
      </c>
      <c r="O272" s="393" t="str">
        <f t="shared" ca="1" si="58"/>
        <v/>
      </c>
      <c r="P272" s="393" t="str">
        <f t="shared" ca="1" si="69"/>
        <v/>
      </c>
      <c r="Q272" s="393" t="str">
        <f t="shared" ca="1" si="59"/>
        <v/>
      </c>
      <c r="R272" s="394" t="str">
        <f t="shared" ca="1" si="70"/>
        <v/>
      </c>
      <c r="S272" s="395" t="str">
        <f t="shared" ca="1" si="60"/>
        <v/>
      </c>
      <c r="U272" s="392" t="str">
        <f t="shared" ca="1" si="61"/>
        <v/>
      </c>
      <c r="V272" s="393" t="str">
        <f t="shared" ca="1" si="62"/>
        <v/>
      </c>
      <c r="W272" s="394" t="str">
        <f t="shared" ca="1" si="63"/>
        <v/>
      </c>
      <c r="X272" s="392" t="str">
        <f t="shared" ca="1" si="64"/>
        <v/>
      </c>
      <c r="Y272" s="395" t="str">
        <f t="shared" ca="1" si="71"/>
        <v/>
      </c>
      <c r="Z272" s="1097"/>
      <c r="AA272" s="1108"/>
      <c r="AB272" s="1108"/>
      <c r="AC272" s="1108"/>
      <c r="AE272" s="1139" t="str">
        <f t="shared" ca="1" si="65"/>
        <v/>
      </c>
      <c r="AF272" s="393" t="str">
        <f t="shared" ca="1" si="53"/>
        <v/>
      </c>
      <c r="AG272" s="393" t="str">
        <f t="shared" ca="1" si="72"/>
        <v/>
      </c>
      <c r="AH272" s="393" t="str">
        <f t="shared" ca="1" si="66"/>
        <v/>
      </c>
      <c r="AI272" s="1143" t="str">
        <f t="shared" ca="1" si="54"/>
        <v/>
      </c>
      <c r="AJ272" s="395" t="str">
        <f t="shared" ca="1" si="67"/>
        <v/>
      </c>
      <c r="AK272" s="1144" t="str">
        <f t="shared" ca="1" si="73"/>
        <v/>
      </c>
      <c r="AL272" s="1143" t="str">
        <f t="shared" ca="1" si="68"/>
        <v/>
      </c>
      <c r="BC272" s="40"/>
      <c r="BD272" s="40"/>
      <c r="BE272" s="40"/>
      <c r="BF272" s="40"/>
      <c r="BG272" s="40"/>
    </row>
    <row r="273" spans="1:59" ht="18" customHeight="1">
      <c r="A273" s="1095" t="str">
        <f ca="1"/>
        <v/>
      </c>
      <c r="B273" s="399" t="str">
        <f ca="1"/>
        <v/>
      </c>
      <c r="C273" s="400" t="str">
        <f ca="1"/>
        <v/>
      </c>
      <c r="D273" s="400" t="str">
        <f ca="1"/>
        <v/>
      </c>
      <c r="E273" s="401" t="str">
        <f t="shared" ca="1" si="56"/>
        <v/>
      </c>
      <c r="N273" s="392" t="str">
        <f t="shared" ca="1" si="57"/>
        <v/>
      </c>
      <c r="O273" s="393" t="str">
        <f t="shared" ca="1" si="58"/>
        <v/>
      </c>
      <c r="P273" s="393" t="str">
        <f t="shared" ca="1" si="69"/>
        <v/>
      </c>
      <c r="Q273" s="393" t="str">
        <f t="shared" ca="1" si="59"/>
        <v/>
      </c>
      <c r="R273" s="394" t="str">
        <f t="shared" ca="1" si="70"/>
        <v/>
      </c>
      <c r="S273" s="395" t="str">
        <f t="shared" ca="1" si="60"/>
        <v/>
      </c>
      <c r="U273" s="392" t="str">
        <f t="shared" ca="1" si="61"/>
        <v/>
      </c>
      <c r="V273" s="393" t="str">
        <f t="shared" ca="1" si="62"/>
        <v/>
      </c>
      <c r="W273" s="394" t="str">
        <f t="shared" ca="1" si="63"/>
        <v/>
      </c>
      <c r="X273" s="392" t="str">
        <f t="shared" ca="1" si="64"/>
        <v/>
      </c>
      <c r="Y273" s="395" t="str">
        <f t="shared" ca="1" si="71"/>
        <v/>
      </c>
      <c r="Z273" s="1097"/>
      <c r="AA273" s="1108"/>
      <c r="AB273" s="1108"/>
      <c r="AC273" s="1108"/>
      <c r="AE273" s="1139" t="str">
        <f t="shared" ca="1" si="65"/>
        <v/>
      </c>
      <c r="AF273" s="393" t="str">
        <f t="shared" ca="1" si="53"/>
        <v/>
      </c>
      <c r="AG273" s="393" t="str">
        <f t="shared" ca="1" si="72"/>
        <v/>
      </c>
      <c r="AH273" s="393" t="str">
        <f t="shared" ca="1" si="66"/>
        <v/>
      </c>
      <c r="AI273" s="1143" t="str">
        <f t="shared" ca="1" si="54"/>
        <v/>
      </c>
      <c r="AJ273" s="395" t="str">
        <f t="shared" ca="1" si="67"/>
        <v/>
      </c>
      <c r="AK273" s="1144" t="str">
        <f t="shared" ca="1" si="73"/>
        <v/>
      </c>
      <c r="AL273" s="1143" t="str">
        <f t="shared" ca="1" si="68"/>
        <v/>
      </c>
      <c r="BC273" s="40"/>
      <c r="BD273" s="40"/>
      <c r="BE273" s="40"/>
      <c r="BF273" s="40"/>
      <c r="BG273" s="40"/>
    </row>
    <row r="274" spans="1:59" ht="18" customHeight="1">
      <c r="A274" s="1095" t="str">
        <f ca="1"/>
        <v/>
      </c>
      <c r="B274" s="399" t="str">
        <f ca="1"/>
        <v/>
      </c>
      <c r="C274" s="400" t="str">
        <f ca="1"/>
        <v/>
      </c>
      <c r="D274" s="400" t="str">
        <f ca="1"/>
        <v/>
      </c>
      <c r="E274" s="401" t="str">
        <f t="shared" ca="1" si="56"/>
        <v/>
      </c>
      <c r="N274" s="392" t="str">
        <f t="shared" ca="1" si="57"/>
        <v/>
      </c>
      <c r="O274" s="393" t="str">
        <f t="shared" ca="1" si="58"/>
        <v/>
      </c>
      <c r="P274" s="393" t="str">
        <f t="shared" ca="1" si="69"/>
        <v/>
      </c>
      <c r="Q274" s="393" t="str">
        <f t="shared" ca="1" si="59"/>
        <v/>
      </c>
      <c r="R274" s="394" t="str">
        <f t="shared" ca="1" si="70"/>
        <v/>
      </c>
      <c r="S274" s="395" t="str">
        <f t="shared" ca="1" si="60"/>
        <v/>
      </c>
      <c r="U274" s="392" t="str">
        <f t="shared" ca="1" si="61"/>
        <v/>
      </c>
      <c r="V274" s="393" t="str">
        <f t="shared" ca="1" si="62"/>
        <v/>
      </c>
      <c r="W274" s="394" t="str">
        <f t="shared" ca="1" si="63"/>
        <v/>
      </c>
      <c r="X274" s="392" t="str">
        <f t="shared" ca="1" si="64"/>
        <v/>
      </c>
      <c r="Y274" s="395" t="str">
        <f t="shared" ca="1" si="71"/>
        <v/>
      </c>
      <c r="Z274" s="1097"/>
      <c r="AA274" s="1108"/>
      <c r="AB274" s="1108"/>
      <c r="AC274" s="1108"/>
      <c r="AE274" s="1139" t="str">
        <f t="shared" ca="1" si="65"/>
        <v/>
      </c>
      <c r="AF274" s="393" t="str">
        <f t="shared" ca="1" si="53"/>
        <v/>
      </c>
      <c r="AG274" s="393" t="str">
        <f t="shared" ca="1" si="72"/>
        <v/>
      </c>
      <c r="AH274" s="393" t="str">
        <f t="shared" ca="1" si="66"/>
        <v/>
      </c>
      <c r="AI274" s="1143" t="str">
        <f t="shared" ca="1" si="54"/>
        <v/>
      </c>
      <c r="AJ274" s="395" t="str">
        <f t="shared" ca="1" si="67"/>
        <v/>
      </c>
      <c r="AK274" s="1144" t="str">
        <f t="shared" ca="1" si="73"/>
        <v/>
      </c>
      <c r="AL274" s="1143" t="str">
        <f t="shared" ca="1" si="68"/>
        <v/>
      </c>
      <c r="BC274" s="40"/>
      <c r="BD274" s="40"/>
      <c r="BE274" s="40"/>
      <c r="BF274" s="40"/>
      <c r="BG274" s="40"/>
    </row>
    <row r="275" spans="1:59" ht="18" customHeight="1">
      <c r="A275" s="1095" t="str">
        <f ca="1"/>
        <v/>
      </c>
      <c r="B275" s="399" t="str">
        <f ca="1"/>
        <v/>
      </c>
      <c r="C275" s="400" t="str">
        <f ca="1"/>
        <v/>
      </c>
      <c r="D275" s="400" t="str">
        <f ca="1"/>
        <v/>
      </c>
      <c r="E275" s="401" t="str">
        <f t="shared" ca="1" si="56"/>
        <v/>
      </c>
      <c r="N275" s="392" t="str">
        <f t="shared" ca="1" si="57"/>
        <v/>
      </c>
      <c r="O275" s="393" t="str">
        <f t="shared" ca="1" si="58"/>
        <v/>
      </c>
      <c r="P275" s="393" t="str">
        <f t="shared" ca="1" si="69"/>
        <v/>
      </c>
      <c r="Q275" s="393" t="str">
        <f t="shared" ca="1" si="59"/>
        <v/>
      </c>
      <c r="R275" s="394" t="str">
        <f t="shared" ca="1" si="70"/>
        <v/>
      </c>
      <c r="S275" s="395" t="str">
        <f t="shared" ca="1" si="60"/>
        <v/>
      </c>
      <c r="U275" s="392" t="str">
        <f t="shared" ca="1" si="61"/>
        <v/>
      </c>
      <c r="V275" s="393" t="str">
        <f t="shared" ca="1" si="62"/>
        <v/>
      </c>
      <c r="W275" s="394" t="str">
        <f t="shared" ca="1" si="63"/>
        <v/>
      </c>
      <c r="X275" s="392" t="str">
        <f t="shared" ca="1" si="64"/>
        <v/>
      </c>
      <c r="Y275" s="395" t="str">
        <f t="shared" ca="1" si="71"/>
        <v/>
      </c>
      <c r="Z275" s="1097"/>
      <c r="AA275" s="1108"/>
      <c r="AB275" s="1108"/>
      <c r="AC275" s="1108"/>
      <c r="AE275" s="1139" t="str">
        <f t="shared" ca="1" si="65"/>
        <v/>
      </c>
      <c r="AF275" s="393" t="str">
        <f t="shared" ca="1" si="53"/>
        <v/>
      </c>
      <c r="AG275" s="393" t="str">
        <f t="shared" ca="1" si="72"/>
        <v/>
      </c>
      <c r="AH275" s="393" t="str">
        <f t="shared" ca="1" si="66"/>
        <v/>
      </c>
      <c r="AI275" s="1143" t="str">
        <f t="shared" ca="1" si="54"/>
        <v/>
      </c>
      <c r="AJ275" s="395" t="str">
        <f t="shared" ca="1" si="67"/>
        <v/>
      </c>
      <c r="AK275" s="1144" t="str">
        <f t="shared" ca="1" si="73"/>
        <v/>
      </c>
      <c r="AL275" s="1143" t="str">
        <f t="shared" ca="1" si="68"/>
        <v/>
      </c>
      <c r="BC275" s="40"/>
      <c r="BD275" s="40"/>
      <c r="BE275" s="40"/>
      <c r="BF275" s="40"/>
      <c r="BG275" s="40"/>
    </row>
    <row r="276" spans="1:59" ht="18" customHeight="1">
      <c r="A276" s="1095" t="str">
        <f ca="1"/>
        <v/>
      </c>
      <c r="B276" s="399" t="str">
        <f ca="1"/>
        <v/>
      </c>
      <c r="C276" s="400" t="str">
        <f ca="1"/>
        <v/>
      </c>
      <c r="D276" s="400" t="str">
        <f ca="1"/>
        <v/>
      </c>
      <c r="E276" s="401" t="str">
        <f t="shared" ca="1" si="56"/>
        <v/>
      </c>
      <c r="N276" s="392" t="str">
        <f t="shared" ca="1" si="57"/>
        <v/>
      </c>
      <c r="O276" s="393" t="str">
        <f t="shared" ca="1" si="58"/>
        <v/>
      </c>
      <c r="P276" s="393" t="str">
        <f t="shared" ca="1" si="69"/>
        <v/>
      </c>
      <c r="Q276" s="393" t="str">
        <f t="shared" ca="1" si="59"/>
        <v/>
      </c>
      <c r="R276" s="394" t="str">
        <f t="shared" ca="1" si="70"/>
        <v/>
      </c>
      <c r="S276" s="395" t="str">
        <f t="shared" ca="1" si="60"/>
        <v/>
      </c>
      <c r="U276" s="392" t="str">
        <f t="shared" ca="1" si="61"/>
        <v/>
      </c>
      <c r="V276" s="393" t="str">
        <f t="shared" ca="1" si="62"/>
        <v/>
      </c>
      <c r="W276" s="394" t="str">
        <f t="shared" ca="1" si="63"/>
        <v/>
      </c>
      <c r="X276" s="392" t="str">
        <f t="shared" ca="1" si="64"/>
        <v/>
      </c>
      <c r="Y276" s="395" t="str">
        <f t="shared" ca="1" si="71"/>
        <v/>
      </c>
      <c r="Z276" s="1097"/>
      <c r="AA276" s="1108"/>
      <c r="AB276" s="1108"/>
      <c r="AC276" s="1108"/>
      <c r="AE276" s="1139" t="str">
        <f t="shared" ca="1" si="65"/>
        <v/>
      </c>
      <c r="AF276" s="393" t="str">
        <f t="shared" ca="1" si="53"/>
        <v/>
      </c>
      <c r="AG276" s="393" t="str">
        <f t="shared" ca="1" si="72"/>
        <v/>
      </c>
      <c r="AH276" s="393" t="str">
        <f t="shared" ca="1" si="66"/>
        <v/>
      </c>
      <c r="AI276" s="1143" t="str">
        <f t="shared" ca="1" si="54"/>
        <v/>
      </c>
      <c r="AJ276" s="395" t="str">
        <f t="shared" ca="1" si="67"/>
        <v/>
      </c>
      <c r="AK276" s="1144" t="str">
        <f t="shared" ca="1" si="73"/>
        <v/>
      </c>
      <c r="AL276" s="1143" t="str">
        <f t="shared" ca="1" si="68"/>
        <v/>
      </c>
      <c r="BC276" s="40"/>
      <c r="BD276" s="40"/>
      <c r="BE276" s="40"/>
      <c r="BF276" s="40"/>
      <c r="BG276" s="40"/>
    </row>
    <row r="277" spans="1:59" ht="18" customHeight="1">
      <c r="A277" s="1095" t="str">
        <f ca="1"/>
        <v/>
      </c>
      <c r="B277" s="399" t="str">
        <f ca="1"/>
        <v/>
      </c>
      <c r="C277" s="400" t="str">
        <f ca="1"/>
        <v/>
      </c>
      <c r="D277" s="400" t="str">
        <f ca="1"/>
        <v/>
      </c>
      <c r="E277" s="401" t="str">
        <f t="shared" ca="1" si="56"/>
        <v/>
      </c>
      <c r="N277" s="392" t="str">
        <f t="shared" ca="1" si="57"/>
        <v/>
      </c>
      <c r="O277" s="393" t="str">
        <f t="shared" ca="1" si="58"/>
        <v/>
      </c>
      <c r="P277" s="393" t="str">
        <f t="shared" ca="1" si="69"/>
        <v/>
      </c>
      <c r="Q277" s="393" t="str">
        <f t="shared" ca="1" si="59"/>
        <v/>
      </c>
      <c r="R277" s="394" t="str">
        <f t="shared" ca="1" si="70"/>
        <v/>
      </c>
      <c r="S277" s="395" t="str">
        <f t="shared" ca="1" si="60"/>
        <v/>
      </c>
      <c r="U277" s="392" t="str">
        <f t="shared" ca="1" si="61"/>
        <v/>
      </c>
      <c r="V277" s="393" t="str">
        <f t="shared" ca="1" si="62"/>
        <v/>
      </c>
      <c r="W277" s="394" t="str">
        <f t="shared" ca="1" si="63"/>
        <v/>
      </c>
      <c r="X277" s="392" t="str">
        <f t="shared" ca="1" si="64"/>
        <v/>
      </c>
      <c r="Y277" s="395" t="str">
        <f t="shared" ca="1" si="71"/>
        <v/>
      </c>
      <c r="Z277" s="1097"/>
      <c r="AA277" s="1108"/>
      <c r="AB277" s="1108"/>
      <c r="AC277" s="1108"/>
      <c r="AE277" s="1139" t="str">
        <f t="shared" ca="1" si="65"/>
        <v/>
      </c>
      <c r="AF277" s="393" t="str">
        <f t="shared" ca="1" si="53"/>
        <v/>
      </c>
      <c r="AG277" s="393" t="str">
        <f t="shared" ca="1" si="72"/>
        <v/>
      </c>
      <c r="AH277" s="393" t="str">
        <f t="shared" ca="1" si="66"/>
        <v/>
      </c>
      <c r="AI277" s="1143" t="str">
        <f t="shared" ca="1" si="54"/>
        <v/>
      </c>
      <c r="AJ277" s="395" t="str">
        <f t="shared" ca="1" si="67"/>
        <v/>
      </c>
      <c r="AK277" s="1144" t="str">
        <f t="shared" ca="1" si="73"/>
        <v/>
      </c>
      <c r="AL277" s="1143" t="str">
        <f t="shared" ca="1" si="68"/>
        <v/>
      </c>
      <c r="BC277" s="40"/>
      <c r="BD277" s="40"/>
      <c r="BE277" s="40"/>
      <c r="BF277" s="40"/>
      <c r="BG277" s="40"/>
    </row>
    <row r="278" spans="1:59" ht="18" customHeight="1">
      <c r="A278" s="1095" t="str">
        <f ca="1"/>
        <v/>
      </c>
      <c r="B278" s="399" t="str">
        <f ca="1"/>
        <v/>
      </c>
      <c r="C278" s="400" t="str">
        <f ca="1"/>
        <v/>
      </c>
      <c r="D278" s="400" t="str">
        <f ca="1"/>
        <v/>
      </c>
      <c r="E278" s="401" t="str">
        <f t="shared" ca="1" si="56"/>
        <v/>
      </c>
      <c r="N278" s="392" t="str">
        <f t="shared" ca="1" si="57"/>
        <v/>
      </c>
      <c r="O278" s="393" t="str">
        <f t="shared" ca="1" si="58"/>
        <v/>
      </c>
      <c r="P278" s="393" t="str">
        <f t="shared" ca="1" si="69"/>
        <v/>
      </c>
      <c r="Q278" s="393" t="str">
        <f t="shared" ca="1" si="59"/>
        <v/>
      </c>
      <c r="R278" s="394" t="str">
        <f t="shared" ca="1" si="70"/>
        <v/>
      </c>
      <c r="S278" s="395" t="str">
        <f t="shared" ca="1" si="60"/>
        <v/>
      </c>
      <c r="U278" s="392" t="str">
        <f t="shared" ca="1" si="61"/>
        <v/>
      </c>
      <c r="V278" s="393" t="str">
        <f t="shared" ca="1" si="62"/>
        <v/>
      </c>
      <c r="W278" s="394" t="str">
        <f t="shared" ca="1" si="63"/>
        <v/>
      </c>
      <c r="X278" s="392" t="str">
        <f t="shared" ca="1" si="64"/>
        <v/>
      </c>
      <c r="Y278" s="395" t="str">
        <f t="shared" ca="1" si="71"/>
        <v/>
      </c>
      <c r="Z278" s="1097"/>
      <c r="AA278" s="1108"/>
      <c r="AB278" s="1108"/>
      <c r="AC278" s="1108"/>
      <c r="AE278" s="1139" t="str">
        <f t="shared" ca="1" si="65"/>
        <v/>
      </c>
      <c r="AF278" s="393" t="str">
        <f t="shared" ca="1" si="53"/>
        <v/>
      </c>
      <c r="AG278" s="393" t="str">
        <f t="shared" ca="1" si="72"/>
        <v/>
      </c>
      <c r="AH278" s="393" t="str">
        <f t="shared" ca="1" si="66"/>
        <v/>
      </c>
      <c r="AI278" s="1143" t="str">
        <f t="shared" ca="1" si="54"/>
        <v/>
      </c>
      <c r="AJ278" s="395" t="str">
        <f t="shared" ca="1" si="67"/>
        <v/>
      </c>
      <c r="AK278" s="1144" t="str">
        <f t="shared" ca="1" si="73"/>
        <v/>
      </c>
      <c r="AL278" s="1143" t="str">
        <f t="shared" ca="1" si="68"/>
        <v/>
      </c>
      <c r="BC278" s="40"/>
      <c r="BD278" s="40"/>
      <c r="BE278" s="40"/>
      <c r="BF278" s="40"/>
      <c r="BG278" s="40"/>
    </row>
    <row r="279" spans="1:59" ht="18" customHeight="1">
      <c r="A279" s="1095" t="str">
        <f ca="1"/>
        <v/>
      </c>
      <c r="B279" s="399" t="str">
        <f ca="1"/>
        <v/>
      </c>
      <c r="C279" s="400" t="str">
        <f ca="1"/>
        <v/>
      </c>
      <c r="D279" s="400" t="str">
        <f ca="1"/>
        <v/>
      </c>
      <c r="E279" s="401" t="str">
        <f t="shared" ca="1" si="56"/>
        <v/>
      </c>
      <c r="N279" s="392" t="str">
        <f t="shared" ca="1" si="57"/>
        <v/>
      </c>
      <c r="O279" s="393" t="str">
        <f t="shared" ca="1" si="58"/>
        <v/>
      </c>
      <c r="P279" s="393" t="str">
        <f t="shared" ca="1" si="69"/>
        <v/>
      </c>
      <c r="Q279" s="393" t="str">
        <f t="shared" ca="1" si="59"/>
        <v/>
      </c>
      <c r="R279" s="394" t="str">
        <f t="shared" ca="1" si="70"/>
        <v/>
      </c>
      <c r="S279" s="395" t="str">
        <f t="shared" ca="1" si="60"/>
        <v/>
      </c>
      <c r="U279" s="392" t="str">
        <f t="shared" ca="1" si="61"/>
        <v/>
      </c>
      <c r="V279" s="393" t="str">
        <f t="shared" ca="1" si="62"/>
        <v/>
      </c>
      <c r="W279" s="394" t="str">
        <f t="shared" ca="1" si="63"/>
        <v/>
      </c>
      <c r="X279" s="392" t="str">
        <f t="shared" ca="1" si="64"/>
        <v/>
      </c>
      <c r="Y279" s="395" t="str">
        <f t="shared" ca="1" si="71"/>
        <v/>
      </c>
      <c r="Z279" s="1097"/>
      <c r="AA279" s="1108"/>
      <c r="AB279" s="1108"/>
      <c r="AC279" s="1108"/>
      <c r="AE279" s="1139" t="str">
        <f t="shared" ca="1" si="65"/>
        <v/>
      </c>
      <c r="AF279" s="393" t="str">
        <f t="shared" ca="1" si="53"/>
        <v/>
      </c>
      <c r="AG279" s="393" t="str">
        <f t="shared" ca="1" si="72"/>
        <v/>
      </c>
      <c r="AH279" s="393" t="str">
        <f t="shared" ca="1" si="66"/>
        <v/>
      </c>
      <c r="AI279" s="1143" t="str">
        <f t="shared" ca="1" si="54"/>
        <v/>
      </c>
      <c r="AJ279" s="395" t="str">
        <f t="shared" ca="1" si="67"/>
        <v/>
      </c>
      <c r="AK279" s="1144" t="str">
        <f t="shared" ca="1" si="73"/>
        <v/>
      </c>
      <c r="AL279" s="1143" t="str">
        <f t="shared" ca="1" si="68"/>
        <v/>
      </c>
      <c r="BC279" s="40"/>
      <c r="BD279" s="40"/>
      <c r="BE279" s="40"/>
      <c r="BF279" s="40"/>
      <c r="BG279" s="40"/>
    </row>
    <row r="280" spans="1:59" ht="18" customHeight="1">
      <c r="A280" s="1095" t="str">
        <f ca="1"/>
        <v/>
      </c>
      <c r="B280" s="399" t="str">
        <f ca="1"/>
        <v/>
      </c>
      <c r="C280" s="400" t="str">
        <f ca="1"/>
        <v/>
      </c>
      <c r="D280" s="400" t="str">
        <f ca="1"/>
        <v/>
      </c>
      <c r="E280" s="401" t="str">
        <f t="shared" ca="1" si="56"/>
        <v/>
      </c>
      <c r="N280" s="392" t="str">
        <f t="shared" ca="1" si="57"/>
        <v/>
      </c>
      <c r="O280" s="393" t="str">
        <f t="shared" ca="1" si="58"/>
        <v/>
      </c>
      <c r="P280" s="393" t="str">
        <f t="shared" ca="1" si="69"/>
        <v/>
      </c>
      <c r="Q280" s="393" t="str">
        <f t="shared" ca="1" si="59"/>
        <v/>
      </c>
      <c r="R280" s="394" t="str">
        <f t="shared" ca="1" si="70"/>
        <v/>
      </c>
      <c r="S280" s="395" t="str">
        <f t="shared" ca="1" si="60"/>
        <v/>
      </c>
      <c r="U280" s="392" t="str">
        <f t="shared" ca="1" si="61"/>
        <v/>
      </c>
      <c r="V280" s="393" t="str">
        <f t="shared" ca="1" si="62"/>
        <v/>
      </c>
      <c r="W280" s="394" t="str">
        <f t="shared" ca="1" si="63"/>
        <v/>
      </c>
      <c r="X280" s="392" t="str">
        <f t="shared" ca="1" si="64"/>
        <v/>
      </c>
      <c r="Y280" s="395" t="str">
        <f t="shared" ca="1" si="71"/>
        <v/>
      </c>
      <c r="Z280" s="1097"/>
      <c r="AA280" s="1108"/>
      <c r="AB280" s="1108"/>
      <c r="AC280" s="1108"/>
      <c r="AE280" s="1139" t="str">
        <f t="shared" ca="1" si="65"/>
        <v/>
      </c>
      <c r="AF280" s="393" t="str">
        <f t="shared" ca="1" si="53"/>
        <v/>
      </c>
      <c r="AG280" s="393" t="str">
        <f t="shared" ca="1" si="72"/>
        <v/>
      </c>
      <c r="AH280" s="393" t="str">
        <f t="shared" ca="1" si="66"/>
        <v/>
      </c>
      <c r="AI280" s="1143" t="str">
        <f t="shared" ca="1" si="54"/>
        <v/>
      </c>
      <c r="AJ280" s="395" t="str">
        <f t="shared" ca="1" si="67"/>
        <v/>
      </c>
      <c r="AK280" s="1144" t="str">
        <f t="shared" ca="1" si="73"/>
        <v/>
      </c>
      <c r="AL280" s="1143" t="str">
        <f t="shared" ca="1" si="68"/>
        <v/>
      </c>
      <c r="BC280" s="40"/>
      <c r="BD280" s="40"/>
      <c r="BE280" s="40"/>
      <c r="BF280" s="40"/>
      <c r="BG280" s="40"/>
    </row>
    <row r="281" spans="1:59" ht="18" customHeight="1">
      <c r="A281" s="1095" t="str">
        <f ca="1"/>
        <v/>
      </c>
      <c r="B281" s="399" t="str">
        <f ca="1"/>
        <v/>
      </c>
      <c r="C281" s="400" t="str">
        <f ca="1"/>
        <v/>
      </c>
      <c r="D281" s="400" t="str">
        <f ca="1"/>
        <v/>
      </c>
      <c r="E281" s="401" t="str">
        <f t="shared" ca="1" si="56"/>
        <v/>
      </c>
      <c r="N281" s="392" t="str">
        <f t="shared" ca="1" si="57"/>
        <v/>
      </c>
      <c r="O281" s="393" t="str">
        <f t="shared" ca="1" si="58"/>
        <v/>
      </c>
      <c r="P281" s="393" t="str">
        <f t="shared" ca="1" si="69"/>
        <v/>
      </c>
      <c r="Q281" s="393" t="str">
        <f t="shared" ca="1" si="59"/>
        <v/>
      </c>
      <c r="R281" s="394" t="str">
        <f t="shared" ca="1" si="70"/>
        <v/>
      </c>
      <c r="S281" s="395" t="str">
        <f t="shared" ca="1" si="60"/>
        <v/>
      </c>
      <c r="U281" s="392" t="str">
        <f t="shared" ca="1" si="61"/>
        <v/>
      </c>
      <c r="V281" s="393" t="str">
        <f t="shared" ca="1" si="62"/>
        <v/>
      </c>
      <c r="W281" s="394" t="str">
        <f t="shared" ca="1" si="63"/>
        <v/>
      </c>
      <c r="X281" s="392" t="str">
        <f t="shared" ca="1" si="64"/>
        <v/>
      </c>
      <c r="Y281" s="395" t="str">
        <f t="shared" ca="1" si="71"/>
        <v/>
      </c>
      <c r="Z281" s="1097"/>
      <c r="AA281" s="1108"/>
      <c r="AB281" s="1108"/>
      <c r="AC281" s="1108"/>
      <c r="AE281" s="1139" t="str">
        <f t="shared" ca="1" si="65"/>
        <v/>
      </c>
      <c r="AF281" s="393" t="str">
        <f t="shared" ca="1" si="53"/>
        <v/>
      </c>
      <c r="AG281" s="393" t="str">
        <f t="shared" ca="1" si="72"/>
        <v/>
      </c>
      <c r="AH281" s="393" t="str">
        <f t="shared" ca="1" si="66"/>
        <v/>
      </c>
      <c r="AI281" s="1143" t="str">
        <f t="shared" ca="1" si="54"/>
        <v/>
      </c>
      <c r="AJ281" s="395" t="str">
        <f t="shared" ca="1" si="67"/>
        <v/>
      </c>
      <c r="AK281" s="1144" t="str">
        <f t="shared" ca="1" si="73"/>
        <v/>
      </c>
      <c r="AL281" s="1143" t="str">
        <f t="shared" ca="1" si="68"/>
        <v/>
      </c>
      <c r="BC281" s="40"/>
      <c r="BD281" s="40"/>
      <c r="BE281" s="40"/>
      <c r="BF281" s="40"/>
      <c r="BG281" s="40"/>
    </row>
    <row r="282" spans="1:59" ht="18" customHeight="1">
      <c r="A282" s="1095" t="str">
        <f ca="1"/>
        <v/>
      </c>
      <c r="B282" s="399" t="str">
        <f ca="1"/>
        <v/>
      </c>
      <c r="C282" s="400" t="str">
        <f ca="1"/>
        <v/>
      </c>
      <c r="D282" s="400" t="str">
        <f ca="1"/>
        <v/>
      </c>
      <c r="E282" s="401" t="str">
        <f t="shared" ca="1" si="56"/>
        <v/>
      </c>
      <c r="N282" s="392" t="str">
        <f t="shared" ca="1" si="57"/>
        <v/>
      </c>
      <c r="O282" s="393" t="str">
        <f t="shared" ca="1" si="58"/>
        <v/>
      </c>
      <c r="P282" s="393" t="str">
        <f t="shared" ca="1" si="69"/>
        <v/>
      </c>
      <c r="Q282" s="393" t="str">
        <f t="shared" ca="1" si="59"/>
        <v/>
      </c>
      <c r="R282" s="394" t="str">
        <f t="shared" ca="1" si="70"/>
        <v/>
      </c>
      <c r="S282" s="395" t="str">
        <f t="shared" ca="1" si="60"/>
        <v/>
      </c>
      <c r="U282" s="392" t="str">
        <f t="shared" ca="1" si="61"/>
        <v/>
      </c>
      <c r="V282" s="393" t="str">
        <f t="shared" ca="1" si="62"/>
        <v/>
      </c>
      <c r="W282" s="394" t="str">
        <f t="shared" ca="1" si="63"/>
        <v/>
      </c>
      <c r="X282" s="392" t="str">
        <f t="shared" ca="1" si="64"/>
        <v/>
      </c>
      <c r="Y282" s="395" t="str">
        <f t="shared" ca="1" si="71"/>
        <v/>
      </c>
      <c r="Z282" s="1097"/>
      <c r="AA282" s="1108"/>
      <c r="AB282" s="1108"/>
      <c r="AC282" s="1108"/>
      <c r="AE282" s="1139" t="str">
        <f t="shared" ca="1" si="65"/>
        <v/>
      </c>
      <c r="AF282" s="393" t="str">
        <f t="shared" ca="1" si="53"/>
        <v/>
      </c>
      <c r="AG282" s="393" t="str">
        <f t="shared" ca="1" si="72"/>
        <v/>
      </c>
      <c r="AH282" s="393" t="str">
        <f t="shared" ca="1" si="66"/>
        <v/>
      </c>
      <c r="AI282" s="1143" t="str">
        <f t="shared" ca="1" si="54"/>
        <v/>
      </c>
      <c r="AJ282" s="395" t="str">
        <f t="shared" ca="1" si="67"/>
        <v/>
      </c>
      <c r="AK282" s="1144" t="str">
        <f t="shared" ca="1" si="73"/>
        <v/>
      </c>
      <c r="AL282" s="1143" t="str">
        <f t="shared" ca="1" si="68"/>
        <v/>
      </c>
      <c r="BC282" s="40"/>
      <c r="BD282" s="40"/>
      <c r="BE282" s="40"/>
      <c r="BF282" s="40"/>
      <c r="BG282" s="40"/>
    </row>
    <row r="283" spans="1:59" ht="18" customHeight="1">
      <c r="A283" s="1095" t="str">
        <f ca="1"/>
        <v/>
      </c>
      <c r="B283" s="399" t="str">
        <f ca="1"/>
        <v/>
      </c>
      <c r="C283" s="400" t="str">
        <f ca="1"/>
        <v/>
      </c>
      <c r="D283" s="400" t="str">
        <f ca="1"/>
        <v/>
      </c>
      <c r="E283" s="401" t="str">
        <f t="shared" ca="1" si="56"/>
        <v/>
      </c>
      <c r="N283" s="392" t="str">
        <f t="shared" ca="1" si="57"/>
        <v/>
      </c>
      <c r="O283" s="393" t="str">
        <f t="shared" ca="1" si="58"/>
        <v/>
      </c>
      <c r="P283" s="393" t="str">
        <f t="shared" ca="1" si="69"/>
        <v/>
      </c>
      <c r="Q283" s="393" t="str">
        <f t="shared" ca="1" si="59"/>
        <v/>
      </c>
      <c r="R283" s="394" t="str">
        <f t="shared" ca="1" si="70"/>
        <v/>
      </c>
      <c r="S283" s="395" t="str">
        <f t="shared" ca="1" si="60"/>
        <v/>
      </c>
      <c r="U283" s="392" t="str">
        <f t="shared" ca="1" si="61"/>
        <v/>
      </c>
      <c r="V283" s="393" t="str">
        <f t="shared" ca="1" si="62"/>
        <v/>
      </c>
      <c r="W283" s="394" t="str">
        <f t="shared" ca="1" si="63"/>
        <v/>
      </c>
      <c r="X283" s="392" t="str">
        <f t="shared" ca="1" si="64"/>
        <v/>
      </c>
      <c r="Y283" s="395" t="str">
        <f t="shared" ca="1" si="71"/>
        <v/>
      </c>
      <c r="Z283" s="1097"/>
      <c r="AA283" s="1108"/>
      <c r="AB283" s="1108"/>
      <c r="AC283" s="1108"/>
      <c r="AE283" s="1139" t="str">
        <f t="shared" ca="1" si="65"/>
        <v/>
      </c>
      <c r="AF283" s="393" t="str">
        <f t="shared" ca="1" si="53"/>
        <v/>
      </c>
      <c r="AG283" s="393" t="str">
        <f t="shared" ca="1" si="72"/>
        <v/>
      </c>
      <c r="AH283" s="393" t="str">
        <f t="shared" ca="1" si="66"/>
        <v/>
      </c>
      <c r="AI283" s="1143" t="str">
        <f t="shared" ca="1" si="54"/>
        <v/>
      </c>
      <c r="AJ283" s="395" t="str">
        <f t="shared" ca="1" si="67"/>
        <v/>
      </c>
      <c r="AK283" s="1144" t="str">
        <f t="shared" ca="1" si="73"/>
        <v/>
      </c>
      <c r="AL283" s="1143" t="str">
        <f t="shared" ca="1" si="68"/>
        <v/>
      </c>
      <c r="BC283" s="40"/>
      <c r="BD283" s="40"/>
      <c r="BE283" s="40"/>
      <c r="BF283" s="40"/>
      <c r="BG283" s="40"/>
    </row>
    <row r="284" spans="1:59" ht="18" customHeight="1">
      <c r="A284" s="1095" t="str">
        <f ca="1"/>
        <v/>
      </c>
      <c r="B284" s="399" t="str">
        <f ca="1"/>
        <v/>
      </c>
      <c r="C284" s="400" t="str">
        <f ca="1"/>
        <v/>
      </c>
      <c r="D284" s="400" t="str">
        <f ca="1"/>
        <v/>
      </c>
      <c r="E284" s="401" t="str">
        <f t="shared" ca="1" si="56"/>
        <v/>
      </c>
      <c r="N284" s="392" t="str">
        <f t="shared" ca="1" si="57"/>
        <v/>
      </c>
      <c r="O284" s="393" t="str">
        <f t="shared" ca="1" si="58"/>
        <v/>
      </c>
      <c r="P284" s="393" t="str">
        <f t="shared" ca="1" si="69"/>
        <v/>
      </c>
      <c r="Q284" s="393" t="str">
        <f t="shared" ca="1" si="59"/>
        <v/>
      </c>
      <c r="R284" s="394" t="str">
        <f t="shared" ca="1" si="70"/>
        <v/>
      </c>
      <c r="S284" s="395" t="str">
        <f t="shared" ca="1" si="60"/>
        <v/>
      </c>
      <c r="U284" s="392" t="str">
        <f t="shared" ca="1" si="61"/>
        <v/>
      </c>
      <c r="V284" s="393" t="str">
        <f t="shared" ca="1" si="62"/>
        <v/>
      </c>
      <c r="W284" s="394" t="str">
        <f t="shared" ca="1" si="63"/>
        <v/>
      </c>
      <c r="X284" s="392" t="str">
        <f t="shared" ca="1" si="64"/>
        <v/>
      </c>
      <c r="Y284" s="395" t="str">
        <f t="shared" ca="1" si="71"/>
        <v/>
      </c>
      <c r="Z284" s="1097"/>
      <c r="AA284" s="1108"/>
      <c r="AB284" s="1108"/>
      <c r="AC284" s="1108"/>
      <c r="AE284" s="1139" t="str">
        <f t="shared" ca="1" si="65"/>
        <v/>
      </c>
      <c r="AF284" s="393" t="str">
        <f t="shared" ca="1" si="53"/>
        <v/>
      </c>
      <c r="AG284" s="393" t="str">
        <f t="shared" ca="1" si="72"/>
        <v/>
      </c>
      <c r="AH284" s="393" t="str">
        <f t="shared" ca="1" si="66"/>
        <v/>
      </c>
      <c r="AI284" s="1143" t="str">
        <f t="shared" ca="1" si="54"/>
        <v/>
      </c>
      <c r="AJ284" s="395" t="str">
        <f t="shared" ca="1" si="67"/>
        <v/>
      </c>
      <c r="AK284" s="1144" t="str">
        <f t="shared" ca="1" si="73"/>
        <v/>
      </c>
      <c r="AL284" s="1143" t="str">
        <f t="shared" ca="1" si="68"/>
        <v/>
      </c>
      <c r="BC284" s="40"/>
      <c r="BD284" s="40"/>
      <c r="BE284" s="40"/>
      <c r="BF284" s="40"/>
      <c r="BG284" s="40"/>
    </row>
    <row r="285" spans="1:59" ht="18" customHeight="1">
      <c r="A285" s="1095" t="str">
        <f ca="1"/>
        <v/>
      </c>
      <c r="B285" s="399" t="str">
        <f ca="1"/>
        <v/>
      </c>
      <c r="C285" s="400" t="str">
        <f ca="1"/>
        <v/>
      </c>
      <c r="D285" s="400" t="str">
        <f ca="1"/>
        <v/>
      </c>
      <c r="E285" s="401" t="str">
        <f t="shared" ca="1" si="56"/>
        <v/>
      </c>
      <c r="N285" s="392" t="str">
        <f t="shared" ca="1" si="57"/>
        <v/>
      </c>
      <c r="O285" s="393" t="str">
        <f t="shared" ca="1" si="58"/>
        <v/>
      </c>
      <c r="P285" s="393" t="str">
        <f t="shared" ca="1" si="69"/>
        <v/>
      </c>
      <c r="Q285" s="393" t="str">
        <f t="shared" ca="1" si="59"/>
        <v/>
      </c>
      <c r="R285" s="394" t="str">
        <f t="shared" ca="1" si="70"/>
        <v/>
      </c>
      <c r="S285" s="395" t="str">
        <f t="shared" ca="1" si="60"/>
        <v/>
      </c>
      <c r="U285" s="392" t="str">
        <f t="shared" ca="1" si="61"/>
        <v/>
      </c>
      <c r="V285" s="393" t="str">
        <f t="shared" ca="1" si="62"/>
        <v/>
      </c>
      <c r="W285" s="394" t="str">
        <f t="shared" ca="1" si="63"/>
        <v/>
      </c>
      <c r="X285" s="392" t="str">
        <f t="shared" ca="1" si="64"/>
        <v/>
      </c>
      <c r="Y285" s="395" t="str">
        <f t="shared" ca="1" si="71"/>
        <v/>
      </c>
      <c r="Z285" s="1097"/>
      <c r="AA285" s="1108"/>
      <c r="AB285" s="1108"/>
      <c r="AC285" s="1108"/>
      <c r="AE285" s="1139" t="str">
        <f t="shared" ca="1" si="65"/>
        <v/>
      </c>
      <c r="AF285" s="393" t="str">
        <f t="shared" ca="1" si="53"/>
        <v/>
      </c>
      <c r="AG285" s="393" t="str">
        <f t="shared" ca="1" si="72"/>
        <v/>
      </c>
      <c r="AH285" s="393" t="str">
        <f t="shared" ca="1" si="66"/>
        <v/>
      </c>
      <c r="AI285" s="1143" t="str">
        <f t="shared" ca="1" si="54"/>
        <v/>
      </c>
      <c r="AJ285" s="395" t="str">
        <f t="shared" ca="1" si="67"/>
        <v/>
      </c>
      <c r="AK285" s="1144" t="str">
        <f t="shared" ca="1" si="73"/>
        <v/>
      </c>
      <c r="AL285" s="1143" t="str">
        <f t="shared" ca="1" si="68"/>
        <v/>
      </c>
      <c r="BC285" s="40"/>
      <c r="BD285" s="40"/>
      <c r="BE285" s="40"/>
      <c r="BF285" s="40"/>
      <c r="BG285" s="40"/>
    </row>
    <row r="286" spans="1:59" ht="18" customHeight="1">
      <c r="A286" s="1095" t="str">
        <f ca="1"/>
        <v/>
      </c>
      <c r="B286" s="399" t="str">
        <f ca="1"/>
        <v/>
      </c>
      <c r="C286" s="400" t="str">
        <f ca="1"/>
        <v/>
      </c>
      <c r="D286" s="400" t="str">
        <f ca="1"/>
        <v/>
      </c>
      <c r="E286" s="401" t="str">
        <f t="shared" ca="1" si="56"/>
        <v/>
      </c>
      <c r="N286" s="392" t="str">
        <f t="shared" ca="1" si="57"/>
        <v/>
      </c>
      <c r="O286" s="393" t="str">
        <f t="shared" ca="1" si="58"/>
        <v/>
      </c>
      <c r="P286" s="393" t="str">
        <f t="shared" ca="1" si="69"/>
        <v/>
      </c>
      <c r="Q286" s="393" t="str">
        <f t="shared" ca="1" si="59"/>
        <v/>
      </c>
      <c r="R286" s="394" t="str">
        <f t="shared" ca="1" si="70"/>
        <v/>
      </c>
      <c r="S286" s="395" t="str">
        <f t="shared" ca="1" si="60"/>
        <v/>
      </c>
      <c r="U286" s="392" t="str">
        <f t="shared" ca="1" si="61"/>
        <v/>
      </c>
      <c r="V286" s="393" t="str">
        <f t="shared" ca="1" si="62"/>
        <v/>
      </c>
      <c r="W286" s="394" t="str">
        <f t="shared" ca="1" si="63"/>
        <v/>
      </c>
      <c r="X286" s="392" t="str">
        <f t="shared" ca="1" si="64"/>
        <v/>
      </c>
      <c r="Y286" s="395" t="str">
        <f t="shared" ca="1" si="71"/>
        <v/>
      </c>
      <c r="Z286" s="1097"/>
      <c r="AA286" s="1108"/>
      <c r="AB286" s="1108"/>
      <c r="AC286" s="1108"/>
      <c r="AE286" s="1139" t="str">
        <f t="shared" ca="1" si="65"/>
        <v/>
      </c>
      <c r="AF286" s="393" t="str">
        <f t="shared" ca="1" si="53"/>
        <v/>
      </c>
      <c r="AG286" s="393" t="str">
        <f t="shared" ca="1" si="72"/>
        <v/>
      </c>
      <c r="AH286" s="393" t="str">
        <f t="shared" ca="1" si="66"/>
        <v/>
      </c>
      <c r="AI286" s="1143" t="str">
        <f t="shared" ca="1" si="54"/>
        <v/>
      </c>
      <c r="AJ286" s="395" t="str">
        <f t="shared" ca="1" si="67"/>
        <v/>
      </c>
      <c r="AK286" s="1144" t="str">
        <f t="shared" ca="1" si="73"/>
        <v/>
      </c>
      <c r="AL286" s="1143" t="str">
        <f t="shared" ca="1" si="68"/>
        <v/>
      </c>
      <c r="BC286" s="40"/>
      <c r="BD286" s="40"/>
      <c r="BE286" s="40"/>
      <c r="BF286" s="40"/>
      <c r="BG286" s="40"/>
    </row>
    <row r="287" spans="1:59" ht="18" customHeight="1">
      <c r="A287" s="1095" t="str">
        <f ca="1"/>
        <v/>
      </c>
      <c r="B287" s="399" t="str">
        <f ca="1"/>
        <v/>
      </c>
      <c r="C287" s="400" t="str">
        <f ca="1"/>
        <v/>
      </c>
      <c r="D287" s="400" t="str">
        <f ca="1"/>
        <v/>
      </c>
      <c r="E287" s="401" t="str">
        <f t="shared" ca="1" si="56"/>
        <v/>
      </c>
      <c r="N287" s="392" t="str">
        <f t="shared" ca="1" si="57"/>
        <v/>
      </c>
      <c r="O287" s="393" t="str">
        <f t="shared" ca="1" si="58"/>
        <v/>
      </c>
      <c r="P287" s="393" t="str">
        <f t="shared" ca="1" si="69"/>
        <v/>
      </c>
      <c r="Q287" s="393" t="str">
        <f t="shared" ca="1" si="59"/>
        <v/>
      </c>
      <c r="R287" s="394" t="str">
        <f t="shared" ca="1" si="70"/>
        <v/>
      </c>
      <c r="S287" s="395" t="str">
        <f t="shared" ca="1" si="60"/>
        <v/>
      </c>
      <c r="U287" s="392" t="str">
        <f t="shared" ca="1" si="61"/>
        <v/>
      </c>
      <c r="V287" s="393" t="str">
        <f t="shared" ca="1" si="62"/>
        <v/>
      </c>
      <c r="W287" s="394" t="str">
        <f t="shared" ca="1" si="63"/>
        <v/>
      </c>
      <c r="X287" s="392" t="str">
        <f t="shared" ca="1" si="64"/>
        <v/>
      </c>
      <c r="Y287" s="395" t="str">
        <f t="shared" ca="1" si="71"/>
        <v/>
      </c>
      <c r="Z287" s="1097"/>
      <c r="AA287" s="1108"/>
      <c r="AB287" s="1108"/>
      <c r="AC287" s="1108"/>
      <c r="AE287" s="1139" t="str">
        <f t="shared" ca="1" si="65"/>
        <v/>
      </c>
      <c r="AF287" s="393" t="str">
        <f t="shared" ca="1" si="53"/>
        <v/>
      </c>
      <c r="AG287" s="393" t="str">
        <f t="shared" ca="1" si="72"/>
        <v/>
      </c>
      <c r="AH287" s="393" t="str">
        <f t="shared" ca="1" si="66"/>
        <v/>
      </c>
      <c r="AI287" s="1143" t="str">
        <f t="shared" ca="1" si="54"/>
        <v/>
      </c>
      <c r="AJ287" s="395" t="str">
        <f t="shared" ca="1" si="67"/>
        <v/>
      </c>
      <c r="AK287" s="1144" t="str">
        <f t="shared" ca="1" si="73"/>
        <v/>
      </c>
      <c r="AL287" s="1143" t="str">
        <f t="shared" ca="1" si="68"/>
        <v/>
      </c>
      <c r="BC287" s="40"/>
      <c r="BD287" s="40"/>
      <c r="BE287" s="40"/>
      <c r="BF287" s="40"/>
      <c r="BG287" s="40"/>
    </row>
    <row r="288" spans="1:59" ht="18" customHeight="1">
      <c r="A288" s="1095" t="str">
        <f ca="1"/>
        <v/>
      </c>
      <c r="B288" s="399" t="str">
        <f ca="1"/>
        <v/>
      </c>
      <c r="C288" s="400" t="str">
        <f ca="1"/>
        <v/>
      </c>
      <c r="D288" s="400" t="str">
        <f ca="1"/>
        <v/>
      </c>
      <c r="E288" s="401" t="str">
        <f t="shared" ca="1" si="56"/>
        <v/>
      </c>
      <c r="N288" s="392" t="str">
        <f t="shared" ca="1" si="57"/>
        <v/>
      </c>
      <c r="O288" s="393" t="str">
        <f t="shared" ca="1" si="58"/>
        <v/>
      </c>
      <c r="P288" s="393" t="str">
        <f t="shared" ca="1" si="69"/>
        <v/>
      </c>
      <c r="Q288" s="393" t="str">
        <f t="shared" ca="1" si="59"/>
        <v/>
      </c>
      <c r="R288" s="394" t="str">
        <f t="shared" ca="1" si="70"/>
        <v/>
      </c>
      <c r="S288" s="395" t="str">
        <f t="shared" ca="1" si="60"/>
        <v/>
      </c>
      <c r="U288" s="392" t="str">
        <f t="shared" ca="1" si="61"/>
        <v/>
      </c>
      <c r="V288" s="393" t="str">
        <f t="shared" ca="1" si="62"/>
        <v/>
      </c>
      <c r="W288" s="394" t="str">
        <f t="shared" ca="1" si="63"/>
        <v/>
      </c>
      <c r="X288" s="392" t="str">
        <f t="shared" ca="1" si="64"/>
        <v/>
      </c>
      <c r="Y288" s="395" t="str">
        <f t="shared" ca="1" si="71"/>
        <v/>
      </c>
      <c r="Z288" s="1097"/>
      <c r="AA288" s="1108"/>
      <c r="AB288" s="1108"/>
      <c r="AC288" s="1108"/>
      <c r="AE288" s="1139" t="str">
        <f t="shared" ca="1" si="65"/>
        <v/>
      </c>
      <c r="AF288" s="393" t="str">
        <f t="shared" ca="1" si="53"/>
        <v/>
      </c>
      <c r="AG288" s="393" t="str">
        <f t="shared" ca="1" si="72"/>
        <v/>
      </c>
      <c r="AH288" s="393" t="str">
        <f t="shared" ca="1" si="66"/>
        <v/>
      </c>
      <c r="AI288" s="1143" t="str">
        <f t="shared" ca="1" si="54"/>
        <v/>
      </c>
      <c r="AJ288" s="395" t="str">
        <f t="shared" ca="1" si="67"/>
        <v/>
      </c>
      <c r="AK288" s="1144" t="str">
        <f t="shared" ca="1" si="73"/>
        <v/>
      </c>
      <c r="AL288" s="1143" t="str">
        <f t="shared" ca="1" si="68"/>
        <v/>
      </c>
      <c r="BC288" s="40"/>
      <c r="BD288" s="40"/>
      <c r="BE288" s="40"/>
      <c r="BF288" s="40"/>
      <c r="BG288" s="40"/>
    </row>
    <row r="289" spans="1:38" ht="18" customHeight="1">
      <c r="A289" s="1095" t="str">
        <f ca="1"/>
        <v/>
      </c>
      <c r="B289" s="399" t="str">
        <f ca="1"/>
        <v/>
      </c>
      <c r="C289" s="400" t="str">
        <f ca="1"/>
        <v/>
      </c>
      <c r="D289" s="400" t="str">
        <f ca="1"/>
        <v/>
      </c>
      <c r="E289" s="401" t="str">
        <f t="shared" ca="1" si="56"/>
        <v/>
      </c>
      <c r="N289" s="392" t="str">
        <f t="shared" ca="1" si="57"/>
        <v/>
      </c>
      <c r="O289" s="393" t="str">
        <f t="shared" ca="1" si="58"/>
        <v/>
      </c>
      <c r="P289" s="393" t="str">
        <f t="shared" ca="1" si="69"/>
        <v/>
      </c>
      <c r="Q289" s="393" t="str">
        <f t="shared" ca="1" si="59"/>
        <v/>
      </c>
      <c r="R289" s="394" t="str">
        <f t="shared" ca="1" si="70"/>
        <v/>
      </c>
      <c r="S289" s="395" t="str">
        <f t="shared" ca="1" si="60"/>
        <v/>
      </c>
      <c r="U289" s="392" t="str">
        <f t="shared" ca="1" si="61"/>
        <v/>
      </c>
      <c r="V289" s="393" t="str">
        <f t="shared" ca="1" si="62"/>
        <v/>
      </c>
      <c r="W289" s="394" t="str">
        <f t="shared" ca="1" si="63"/>
        <v/>
      </c>
      <c r="X289" s="392" t="str">
        <f t="shared" ca="1" si="64"/>
        <v/>
      </c>
      <c r="Y289" s="395" t="str">
        <f t="shared" ca="1" si="71"/>
        <v/>
      </c>
      <c r="Z289" s="1097"/>
      <c r="AA289" s="1108"/>
      <c r="AB289" s="1108"/>
      <c r="AC289" s="1108"/>
      <c r="AE289" s="1139" t="str">
        <f t="shared" ca="1" si="65"/>
        <v/>
      </c>
      <c r="AF289" s="393" t="str">
        <f t="shared" ca="1" si="53"/>
        <v/>
      </c>
      <c r="AG289" s="393" t="str">
        <f t="shared" ca="1" si="72"/>
        <v/>
      </c>
      <c r="AH289" s="393" t="str">
        <f t="shared" ca="1" si="66"/>
        <v/>
      </c>
      <c r="AI289" s="1143" t="str">
        <f t="shared" ca="1" si="54"/>
        <v/>
      </c>
      <c r="AJ289" s="395" t="str">
        <f t="shared" ca="1" si="67"/>
        <v/>
      </c>
      <c r="AK289" s="1144" t="str">
        <f t="shared" ca="1" si="73"/>
        <v/>
      </c>
      <c r="AL289" s="1143" t="str">
        <f t="shared" ca="1" si="68"/>
        <v/>
      </c>
    </row>
    <row r="290" spans="1:38" ht="18" customHeight="1">
      <c r="A290" s="1095" t="str">
        <f ca="1"/>
        <v/>
      </c>
      <c r="B290" s="399" t="str">
        <f ca="1"/>
        <v/>
      </c>
      <c r="C290" s="400" t="str">
        <f ca="1"/>
        <v/>
      </c>
      <c r="D290" s="400" t="str">
        <f ca="1"/>
        <v/>
      </c>
      <c r="E290" s="401" t="str">
        <f t="shared" ca="1" si="56"/>
        <v/>
      </c>
      <c r="N290" s="392" t="str">
        <f t="shared" ca="1" si="57"/>
        <v/>
      </c>
      <c r="O290" s="393" t="str">
        <f t="shared" ca="1" si="58"/>
        <v/>
      </c>
      <c r="P290" s="393" t="str">
        <f t="shared" ca="1" si="69"/>
        <v/>
      </c>
      <c r="Q290" s="393" t="str">
        <f t="shared" ca="1" si="59"/>
        <v/>
      </c>
      <c r="R290" s="394" t="str">
        <f t="shared" ca="1" si="70"/>
        <v/>
      </c>
      <c r="S290" s="395" t="str">
        <f t="shared" ca="1" si="60"/>
        <v/>
      </c>
      <c r="U290" s="392" t="str">
        <f t="shared" ca="1" si="61"/>
        <v/>
      </c>
      <c r="V290" s="393" t="str">
        <f t="shared" ca="1" si="62"/>
        <v/>
      </c>
      <c r="W290" s="394" t="str">
        <f t="shared" ca="1" si="63"/>
        <v/>
      </c>
      <c r="X290" s="392" t="str">
        <f t="shared" ca="1" si="64"/>
        <v/>
      </c>
      <c r="Y290" s="395" t="str">
        <f t="shared" ca="1" si="71"/>
        <v/>
      </c>
      <c r="Z290" s="1097"/>
      <c r="AA290" s="1108"/>
      <c r="AB290" s="1108"/>
      <c r="AC290" s="1108"/>
      <c r="AE290" s="1139" t="str">
        <f t="shared" ca="1" si="65"/>
        <v/>
      </c>
      <c r="AF290" s="393" t="str">
        <f t="shared" ca="1" si="53"/>
        <v/>
      </c>
      <c r="AG290" s="393" t="str">
        <f t="shared" ca="1" si="72"/>
        <v/>
      </c>
      <c r="AH290" s="393" t="str">
        <f t="shared" ca="1" si="66"/>
        <v/>
      </c>
      <c r="AI290" s="1143" t="str">
        <f t="shared" ca="1" si="54"/>
        <v/>
      </c>
      <c r="AJ290" s="395" t="str">
        <f t="shared" ca="1" si="67"/>
        <v/>
      </c>
      <c r="AK290" s="1144" t="str">
        <f t="shared" ca="1" si="73"/>
        <v/>
      </c>
      <c r="AL290" s="1143" t="str">
        <f t="shared" ca="1" si="68"/>
        <v/>
      </c>
    </row>
    <row r="291" spans="1:38" ht="18" customHeight="1">
      <c r="A291" s="1095" t="str">
        <f ca="1"/>
        <v/>
      </c>
      <c r="B291" s="399" t="str">
        <f ca="1"/>
        <v/>
      </c>
      <c r="C291" s="400" t="str">
        <f ca="1"/>
        <v/>
      </c>
      <c r="D291" s="400" t="str">
        <f ca="1"/>
        <v/>
      </c>
      <c r="E291" s="401" t="str">
        <f t="shared" ca="1" si="56"/>
        <v/>
      </c>
      <c r="N291" s="392" t="str">
        <f t="shared" ca="1" si="57"/>
        <v/>
      </c>
      <c r="O291" s="393" t="str">
        <f t="shared" ca="1" si="58"/>
        <v/>
      </c>
      <c r="P291" s="393" t="str">
        <f t="shared" ca="1" si="69"/>
        <v/>
      </c>
      <c r="Q291" s="393" t="str">
        <f t="shared" ca="1" si="59"/>
        <v/>
      </c>
      <c r="R291" s="394" t="str">
        <f t="shared" ca="1" si="70"/>
        <v/>
      </c>
      <c r="S291" s="395" t="str">
        <f t="shared" ca="1" si="60"/>
        <v/>
      </c>
      <c r="U291" s="392" t="str">
        <f t="shared" ca="1" si="61"/>
        <v/>
      </c>
      <c r="V291" s="393" t="str">
        <f t="shared" ca="1" si="62"/>
        <v/>
      </c>
      <c r="W291" s="394" t="str">
        <f t="shared" ca="1" si="63"/>
        <v/>
      </c>
      <c r="X291" s="392" t="str">
        <f t="shared" ca="1" si="64"/>
        <v/>
      </c>
      <c r="Y291" s="395" t="str">
        <f t="shared" ca="1" si="71"/>
        <v/>
      </c>
      <c r="Z291" s="1097"/>
      <c r="AA291" s="1108"/>
      <c r="AB291" s="1108"/>
      <c r="AC291" s="1108"/>
      <c r="AE291" s="1139" t="str">
        <f t="shared" ca="1" si="65"/>
        <v/>
      </c>
      <c r="AF291" s="393" t="str">
        <f t="shared" ca="1" si="53"/>
        <v/>
      </c>
      <c r="AG291" s="393" t="str">
        <f t="shared" ca="1" si="72"/>
        <v/>
      </c>
      <c r="AH291" s="393" t="str">
        <f t="shared" ca="1" si="66"/>
        <v/>
      </c>
      <c r="AI291" s="1143" t="str">
        <f t="shared" ca="1" si="54"/>
        <v/>
      </c>
      <c r="AJ291" s="395" t="str">
        <f t="shared" ca="1" si="67"/>
        <v/>
      </c>
      <c r="AK291" s="1144" t="str">
        <f t="shared" ca="1" si="73"/>
        <v/>
      </c>
      <c r="AL291" s="1143" t="str">
        <f t="shared" ca="1" si="68"/>
        <v/>
      </c>
    </row>
    <row r="292" spans="1:38" ht="18" customHeight="1">
      <c r="A292" s="1095" t="str">
        <f ca="1"/>
        <v/>
      </c>
      <c r="B292" s="399" t="str">
        <f ca="1"/>
        <v/>
      </c>
      <c r="C292" s="400" t="str">
        <f ca="1"/>
        <v/>
      </c>
      <c r="D292" s="400" t="str">
        <f ca="1"/>
        <v/>
      </c>
      <c r="E292" s="401" t="str">
        <f t="shared" ca="1" si="56"/>
        <v/>
      </c>
      <c r="N292" s="392" t="str">
        <f t="shared" ca="1" si="57"/>
        <v/>
      </c>
      <c r="O292" s="393" t="str">
        <f t="shared" ca="1" si="58"/>
        <v/>
      </c>
      <c r="P292" s="393" t="str">
        <f t="shared" ca="1" si="69"/>
        <v/>
      </c>
      <c r="Q292" s="393" t="str">
        <f t="shared" ca="1" si="59"/>
        <v/>
      </c>
      <c r="R292" s="394" t="str">
        <f t="shared" ca="1" si="70"/>
        <v/>
      </c>
      <c r="S292" s="395" t="str">
        <f t="shared" ca="1" si="60"/>
        <v/>
      </c>
      <c r="U292" s="392" t="str">
        <f t="shared" ca="1" si="61"/>
        <v/>
      </c>
      <c r="V292" s="393" t="str">
        <f t="shared" ca="1" si="62"/>
        <v/>
      </c>
      <c r="W292" s="394" t="str">
        <f t="shared" ca="1" si="63"/>
        <v/>
      </c>
      <c r="X292" s="392" t="str">
        <f t="shared" ca="1" si="64"/>
        <v/>
      </c>
      <c r="Y292" s="395" t="str">
        <f t="shared" ca="1" si="71"/>
        <v/>
      </c>
      <c r="Z292" s="1097"/>
      <c r="AA292" s="1108"/>
      <c r="AB292" s="1108"/>
      <c r="AC292" s="1108"/>
      <c r="AE292" s="1139" t="str">
        <f t="shared" ca="1" si="65"/>
        <v/>
      </c>
      <c r="AF292" s="393" t="str">
        <f t="shared" ca="1" si="53"/>
        <v/>
      </c>
      <c r="AG292" s="393" t="str">
        <f t="shared" ca="1" si="72"/>
        <v/>
      </c>
      <c r="AH292" s="393" t="str">
        <f t="shared" ca="1" si="66"/>
        <v/>
      </c>
      <c r="AI292" s="1143" t="str">
        <f t="shared" ca="1" si="54"/>
        <v/>
      </c>
      <c r="AJ292" s="395" t="str">
        <f t="shared" ca="1" si="67"/>
        <v/>
      </c>
      <c r="AK292" s="1144" t="str">
        <f t="shared" ca="1" si="73"/>
        <v/>
      </c>
      <c r="AL292" s="1143" t="str">
        <f t="shared" ca="1" si="68"/>
        <v/>
      </c>
    </row>
    <row r="293" spans="1:38" ht="18" customHeight="1">
      <c r="A293" s="1095" t="str">
        <f ca="1"/>
        <v/>
      </c>
      <c r="B293" s="399" t="str">
        <f ca="1"/>
        <v/>
      </c>
      <c r="C293" s="400" t="str">
        <f ca="1"/>
        <v/>
      </c>
      <c r="D293" s="400" t="str">
        <f ca="1"/>
        <v/>
      </c>
      <c r="E293" s="401" t="str">
        <f t="shared" ca="1" si="56"/>
        <v/>
      </c>
      <c r="N293" s="392" t="str">
        <f t="shared" ca="1" si="57"/>
        <v/>
      </c>
      <c r="O293" s="393" t="str">
        <f t="shared" ca="1" si="58"/>
        <v/>
      </c>
      <c r="P293" s="393" t="str">
        <f t="shared" ca="1" si="69"/>
        <v/>
      </c>
      <c r="Q293" s="393" t="str">
        <f t="shared" ca="1" si="59"/>
        <v/>
      </c>
      <c r="R293" s="394" t="str">
        <f t="shared" ca="1" si="70"/>
        <v/>
      </c>
      <c r="S293" s="395" t="str">
        <f t="shared" ca="1" si="60"/>
        <v/>
      </c>
      <c r="U293" s="392" t="str">
        <f t="shared" ca="1" si="61"/>
        <v/>
      </c>
      <c r="V293" s="393" t="str">
        <f t="shared" ca="1" si="62"/>
        <v/>
      </c>
      <c r="W293" s="394" t="str">
        <f t="shared" ca="1" si="63"/>
        <v/>
      </c>
      <c r="X293" s="392" t="str">
        <f t="shared" ca="1" si="64"/>
        <v/>
      </c>
      <c r="Y293" s="395" t="str">
        <f t="shared" ca="1" si="71"/>
        <v/>
      </c>
      <c r="Z293" s="1097"/>
      <c r="AA293" s="1108"/>
      <c r="AB293" s="1108"/>
      <c r="AC293" s="1108"/>
      <c r="AE293" s="1139" t="str">
        <f t="shared" ca="1" si="65"/>
        <v/>
      </c>
      <c r="AF293" s="393" t="str">
        <f t="shared" ca="1" si="53"/>
        <v/>
      </c>
      <c r="AG293" s="393" t="str">
        <f t="shared" ca="1" si="72"/>
        <v/>
      </c>
      <c r="AH293" s="393" t="str">
        <f t="shared" ca="1" si="66"/>
        <v/>
      </c>
      <c r="AI293" s="1143" t="str">
        <f t="shared" ca="1" si="54"/>
        <v/>
      </c>
      <c r="AJ293" s="395" t="str">
        <f t="shared" ca="1" si="67"/>
        <v/>
      </c>
      <c r="AK293" s="1144" t="str">
        <f t="shared" ca="1" si="73"/>
        <v/>
      </c>
      <c r="AL293" s="1143" t="str">
        <f t="shared" ca="1" si="68"/>
        <v/>
      </c>
    </row>
    <row r="294" spans="1:38" ht="18" customHeight="1">
      <c r="A294" s="1095" t="str">
        <f ca="1"/>
        <v/>
      </c>
      <c r="B294" s="399" t="str">
        <f ca="1"/>
        <v/>
      </c>
      <c r="C294" s="400" t="str">
        <f ca="1"/>
        <v/>
      </c>
      <c r="D294" s="400" t="str">
        <f ca="1"/>
        <v/>
      </c>
      <c r="E294" s="401" t="str">
        <f t="shared" ca="1" si="56"/>
        <v/>
      </c>
      <c r="N294" s="392" t="str">
        <f t="shared" ca="1" si="57"/>
        <v/>
      </c>
      <c r="O294" s="393" t="str">
        <f t="shared" ca="1" si="58"/>
        <v/>
      </c>
      <c r="P294" s="393" t="str">
        <f t="shared" ca="1" si="69"/>
        <v/>
      </c>
      <c r="Q294" s="393" t="str">
        <f t="shared" ca="1" si="59"/>
        <v/>
      </c>
      <c r="R294" s="394" t="str">
        <f t="shared" ca="1" si="70"/>
        <v/>
      </c>
      <c r="S294" s="395" t="str">
        <f t="shared" ca="1" si="60"/>
        <v/>
      </c>
      <c r="U294" s="392" t="str">
        <f t="shared" ca="1" si="61"/>
        <v/>
      </c>
      <c r="V294" s="393" t="str">
        <f ca="1">IF(U294="","",MIN($C$26*$C$32*E294,$C$34)*U294/MAX($U$233:$U$306)/2^0.5)</f>
        <v/>
      </c>
      <c r="W294" s="394" t="str">
        <f t="shared" ca="1" si="63"/>
        <v/>
      </c>
      <c r="X294" s="392" t="str">
        <f t="shared" ca="1" si="64"/>
        <v/>
      </c>
      <c r="Y294" s="395" t="str">
        <f t="shared" ca="1" si="71"/>
        <v/>
      </c>
      <c r="Z294" s="1097"/>
      <c r="AA294" s="1108"/>
      <c r="AB294" s="1108"/>
      <c r="AC294" s="1108"/>
      <c r="AE294" s="1139" t="str">
        <f t="shared" ca="1" si="65"/>
        <v/>
      </c>
      <c r="AF294" s="393" t="str">
        <f t="shared" ca="1" si="53"/>
        <v/>
      </c>
      <c r="AG294" s="393" t="str">
        <f t="shared" ca="1" si="72"/>
        <v/>
      </c>
      <c r="AH294" s="393" t="str">
        <f t="shared" ca="1" si="66"/>
        <v/>
      </c>
      <c r="AI294" s="1143" t="str">
        <f t="shared" ca="1" si="54"/>
        <v/>
      </c>
      <c r="AJ294" s="395" t="str">
        <f t="shared" ca="1" si="67"/>
        <v/>
      </c>
      <c r="AK294" s="1144" t="str">
        <f t="shared" ca="1" si="73"/>
        <v/>
      </c>
      <c r="AL294" s="1143" t="str">
        <f t="shared" ca="1" si="68"/>
        <v/>
      </c>
    </row>
    <row r="295" spans="1:38" ht="18" customHeight="1">
      <c r="A295" s="1095" t="str">
        <f ca="1"/>
        <v/>
      </c>
      <c r="B295" s="399" t="str">
        <f ca="1"/>
        <v/>
      </c>
      <c r="C295" s="400" t="str">
        <f ca="1"/>
        <v/>
      </c>
      <c r="D295" s="400" t="str">
        <f ca="1"/>
        <v/>
      </c>
      <c r="E295" s="401" t="str">
        <f t="shared" ca="1" si="56"/>
        <v/>
      </c>
      <c r="N295" s="392" t="str">
        <f t="shared" ca="1" si="57"/>
        <v/>
      </c>
      <c r="O295" s="393" t="str">
        <f t="shared" ca="1" si="58"/>
        <v/>
      </c>
      <c r="P295" s="393" t="str">
        <f t="shared" ca="1" si="69"/>
        <v/>
      </c>
      <c r="Q295" s="393" t="str">
        <f t="shared" ca="1" si="59"/>
        <v/>
      </c>
      <c r="R295" s="394" t="str">
        <f t="shared" ca="1" si="70"/>
        <v/>
      </c>
      <c r="S295" s="395" t="str">
        <f t="shared" ca="1" si="60"/>
        <v/>
      </c>
      <c r="U295" s="392" t="str">
        <f t="shared" ca="1" si="61"/>
        <v/>
      </c>
      <c r="V295" s="393" t="str">
        <f t="shared" ca="1" si="62"/>
        <v/>
      </c>
      <c r="W295" s="394" t="str">
        <f t="shared" ca="1" si="63"/>
        <v/>
      </c>
      <c r="X295" s="392" t="str">
        <f t="shared" ca="1" si="64"/>
        <v/>
      </c>
      <c r="Y295" s="395" t="str">
        <f t="shared" ca="1" si="71"/>
        <v/>
      </c>
      <c r="Z295" s="1097"/>
      <c r="AA295" s="1108"/>
      <c r="AB295" s="1108"/>
      <c r="AC295" s="1108"/>
      <c r="AE295" s="1139" t="str">
        <f t="shared" ca="1" si="65"/>
        <v/>
      </c>
      <c r="AF295" s="393" t="str">
        <f t="shared" ref="AF295:AF309" ca="1" si="74">IF(AE295="","",IF($C$17="unten",C295,IF($C$17="oben",$C$14-C295)))</f>
        <v/>
      </c>
      <c r="AG295" s="393" t="str">
        <f t="shared" ca="1" si="72"/>
        <v/>
      </c>
      <c r="AH295" s="393" t="str">
        <f t="shared" ca="1" si="66"/>
        <v/>
      </c>
      <c r="AI295" s="1143" t="str">
        <f t="shared" ref="AI295:AI306" ca="1" si="75">IF(AF295="","",AL295*$AK$313/AK295)</f>
        <v/>
      </c>
      <c r="AJ295" s="395" t="str">
        <f t="shared" ca="1" si="67"/>
        <v/>
      </c>
      <c r="AK295" s="1144" t="str">
        <f t="shared" ca="1" si="73"/>
        <v/>
      </c>
      <c r="AL295" s="1143" t="str">
        <f t="shared" ca="1" si="68"/>
        <v/>
      </c>
    </row>
    <row r="296" spans="1:38" ht="18" customHeight="1">
      <c r="A296" s="1095" t="str">
        <f ca="1"/>
        <v/>
      </c>
      <c r="B296" s="399" t="str">
        <f ca="1"/>
        <v/>
      </c>
      <c r="C296" s="400" t="str">
        <f ca="1"/>
        <v/>
      </c>
      <c r="D296" s="400" t="str">
        <f ca="1"/>
        <v/>
      </c>
      <c r="E296" s="401" t="str">
        <f t="shared" ca="1" si="56"/>
        <v/>
      </c>
      <c r="N296" s="392" t="str">
        <f t="shared" ca="1" si="57"/>
        <v/>
      </c>
      <c r="O296" s="393" t="str">
        <f t="shared" ca="1" si="58"/>
        <v/>
      </c>
      <c r="P296" s="393" t="str">
        <f t="shared" ca="1" si="69"/>
        <v/>
      </c>
      <c r="Q296" s="393" t="str">
        <f t="shared" ca="1" si="59"/>
        <v/>
      </c>
      <c r="R296" s="394" t="str">
        <f t="shared" ca="1" si="70"/>
        <v/>
      </c>
      <c r="S296" s="395" t="str">
        <f t="shared" ca="1" si="60"/>
        <v/>
      </c>
      <c r="U296" s="392" t="str">
        <f t="shared" ca="1" si="61"/>
        <v/>
      </c>
      <c r="V296" s="393" t="str">
        <f t="shared" ca="1" si="62"/>
        <v/>
      </c>
      <c r="W296" s="394" t="str">
        <f t="shared" ca="1" si="63"/>
        <v/>
      </c>
      <c r="X296" s="392" t="str">
        <f t="shared" ca="1" si="64"/>
        <v/>
      </c>
      <c r="Y296" s="395" t="str">
        <f t="shared" ca="1" si="71"/>
        <v/>
      </c>
      <c r="Z296" s="1097"/>
      <c r="AA296" s="1108"/>
      <c r="AB296" s="1108"/>
      <c r="AC296" s="1108"/>
      <c r="AE296" s="1139" t="str">
        <f t="shared" ca="1" si="65"/>
        <v/>
      </c>
      <c r="AF296" s="393" t="str">
        <f t="shared" ca="1" si="74"/>
        <v/>
      </c>
      <c r="AG296" s="393" t="str">
        <f t="shared" ca="1" si="72"/>
        <v/>
      </c>
      <c r="AH296" s="393" t="str">
        <f t="shared" ca="1" si="66"/>
        <v/>
      </c>
      <c r="AI296" s="1143" t="str">
        <f t="shared" ca="1" si="75"/>
        <v/>
      </c>
      <c r="AJ296" s="395" t="str">
        <f t="shared" ca="1" si="67"/>
        <v/>
      </c>
      <c r="AK296" s="1144" t="str">
        <f t="shared" ca="1" si="73"/>
        <v/>
      </c>
      <c r="AL296" s="1143" t="str">
        <f t="shared" ca="1" si="68"/>
        <v/>
      </c>
    </row>
    <row r="297" spans="1:38" ht="18" customHeight="1">
      <c r="A297" s="1095" t="str">
        <f ca="1"/>
        <v/>
      </c>
      <c r="B297" s="399" t="str">
        <f ca="1"/>
        <v/>
      </c>
      <c r="C297" s="400" t="str">
        <f ca="1"/>
        <v/>
      </c>
      <c r="D297" s="400" t="str">
        <f ca="1"/>
        <v/>
      </c>
      <c r="E297" s="401" t="str">
        <f t="shared" ref="E297:E306" ca="1" si="76">IF(A297=90,$C$45-D297,IF(A297=45,$C$44-D297,""))</f>
        <v/>
      </c>
      <c r="N297" s="392" t="str">
        <f t="shared" ref="N297:N306" ca="1" si="77">IF(OR(A297=90),IF($C$17="unten",IF($U$16&gt;C297,"",C297-$U$16),IF($C$17="oben",IF($U$16&gt;$C$14-C297,"",$C$14-C297-$U$16))),"")</f>
        <v/>
      </c>
      <c r="O297" s="393" t="str">
        <f t="shared" ref="O297:O306" ca="1" si="78">IF(N297="","",IF($C$17="unten",C297,IF($C$17="oben",$C$14-C297)))</f>
        <v/>
      </c>
      <c r="P297" s="393" t="str">
        <f t="shared" ca="1" si="69"/>
        <v/>
      </c>
      <c r="Q297" s="393" t="str">
        <f t="shared" ref="Q297:Q306" ca="1" si="79">IF(N297="","",$C$43*$C$49*E297/$C$50)</f>
        <v/>
      </c>
      <c r="R297" s="394" t="str">
        <f t="shared" ca="1" si="70"/>
        <v/>
      </c>
      <c r="S297" s="395" t="str">
        <f t="shared" ref="S297:S306" ca="1" si="80">IF(N297="","",P297*$R$316/E297)</f>
        <v/>
      </c>
      <c r="U297" s="392" t="str">
        <f t="shared" ref="U297:U306" ca="1" si="81">IF(OR(A297=45),IF($C$17="unten",IF($U$16&gt;C297,"",C297-$U$16),IF($C$17="oben",IF($U$16&gt;$C$14-C297,"",$C$14-C297-$U$16))),"")</f>
        <v/>
      </c>
      <c r="V297" s="393" t="str">
        <f t="shared" ref="V297:V306" ca="1" si="82">IF(U297="","",MIN($C$26*$C$32*E297,$C$34)*U297/MAX($U$233:$U$306)/2^0.5)</f>
        <v/>
      </c>
      <c r="W297" s="394" t="str">
        <f t="shared" ref="W297:W306" ca="1" si="83">IF(U297="","",$C$50*U297/MAX($U$233:$U$306)/2^0.5)</f>
        <v/>
      </c>
      <c r="X297" s="392" t="str">
        <f t="shared" ref="X297:X306" ca="1" si="84">IF(A297=45,IF($C$17="unten",ABS(C297-$U$16),IF($C$17="oben",ABS($C$14-C297-$U$16))),"")</f>
        <v/>
      </c>
      <c r="Y297" s="395" t="str">
        <f t="shared" ca="1" si="71"/>
        <v/>
      </c>
      <c r="Z297" s="1097"/>
      <c r="AA297" s="1108"/>
      <c r="AB297" s="1108"/>
      <c r="AC297" s="1108"/>
      <c r="AE297" s="1139" t="str">
        <f t="shared" ref="AE297:AE306" ca="1" si="85">IF(OR(A297=90),IF($C$17="unten",IF($AL$16&gt;=C297,"",C297-$AL$16),IF($C$17="oben",IF($AL$16&gt;=$C$14-C297,"",$C$14-C297-$AL$16))),"")</f>
        <v/>
      </c>
      <c r="AF297" s="393" t="str">
        <f t="shared" ca="1" si="74"/>
        <v/>
      </c>
      <c r="AG297" s="393" t="str">
        <f t="shared" ca="1" si="72"/>
        <v/>
      </c>
      <c r="AH297" s="393" t="str">
        <f t="shared" ref="AH297:AH306" ca="1" si="86">IF(AE297="","",$C$43*$C$49*E297/$C$50)</f>
        <v/>
      </c>
      <c r="AI297" s="1143" t="str">
        <f t="shared" ca="1" si="75"/>
        <v/>
      </c>
      <c r="AJ297" s="395" t="str">
        <f t="shared" ref="AJ297:AJ306" ca="1" si="87">IF(AE297="","",AG297*$AJ$316/E297)</f>
        <v/>
      </c>
      <c r="AK297" s="1144" t="str">
        <f t="shared" ca="1" si="73"/>
        <v/>
      </c>
      <c r="AL297" s="1143" t="str">
        <f t="shared" ref="AL297:AL306" ca="1" si="88">IF(AE297="","",$C$33*AE297/MAX($AE$233:$AE$306))</f>
        <v/>
      </c>
    </row>
    <row r="298" spans="1:38" ht="18" customHeight="1">
      <c r="A298" s="1095" t="str">
        <f ca="1"/>
        <v/>
      </c>
      <c r="B298" s="399" t="str">
        <f ca="1"/>
        <v/>
      </c>
      <c r="C298" s="400" t="str">
        <f ca="1"/>
        <v/>
      </c>
      <c r="D298" s="400" t="str">
        <f ca="1"/>
        <v/>
      </c>
      <c r="E298" s="401" t="str">
        <f t="shared" ca="1" si="76"/>
        <v/>
      </c>
      <c r="N298" s="392" t="str">
        <f t="shared" ca="1" si="77"/>
        <v/>
      </c>
      <c r="O298" s="393" t="str">
        <f t="shared" ca="1" si="78"/>
        <v/>
      </c>
      <c r="P298" s="393" t="str">
        <f t="shared" ref="P298:P306" ca="1" si="89">IF(N298="","",MIN($C$43*$C$49*E298,$C$51)*N298/MAX($N$233:$N$306))</f>
        <v/>
      </c>
      <c r="Q298" s="393" t="str">
        <f t="shared" ca="1" si="79"/>
        <v/>
      </c>
      <c r="R298" s="394" t="str">
        <f t="shared" ref="R298:R306" ca="1" si="90">IF(N298="","",P298/Q298)</f>
        <v/>
      </c>
      <c r="S298" s="395" t="str">
        <f t="shared" ca="1" si="80"/>
        <v/>
      </c>
      <c r="U298" s="392" t="str">
        <f t="shared" ca="1" si="81"/>
        <v/>
      </c>
      <c r="V298" s="393" t="str">
        <f t="shared" ca="1" si="82"/>
        <v/>
      </c>
      <c r="W298" s="394" t="str">
        <f t="shared" ca="1" si="83"/>
        <v/>
      </c>
      <c r="X298" s="392" t="str">
        <f t="shared" ca="1" si="84"/>
        <v/>
      </c>
      <c r="Y298" s="395" t="str">
        <f t="shared" ref="Y298:Y306" ca="1" si="91">IF(U298="","",(X298)^2)</f>
        <v/>
      </c>
      <c r="Z298" s="1097"/>
      <c r="AA298" s="1108"/>
      <c r="AB298" s="1108"/>
      <c r="AC298" s="1108"/>
      <c r="AE298" s="1139" t="str">
        <f t="shared" ca="1" si="85"/>
        <v/>
      </c>
      <c r="AF298" s="393" t="str">
        <f t="shared" ca="1" si="74"/>
        <v/>
      </c>
      <c r="AG298" s="393" t="str">
        <f t="shared" ca="1" si="72"/>
        <v/>
      </c>
      <c r="AH298" s="393" t="str">
        <f t="shared" ca="1" si="86"/>
        <v/>
      </c>
      <c r="AI298" s="1143" t="str">
        <f t="shared" ca="1" si="75"/>
        <v/>
      </c>
      <c r="AJ298" s="395" t="str">
        <f t="shared" ca="1" si="87"/>
        <v/>
      </c>
      <c r="AK298" s="1144" t="str">
        <f t="shared" ca="1" si="73"/>
        <v/>
      </c>
      <c r="AL298" s="1143" t="str">
        <f t="shared" ca="1" si="88"/>
        <v/>
      </c>
    </row>
    <row r="299" spans="1:38" ht="18" customHeight="1">
      <c r="A299" s="1095" t="str">
        <f ca="1"/>
        <v/>
      </c>
      <c r="B299" s="399" t="str">
        <f ca="1"/>
        <v/>
      </c>
      <c r="C299" s="400" t="str">
        <f ca="1"/>
        <v/>
      </c>
      <c r="D299" s="400" t="str">
        <f ca="1"/>
        <v/>
      </c>
      <c r="E299" s="401" t="str">
        <f t="shared" ca="1" si="76"/>
        <v/>
      </c>
      <c r="N299" s="392" t="str">
        <f t="shared" ca="1" si="77"/>
        <v/>
      </c>
      <c r="O299" s="393" t="str">
        <f t="shared" ca="1" si="78"/>
        <v/>
      </c>
      <c r="P299" s="393" t="str">
        <f t="shared" ca="1" si="89"/>
        <v/>
      </c>
      <c r="Q299" s="393" t="str">
        <f t="shared" ca="1" si="79"/>
        <v/>
      </c>
      <c r="R299" s="394" t="str">
        <f t="shared" ca="1" si="90"/>
        <v/>
      </c>
      <c r="S299" s="395" t="str">
        <f t="shared" ca="1" si="80"/>
        <v/>
      </c>
      <c r="U299" s="392" t="str">
        <f t="shared" ca="1" si="81"/>
        <v/>
      </c>
      <c r="V299" s="393" t="str">
        <f t="shared" ca="1" si="82"/>
        <v/>
      </c>
      <c r="W299" s="394" t="str">
        <f t="shared" ca="1" si="83"/>
        <v/>
      </c>
      <c r="X299" s="392" t="str">
        <f t="shared" ca="1" si="84"/>
        <v/>
      </c>
      <c r="Y299" s="395" t="str">
        <f t="shared" ca="1" si="91"/>
        <v/>
      </c>
      <c r="Z299" s="1097"/>
      <c r="AA299" s="1108"/>
      <c r="AB299" s="1108"/>
      <c r="AC299" s="1108"/>
      <c r="AE299" s="1139" t="str">
        <f t="shared" ca="1" si="85"/>
        <v/>
      </c>
      <c r="AF299" s="393" t="str">
        <f t="shared" ca="1" si="74"/>
        <v/>
      </c>
      <c r="AG299" s="393" t="str">
        <f t="shared" ref="AG299:AG306" ca="1" si="92">IF(AF299="","",AH299*AI299)</f>
        <v/>
      </c>
      <c r="AH299" s="393" t="str">
        <f t="shared" ca="1" si="86"/>
        <v/>
      </c>
      <c r="AI299" s="1143" t="str">
        <f t="shared" ca="1" si="75"/>
        <v/>
      </c>
      <c r="AJ299" s="395" t="str">
        <f t="shared" ca="1" si="87"/>
        <v/>
      </c>
      <c r="AK299" s="1144" t="str">
        <f t="shared" ref="AK299:AK309" ca="1" si="93">IF(AE299="","",AL299/AE299)</f>
        <v/>
      </c>
      <c r="AL299" s="1143" t="str">
        <f t="shared" ca="1" si="88"/>
        <v/>
      </c>
    </row>
    <row r="300" spans="1:38" ht="18" customHeight="1">
      <c r="A300" s="1095" t="str">
        <f ca="1"/>
        <v/>
      </c>
      <c r="B300" s="399" t="str">
        <f ca="1"/>
        <v/>
      </c>
      <c r="C300" s="400" t="str">
        <f ca="1"/>
        <v/>
      </c>
      <c r="D300" s="400" t="str">
        <f ca="1"/>
        <v/>
      </c>
      <c r="E300" s="401" t="str">
        <f t="shared" ca="1" si="76"/>
        <v/>
      </c>
      <c r="N300" s="392" t="str">
        <f t="shared" ca="1" si="77"/>
        <v/>
      </c>
      <c r="O300" s="393" t="str">
        <f t="shared" ca="1" si="78"/>
        <v/>
      </c>
      <c r="P300" s="393" t="str">
        <f t="shared" ca="1" si="89"/>
        <v/>
      </c>
      <c r="Q300" s="393" t="str">
        <f t="shared" ca="1" si="79"/>
        <v/>
      </c>
      <c r="R300" s="394" t="str">
        <f t="shared" ca="1" si="90"/>
        <v/>
      </c>
      <c r="S300" s="395" t="str">
        <f t="shared" ca="1" si="80"/>
        <v/>
      </c>
      <c r="U300" s="392" t="str">
        <f t="shared" ca="1" si="81"/>
        <v/>
      </c>
      <c r="V300" s="393" t="str">
        <f t="shared" ca="1" si="82"/>
        <v/>
      </c>
      <c r="W300" s="394" t="str">
        <f t="shared" ca="1" si="83"/>
        <v/>
      </c>
      <c r="X300" s="392" t="str">
        <f t="shared" ca="1" si="84"/>
        <v/>
      </c>
      <c r="Y300" s="395" t="str">
        <f t="shared" ca="1" si="91"/>
        <v/>
      </c>
      <c r="Z300" s="1097"/>
      <c r="AA300" s="1108"/>
      <c r="AB300" s="1108"/>
      <c r="AC300" s="1108"/>
      <c r="AE300" s="1139" t="str">
        <f t="shared" ca="1" si="85"/>
        <v/>
      </c>
      <c r="AF300" s="393" t="str">
        <f t="shared" ca="1" si="74"/>
        <v/>
      </c>
      <c r="AG300" s="393" t="str">
        <f t="shared" ca="1" si="92"/>
        <v/>
      </c>
      <c r="AH300" s="393" t="str">
        <f t="shared" ca="1" si="86"/>
        <v/>
      </c>
      <c r="AI300" s="1143" t="str">
        <f t="shared" ca="1" si="75"/>
        <v/>
      </c>
      <c r="AJ300" s="395" t="str">
        <f t="shared" ca="1" si="87"/>
        <v/>
      </c>
      <c r="AK300" s="1144" t="str">
        <f t="shared" ca="1" si="93"/>
        <v/>
      </c>
      <c r="AL300" s="1143" t="str">
        <f t="shared" ca="1" si="88"/>
        <v/>
      </c>
    </row>
    <row r="301" spans="1:38" ht="18" customHeight="1">
      <c r="A301" s="1095" t="str">
        <f ca="1"/>
        <v/>
      </c>
      <c r="B301" s="399" t="str">
        <f ca="1"/>
        <v/>
      </c>
      <c r="C301" s="400" t="str">
        <f ca="1"/>
        <v/>
      </c>
      <c r="D301" s="400" t="str">
        <f ca="1"/>
        <v/>
      </c>
      <c r="E301" s="401" t="str">
        <f t="shared" ca="1" si="76"/>
        <v/>
      </c>
      <c r="N301" s="392" t="str">
        <f t="shared" ca="1" si="77"/>
        <v/>
      </c>
      <c r="O301" s="393" t="str">
        <f t="shared" ca="1" si="78"/>
        <v/>
      </c>
      <c r="P301" s="393" t="str">
        <f t="shared" ca="1" si="89"/>
        <v/>
      </c>
      <c r="Q301" s="393" t="str">
        <f t="shared" ca="1" si="79"/>
        <v/>
      </c>
      <c r="R301" s="394" t="str">
        <f t="shared" ca="1" si="90"/>
        <v/>
      </c>
      <c r="S301" s="395" t="str">
        <f t="shared" ca="1" si="80"/>
        <v/>
      </c>
      <c r="U301" s="392" t="str">
        <f t="shared" ca="1" si="81"/>
        <v/>
      </c>
      <c r="V301" s="393" t="str">
        <f t="shared" ca="1" si="82"/>
        <v/>
      </c>
      <c r="W301" s="394" t="str">
        <f t="shared" ca="1" si="83"/>
        <v/>
      </c>
      <c r="X301" s="392" t="str">
        <f t="shared" ca="1" si="84"/>
        <v/>
      </c>
      <c r="Y301" s="395" t="str">
        <f t="shared" ca="1" si="91"/>
        <v/>
      </c>
      <c r="Z301" s="1097"/>
      <c r="AA301" s="1108"/>
      <c r="AB301" s="1108"/>
      <c r="AC301" s="1108"/>
      <c r="AE301" s="1139" t="str">
        <f t="shared" ca="1" si="85"/>
        <v/>
      </c>
      <c r="AF301" s="393" t="str">
        <f t="shared" ca="1" si="74"/>
        <v/>
      </c>
      <c r="AG301" s="393" t="str">
        <f t="shared" ca="1" si="92"/>
        <v/>
      </c>
      <c r="AH301" s="393" t="str">
        <f t="shared" ca="1" si="86"/>
        <v/>
      </c>
      <c r="AI301" s="1143" t="str">
        <f t="shared" ca="1" si="75"/>
        <v/>
      </c>
      <c r="AJ301" s="395" t="str">
        <f t="shared" ca="1" si="87"/>
        <v/>
      </c>
      <c r="AK301" s="1144" t="str">
        <f t="shared" ca="1" si="93"/>
        <v/>
      </c>
      <c r="AL301" s="1143" t="str">
        <f t="shared" ca="1" si="88"/>
        <v/>
      </c>
    </row>
    <row r="302" spans="1:38" ht="18" customHeight="1">
      <c r="A302" s="1095" t="str">
        <f ca="1"/>
        <v/>
      </c>
      <c r="B302" s="399" t="str">
        <f ca="1"/>
        <v/>
      </c>
      <c r="C302" s="400" t="str">
        <f ca="1"/>
        <v/>
      </c>
      <c r="D302" s="400" t="str">
        <f ca="1"/>
        <v/>
      </c>
      <c r="E302" s="401" t="str">
        <f t="shared" ca="1" si="76"/>
        <v/>
      </c>
      <c r="N302" s="392" t="str">
        <f t="shared" ca="1" si="77"/>
        <v/>
      </c>
      <c r="O302" s="393" t="str">
        <f t="shared" ca="1" si="78"/>
        <v/>
      </c>
      <c r="P302" s="393" t="str">
        <f t="shared" ca="1" si="89"/>
        <v/>
      </c>
      <c r="Q302" s="393" t="str">
        <f t="shared" ca="1" si="79"/>
        <v/>
      </c>
      <c r="R302" s="394" t="str">
        <f t="shared" ca="1" si="90"/>
        <v/>
      </c>
      <c r="S302" s="395" t="str">
        <f t="shared" ca="1" si="80"/>
        <v/>
      </c>
      <c r="U302" s="392" t="str">
        <f t="shared" ca="1" si="81"/>
        <v/>
      </c>
      <c r="V302" s="393" t="str">
        <f t="shared" ca="1" si="82"/>
        <v/>
      </c>
      <c r="W302" s="394" t="str">
        <f t="shared" ca="1" si="83"/>
        <v/>
      </c>
      <c r="X302" s="392" t="str">
        <f t="shared" ca="1" si="84"/>
        <v/>
      </c>
      <c r="Y302" s="395" t="str">
        <f t="shared" ca="1" si="91"/>
        <v/>
      </c>
      <c r="Z302" s="1097"/>
      <c r="AA302" s="1108"/>
      <c r="AB302" s="1108"/>
      <c r="AC302" s="1108"/>
      <c r="AE302" s="1139" t="str">
        <f t="shared" ca="1" si="85"/>
        <v/>
      </c>
      <c r="AF302" s="393" t="str">
        <f t="shared" ca="1" si="74"/>
        <v/>
      </c>
      <c r="AG302" s="393" t="str">
        <f t="shared" ca="1" si="92"/>
        <v/>
      </c>
      <c r="AH302" s="393" t="str">
        <f t="shared" ca="1" si="86"/>
        <v/>
      </c>
      <c r="AI302" s="1143" t="str">
        <f t="shared" ca="1" si="75"/>
        <v/>
      </c>
      <c r="AJ302" s="395" t="str">
        <f t="shared" ca="1" si="87"/>
        <v/>
      </c>
      <c r="AK302" s="1144" t="str">
        <f t="shared" ca="1" si="93"/>
        <v/>
      </c>
      <c r="AL302" s="1143" t="str">
        <f t="shared" ca="1" si="88"/>
        <v/>
      </c>
    </row>
    <row r="303" spans="1:38" ht="18" customHeight="1">
      <c r="A303" s="1095" t="str">
        <f ca="1"/>
        <v/>
      </c>
      <c r="B303" s="399" t="str">
        <f ca="1"/>
        <v/>
      </c>
      <c r="C303" s="400" t="str">
        <f ca="1"/>
        <v/>
      </c>
      <c r="D303" s="400" t="str">
        <f ca="1"/>
        <v/>
      </c>
      <c r="E303" s="401" t="str">
        <f t="shared" ca="1" si="76"/>
        <v/>
      </c>
      <c r="N303" s="392" t="str">
        <f t="shared" ca="1" si="77"/>
        <v/>
      </c>
      <c r="O303" s="393" t="str">
        <f t="shared" ca="1" si="78"/>
        <v/>
      </c>
      <c r="P303" s="393" t="str">
        <f t="shared" ca="1" si="89"/>
        <v/>
      </c>
      <c r="Q303" s="393" t="str">
        <f t="shared" ca="1" si="79"/>
        <v/>
      </c>
      <c r="R303" s="394" t="str">
        <f t="shared" ca="1" si="90"/>
        <v/>
      </c>
      <c r="S303" s="395" t="str">
        <f t="shared" ca="1" si="80"/>
        <v/>
      </c>
      <c r="U303" s="392" t="str">
        <f t="shared" ca="1" si="81"/>
        <v/>
      </c>
      <c r="V303" s="393" t="str">
        <f t="shared" ca="1" si="82"/>
        <v/>
      </c>
      <c r="W303" s="394" t="str">
        <f t="shared" ca="1" si="83"/>
        <v/>
      </c>
      <c r="X303" s="392" t="str">
        <f t="shared" ca="1" si="84"/>
        <v/>
      </c>
      <c r="Y303" s="395" t="str">
        <f t="shared" ca="1" si="91"/>
        <v/>
      </c>
      <c r="Z303" s="1097"/>
      <c r="AA303" s="1108"/>
      <c r="AB303" s="1108"/>
      <c r="AC303" s="1108"/>
      <c r="AE303" s="1139" t="str">
        <f t="shared" ca="1" si="85"/>
        <v/>
      </c>
      <c r="AF303" s="393" t="str">
        <f t="shared" ca="1" si="74"/>
        <v/>
      </c>
      <c r="AG303" s="393" t="str">
        <f t="shared" ca="1" si="92"/>
        <v/>
      </c>
      <c r="AH303" s="393" t="str">
        <f t="shared" ca="1" si="86"/>
        <v/>
      </c>
      <c r="AI303" s="1143" t="str">
        <f t="shared" ca="1" si="75"/>
        <v/>
      </c>
      <c r="AJ303" s="395" t="str">
        <f t="shared" ca="1" si="87"/>
        <v/>
      </c>
      <c r="AK303" s="1144" t="str">
        <f t="shared" ca="1" si="93"/>
        <v/>
      </c>
      <c r="AL303" s="1143" t="str">
        <f t="shared" ca="1" si="88"/>
        <v/>
      </c>
    </row>
    <row r="304" spans="1:38" ht="18" customHeight="1">
      <c r="A304" s="1095" t="str">
        <f ca="1"/>
        <v/>
      </c>
      <c r="B304" s="399" t="str">
        <f ca="1"/>
        <v/>
      </c>
      <c r="C304" s="400" t="str">
        <f ca="1"/>
        <v/>
      </c>
      <c r="D304" s="400" t="str">
        <f ca="1"/>
        <v/>
      </c>
      <c r="E304" s="401" t="str">
        <f t="shared" ca="1" si="76"/>
        <v/>
      </c>
      <c r="N304" s="392" t="str">
        <f t="shared" ca="1" si="77"/>
        <v/>
      </c>
      <c r="O304" s="393" t="str">
        <f t="shared" ca="1" si="78"/>
        <v/>
      </c>
      <c r="P304" s="393" t="str">
        <f t="shared" ca="1" si="89"/>
        <v/>
      </c>
      <c r="Q304" s="393" t="str">
        <f t="shared" ca="1" si="79"/>
        <v/>
      </c>
      <c r="R304" s="394" t="str">
        <f t="shared" ca="1" si="90"/>
        <v/>
      </c>
      <c r="S304" s="395" t="str">
        <f t="shared" ca="1" si="80"/>
        <v/>
      </c>
      <c r="U304" s="392" t="str">
        <f t="shared" ca="1" si="81"/>
        <v/>
      </c>
      <c r="V304" s="393" t="str">
        <f t="shared" ca="1" si="82"/>
        <v/>
      </c>
      <c r="W304" s="394" t="str">
        <f t="shared" ca="1" si="83"/>
        <v/>
      </c>
      <c r="X304" s="392" t="str">
        <f t="shared" ca="1" si="84"/>
        <v/>
      </c>
      <c r="Y304" s="395" t="str">
        <f t="shared" ca="1" si="91"/>
        <v/>
      </c>
      <c r="Z304" s="1097"/>
      <c r="AA304" s="1108"/>
      <c r="AB304" s="1108"/>
      <c r="AC304" s="1108"/>
      <c r="AE304" s="1139" t="str">
        <f t="shared" ca="1" si="85"/>
        <v/>
      </c>
      <c r="AF304" s="393" t="str">
        <f t="shared" ca="1" si="74"/>
        <v/>
      </c>
      <c r="AG304" s="393" t="str">
        <f t="shared" ca="1" si="92"/>
        <v/>
      </c>
      <c r="AH304" s="393" t="str">
        <f t="shared" ca="1" si="86"/>
        <v/>
      </c>
      <c r="AI304" s="1143" t="str">
        <f t="shared" ca="1" si="75"/>
        <v/>
      </c>
      <c r="AJ304" s="395" t="str">
        <f t="shared" ca="1" si="87"/>
        <v/>
      </c>
      <c r="AK304" s="1144" t="str">
        <f t="shared" ca="1" si="93"/>
        <v/>
      </c>
      <c r="AL304" s="1143" t="str">
        <f t="shared" ca="1" si="88"/>
        <v/>
      </c>
    </row>
    <row r="305" spans="1:51" ht="18" customHeight="1">
      <c r="A305" s="1095" t="str">
        <f ca="1"/>
        <v/>
      </c>
      <c r="B305" s="399" t="str">
        <f ca="1"/>
        <v/>
      </c>
      <c r="C305" s="400" t="str">
        <f ca="1"/>
        <v/>
      </c>
      <c r="D305" s="400" t="str">
        <f ca="1"/>
        <v/>
      </c>
      <c r="E305" s="401" t="str">
        <f t="shared" ca="1" si="76"/>
        <v/>
      </c>
      <c r="N305" s="392" t="str">
        <f t="shared" ca="1" si="77"/>
        <v/>
      </c>
      <c r="O305" s="393" t="str">
        <f t="shared" ca="1" si="78"/>
        <v/>
      </c>
      <c r="P305" s="393" t="str">
        <f t="shared" ca="1" si="89"/>
        <v/>
      </c>
      <c r="Q305" s="393" t="str">
        <f t="shared" ca="1" si="79"/>
        <v/>
      </c>
      <c r="R305" s="394" t="str">
        <f t="shared" ca="1" si="90"/>
        <v/>
      </c>
      <c r="S305" s="395" t="str">
        <f t="shared" ca="1" si="80"/>
        <v/>
      </c>
      <c r="U305" s="392" t="str">
        <f t="shared" ca="1" si="81"/>
        <v/>
      </c>
      <c r="V305" s="393" t="str">
        <f t="shared" ca="1" si="82"/>
        <v/>
      </c>
      <c r="W305" s="394" t="str">
        <f t="shared" ca="1" si="83"/>
        <v/>
      </c>
      <c r="X305" s="392" t="str">
        <f t="shared" ca="1" si="84"/>
        <v/>
      </c>
      <c r="Y305" s="395" t="str">
        <f t="shared" ca="1" si="91"/>
        <v/>
      </c>
      <c r="Z305" s="1097"/>
      <c r="AA305" s="1108"/>
      <c r="AB305" s="1108"/>
      <c r="AC305" s="1108"/>
      <c r="AE305" s="1139" t="str">
        <f t="shared" ca="1" si="85"/>
        <v/>
      </c>
      <c r="AF305" s="393" t="str">
        <f t="shared" ca="1" si="74"/>
        <v/>
      </c>
      <c r="AG305" s="393" t="str">
        <f t="shared" ca="1" si="92"/>
        <v/>
      </c>
      <c r="AH305" s="393" t="str">
        <f t="shared" ca="1" si="86"/>
        <v/>
      </c>
      <c r="AI305" s="1143" t="str">
        <f t="shared" ca="1" si="75"/>
        <v/>
      </c>
      <c r="AJ305" s="395" t="str">
        <f t="shared" ca="1" si="87"/>
        <v/>
      </c>
      <c r="AK305" s="1144" t="str">
        <f t="shared" ca="1" si="93"/>
        <v/>
      </c>
      <c r="AL305" s="1143" t="str">
        <f t="shared" ca="1" si="88"/>
        <v/>
      </c>
    </row>
    <row r="306" spans="1:51" ht="18" customHeight="1">
      <c r="A306" s="1095" t="str">
        <f ca="1"/>
        <v/>
      </c>
      <c r="B306" s="399" t="str">
        <f ca="1"/>
        <v/>
      </c>
      <c r="C306" s="400" t="str">
        <f ca="1"/>
        <v/>
      </c>
      <c r="D306" s="400" t="str">
        <f ca="1"/>
        <v/>
      </c>
      <c r="E306" s="401" t="str">
        <f t="shared" ca="1" si="76"/>
        <v/>
      </c>
      <c r="N306" s="396" t="str">
        <f t="shared" ca="1" si="77"/>
        <v/>
      </c>
      <c r="O306" s="397" t="str">
        <f t="shared" ca="1" si="78"/>
        <v/>
      </c>
      <c r="P306" s="397" t="str">
        <f t="shared" ca="1" si="89"/>
        <v/>
      </c>
      <c r="Q306" s="397" t="str">
        <f t="shared" ca="1" si="79"/>
        <v/>
      </c>
      <c r="R306" s="398" t="str">
        <f t="shared" ca="1" si="90"/>
        <v/>
      </c>
      <c r="S306" s="655" t="str">
        <f t="shared" ca="1" si="80"/>
        <v/>
      </c>
      <c r="U306" s="396" t="str">
        <f t="shared" ca="1" si="81"/>
        <v/>
      </c>
      <c r="V306" s="397" t="str">
        <f t="shared" ca="1" si="82"/>
        <v/>
      </c>
      <c r="W306" s="398" t="str">
        <f t="shared" ca="1" si="83"/>
        <v/>
      </c>
      <c r="X306" s="396" t="str">
        <f t="shared" ca="1" si="84"/>
        <v/>
      </c>
      <c r="Y306" s="1145" t="str">
        <f t="shared" ca="1" si="91"/>
        <v/>
      </c>
      <c r="Z306" s="1097"/>
      <c r="AA306" s="1108"/>
      <c r="AB306" s="1108"/>
      <c r="AC306" s="1108"/>
      <c r="AE306" s="1139" t="str">
        <f t="shared" ca="1" si="85"/>
        <v/>
      </c>
      <c r="AF306" s="397" t="str">
        <f t="shared" ca="1" si="74"/>
        <v/>
      </c>
      <c r="AG306" s="393" t="str">
        <f t="shared" ca="1" si="92"/>
        <v/>
      </c>
      <c r="AH306" s="393" t="str">
        <f t="shared" ca="1" si="86"/>
        <v/>
      </c>
      <c r="AI306" s="1146" t="str">
        <f t="shared" ca="1" si="75"/>
        <v/>
      </c>
      <c r="AJ306" s="395" t="str">
        <f t="shared" ca="1" si="87"/>
        <v/>
      </c>
      <c r="AK306" s="1144" t="str">
        <f t="shared" ca="1" si="93"/>
        <v/>
      </c>
      <c r="AL306" s="1146" t="str">
        <f t="shared" ca="1" si="88"/>
        <v/>
      </c>
      <c r="AY306" s="40"/>
    </row>
    <row r="307" spans="1:51" ht="18" customHeight="1">
      <c r="A307" s="1073" t="str">
        <f>IF(AND($D$74="ja",$C$17="unten"),"",IF(AND($D$56="ja",$C$17="unten",$D$58&gt;0),"Schraubenkreuz",""))</f>
        <v/>
      </c>
      <c r="B307" s="1074"/>
      <c r="C307" s="1074" t="str">
        <f>IF(A307="","",IF(A307="Schraubenkreuz",$C$14+25+0*$D$64,IF(A307="Zuglasche",$C$14+50)))</f>
        <v/>
      </c>
      <c r="D307" s="1147"/>
      <c r="E307" s="1148"/>
      <c r="N307" s="103"/>
      <c r="O307" s="54"/>
      <c r="P307" s="54"/>
      <c r="Q307" s="54"/>
      <c r="R307" s="54"/>
      <c r="S307" s="297"/>
      <c r="T307" s="39"/>
      <c r="U307" s="103"/>
      <c r="V307" s="54"/>
      <c r="W307" s="105"/>
      <c r="X307" s="54"/>
      <c r="Y307" s="105"/>
      <c r="Z307" s="39"/>
      <c r="AA307" s="39"/>
      <c r="AB307" s="39"/>
      <c r="AC307" s="39"/>
      <c r="AE307" s="1073" t="str">
        <f>IF(C307="","",IF($C$17="unten",ABS(C307-$AL$16),IF($C$17="oben",ABS($C$14-C307-$AL$16))))</f>
        <v/>
      </c>
      <c r="AF307" s="1076" t="str">
        <f>IF(AE307="","",IF($C$17="unten",C307,IF($C$17="oben",$C$14-C307)))</f>
        <v/>
      </c>
      <c r="AG307" s="1076" t="str">
        <f>IF(C307="","",AH307*AI307)</f>
        <v/>
      </c>
      <c r="AH307" s="1076" t="str">
        <f>IF(AE307="","",IF(A307="Schraubenkreuz",$D$69,IF(A307="Zuglasche","FEHLER")))</f>
        <v/>
      </c>
      <c r="AI307" s="1078" t="str">
        <f>IF(AF307="","",AL307*$AK$313/AK307)</f>
        <v/>
      </c>
      <c r="AJ307" s="1135"/>
      <c r="AK307" s="1078" t="str">
        <f t="shared" si="93"/>
        <v/>
      </c>
      <c r="AL307" s="1078" t="str">
        <f>IF(AE307="","",$AM$135*AE307/MAX($AE$135:$AE$137,$AE$212:$AE$214))</f>
        <v/>
      </c>
      <c r="AY307" s="40"/>
    </row>
    <row r="308" spans="1:51" ht="18" customHeight="1">
      <c r="A308" s="1081" t="str">
        <f>IF(AND($D$74="ja",$C$17="unten"),"",IF(AND($D$56="ja",$C$17="unten",$D$58&gt;1),"Schraubenkreuz",""))</f>
        <v/>
      </c>
      <c r="B308" s="1082"/>
      <c r="C308" s="1082" t="str">
        <f>IF(A308="","",IF(A308="Schraubenkreuz",$C$14+25+1*$D$64,IF(A308="Zuglasche",$C$14+50)))</f>
        <v/>
      </c>
      <c r="D308" s="1149"/>
      <c r="E308" s="1150"/>
      <c r="N308" s="68"/>
      <c r="O308" s="39"/>
      <c r="P308" s="39"/>
      <c r="Q308" s="39"/>
      <c r="R308" s="39"/>
      <c r="S308" s="53"/>
      <c r="T308" s="39"/>
      <c r="U308" s="68"/>
      <c r="V308" s="39"/>
      <c r="W308" s="104"/>
      <c r="X308" s="39"/>
      <c r="Y308" s="104"/>
      <c r="Z308" s="39"/>
      <c r="AA308" s="39"/>
      <c r="AB308" s="39"/>
      <c r="AC308" s="39"/>
      <c r="AE308" s="1081" t="str">
        <f>IF(C308="","",IF($C$17="unten",ABS(C308-$AL$16),IF($C$17="oben",ABS($C$14-C308-$AL$16))))</f>
        <v/>
      </c>
      <c r="AF308" s="1084" t="str">
        <f t="shared" si="74"/>
        <v/>
      </c>
      <c r="AG308" s="1084" t="str">
        <f>IF(C308="","",AH308*AI308)</f>
        <v/>
      </c>
      <c r="AH308" s="1084" t="str">
        <f>IF(AE308="","",IF(A308="Schraubenkreuz",$D$69,IF(A308="Zuglasche","FEHLER")))</f>
        <v/>
      </c>
      <c r="AI308" s="1086" t="str">
        <f t="shared" ref="AI308:AI309" si="94">IF(AF308="","",AL308*$AK$313/AK308)</f>
        <v/>
      </c>
      <c r="AJ308" s="1136"/>
      <c r="AK308" s="1086" t="str">
        <f t="shared" si="93"/>
        <v/>
      </c>
      <c r="AL308" s="1086" t="str">
        <f t="shared" ref="AL308" si="95">IF(AE308="","",$AM$135*AE308/MAX($AE$135:$AE$137,$AE$212:$AE$214))</f>
        <v/>
      </c>
      <c r="AY308" s="40"/>
    </row>
    <row r="309" spans="1:51" ht="18" customHeight="1">
      <c r="A309" s="1088" t="str">
        <f>IF(AND($D$74="ja",$C$17="unten"),"Zuglasche",IF(AND($D$56="ja",$C$17="unten",$D$58&gt;2),"Schraubenkreuz",""))</f>
        <v/>
      </c>
      <c r="B309" s="1151"/>
      <c r="C309" s="1089" t="str">
        <f>IF(A309="","",IF(A309="Schraubenkreuz",$C$14+25+2*$D$64,IF(A309="Zuglasche",$C$14+50)))</f>
        <v/>
      </c>
      <c r="D309" s="1152"/>
      <c r="E309" s="1153"/>
      <c r="N309" s="69"/>
      <c r="O309" s="37"/>
      <c r="P309" s="37"/>
      <c r="Q309" s="37"/>
      <c r="R309" s="37"/>
      <c r="S309" s="300"/>
      <c r="T309" s="39"/>
      <c r="U309" s="69"/>
      <c r="V309" s="37"/>
      <c r="W309" s="101"/>
      <c r="X309" s="37"/>
      <c r="Y309" s="101"/>
      <c r="Z309" s="39"/>
      <c r="AA309" s="39"/>
      <c r="AB309" s="39"/>
      <c r="AC309" s="39"/>
      <c r="AE309" s="1088" t="str">
        <f>IF(C309="","",IF($C$17="unten",ABS(C309-$AL$16),IF($C$17="oben",ABS($C$14-C309-$AL$16))))</f>
        <v/>
      </c>
      <c r="AF309" s="1091" t="str">
        <f t="shared" si="74"/>
        <v/>
      </c>
      <c r="AG309" s="1091" t="str">
        <f>IF(C309="","",AH309*AI309)</f>
        <v/>
      </c>
      <c r="AH309" s="1091" t="str">
        <f>IF(AE309="","",IF(A309="Schraubenkreuz",$D$69,IF(A309="Zuglasche","FEHLER")))</f>
        <v/>
      </c>
      <c r="AI309" s="1093" t="str">
        <f t="shared" si="94"/>
        <v/>
      </c>
      <c r="AJ309" s="1137"/>
      <c r="AK309" s="1093" t="str">
        <f t="shared" si="93"/>
        <v/>
      </c>
      <c r="AL309" s="1093" t="str">
        <f>IF(AE309="","",$AM$230*AE309/MAX($AE$230:$AE$232,$AE$307:$AE$309))</f>
        <v/>
      </c>
      <c r="AY309" s="40"/>
    </row>
    <row r="310" spans="1:51" ht="18" customHeight="1">
      <c r="N310" s="43"/>
      <c r="O310" s="43"/>
      <c r="P310" s="43"/>
      <c r="Q310" s="43"/>
      <c r="R310" s="43"/>
      <c r="U310" s="49"/>
      <c r="V310" s="39"/>
      <c r="W310" s="1111"/>
      <c r="X310" s="1154"/>
      <c r="Y310" s="39"/>
      <c r="Z310" s="39"/>
      <c r="AE310" s="43"/>
      <c r="AY310" s="40"/>
    </row>
    <row r="311" spans="1:51" ht="18" customHeight="1">
      <c r="A311" s="125" t="s">
        <v>10</v>
      </c>
      <c r="B311" s="115" t="s">
        <v>101</v>
      </c>
      <c r="C311" s="115" t="s">
        <v>102</v>
      </c>
      <c r="D311" s="115"/>
      <c r="E311" s="129" t="s">
        <v>159</v>
      </c>
      <c r="N311" s="656" t="s">
        <v>628</v>
      </c>
      <c r="O311" s="151" t="s">
        <v>265</v>
      </c>
      <c r="P311" s="90" t="s">
        <v>142</v>
      </c>
      <c r="Q311" s="126"/>
      <c r="R311" s="124" t="s">
        <v>259</v>
      </c>
      <c r="S311" s="423" t="s">
        <v>278</v>
      </c>
      <c r="U311" s="357"/>
      <c r="V311" s="90" t="s">
        <v>252</v>
      </c>
      <c r="W311" s="116" t="s">
        <v>259</v>
      </c>
      <c r="X311" s="114"/>
      <c r="Y311" s="91" t="s">
        <v>1848</v>
      </c>
      <c r="Z311" s="39"/>
      <c r="AE311" s="656" t="s">
        <v>628</v>
      </c>
      <c r="AF311" s="151" t="s">
        <v>265</v>
      </c>
      <c r="AG311" s="90" t="s">
        <v>142</v>
      </c>
      <c r="AH311" s="1155"/>
      <c r="AI311" s="124" t="s">
        <v>259</v>
      </c>
      <c r="AJ311" s="423" t="s">
        <v>278</v>
      </c>
      <c r="AK311" s="1131" t="s">
        <v>1849</v>
      </c>
      <c r="AM311" s="408"/>
      <c r="AY311" s="40"/>
    </row>
    <row r="312" spans="1:51" ht="18" customHeight="1">
      <c r="A312" s="117" t="s">
        <v>124</v>
      </c>
      <c r="B312" s="94" t="s">
        <v>99</v>
      </c>
      <c r="C312" s="94" t="s">
        <v>99</v>
      </c>
      <c r="D312" s="94"/>
      <c r="E312" s="131" t="s">
        <v>124</v>
      </c>
      <c r="N312" s="657" t="s">
        <v>99</v>
      </c>
      <c r="O312" s="127" t="s">
        <v>99</v>
      </c>
      <c r="P312" s="93" t="s">
        <v>126</v>
      </c>
      <c r="Q312" s="127"/>
      <c r="R312" s="128" t="s">
        <v>99</v>
      </c>
      <c r="S312" s="424" t="s">
        <v>126</v>
      </c>
      <c r="U312" s="358"/>
      <c r="V312" s="93" t="s">
        <v>126</v>
      </c>
      <c r="W312" s="95" t="s">
        <v>99</v>
      </c>
      <c r="X312" s="117"/>
      <c r="Y312" s="137" t="s">
        <v>99</v>
      </c>
      <c r="Z312" s="39"/>
      <c r="AE312" s="657" t="s">
        <v>99</v>
      </c>
      <c r="AF312" s="127" t="s">
        <v>99</v>
      </c>
      <c r="AG312" s="93" t="s">
        <v>126</v>
      </c>
      <c r="AH312" s="1156"/>
      <c r="AI312" s="128" t="s">
        <v>99</v>
      </c>
      <c r="AJ312" s="424" t="s">
        <v>126</v>
      </c>
      <c r="AK312" s="1134" t="s">
        <v>124</v>
      </c>
      <c r="AM312" s="408"/>
      <c r="AY312" s="40"/>
    </row>
    <row r="313" spans="1:51" ht="18" customHeight="1">
      <c r="A313" s="1157">
        <f ca="1">COUNT(A233:A306)</f>
        <v>12</v>
      </c>
      <c r="B313" s="1158">
        <f ca="1">SUM(B233:B306)/COUNT(B233:B306)</f>
        <v>30</v>
      </c>
      <c r="C313" s="1158">
        <f ca="1">SUM(C233:C306)/COUNT(C233:C306)</f>
        <v>129.5</v>
      </c>
      <c r="D313" s="1158"/>
      <c r="E313" s="1159">
        <f ca="1">SUMIF(A233:A306,45)/45</f>
        <v>7</v>
      </c>
      <c r="N313" s="658">
        <f ca="1">MAX(N233:N306)</f>
        <v>229.96194482990987</v>
      </c>
      <c r="O313" s="393">
        <f ca="1">MAX(O233:O306)</f>
        <v>250</v>
      </c>
      <c r="P313" s="397">
        <f ca="1">MAX(P233:P306)</f>
        <v>6746.0827155216157</v>
      </c>
      <c r="Q313" s="1160"/>
      <c r="R313" s="394">
        <f ca="1">MAX(R230:R306)</f>
        <v>0.75</v>
      </c>
      <c r="S313" s="1161">
        <f ca="1">SUM(S233:S306)</f>
        <v>14664.474986413716</v>
      </c>
      <c r="U313" s="1162"/>
      <c r="V313" s="397" t="e">
        <f ca="1">MAX(V233:V306)</f>
        <v>#DIV/0!</v>
      </c>
      <c r="W313" s="1163">
        <f ca="1">MAX(W230:W306)</f>
        <v>0.5303300858899106</v>
      </c>
      <c r="X313" s="1164"/>
      <c r="Y313" s="1165">
        <f ca="1">MAX(X233:X306)</f>
        <v>209.96194482990987</v>
      </c>
      <c r="Z313" s="1097"/>
      <c r="AA313" s="1108"/>
      <c r="AB313" s="1108"/>
      <c r="AC313" s="1108"/>
      <c r="AE313" s="658">
        <f ca="1">IF(COUNT(AE233:AE306)=0,MAX(AE230:AE232,AE307:AE309),MAX(AE233:AE306))</f>
        <v>229.96194482990987</v>
      </c>
      <c r="AF313" s="393">
        <f ca="1">MAX(AF233:AF306)</f>
        <v>250</v>
      </c>
      <c r="AG313" s="393">
        <f ca="1">MAX(AG233:AG306)</f>
        <v>6746.0827155216157</v>
      </c>
      <c r="AH313" s="1166"/>
      <c r="AI313" s="394">
        <f ca="1">IF(COUNT(AE233:AE306)=0,MAX(AI230:AI232,AI307:AI309),MAX(AI233:AI306))</f>
        <v>0.75</v>
      </c>
      <c r="AJ313" s="1161">
        <f ca="1">SUM(AJ233:AJ306)</f>
        <v>14664.474986413716</v>
      </c>
      <c r="AK313" s="1142">
        <f ca="1">MIN(AK227:AK306)</f>
        <v>3.2614091890496642E-3</v>
      </c>
      <c r="AM313" s="408"/>
      <c r="AY313" s="40"/>
    </row>
    <row r="314" spans="1:51" ht="18" customHeight="1">
      <c r="A314" s="1167"/>
      <c r="B314" s="90" t="s">
        <v>103</v>
      </c>
      <c r="C314" s="90" t="s">
        <v>104</v>
      </c>
      <c r="D314" s="90"/>
      <c r="E314" s="91" t="s">
        <v>160</v>
      </c>
      <c r="N314" s="361"/>
      <c r="O314" s="333" t="s">
        <v>253</v>
      </c>
      <c r="P314" s="126" t="s">
        <v>130</v>
      </c>
      <c r="Q314" s="329" t="s">
        <v>256</v>
      </c>
      <c r="R314" s="129" t="s">
        <v>281</v>
      </c>
      <c r="S314" s="425" t="s">
        <v>279</v>
      </c>
      <c r="U314" s="359"/>
      <c r="V314" s="126" t="s">
        <v>251</v>
      </c>
      <c r="W314" s="1168"/>
      <c r="X314" s="114"/>
      <c r="Y314" s="91" t="s">
        <v>1850</v>
      </c>
      <c r="Z314" s="39"/>
      <c r="AE314" s="656" t="s">
        <v>2207</v>
      </c>
      <c r="AF314" s="333" t="s">
        <v>253</v>
      </c>
      <c r="AG314" s="126" t="s">
        <v>130</v>
      </c>
      <c r="AH314" s="126" t="s">
        <v>1852</v>
      </c>
      <c r="AI314" s="124"/>
      <c r="AJ314" s="129" t="s">
        <v>281</v>
      </c>
      <c r="AK314" s="425" t="s">
        <v>279</v>
      </c>
      <c r="AY314" s="40"/>
    </row>
    <row r="315" spans="1:51" ht="18" customHeight="1">
      <c r="A315" s="1169"/>
      <c r="B315" s="93" t="s">
        <v>99</v>
      </c>
      <c r="C315" s="93" t="s">
        <v>99</v>
      </c>
      <c r="D315" s="93"/>
      <c r="E315" s="137" t="s">
        <v>124</v>
      </c>
      <c r="N315" s="362"/>
      <c r="O315" s="334" t="s">
        <v>99</v>
      </c>
      <c r="P315" s="127" t="s">
        <v>126</v>
      </c>
      <c r="Q315" s="93" t="s">
        <v>163</v>
      </c>
      <c r="R315" s="137" t="s">
        <v>99</v>
      </c>
      <c r="S315" s="1170" t="s">
        <v>280</v>
      </c>
      <c r="U315" s="360"/>
      <c r="V315" s="127" t="s">
        <v>126</v>
      </c>
      <c r="W315" s="1171"/>
      <c r="X315" s="117"/>
      <c r="Y315" s="137" t="s">
        <v>1847</v>
      </c>
      <c r="Z315" s="39"/>
      <c r="AE315" s="657" t="s">
        <v>99</v>
      </c>
      <c r="AF315" s="334" t="s">
        <v>99</v>
      </c>
      <c r="AG315" s="127" t="s">
        <v>126</v>
      </c>
      <c r="AH315" s="93" t="s">
        <v>126</v>
      </c>
      <c r="AI315" s="128"/>
      <c r="AJ315" s="137" t="s">
        <v>99</v>
      </c>
      <c r="AK315" s="1172" t="s">
        <v>124</v>
      </c>
      <c r="AL315" s="1119" t="s">
        <v>280</v>
      </c>
      <c r="AY315" s="40"/>
    </row>
    <row r="316" spans="1:51" ht="18" customHeight="1">
      <c r="A316" s="1173"/>
      <c r="B316" s="1174">
        <f ca="1">MAX(B233:B306)-MIN(B233:B306)</f>
        <v>40.5</v>
      </c>
      <c r="C316" s="1174">
        <f ca="1">MAX(C233:C306)-MIN(C233:C306)</f>
        <v>240</v>
      </c>
      <c r="D316" s="1174"/>
      <c r="E316" s="1175">
        <f ca="1">SUMIF(A233:A306,90)/90</f>
        <v>5</v>
      </c>
      <c r="N316" s="1176"/>
      <c r="O316" s="1177">
        <f ca="1">SUM(O233:O306)</f>
        <v>560</v>
      </c>
      <c r="P316" s="397">
        <f ca="1">SUM(P233:P306)</f>
        <v>14753.047606893493</v>
      </c>
      <c r="Q316" s="1178">
        <f ca="1">SUMPRODUCT(Q233:Q306,N233:N306,N233:N306)</f>
        <v>938434709.18706751</v>
      </c>
      <c r="R316" s="1145">
        <f ca="1">INDEX($E233:$E306,MATCH(MAX(O233:O306),O233:O306,0))</f>
        <v>223.5</v>
      </c>
      <c r="S316" s="1146">
        <f ca="1">P316/S313</f>
        <v>1.0060399448709783</v>
      </c>
      <c r="U316" s="1179"/>
      <c r="V316" s="1180" t="e">
        <f ca="1">SUM(V233:V306)</f>
        <v>#DIV/0!</v>
      </c>
      <c r="W316" s="1181"/>
      <c r="X316" s="1164"/>
      <c r="Y316" s="1182">
        <f ca="1">SUM(Y233:Y306)</f>
        <v>122988.53411366146</v>
      </c>
      <c r="Z316" s="1124"/>
      <c r="AA316" s="1108"/>
      <c r="AB316" s="1108"/>
      <c r="AC316" s="1108"/>
      <c r="AE316" s="1258">
        <f>MAX(AE307:AE309,AE230:AE232)</f>
        <v>0</v>
      </c>
      <c r="AF316" s="1177">
        <f ca="1">SUM(AF233:AF306)</f>
        <v>560</v>
      </c>
      <c r="AG316" s="397">
        <f ca="1">SUM(AG233:AG306)</f>
        <v>14753.047606893493</v>
      </c>
      <c r="AH316" s="397">
        <f>SUM(AG307:AG309,AG230:AG232)</f>
        <v>0</v>
      </c>
      <c r="AI316" s="398"/>
      <c r="AJ316" s="1145">
        <f ca="1">INDEX($E233:$E306,MATCH(MAX(AF233:AF306),AF233:AF306,0))</f>
        <v>223.5</v>
      </c>
      <c r="AK316" s="1146">
        <f ca="1">AG316/AJ313</f>
        <v>1.0060399448709783</v>
      </c>
      <c r="AL316" s="40" t="s">
        <v>1854</v>
      </c>
      <c r="AY316" s="40"/>
    </row>
    <row r="317" spans="1:51" ht="18" customHeight="1">
      <c r="I317" s="49"/>
      <c r="J317" s="49"/>
      <c r="P317" s="41"/>
      <c r="S317" s="102"/>
      <c r="X317" s="43"/>
      <c r="AE317" s="39"/>
      <c r="AG317" s="43"/>
      <c r="AJ317" s="102"/>
      <c r="AY317" s="40"/>
    </row>
    <row r="318" spans="1:51" ht="18" customHeight="1">
      <c r="H318" s="39"/>
      <c r="I318" s="49"/>
      <c r="J318" s="49"/>
      <c r="P318" s="41"/>
      <c r="X318" s="43"/>
      <c r="AE318" s="39"/>
      <c r="AG318" s="43"/>
      <c r="AY318" s="40"/>
    </row>
    <row r="319" spans="1:51" ht="18" customHeight="1">
      <c r="H319" s="39"/>
      <c r="I319" s="49"/>
      <c r="J319" s="49"/>
      <c r="P319" s="41"/>
      <c r="X319" s="43"/>
      <c r="AE319" s="39"/>
      <c r="AG319" s="43"/>
      <c r="AY319" s="40"/>
    </row>
    <row r="320" spans="1:51" ht="18" customHeight="1">
      <c r="H320" s="39"/>
      <c r="I320" s="49"/>
      <c r="J320" s="49"/>
      <c r="O320" s="43"/>
      <c r="R320" s="41"/>
      <c r="AA320" s="43"/>
      <c r="AB320" s="43"/>
      <c r="AC320" s="43"/>
      <c r="AE320" s="39"/>
      <c r="AG320" s="43"/>
      <c r="AY320" s="40"/>
    </row>
    <row r="321" spans="1:51" ht="18" customHeight="1">
      <c r="I321" s="49"/>
      <c r="J321" s="49"/>
      <c r="O321" s="43"/>
      <c r="R321" s="41"/>
      <c r="AA321" s="43"/>
      <c r="AB321" s="43"/>
      <c r="AC321" s="43"/>
      <c r="AE321" s="39"/>
      <c r="AG321" s="43"/>
      <c r="AY321" s="40"/>
    </row>
    <row r="322" spans="1:51" ht="18" customHeight="1">
      <c r="I322" s="49"/>
      <c r="J322" s="49"/>
      <c r="O322" s="43"/>
      <c r="P322" s="46"/>
      <c r="R322" s="46"/>
      <c r="S322" s="39"/>
      <c r="AA322" s="43"/>
      <c r="AB322" s="43"/>
      <c r="AC322" s="43"/>
      <c r="AD322" s="39"/>
      <c r="AF322" s="43"/>
      <c r="AY322" s="40"/>
    </row>
    <row r="323" spans="1:51" ht="18" customHeight="1">
      <c r="I323" s="49"/>
      <c r="J323" s="49"/>
      <c r="O323" s="43"/>
      <c r="P323" s="46"/>
      <c r="R323" s="46"/>
      <c r="S323" s="39"/>
      <c r="V323" s="39"/>
      <c r="W323" s="39"/>
      <c r="X323" s="39"/>
      <c r="Y323" s="39"/>
      <c r="Z323" s="39"/>
      <c r="AA323" s="47"/>
      <c r="AB323" s="47"/>
      <c r="AC323" s="47"/>
      <c r="AD323" s="39"/>
      <c r="AF323" s="43"/>
      <c r="AY323" s="40"/>
    </row>
    <row r="324" spans="1:51" ht="18" customHeight="1">
      <c r="I324" s="49"/>
      <c r="J324" s="49"/>
      <c r="O324" s="43"/>
      <c r="P324" s="46"/>
      <c r="R324" s="46"/>
      <c r="S324" s="39"/>
      <c r="V324" s="39"/>
      <c r="W324" s="39"/>
      <c r="X324" s="39"/>
      <c r="Y324" s="39"/>
      <c r="Z324" s="39"/>
      <c r="AA324" s="47"/>
      <c r="AB324" s="47"/>
      <c r="AC324" s="47"/>
      <c r="AD324" s="39"/>
      <c r="AF324" s="43"/>
      <c r="AY324" s="40"/>
    </row>
    <row r="325" spans="1:51" ht="18" customHeight="1">
      <c r="I325" s="49"/>
      <c r="J325" s="49"/>
      <c r="O325" s="43"/>
      <c r="P325" s="46"/>
      <c r="R325" s="46"/>
      <c r="S325" s="39"/>
      <c r="V325" s="39"/>
      <c r="W325" s="39"/>
      <c r="X325" s="39"/>
      <c r="Y325" s="39"/>
      <c r="Z325" s="39"/>
      <c r="AA325" s="47"/>
      <c r="AB325" s="47"/>
      <c r="AC325" s="47"/>
      <c r="AD325" s="39"/>
      <c r="AF325" s="43"/>
      <c r="AY325" s="40"/>
    </row>
    <row r="326" spans="1:51" ht="18" customHeight="1">
      <c r="A326" s="40" t="s">
        <v>226</v>
      </c>
      <c r="B326" s="40"/>
      <c r="C326" s="40"/>
      <c r="D326" s="40"/>
      <c r="E326" s="40"/>
      <c r="F326" s="40"/>
      <c r="G326" s="40"/>
      <c r="H326" s="40"/>
      <c r="I326" s="49"/>
      <c r="J326" s="49"/>
      <c r="O326" s="43"/>
      <c r="P326" s="46"/>
      <c r="R326" s="46"/>
      <c r="S326" s="39"/>
      <c r="V326" s="39"/>
      <c r="W326" s="39"/>
      <c r="X326" s="39"/>
      <c r="Y326" s="39"/>
      <c r="Z326" s="39"/>
      <c r="AA326" s="47"/>
      <c r="AB326" s="47"/>
      <c r="AC326" s="47"/>
      <c r="AD326" s="39"/>
      <c r="AF326" s="43"/>
      <c r="AY326" s="40"/>
    </row>
    <row r="327" spans="1:51" ht="18" customHeight="1">
      <c r="A327" s="1568" t="s">
        <v>149</v>
      </c>
      <c r="B327" s="1569"/>
      <c r="C327" s="1574" t="s">
        <v>223</v>
      </c>
      <c r="D327" s="1575" t="s">
        <v>224</v>
      </c>
      <c r="E327" s="1575"/>
      <c r="F327" s="1575"/>
      <c r="G327" s="1575"/>
      <c r="H327" s="1569"/>
      <c r="I327" s="49"/>
      <c r="J327" s="49"/>
      <c r="O327" s="43"/>
      <c r="P327" s="46"/>
      <c r="R327" s="46"/>
      <c r="S327" s="39"/>
      <c r="V327" s="39"/>
      <c r="W327" s="39"/>
      <c r="X327" s="39"/>
      <c r="Y327" s="39"/>
      <c r="Z327" s="39"/>
      <c r="AA327" s="47"/>
      <c r="AB327" s="47"/>
      <c r="AC327" s="47"/>
      <c r="AD327" s="39"/>
      <c r="AF327" s="43"/>
      <c r="AY327" s="40"/>
    </row>
    <row r="328" spans="1:51" ht="18" customHeight="1">
      <c r="A328" s="1570"/>
      <c r="B328" s="1571"/>
      <c r="C328" s="1570"/>
      <c r="D328" s="1568" t="s">
        <v>217</v>
      </c>
      <c r="E328" s="1569"/>
      <c r="F328" s="1568" t="s">
        <v>220</v>
      </c>
      <c r="G328" s="1575"/>
      <c r="H328" s="1569"/>
      <c r="I328" s="49"/>
      <c r="J328" s="49"/>
      <c r="O328" s="43"/>
      <c r="P328" s="46"/>
      <c r="R328" s="46"/>
      <c r="S328" s="39"/>
      <c r="V328" s="39"/>
      <c r="W328" s="39"/>
      <c r="X328" s="39"/>
      <c r="Y328" s="39"/>
      <c r="Z328" s="39"/>
      <c r="AA328" s="47"/>
      <c r="AB328" s="47"/>
      <c r="AC328" s="47"/>
      <c r="AD328" s="39"/>
      <c r="AF328" s="43"/>
      <c r="AY328" s="40"/>
    </row>
    <row r="329" spans="1:51" ht="18" customHeight="1">
      <c r="A329" s="1572"/>
      <c r="B329" s="1573"/>
      <c r="C329" s="1572"/>
      <c r="D329" s="69" t="s">
        <v>6</v>
      </c>
      <c r="E329" s="101" t="s">
        <v>7</v>
      </c>
      <c r="F329" s="69" t="s">
        <v>6</v>
      </c>
      <c r="G329" s="37"/>
      <c r="H329" s="101" t="s">
        <v>7</v>
      </c>
      <c r="I329" s="49"/>
      <c r="J329" s="49"/>
      <c r="O329" s="43"/>
      <c r="P329" s="46"/>
      <c r="R329" s="46"/>
      <c r="S329" s="39"/>
      <c r="V329" s="39"/>
      <c r="W329" s="39"/>
      <c r="X329" s="39"/>
      <c r="Y329" s="39"/>
      <c r="Z329" s="39"/>
      <c r="AA329" s="47"/>
      <c r="AB329" s="47"/>
      <c r="AC329" s="47"/>
      <c r="AD329" s="39"/>
      <c r="AF329" s="43"/>
      <c r="AY329" s="40"/>
    </row>
    <row r="330" spans="1:51" ht="18" customHeight="1">
      <c r="A330" s="1183">
        <v>150</v>
      </c>
      <c r="B330" s="157">
        <v>1090</v>
      </c>
      <c r="C330" s="297">
        <v>2</v>
      </c>
      <c r="D330" s="53">
        <v>358</v>
      </c>
      <c r="E330" s="104">
        <v>435</v>
      </c>
      <c r="F330" s="68">
        <v>666</v>
      </c>
      <c r="H330" s="104">
        <v>743</v>
      </c>
      <c r="I330" s="49"/>
      <c r="J330" s="49"/>
      <c r="O330" s="43"/>
      <c r="P330" s="46"/>
      <c r="R330" s="46"/>
      <c r="S330" s="39"/>
      <c r="V330" s="39"/>
      <c r="W330" s="39"/>
      <c r="X330" s="39"/>
      <c r="Y330" s="39"/>
      <c r="Z330" s="39"/>
      <c r="AA330" s="47"/>
      <c r="AB330" s="47"/>
      <c r="AC330" s="47"/>
      <c r="AD330" s="39"/>
      <c r="AF330" s="43"/>
      <c r="AY330" s="40"/>
    </row>
    <row r="331" spans="1:51" ht="18" customHeight="1">
      <c r="A331" s="1183"/>
      <c r="B331" s="157">
        <v>850</v>
      </c>
      <c r="C331" s="53">
        <f>C330+5</f>
        <v>7</v>
      </c>
      <c r="D331" s="53">
        <v>358</v>
      </c>
      <c r="E331" s="104">
        <v>435</v>
      </c>
      <c r="F331" s="68">
        <v>666</v>
      </c>
      <c r="H331" s="104">
        <v>743</v>
      </c>
      <c r="I331" s="49"/>
      <c r="J331" s="49"/>
      <c r="O331" s="43"/>
      <c r="P331" s="46"/>
      <c r="R331" s="46"/>
      <c r="S331" s="39"/>
      <c r="V331" s="39"/>
      <c r="W331" s="39"/>
      <c r="X331" s="39"/>
      <c r="Y331" s="39"/>
      <c r="Z331" s="39"/>
      <c r="AA331" s="47"/>
      <c r="AB331" s="47"/>
      <c r="AC331" s="47"/>
      <c r="AD331" s="39"/>
      <c r="AF331" s="43"/>
      <c r="AY331" s="40"/>
    </row>
    <row r="332" spans="1:51" ht="18" customHeight="1">
      <c r="A332" s="1183"/>
      <c r="B332" s="157">
        <v>790</v>
      </c>
      <c r="C332" s="53">
        <f t="shared" ref="C332:C344" si="96">C331+5</f>
        <v>12</v>
      </c>
      <c r="D332" s="53">
        <v>358</v>
      </c>
      <c r="E332" s="104">
        <v>435</v>
      </c>
      <c r="F332" s="68">
        <v>666</v>
      </c>
      <c r="H332" s="104">
        <v>743</v>
      </c>
      <c r="I332" s="49"/>
      <c r="J332" s="49"/>
      <c r="O332" s="43"/>
      <c r="P332" s="46"/>
      <c r="R332" s="46"/>
      <c r="S332" s="39"/>
      <c r="V332" s="39"/>
      <c r="W332" s="39"/>
      <c r="X332" s="39"/>
      <c r="Y332" s="39"/>
      <c r="Z332" s="39"/>
      <c r="AA332" s="47"/>
      <c r="AB332" s="47"/>
      <c r="AC332" s="47"/>
      <c r="AD332" s="39"/>
      <c r="AF332" s="43"/>
      <c r="AY332" s="40"/>
    </row>
    <row r="333" spans="1:51" ht="18" customHeight="1">
      <c r="A333" s="1183"/>
      <c r="B333" s="157">
        <v>730</v>
      </c>
      <c r="C333" s="53">
        <f t="shared" si="96"/>
        <v>17</v>
      </c>
      <c r="D333" s="53">
        <v>358</v>
      </c>
      <c r="E333" s="104">
        <v>435</v>
      </c>
      <c r="F333" s="68">
        <v>666</v>
      </c>
      <c r="H333" s="104">
        <v>743</v>
      </c>
      <c r="I333" s="49"/>
      <c r="J333" s="49"/>
      <c r="O333" s="43"/>
      <c r="P333" s="46"/>
      <c r="R333" s="46"/>
      <c r="S333" s="39"/>
      <c r="V333" s="39"/>
      <c r="W333" s="39"/>
      <c r="X333" s="39"/>
      <c r="Y333" s="39"/>
      <c r="Z333" s="39"/>
      <c r="AA333" s="47"/>
      <c r="AB333" s="47"/>
      <c r="AC333" s="47"/>
      <c r="AD333" s="39"/>
      <c r="AF333" s="43"/>
      <c r="AY333" s="40"/>
    </row>
    <row r="334" spans="1:51" ht="18" customHeight="1">
      <c r="A334" s="1183"/>
      <c r="B334" s="157">
        <v>610</v>
      </c>
      <c r="C334" s="53">
        <f t="shared" si="96"/>
        <v>22</v>
      </c>
      <c r="D334" s="53">
        <v>358</v>
      </c>
      <c r="E334" s="104">
        <v>435</v>
      </c>
      <c r="F334" s="68">
        <v>666</v>
      </c>
      <c r="H334" s="104">
        <v>743</v>
      </c>
      <c r="I334" s="49"/>
      <c r="J334" s="49"/>
      <c r="O334" s="43"/>
      <c r="P334" s="46"/>
      <c r="R334" s="46"/>
      <c r="S334" s="39"/>
      <c r="V334" s="39"/>
      <c r="W334" s="39"/>
      <c r="X334" s="39"/>
      <c r="Y334" s="39"/>
      <c r="Z334" s="39"/>
      <c r="AA334" s="47"/>
      <c r="AB334" s="47"/>
      <c r="AC334" s="47"/>
      <c r="AD334" s="39"/>
      <c r="AF334" s="43"/>
      <c r="AY334" s="40"/>
    </row>
    <row r="335" spans="1:51" ht="18" customHeight="1">
      <c r="A335" s="1183"/>
      <c r="B335" s="157">
        <v>550</v>
      </c>
      <c r="C335" s="53">
        <f t="shared" si="96"/>
        <v>27</v>
      </c>
      <c r="D335" s="53">
        <v>358</v>
      </c>
      <c r="E335" s="104">
        <v>435</v>
      </c>
      <c r="F335" s="68">
        <v>666</v>
      </c>
      <c r="H335" s="104">
        <v>743</v>
      </c>
      <c r="I335" s="49"/>
      <c r="J335" s="49"/>
      <c r="O335" s="43"/>
      <c r="P335" s="46"/>
      <c r="R335" s="46"/>
      <c r="S335" s="39"/>
      <c r="V335" s="39"/>
      <c r="W335" s="39"/>
      <c r="X335" s="39"/>
      <c r="Y335" s="39"/>
      <c r="Z335" s="39"/>
      <c r="AA335" s="47"/>
      <c r="AB335" s="47"/>
      <c r="AC335" s="47"/>
      <c r="AD335" s="39"/>
      <c r="AF335" s="43"/>
      <c r="AY335" s="40"/>
    </row>
    <row r="336" spans="1:51" ht="18" customHeight="1">
      <c r="A336" s="1183"/>
      <c r="B336" s="157">
        <v>430</v>
      </c>
      <c r="C336" s="53">
        <f t="shared" si="96"/>
        <v>32</v>
      </c>
      <c r="D336" s="53">
        <v>358</v>
      </c>
      <c r="E336" s="104">
        <v>435</v>
      </c>
      <c r="F336" s="68">
        <v>666</v>
      </c>
      <c r="H336" s="104">
        <v>743</v>
      </c>
      <c r="I336" s="49"/>
      <c r="J336" s="49"/>
      <c r="O336" s="43"/>
      <c r="P336" s="46"/>
      <c r="R336" s="46"/>
      <c r="S336" s="39"/>
      <c r="V336" s="39"/>
      <c r="W336" s="39"/>
      <c r="X336" s="39"/>
      <c r="Y336" s="39"/>
      <c r="Z336" s="39"/>
      <c r="AA336" s="47"/>
      <c r="AB336" s="47"/>
      <c r="AC336" s="47"/>
      <c r="AD336" s="39"/>
      <c r="AF336" s="43"/>
      <c r="AY336" s="40"/>
    </row>
    <row r="337" spans="1:59" ht="18" customHeight="1">
      <c r="A337" s="1183"/>
      <c r="B337" s="157">
        <v>310</v>
      </c>
      <c r="C337" s="53">
        <f t="shared" si="96"/>
        <v>37</v>
      </c>
      <c r="D337" s="53">
        <v>358</v>
      </c>
      <c r="E337" s="104">
        <v>435</v>
      </c>
      <c r="F337" s="68">
        <v>666</v>
      </c>
      <c r="H337" s="104">
        <v>743</v>
      </c>
      <c r="I337" s="49"/>
      <c r="J337" s="49"/>
      <c r="O337" s="43"/>
      <c r="P337" s="46"/>
      <c r="R337" s="46"/>
      <c r="S337" s="39"/>
      <c r="V337" s="39"/>
      <c r="W337" s="39"/>
      <c r="X337" s="39"/>
      <c r="Y337" s="39"/>
      <c r="Z337" s="39"/>
      <c r="AA337" s="47"/>
      <c r="AB337" s="47"/>
      <c r="AC337" s="47"/>
      <c r="AD337" s="39"/>
      <c r="AF337" s="43"/>
      <c r="AY337" s="40"/>
    </row>
    <row r="338" spans="1:59" ht="18" customHeight="1">
      <c r="A338" s="1183"/>
      <c r="B338" s="157">
        <v>1030</v>
      </c>
      <c r="C338" s="300">
        <f t="shared" si="96"/>
        <v>42</v>
      </c>
      <c r="D338" s="53">
        <v>358</v>
      </c>
      <c r="E338" s="104">
        <v>435</v>
      </c>
      <c r="F338" s="68">
        <v>666</v>
      </c>
      <c r="H338" s="104">
        <v>743</v>
      </c>
      <c r="I338" s="49"/>
      <c r="J338" s="49"/>
      <c r="O338" s="43"/>
      <c r="P338" s="46"/>
      <c r="R338" s="46"/>
      <c r="S338" s="39"/>
      <c r="V338" s="39"/>
      <c r="W338" s="39"/>
      <c r="X338" s="39"/>
      <c r="Y338" s="39"/>
      <c r="Z338" s="39"/>
      <c r="AA338" s="47"/>
      <c r="AB338" s="47"/>
      <c r="AC338" s="47"/>
      <c r="AD338" s="39"/>
      <c r="AF338" s="43"/>
      <c r="AY338" s="40"/>
    </row>
    <row r="339" spans="1:59" ht="18" customHeight="1">
      <c r="A339" s="1184">
        <v>100</v>
      </c>
      <c r="B339" s="294">
        <v>550</v>
      </c>
      <c r="C339" s="54">
        <f t="shared" si="96"/>
        <v>47</v>
      </c>
      <c r="D339" s="297">
        <v>358</v>
      </c>
      <c r="E339" s="105">
        <v>435</v>
      </c>
      <c r="F339" s="103">
        <v>666</v>
      </c>
      <c r="G339" s="54"/>
      <c r="H339" s="105">
        <v>743</v>
      </c>
      <c r="I339" s="49"/>
      <c r="J339" s="49"/>
      <c r="O339" s="43"/>
      <c r="P339" s="46"/>
      <c r="R339" s="46"/>
      <c r="S339" s="39"/>
      <c r="V339" s="39"/>
      <c r="W339" s="39"/>
      <c r="X339" s="39"/>
      <c r="Y339" s="39"/>
      <c r="Z339" s="39"/>
      <c r="AA339" s="47"/>
      <c r="AB339" s="47"/>
      <c r="AC339" s="47"/>
      <c r="AD339" s="39"/>
      <c r="AF339" s="43"/>
      <c r="AY339" s="40"/>
    </row>
    <row r="340" spans="1:59" ht="18" customHeight="1">
      <c r="A340" s="1185"/>
      <c r="B340" s="295">
        <v>430</v>
      </c>
      <c r="C340" s="39">
        <f t="shared" si="96"/>
        <v>52</v>
      </c>
      <c r="D340" s="53">
        <v>358</v>
      </c>
      <c r="E340" s="104">
        <v>435</v>
      </c>
      <c r="F340" s="68">
        <v>666</v>
      </c>
      <c r="H340" s="104">
        <v>743</v>
      </c>
      <c r="I340" s="49"/>
      <c r="J340" s="49"/>
      <c r="O340" s="43"/>
      <c r="P340" s="46"/>
      <c r="R340" s="46"/>
      <c r="S340" s="39"/>
      <c r="V340" s="39"/>
      <c r="W340" s="39"/>
      <c r="X340" s="39"/>
      <c r="Y340" s="39"/>
      <c r="Z340" s="39"/>
      <c r="AA340" s="47"/>
      <c r="AB340" s="47"/>
      <c r="AC340" s="47"/>
      <c r="AD340" s="39"/>
      <c r="AF340" s="43"/>
      <c r="AY340" s="40"/>
    </row>
    <row r="341" spans="1:59" ht="18" customHeight="1">
      <c r="A341" s="1186"/>
      <c r="B341" s="296">
        <v>310</v>
      </c>
      <c r="C341" s="37">
        <f t="shared" si="96"/>
        <v>57</v>
      </c>
      <c r="D341" s="300">
        <v>358</v>
      </c>
      <c r="E341" s="101">
        <v>435</v>
      </c>
      <c r="F341" s="69">
        <v>666</v>
      </c>
      <c r="G341" s="37"/>
      <c r="H341" s="101">
        <v>743</v>
      </c>
      <c r="I341" s="49"/>
      <c r="J341" s="49"/>
      <c r="O341" s="43"/>
      <c r="P341" s="46"/>
      <c r="R341" s="46"/>
      <c r="S341" s="39"/>
      <c r="V341" s="39"/>
      <c r="W341" s="39"/>
      <c r="X341" s="39"/>
      <c r="Y341" s="39"/>
      <c r="Z341" s="39"/>
      <c r="AA341" s="47"/>
      <c r="AB341" s="47"/>
      <c r="AC341" s="47"/>
      <c r="AD341" s="39"/>
      <c r="AF341" s="43"/>
      <c r="AY341" s="40"/>
    </row>
    <row r="342" spans="1:59" ht="18" customHeight="1">
      <c r="A342" s="1185">
        <v>60</v>
      </c>
      <c r="B342" s="295">
        <v>550</v>
      </c>
      <c r="C342" s="39">
        <f t="shared" si="96"/>
        <v>62</v>
      </c>
      <c r="D342" s="297">
        <v>358</v>
      </c>
      <c r="E342" s="105">
        <v>435</v>
      </c>
      <c r="F342" s="103">
        <v>666</v>
      </c>
      <c r="G342" s="54"/>
      <c r="H342" s="105">
        <v>743</v>
      </c>
      <c r="I342" s="49"/>
      <c r="J342" s="49"/>
      <c r="O342" s="43"/>
      <c r="P342" s="46"/>
      <c r="R342" s="46"/>
      <c r="S342" s="39"/>
      <c r="V342" s="39"/>
      <c r="W342" s="39"/>
      <c r="X342" s="39"/>
      <c r="Y342" s="39"/>
      <c r="Z342" s="39"/>
      <c r="AA342" s="47"/>
      <c r="AB342" s="47"/>
      <c r="AC342" s="47"/>
      <c r="AD342" s="39"/>
      <c r="AF342" s="43"/>
      <c r="AY342" s="40"/>
    </row>
    <row r="343" spans="1:59" s="45" customFormat="1" ht="18" customHeight="1">
      <c r="A343" s="1185"/>
      <c r="B343" s="295">
        <v>430</v>
      </c>
      <c r="C343" s="39">
        <f t="shared" si="96"/>
        <v>67</v>
      </c>
      <c r="D343" s="53">
        <v>358</v>
      </c>
      <c r="E343" s="104">
        <v>435</v>
      </c>
      <c r="F343" s="68">
        <v>666</v>
      </c>
      <c r="G343" s="39"/>
      <c r="H343" s="104">
        <v>743</v>
      </c>
      <c r="I343" s="49"/>
      <c r="J343" s="49"/>
      <c r="K343" s="39"/>
      <c r="L343" s="39"/>
      <c r="M343" s="39"/>
      <c r="N343" s="40"/>
      <c r="O343" s="43"/>
      <c r="P343" s="46"/>
      <c r="Q343" s="40"/>
      <c r="R343" s="46"/>
      <c r="S343" s="39"/>
      <c r="T343" s="40"/>
      <c r="U343" s="40"/>
      <c r="V343" s="39"/>
      <c r="W343" s="39"/>
      <c r="X343" s="39"/>
      <c r="Y343" s="39"/>
      <c r="Z343" s="39"/>
      <c r="AA343" s="47"/>
      <c r="AB343" s="47"/>
      <c r="AC343" s="47"/>
      <c r="AD343" s="39"/>
      <c r="AE343" s="40"/>
      <c r="AF343" s="43"/>
      <c r="AG343" s="40"/>
      <c r="AH343" s="40"/>
      <c r="AI343" s="40"/>
      <c r="AJ343" s="40"/>
      <c r="AK343" s="40"/>
      <c r="AL343" s="40"/>
      <c r="AM343" s="40"/>
      <c r="AN343" s="40"/>
      <c r="AO343" s="40"/>
      <c r="AP343" s="40"/>
      <c r="AQ343" s="40"/>
      <c r="AR343" s="40"/>
      <c r="AS343" s="40"/>
      <c r="AT343" s="40"/>
      <c r="AU343" s="40"/>
      <c r="AV343" s="40"/>
      <c r="AW343" s="40"/>
      <c r="AX343" s="40"/>
      <c r="AY343" s="40"/>
      <c r="AZ343" s="40"/>
      <c r="BA343" s="39"/>
      <c r="BB343" s="39"/>
      <c r="BC343" s="433"/>
      <c r="BD343" s="345"/>
      <c r="BE343" s="345"/>
      <c r="BF343" s="345"/>
      <c r="BG343" s="345"/>
    </row>
    <row r="344" spans="1:59" s="45" customFormat="1" ht="18" customHeight="1">
      <c r="A344" s="1186"/>
      <c r="B344" s="296">
        <v>310</v>
      </c>
      <c r="C344" s="37">
        <f t="shared" si="96"/>
        <v>72</v>
      </c>
      <c r="D344" s="300">
        <v>358</v>
      </c>
      <c r="E344" s="101">
        <v>435</v>
      </c>
      <c r="F344" s="69">
        <v>666</v>
      </c>
      <c r="G344" s="37"/>
      <c r="H344" s="101">
        <v>743</v>
      </c>
      <c r="I344" s="49"/>
      <c r="J344" s="49"/>
      <c r="K344" s="39"/>
      <c r="L344" s="39"/>
      <c r="M344" s="39"/>
      <c r="N344" s="40"/>
      <c r="O344" s="43"/>
      <c r="P344" s="46"/>
      <c r="Q344" s="40"/>
      <c r="R344" s="46"/>
      <c r="S344" s="39"/>
      <c r="T344" s="40"/>
      <c r="U344" s="40"/>
      <c r="V344" s="39"/>
      <c r="W344" s="39"/>
      <c r="X344" s="39"/>
      <c r="Y344" s="39"/>
      <c r="Z344" s="39"/>
      <c r="AA344" s="47"/>
      <c r="AB344" s="47"/>
      <c r="AC344" s="47"/>
      <c r="AD344" s="39"/>
      <c r="AE344" s="40"/>
      <c r="AF344" s="43"/>
      <c r="AG344" s="40"/>
      <c r="AH344" s="40"/>
      <c r="AI344" s="40"/>
      <c r="AJ344" s="40"/>
      <c r="AK344" s="40"/>
      <c r="AL344" s="40"/>
      <c r="AM344" s="40"/>
      <c r="AN344" s="40"/>
      <c r="AO344" s="40"/>
      <c r="AP344" s="40"/>
      <c r="AQ344" s="40"/>
      <c r="AR344" s="40"/>
      <c r="AS344" s="40"/>
      <c r="AT344" s="40"/>
      <c r="AU344" s="40"/>
      <c r="AV344" s="40"/>
      <c r="AW344" s="40"/>
      <c r="AX344" s="40"/>
      <c r="AY344" s="40"/>
      <c r="AZ344" s="40"/>
      <c r="BA344" s="39"/>
      <c r="BB344" s="39"/>
      <c r="BC344" s="433"/>
      <c r="BD344" s="345"/>
      <c r="BE344" s="345"/>
      <c r="BF344" s="345"/>
      <c r="BG344" s="345"/>
    </row>
    <row r="345" spans="1:59" ht="18" customHeight="1">
      <c r="A345" s="139" t="s">
        <v>225</v>
      </c>
      <c r="B345" s="301"/>
      <c r="C345" s="297" t="s">
        <v>231</v>
      </c>
      <c r="D345" s="297" t="s">
        <v>231</v>
      </c>
      <c r="E345" s="40"/>
      <c r="F345" s="40"/>
      <c r="G345" s="40"/>
      <c r="H345" s="40"/>
      <c r="I345" s="49"/>
      <c r="J345" s="49"/>
      <c r="O345" s="43"/>
      <c r="P345" s="46"/>
      <c r="R345" s="46"/>
      <c r="S345" s="39"/>
      <c r="V345" s="39"/>
      <c r="W345" s="39"/>
      <c r="X345" s="39"/>
      <c r="Y345" s="39"/>
      <c r="Z345" s="39"/>
      <c r="AA345" s="47"/>
      <c r="AB345" s="47"/>
      <c r="AC345" s="47"/>
      <c r="AD345" s="39"/>
      <c r="AF345" s="43"/>
      <c r="AY345" s="40"/>
    </row>
    <row r="346" spans="1:59" ht="18" customHeight="1">
      <c r="A346" s="86" t="s">
        <v>217</v>
      </c>
      <c r="B346" s="61"/>
      <c r="C346" s="300" t="s">
        <v>6</v>
      </c>
      <c r="D346" s="300" t="s">
        <v>7</v>
      </c>
      <c r="E346" s="40"/>
      <c r="F346" s="40"/>
      <c r="G346" s="40"/>
      <c r="H346" s="40"/>
      <c r="I346" s="49"/>
      <c r="J346" s="49"/>
      <c r="O346" s="43"/>
      <c r="P346" s="46"/>
      <c r="R346" s="46"/>
      <c r="S346" s="39"/>
      <c r="V346" s="39"/>
      <c r="W346" s="39"/>
      <c r="X346" s="39"/>
      <c r="Y346" s="39"/>
      <c r="Z346" s="39"/>
      <c r="AA346" s="47"/>
      <c r="AB346" s="47"/>
      <c r="AC346" s="47"/>
      <c r="AD346" s="39"/>
      <c r="AF346" s="43"/>
      <c r="AY346" s="40"/>
    </row>
    <row r="347" spans="1:59" ht="18" customHeight="1">
      <c r="A347" s="139" t="str">
        <f>Sprachtexte!A43</f>
        <v>Hauptträger/Stütze</v>
      </c>
      <c r="B347" s="56"/>
      <c r="C347" s="298">
        <v>358</v>
      </c>
      <c r="D347" s="298">
        <v>435</v>
      </c>
      <c r="E347" s="40"/>
      <c r="F347" s="40"/>
      <c r="G347" s="40"/>
      <c r="H347" s="40"/>
      <c r="I347" s="49"/>
      <c r="J347" s="49"/>
      <c r="O347" s="43"/>
      <c r="P347" s="46"/>
      <c r="R347" s="46"/>
      <c r="S347" s="39"/>
      <c r="V347" s="39"/>
      <c r="W347" s="39"/>
      <c r="X347" s="39"/>
      <c r="Y347" s="39"/>
      <c r="Z347" s="39"/>
      <c r="AA347" s="47"/>
      <c r="AB347" s="47"/>
      <c r="AC347" s="47"/>
      <c r="AD347" s="39"/>
      <c r="AF347" s="43"/>
      <c r="AY347" s="40"/>
    </row>
    <row r="348" spans="1:59" ht="18" customHeight="1">
      <c r="A348" s="86" t="str">
        <f>Sprachtexte!A44</f>
        <v>Nebenträger</v>
      </c>
      <c r="B348" s="61"/>
      <c r="C348" s="299">
        <v>666</v>
      </c>
      <c r="D348" s="299">
        <v>743</v>
      </c>
      <c r="E348" s="40"/>
      <c r="F348" s="40"/>
      <c r="G348" s="40"/>
      <c r="H348" s="40"/>
      <c r="I348" s="49"/>
      <c r="J348" s="49"/>
      <c r="O348" s="43"/>
      <c r="P348" s="46"/>
      <c r="R348" s="46"/>
      <c r="S348" s="39"/>
      <c r="V348" s="39"/>
      <c r="W348" s="39"/>
      <c r="X348" s="39"/>
      <c r="Y348" s="39"/>
      <c r="Z348" s="39"/>
      <c r="AA348" s="47"/>
      <c r="AB348" s="47"/>
      <c r="AC348" s="47"/>
      <c r="AD348" s="39"/>
      <c r="AF348" s="43"/>
      <c r="AY348" s="40"/>
    </row>
    <row r="349" spans="1:59" ht="18" customHeight="1">
      <c r="A349" s="40"/>
      <c r="B349" s="40"/>
      <c r="C349" s="40"/>
      <c r="D349" s="40"/>
      <c r="E349" s="40"/>
      <c r="F349" s="40"/>
      <c r="G349" s="40"/>
      <c r="H349" s="40"/>
      <c r="I349" s="49"/>
      <c r="J349" s="49"/>
      <c r="O349" s="43"/>
      <c r="P349" s="46"/>
      <c r="R349" s="46"/>
      <c r="S349" s="39"/>
      <c r="V349" s="39"/>
      <c r="W349" s="39"/>
      <c r="X349" s="39"/>
      <c r="Y349" s="39"/>
      <c r="Z349" s="39"/>
      <c r="AA349" s="47"/>
      <c r="AB349" s="47"/>
      <c r="AC349" s="47"/>
      <c r="AD349" s="39"/>
      <c r="AF349" s="43"/>
      <c r="AY349" s="40"/>
    </row>
    <row r="350" spans="1:59" ht="18" customHeight="1">
      <c r="A350" s="302" t="s">
        <v>6</v>
      </c>
      <c r="B350" s="62"/>
      <c r="C350" s="63"/>
      <c r="D350" s="302" t="s">
        <v>7</v>
      </c>
      <c r="E350" s="62"/>
      <c r="F350" s="63"/>
      <c r="G350" s="40"/>
      <c r="H350" s="40"/>
      <c r="I350" s="49"/>
      <c r="J350" s="49"/>
      <c r="O350" s="43"/>
      <c r="P350" s="46"/>
      <c r="R350" s="46"/>
      <c r="S350" s="39"/>
      <c r="V350" s="39"/>
      <c r="W350" s="39"/>
      <c r="X350" s="39"/>
      <c r="Y350" s="39"/>
      <c r="Z350" s="39"/>
      <c r="AA350" s="47"/>
      <c r="AB350" s="47"/>
      <c r="AC350" s="47"/>
      <c r="AD350" s="39"/>
      <c r="AF350" s="43"/>
      <c r="AY350" s="40"/>
    </row>
    <row r="351" spans="1:59" ht="18" customHeight="1">
      <c r="A351" s="85" t="s">
        <v>229</v>
      </c>
      <c r="B351" s="40">
        <f>IF($C$13=150,VLOOKUP($C$14,$B$330:$C$338,2,0),IF($C$13=100,VLOOKUP($C$14,$B$339:$C$341,2,0),IF($C$13=60,VLOOKUP($C$14,$B$342:$C$344,2,0))))</f>
        <v>72</v>
      </c>
      <c r="C351" s="57"/>
      <c r="D351" s="85" t="s">
        <v>229</v>
      </c>
      <c r="E351" s="40">
        <f>IF($C$13=150,VLOOKUP($C$14,$B$330:$C$338,2,0),IF($C$13=100,VLOOKUP($C$14,$B$339:$C$341,2,0),IF($C$13=60,VLOOKUP($C$14,$B$342:$C$344,2,0))))</f>
        <v>72</v>
      </c>
      <c r="F351" s="57"/>
      <c r="G351" s="40"/>
      <c r="H351" s="40"/>
      <c r="I351" s="49"/>
      <c r="J351" s="49"/>
      <c r="O351" s="43"/>
      <c r="P351" s="46"/>
      <c r="R351" s="46"/>
      <c r="S351" s="39"/>
      <c r="V351" s="39"/>
      <c r="W351" s="39"/>
      <c r="X351" s="39"/>
      <c r="Y351" s="39"/>
      <c r="Z351" s="39"/>
      <c r="AA351" s="47"/>
      <c r="AB351" s="47"/>
      <c r="AC351" s="47"/>
      <c r="AD351" s="39"/>
      <c r="AF351" s="43"/>
      <c r="AY351" s="40"/>
    </row>
    <row r="352" spans="1:59" ht="18" customHeight="1">
      <c r="A352" s="85" t="s">
        <v>230</v>
      </c>
      <c r="B352" s="40">
        <f>VLOOKUP(C16,A347:D348,3,0)</f>
        <v>358</v>
      </c>
      <c r="C352" s="57"/>
      <c r="D352" s="85" t="s">
        <v>230</v>
      </c>
      <c r="E352" s="40">
        <f>VLOOKUP(C16,A347:D348,4,0)</f>
        <v>435</v>
      </c>
      <c r="F352" s="57"/>
      <c r="G352" s="40"/>
      <c r="H352" s="40"/>
      <c r="I352" s="49"/>
      <c r="J352" s="49"/>
      <c r="O352" s="43"/>
      <c r="P352" s="46"/>
      <c r="R352" s="46"/>
      <c r="S352" s="39"/>
      <c r="V352" s="39"/>
      <c r="W352" s="39"/>
      <c r="X352" s="39"/>
      <c r="Y352" s="39"/>
      <c r="Z352" s="39"/>
      <c r="AA352" s="47"/>
      <c r="AB352" s="47"/>
      <c r="AC352" s="47"/>
      <c r="AD352" s="39"/>
      <c r="AF352" s="43"/>
      <c r="AY352" s="40"/>
    </row>
    <row r="353" spans="1:51" ht="18" customHeight="1">
      <c r="A353" s="85" t="s">
        <v>227</v>
      </c>
      <c r="B353" s="40" t="str">
        <f>ADDRESS(B352,B351,,,"Geometrie")</f>
        <v>Geometrie!$BT$358</v>
      </c>
      <c r="C353" s="57"/>
      <c r="D353" s="85" t="s">
        <v>227</v>
      </c>
      <c r="E353" s="40" t="str">
        <f>ADDRESS(E352,E351,,,"Geometrie")</f>
        <v>Geometrie!$BT$435</v>
      </c>
      <c r="F353" s="57"/>
      <c r="G353" s="40"/>
      <c r="H353" s="40"/>
      <c r="I353" s="49"/>
      <c r="J353" s="49"/>
      <c r="O353" s="43"/>
      <c r="P353" s="46"/>
      <c r="R353" s="46"/>
      <c r="S353" s="39"/>
      <c r="V353" s="39"/>
      <c r="W353" s="39"/>
      <c r="X353" s="39"/>
      <c r="Y353" s="39"/>
      <c r="Z353" s="39"/>
      <c r="AA353" s="47"/>
      <c r="AB353" s="47"/>
      <c r="AC353" s="47"/>
      <c r="AD353" s="39"/>
      <c r="AF353" s="43"/>
      <c r="AY353" s="40"/>
    </row>
    <row r="354" spans="1:51" ht="18" customHeight="1">
      <c r="A354" s="86" t="s">
        <v>228</v>
      </c>
      <c r="B354" s="60" t="str">
        <f>ADDRESS(B352+73,B351+3,,,"Geometrie")</f>
        <v>Geometrie!$BW$431</v>
      </c>
      <c r="C354" s="61"/>
      <c r="D354" s="86" t="s">
        <v>228</v>
      </c>
      <c r="E354" s="60" t="str">
        <f>ADDRESS(E352+73,E351+3,,,"Geometrie")</f>
        <v>Geometrie!$BW$508</v>
      </c>
      <c r="F354" s="61"/>
      <c r="G354" s="40"/>
      <c r="H354" s="40"/>
      <c r="I354" s="49"/>
      <c r="J354" s="49"/>
      <c r="O354" s="43"/>
      <c r="P354" s="46"/>
      <c r="R354" s="46"/>
      <c r="S354" s="39"/>
      <c r="V354" s="39"/>
      <c r="W354" s="39"/>
      <c r="X354" s="39"/>
      <c r="Y354" s="39"/>
      <c r="Z354" s="39"/>
      <c r="AA354" s="47"/>
      <c r="AB354" s="47"/>
      <c r="AC354" s="47"/>
      <c r="AD354" s="39"/>
      <c r="AF354" s="43"/>
      <c r="AY354" s="40"/>
    </row>
    <row r="355" spans="1:51" ht="18" customHeight="1">
      <c r="I355" s="49"/>
      <c r="J355" s="49"/>
      <c r="O355" s="43"/>
      <c r="P355" s="46"/>
      <c r="R355" s="46"/>
      <c r="S355" s="39"/>
      <c r="V355" s="39"/>
      <c r="W355" s="39"/>
      <c r="X355" s="39"/>
      <c r="Y355" s="39"/>
      <c r="Z355" s="39"/>
      <c r="AA355" s="47"/>
      <c r="AB355" s="47"/>
      <c r="AC355" s="47"/>
      <c r="AD355" s="39"/>
      <c r="AF355" s="43"/>
      <c r="AY355" s="40"/>
    </row>
    <row r="356" spans="1:51" ht="18" customHeight="1">
      <c r="A356" s="427" t="s">
        <v>264</v>
      </c>
      <c r="B356" s="97" t="s">
        <v>269</v>
      </c>
      <c r="C356" s="105"/>
      <c r="I356" s="49"/>
      <c r="J356" s="49"/>
      <c r="O356" s="43"/>
      <c r="P356" s="46"/>
      <c r="R356" s="46"/>
      <c r="S356" s="39"/>
      <c r="V356" s="39"/>
      <c r="W356" s="39"/>
      <c r="X356" s="39"/>
      <c r="Y356" s="39"/>
      <c r="Z356" s="39"/>
      <c r="AA356" s="47"/>
      <c r="AB356" s="47"/>
      <c r="AC356" s="47"/>
      <c r="AD356" s="39"/>
      <c r="AF356" s="43"/>
      <c r="AY356" s="40"/>
    </row>
    <row r="357" spans="1:51" ht="18" customHeight="1">
      <c r="A357" s="53" t="s">
        <v>27</v>
      </c>
      <c r="B357" s="54" t="s">
        <v>6</v>
      </c>
      <c r="C357" s="105">
        <f>IF(C20="GL75",2,IF(OR(LEFT(C20,1)="C",AND(LEFT(C20,1)="G",LEN(C20)=5)),0,IF(LEFT(C20,1)="D",1,3)))</f>
        <v>0</v>
      </c>
      <c r="I357" s="49"/>
      <c r="J357" s="49"/>
      <c r="O357" s="43"/>
      <c r="P357" s="46"/>
      <c r="R357" s="46"/>
      <c r="S357" s="39"/>
      <c r="V357" s="39"/>
      <c r="W357" s="39"/>
      <c r="X357" s="39"/>
      <c r="Y357" s="39"/>
      <c r="Z357" s="39"/>
      <c r="AA357" s="47"/>
      <c r="AB357" s="47"/>
      <c r="AC357" s="47"/>
      <c r="AD357" s="39"/>
      <c r="AF357" s="43"/>
      <c r="AY357" s="40"/>
    </row>
    <row r="358" spans="1:51" ht="18" customHeight="1">
      <c r="A358" s="53" t="s">
        <v>52</v>
      </c>
      <c r="B358" s="37" t="s">
        <v>7</v>
      </c>
      <c r="C358" s="101">
        <f>IF(C37="GL75",2,IF(OR(LEFT(C37,1)="C",AND(LEFT(C37,1)="G",LEN(C37)=5)),0,IF(LEFT(C37,1)="D",1,3)))</f>
        <v>0</v>
      </c>
      <c r="I358" s="49"/>
      <c r="J358" s="49"/>
      <c r="O358" s="43"/>
      <c r="P358" s="46"/>
      <c r="R358" s="46"/>
      <c r="S358" s="39"/>
      <c r="V358" s="39"/>
      <c r="W358" s="39"/>
      <c r="X358" s="39"/>
      <c r="Y358" s="39"/>
      <c r="Z358" s="39"/>
      <c r="AA358" s="47"/>
      <c r="AB358" s="47"/>
      <c r="AC358" s="47"/>
      <c r="AD358" s="39"/>
      <c r="AF358" s="43"/>
      <c r="AY358" s="40"/>
    </row>
    <row r="359" spans="1:51" ht="18" customHeight="1">
      <c r="A359" s="53" t="s">
        <v>54</v>
      </c>
      <c r="I359" s="49"/>
      <c r="J359" s="49"/>
      <c r="O359" s="43"/>
      <c r="P359" s="46"/>
      <c r="R359" s="46"/>
      <c r="S359" s="39"/>
      <c r="V359" s="39"/>
      <c r="W359" s="39"/>
      <c r="X359" s="39"/>
      <c r="Y359" s="39"/>
      <c r="Z359" s="39"/>
      <c r="AA359" s="47"/>
      <c r="AB359" s="47"/>
      <c r="AC359" s="47"/>
      <c r="AD359" s="39"/>
      <c r="AF359" s="43"/>
      <c r="AY359" s="40"/>
    </row>
    <row r="360" spans="1:51" ht="18" customHeight="1">
      <c r="A360" s="53" t="s">
        <v>36</v>
      </c>
      <c r="I360" s="49"/>
      <c r="J360" s="49"/>
      <c r="O360" s="43"/>
      <c r="P360" s="46"/>
      <c r="R360" s="46"/>
      <c r="S360" s="39"/>
      <c r="V360" s="39"/>
      <c r="W360" s="39"/>
      <c r="X360" s="39"/>
      <c r="Y360" s="39"/>
      <c r="Z360" s="39"/>
      <c r="AA360" s="47"/>
      <c r="AB360" s="47"/>
      <c r="AC360" s="47"/>
      <c r="AD360" s="39"/>
      <c r="AF360" s="43"/>
      <c r="AY360" s="40"/>
    </row>
    <row r="361" spans="1:51" ht="18" customHeight="1">
      <c r="A361" s="53" t="s">
        <v>40</v>
      </c>
      <c r="I361" s="49"/>
      <c r="J361" s="49"/>
      <c r="O361" s="43"/>
      <c r="P361" s="46"/>
      <c r="R361" s="46"/>
      <c r="S361" s="39"/>
      <c r="V361" s="39"/>
      <c r="W361" s="39"/>
      <c r="X361" s="39"/>
      <c r="Y361" s="39"/>
      <c r="Z361" s="39"/>
      <c r="AA361" s="47"/>
      <c r="AB361" s="47"/>
      <c r="AC361" s="47"/>
      <c r="AD361" s="39"/>
      <c r="AF361" s="43"/>
      <c r="AY361" s="40"/>
    </row>
    <row r="362" spans="1:51" ht="18" customHeight="1">
      <c r="A362" s="300" t="s">
        <v>57</v>
      </c>
      <c r="I362" s="49"/>
      <c r="J362" s="49"/>
      <c r="O362" s="43"/>
      <c r="P362" s="46"/>
      <c r="R362" s="46"/>
      <c r="S362" s="39"/>
      <c r="V362" s="39"/>
      <c r="W362" s="39"/>
      <c r="X362" s="39"/>
      <c r="Y362" s="39"/>
      <c r="Z362" s="39"/>
      <c r="AA362" s="47"/>
      <c r="AB362" s="47"/>
      <c r="AC362" s="47"/>
      <c r="AD362" s="39"/>
      <c r="AF362" s="43"/>
      <c r="AS362" s="45"/>
      <c r="AT362" s="45"/>
      <c r="AU362" s="45"/>
      <c r="AV362" s="45"/>
      <c r="AW362" s="45"/>
      <c r="AY362" s="40"/>
    </row>
    <row r="363" spans="1:51" ht="18" customHeight="1">
      <c r="I363" s="49"/>
      <c r="J363" s="49"/>
      <c r="O363" s="43"/>
      <c r="P363" s="46"/>
      <c r="R363" s="46"/>
      <c r="S363" s="39"/>
      <c r="V363" s="39"/>
      <c r="W363" s="39"/>
      <c r="X363" s="39"/>
      <c r="Y363" s="39"/>
      <c r="Z363" s="39"/>
      <c r="AA363" s="47"/>
      <c r="AB363" s="47"/>
      <c r="AC363" s="47"/>
      <c r="AD363" s="39"/>
      <c r="AF363" s="43"/>
      <c r="AS363" s="45"/>
      <c r="AT363" s="45"/>
      <c r="AU363" s="45"/>
      <c r="AV363" s="45"/>
      <c r="AW363" s="45"/>
      <c r="AX363" s="45"/>
      <c r="AY363" s="45"/>
    </row>
    <row r="364" spans="1:51" ht="18" customHeight="1">
      <c r="I364" s="49"/>
      <c r="J364" s="49"/>
      <c r="O364" s="43"/>
      <c r="P364" s="46"/>
      <c r="R364" s="46"/>
      <c r="S364" s="39"/>
      <c r="V364" s="39"/>
      <c r="W364" s="39"/>
      <c r="X364" s="39"/>
      <c r="Y364" s="39"/>
      <c r="Z364" s="39"/>
      <c r="AA364" s="47"/>
      <c r="AB364" s="47"/>
      <c r="AC364" s="47"/>
      <c r="AD364" s="39"/>
      <c r="AF364" s="43"/>
      <c r="AX364" s="45"/>
      <c r="AY364" s="45"/>
    </row>
    <row r="365" spans="1:51" ht="18" customHeight="1">
      <c r="A365" s="427" t="s">
        <v>272</v>
      </c>
      <c r="I365" s="49"/>
      <c r="J365" s="49"/>
      <c r="O365" s="43"/>
      <c r="P365" s="46"/>
      <c r="Q365" s="46"/>
      <c r="R365" s="39"/>
      <c r="S365" s="39"/>
      <c r="V365" s="39"/>
      <c r="W365" s="39"/>
      <c r="X365" s="39"/>
      <c r="Y365" s="39"/>
      <c r="Z365" s="39"/>
      <c r="AA365" s="47"/>
      <c r="AB365" s="47"/>
      <c r="AC365" s="47"/>
      <c r="AD365" s="39"/>
      <c r="AF365" s="43"/>
      <c r="AY365" s="40"/>
    </row>
    <row r="366" spans="1:51" ht="18" customHeight="1">
      <c r="A366" s="428" t="s">
        <v>282</v>
      </c>
      <c r="I366" s="49"/>
      <c r="J366" s="49"/>
      <c r="O366" s="43"/>
      <c r="P366" s="46"/>
      <c r="Q366" s="46"/>
      <c r="R366" s="39"/>
      <c r="S366" s="39"/>
      <c r="V366" s="39"/>
      <c r="W366" s="39"/>
      <c r="X366" s="39"/>
      <c r="Y366" s="39"/>
      <c r="Z366" s="39"/>
      <c r="AA366" s="47"/>
      <c r="AB366" s="47"/>
      <c r="AC366" s="47"/>
      <c r="AD366" s="39"/>
      <c r="AF366" s="43"/>
      <c r="AY366" s="40"/>
    </row>
    <row r="367" spans="1:51" ht="18" customHeight="1">
      <c r="A367" s="53">
        <v>1</v>
      </c>
      <c r="I367" s="49"/>
      <c r="J367" s="49"/>
      <c r="O367" s="43"/>
      <c r="P367" s="46"/>
      <c r="Q367" s="46"/>
      <c r="R367" s="39"/>
      <c r="S367" s="39"/>
      <c r="V367" s="39"/>
      <c r="W367" s="39"/>
      <c r="X367" s="39"/>
      <c r="Y367" s="39"/>
      <c r="Z367" s="39"/>
      <c r="AA367" s="47"/>
      <c r="AB367" s="47"/>
      <c r="AC367" s="47"/>
      <c r="AD367" s="39"/>
      <c r="AF367" s="43"/>
      <c r="AY367" s="40"/>
    </row>
    <row r="368" spans="1:51" ht="18" customHeight="1">
      <c r="A368" s="53">
        <v>2</v>
      </c>
      <c r="I368" s="49"/>
      <c r="J368" s="49"/>
      <c r="O368" s="43"/>
      <c r="P368" s="46"/>
      <c r="Q368" s="46"/>
      <c r="R368" s="39"/>
      <c r="S368" s="39"/>
      <c r="V368" s="39"/>
      <c r="W368" s="39"/>
      <c r="X368" s="39"/>
      <c r="Y368" s="39"/>
      <c r="Z368" s="39"/>
      <c r="AA368" s="47"/>
      <c r="AB368" s="47"/>
      <c r="AC368" s="47"/>
      <c r="AD368" s="39"/>
      <c r="AF368" s="345"/>
      <c r="AG368" s="45"/>
      <c r="AH368" s="45"/>
      <c r="AY368" s="40"/>
    </row>
    <row r="369" spans="1:52" ht="18" customHeight="1">
      <c r="A369" s="300" t="str">
        <f>IF(C13=60,"",3)</f>
        <v/>
      </c>
      <c r="I369" s="49"/>
      <c r="J369" s="49"/>
      <c r="O369" s="43"/>
      <c r="P369" s="46"/>
      <c r="Q369" s="46"/>
      <c r="R369" s="39"/>
      <c r="S369" s="39"/>
      <c r="V369" s="39"/>
      <c r="W369" s="39"/>
      <c r="X369" s="39"/>
      <c r="Y369" s="39"/>
      <c r="Z369" s="39"/>
      <c r="AA369" s="47"/>
      <c r="AB369" s="47"/>
      <c r="AC369" s="47"/>
      <c r="AD369" s="39"/>
      <c r="AE369" s="45"/>
      <c r="AF369" s="345"/>
      <c r="AG369" s="45"/>
      <c r="AH369" s="45"/>
      <c r="AY369" s="40"/>
    </row>
    <row r="370" spans="1:52" ht="18" customHeight="1">
      <c r="A370" s="40"/>
      <c r="B370" s="40"/>
      <c r="C370" s="40"/>
      <c r="D370" s="40"/>
      <c r="E370" s="40"/>
      <c r="I370" s="49"/>
      <c r="J370" s="49"/>
      <c r="O370" s="43"/>
      <c r="P370" s="46"/>
      <c r="Q370" s="46"/>
      <c r="R370" s="39"/>
      <c r="S370" s="39"/>
      <c r="V370" s="39"/>
      <c r="W370" s="39"/>
      <c r="X370" s="39"/>
      <c r="Y370" s="39"/>
      <c r="Z370" s="39"/>
      <c r="AA370" s="47"/>
      <c r="AB370" s="47"/>
      <c r="AC370" s="47"/>
      <c r="AD370" s="45"/>
      <c r="AE370" s="45"/>
      <c r="AF370" s="43"/>
      <c r="AY370" s="40"/>
    </row>
    <row r="371" spans="1:52" ht="18" customHeight="1">
      <c r="A371" s="40"/>
      <c r="B371" s="40"/>
      <c r="C371" s="40"/>
      <c r="D371" s="40"/>
      <c r="E371" s="40"/>
      <c r="I371" s="49"/>
      <c r="J371" s="49"/>
      <c r="O371" s="43"/>
      <c r="P371" s="46"/>
      <c r="Q371" s="46"/>
      <c r="R371" s="39"/>
      <c r="S371" s="39"/>
      <c r="V371" s="39"/>
      <c r="W371" s="39"/>
      <c r="X371" s="39"/>
      <c r="Y371" s="39"/>
      <c r="Z371" s="39"/>
      <c r="AA371" s="47"/>
      <c r="AB371" s="47"/>
      <c r="AC371" s="47"/>
      <c r="AD371" s="45"/>
      <c r="AF371" s="43"/>
      <c r="AY371" s="40"/>
    </row>
    <row r="372" spans="1:52" ht="18" customHeight="1">
      <c r="A372" s="40"/>
      <c r="B372" s="40"/>
      <c r="C372" s="40"/>
      <c r="D372" s="40"/>
      <c r="E372" s="40"/>
      <c r="I372" s="49"/>
      <c r="J372" s="49"/>
      <c r="O372" s="43"/>
      <c r="P372" s="46"/>
      <c r="Q372" s="46"/>
      <c r="R372" s="39"/>
      <c r="S372" s="39"/>
      <c r="V372" s="39"/>
      <c r="W372" s="39"/>
      <c r="X372" s="39"/>
      <c r="Y372" s="39"/>
      <c r="Z372" s="39"/>
      <c r="AA372" s="47"/>
      <c r="AB372" s="47"/>
      <c r="AC372" s="47"/>
      <c r="AD372" s="39"/>
      <c r="AF372" s="43"/>
      <c r="AY372" s="40"/>
    </row>
    <row r="373" spans="1:52" ht="18" customHeight="1">
      <c r="A373" s="40"/>
      <c r="B373" s="40"/>
      <c r="C373" s="40"/>
      <c r="D373" s="40"/>
      <c r="E373" s="40"/>
      <c r="I373" s="49"/>
      <c r="J373" s="49"/>
      <c r="O373" s="43"/>
      <c r="P373" s="46"/>
      <c r="Q373" s="46"/>
      <c r="R373" s="39"/>
      <c r="S373" s="39"/>
      <c r="V373" s="39"/>
      <c r="W373" s="39"/>
      <c r="X373" s="39"/>
      <c r="Y373" s="39"/>
      <c r="Z373" s="39"/>
      <c r="AA373" s="47"/>
      <c r="AB373" s="47"/>
      <c r="AC373" s="47"/>
      <c r="AD373" s="39"/>
      <c r="AF373" s="43"/>
      <c r="AY373" s="40"/>
    </row>
    <row r="374" spans="1:52" ht="18" customHeight="1">
      <c r="A374" s="40"/>
      <c r="B374" s="40"/>
      <c r="C374" s="40"/>
      <c r="D374" s="40"/>
      <c r="E374" s="40"/>
      <c r="I374" s="49"/>
      <c r="J374" s="49"/>
      <c r="O374" s="43"/>
      <c r="P374" s="46"/>
      <c r="Q374" s="46"/>
      <c r="R374" s="39"/>
      <c r="S374" s="39"/>
      <c r="V374" s="39"/>
      <c r="W374" s="39"/>
      <c r="X374" s="39"/>
      <c r="Y374" s="39"/>
      <c r="Z374" s="39"/>
      <c r="AA374" s="47"/>
      <c r="AB374" s="47"/>
      <c r="AC374" s="47"/>
      <c r="AD374" s="39"/>
      <c r="AF374" s="43"/>
      <c r="AY374" s="40"/>
    </row>
    <row r="375" spans="1:52" ht="18" customHeight="1">
      <c r="A375" s="45"/>
      <c r="B375" s="45"/>
      <c r="C375" s="45"/>
      <c r="D375" s="45"/>
      <c r="E375" s="45"/>
      <c r="F375" s="45"/>
      <c r="G375" s="45"/>
      <c r="H375" s="45"/>
      <c r="I375" s="312"/>
      <c r="J375" s="289"/>
      <c r="K375" s="45"/>
      <c r="L375" s="45"/>
      <c r="M375" s="45"/>
      <c r="O375" s="43"/>
      <c r="P375" s="45"/>
      <c r="Q375" s="45"/>
      <c r="R375" s="45"/>
      <c r="S375" s="45"/>
      <c r="T375" s="45"/>
      <c r="V375" s="39"/>
      <c r="W375" s="39"/>
      <c r="X375" s="39"/>
      <c r="Y375" s="39"/>
      <c r="Z375" s="39"/>
      <c r="AA375" s="47"/>
      <c r="AB375" s="47"/>
      <c r="AC375" s="47"/>
      <c r="AD375" s="39"/>
      <c r="AF375" s="43"/>
      <c r="AI375" s="45"/>
      <c r="AJ375" s="45"/>
      <c r="AK375" s="45"/>
      <c r="AL375" s="45"/>
      <c r="AM375" s="45"/>
      <c r="AN375" s="45"/>
      <c r="AO375" s="45"/>
      <c r="AP375" s="45"/>
      <c r="AQ375" s="45"/>
      <c r="AR375" s="45"/>
      <c r="AY375" s="40"/>
      <c r="AZ375" s="45"/>
    </row>
    <row r="376" spans="1:52" ht="18" customHeight="1">
      <c r="A376" s="45"/>
      <c r="B376" s="45"/>
      <c r="C376" s="45"/>
      <c r="D376" s="45"/>
      <c r="E376" s="45"/>
      <c r="F376" s="45"/>
      <c r="G376" s="45"/>
      <c r="H376" s="45"/>
      <c r="I376" s="312"/>
      <c r="J376" s="289"/>
      <c r="K376" s="45"/>
      <c r="L376" s="45"/>
      <c r="M376" s="45"/>
      <c r="O376" s="43"/>
      <c r="P376" s="45"/>
      <c r="Q376" s="45"/>
      <c r="R376" s="45"/>
      <c r="S376" s="45"/>
      <c r="T376" s="45"/>
      <c r="V376" s="45"/>
      <c r="W376" s="45"/>
      <c r="X376" s="45"/>
      <c r="Y376" s="45"/>
      <c r="Z376" s="45"/>
      <c r="AA376" s="345"/>
      <c r="AB376" s="345"/>
      <c r="AC376" s="345"/>
      <c r="AD376" s="39"/>
      <c r="AF376" s="43"/>
      <c r="AI376" s="45"/>
      <c r="AJ376" s="45"/>
      <c r="AK376" s="45"/>
      <c r="AL376" s="45"/>
      <c r="AM376" s="45"/>
      <c r="AN376" s="45"/>
      <c r="AO376" s="45"/>
      <c r="AP376" s="45"/>
      <c r="AQ376" s="45"/>
      <c r="AR376" s="45"/>
      <c r="AY376" s="40"/>
      <c r="AZ376" s="45"/>
    </row>
    <row r="377" spans="1:52" ht="18" customHeight="1">
      <c r="A377" s="40"/>
      <c r="B377" s="40"/>
      <c r="C377" s="40"/>
      <c r="D377" s="40"/>
      <c r="E377" s="40"/>
      <c r="I377" s="49"/>
      <c r="J377" s="49"/>
      <c r="O377" s="43"/>
      <c r="P377" s="46"/>
      <c r="Q377" s="39"/>
      <c r="R377" s="39"/>
      <c r="S377" s="39"/>
      <c r="V377" s="45"/>
      <c r="W377" s="45"/>
      <c r="X377" s="45"/>
      <c r="Y377" s="45"/>
      <c r="Z377" s="45"/>
      <c r="AA377" s="345"/>
      <c r="AB377" s="345"/>
      <c r="AC377" s="345"/>
      <c r="AD377" s="39"/>
      <c r="AF377" s="43"/>
      <c r="AY377" s="40"/>
    </row>
    <row r="378" spans="1:52" ht="18" customHeight="1">
      <c r="A378" s="40"/>
      <c r="B378" s="40"/>
      <c r="C378" s="40"/>
      <c r="D378" s="40"/>
      <c r="E378" s="40"/>
      <c r="O378" s="43"/>
      <c r="P378" s="46"/>
      <c r="Q378" s="39"/>
      <c r="R378" s="39"/>
      <c r="S378" s="39"/>
      <c r="V378" s="39"/>
      <c r="W378" s="39"/>
      <c r="X378" s="39"/>
      <c r="Y378" s="39"/>
      <c r="Z378" s="39"/>
      <c r="AA378" s="47"/>
      <c r="AB378" s="47"/>
      <c r="AC378" s="47"/>
      <c r="AD378" s="39"/>
      <c r="AF378" s="43"/>
      <c r="AY378" s="40"/>
    </row>
    <row r="379" spans="1:52" ht="18" customHeight="1">
      <c r="A379" s="40"/>
      <c r="B379" s="40"/>
      <c r="C379" s="40"/>
      <c r="D379" s="40"/>
      <c r="E379" s="40"/>
      <c r="O379" s="43"/>
      <c r="P379" s="46"/>
      <c r="Q379" s="39"/>
      <c r="R379" s="39"/>
      <c r="S379" s="39"/>
      <c r="V379" s="39"/>
      <c r="W379" s="39"/>
      <c r="X379" s="39"/>
      <c r="Y379" s="39"/>
      <c r="Z379" s="39"/>
      <c r="AA379" s="47"/>
      <c r="AB379" s="47"/>
      <c r="AC379" s="47"/>
      <c r="AD379" s="39"/>
      <c r="AF379" s="43"/>
      <c r="AY379" s="40"/>
    </row>
    <row r="380" spans="1:52" ht="18" customHeight="1">
      <c r="A380" s="40"/>
      <c r="B380" s="40"/>
      <c r="C380" s="40"/>
      <c r="D380" s="40"/>
      <c r="E380" s="40"/>
      <c r="O380" s="43"/>
      <c r="P380" s="46"/>
      <c r="Q380" s="39"/>
      <c r="R380" s="39"/>
      <c r="S380" s="39"/>
      <c r="U380" s="39"/>
      <c r="V380" s="39"/>
      <c r="W380" s="39"/>
      <c r="X380" s="39"/>
      <c r="Y380" s="47"/>
      <c r="Z380" s="47"/>
      <c r="AA380" s="39"/>
      <c r="AB380" s="39"/>
      <c r="AC380" s="39"/>
      <c r="AD380" s="40"/>
      <c r="AE380" s="43"/>
      <c r="AY380" s="40"/>
    </row>
    <row r="381" spans="1:52" ht="18" customHeight="1">
      <c r="A381" s="40"/>
      <c r="B381" s="40"/>
      <c r="C381" s="40"/>
      <c r="D381" s="40"/>
      <c r="E381" s="40"/>
      <c r="O381" s="43"/>
      <c r="P381" s="46"/>
      <c r="Q381" s="39"/>
      <c r="R381" s="39"/>
      <c r="S381" s="39"/>
      <c r="T381" s="39"/>
      <c r="U381" s="39"/>
      <c r="V381" s="39"/>
      <c r="W381" s="39"/>
      <c r="X381" s="39"/>
      <c r="Y381" s="47"/>
      <c r="Z381" s="47"/>
      <c r="AA381" s="39"/>
      <c r="AB381" s="39"/>
      <c r="AC381" s="39"/>
      <c r="AD381" s="40"/>
      <c r="AE381" s="43"/>
      <c r="AY381" s="40"/>
    </row>
    <row r="382" spans="1:52" ht="18" customHeight="1">
      <c r="A382" s="40"/>
      <c r="B382" s="40"/>
      <c r="C382" s="40"/>
      <c r="D382" s="40"/>
      <c r="E382" s="40"/>
      <c r="F382" s="40"/>
      <c r="G382" s="40"/>
      <c r="O382" s="43"/>
      <c r="P382" s="46"/>
      <c r="Q382" s="39"/>
      <c r="R382" s="39"/>
      <c r="S382" s="39"/>
      <c r="T382" s="39"/>
      <c r="U382" s="39"/>
      <c r="V382" s="39"/>
      <c r="W382" s="39"/>
      <c r="X382" s="39"/>
      <c r="Y382" s="47"/>
      <c r="Z382" s="47"/>
      <c r="AA382" s="39"/>
      <c r="AB382" s="39"/>
      <c r="AC382" s="39"/>
      <c r="AD382" s="40"/>
      <c r="AE382" s="43"/>
      <c r="AY382" s="40"/>
    </row>
    <row r="383" spans="1:52" ht="18" customHeight="1">
      <c r="A383" s="40"/>
      <c r="B383" s="40"/>
      <c r="C383" s="40"/>
      <c r="D383" s="40"/>
      <c r="E383" s="40"/>
      <c r="F383" s="40"/>
      <c r="G383" s="40"/>
      <c r="O383" s="43"/>
      <c r="P383" s="46"/>
      <c r="Q383" s="39"/>
      <c r="R383" s="39"/>
      <c r="S383" s="39"/>
      <c r="T383" s="39"/>
      <c r="U383" s="39"/>
      <c r="V383" s="39"/>
      <c r="W383" s="39"/>
      <c r="X383" s="39"/>
      <c r="Y383" s="47"/>
      <c r="Z383" s="47"/>
      <c r="AA383" s="39"/>
      <c r="AB383" s="39"/>
      <c r="AC383" s="39"/>
      <c r="AD383" s="40"/>
      <c r="AE383" s="43"/>
      <c r="AY383" s="40"/>
    </row>
    <row r="384" spans="1:52" ht="18" customHeight="1">
      <c r="A384" s="40"/>
      <c r="B384" s="40"/>
      <c r="C384" s="40"/>
      <c r="D384" s="40"/>
      <c r="E384" s="40"/>
      <c r="F384" s="40"/>
      <c r="G384" s="40"/>
      <c r="O384" s="43"/>
      <c r="P384" s="46"/>
      <c r="Q384" s="39"/>
      <c r="R384" s="39"/>
      <c r="S384" s="39"/>
      <c r="T384" s="39"/>
      <c r="U384" s="39"/>
      <c r="V384" s="39"/>
      <c r="W384" s="39"/>
      <c r="X384" s="39"/>
      <c r="Y384" s="47"/>
      <c r="Z384" s="47"/>
      <c r="AA384" s="39"/>
      <c r="AB384" s="39"/>
      <c r="AC384" s="39"/>
      <c r="AD384" s="40"/>
      <c r="AE384" s="43"/>
      <c r="AY384" s="40"/>
    </row>
    <row r="385" spans="1:51" ht="18" customHeight="1">
      <c r="A385" s="40"/>
      <c r="B385" s="40"/>
      <c r="C385" s="40"/>
      <c r="D385" s="40"/>
      <c r="E385" s="40"/>
      <c r="F385" s="40"/>
      <c r="G385" s="40"/>
      <c r="O385" s="43"/>
      <c r="P385" s="46"/>
      <c r="Q385" s="39"/>
      <c r="R385" s="39"/>
      <c r="S385" s="39"/>
      <c r="T385" s="39"/>
      <c r="U385" s="39"/>
      <c r="V385" s="39"/>
      <c r="W385" s="39"/>
      <c r="X385" s="39"/>
      <c r="Y385" s="47"/>
      <c r="Z385" s="47"/>
      <c r="AA385" s="39"/>
      <c r="AB385" s="39"/>
      <c r="AC385" s="39"/>
      <c r="AD385" s="40"/>
      <c r="AE385" s="43"/>
      <c r="AY385" s="40"/>
    </row>
    <row r="386" spans="1:51" ht="18" customHeight="1">
      <c r="A386" s="40"/>
      <c r="B386" s="40"/>
      <c r="C386" s="40"/>
      <c r="D386" s="40"/>
      <c r="E386" s="40"/>
      <c r="F386" s="40"/>
      <c r="G386" s="40"/>
      <c r="O386" s="43"/>
      <c r="P386" s="46"/>
      <c r="Q386" s="39"/>
      <c r="R386" s="39"/>
      <c r="S386" s="39"/>
      <c r="T386" s="39"/>
      <c r="U386" s="39"/>
      <c r="V386" s="39"/>
      <c r="W386" s="39"/>
      <c r="X386" s="39"/>
      <c r="Y386" s="47"/>
      <c r="Z386" s="47"/>
      <c r="AA386" s="39"/>
      <c r="AB386" s="39"/>
      <c r="AC386" s="39"/>
      <c r="AD386" s="40"/>
      <c r="AE386" s="43"/>
      <c r="AY386" s="40"/>
    </row>
    <row r="387" spans="1:51" ht="18" customHeight="1">
      <c r="A387" s="40"/>
      <c r="B387" s="40"/>
      <c r="C387" s="40"/>
      <c r="D387" s="40"/>
      <c r="E387" s="40"/>
      <c r="F387" s="40"/>
      <c r="G387" s="40"/>
      <c r="O387" s="43"/>
      <c r="P387" s="46"/>
      <c r="Q387" s="39"/>
      <c r="R387" s="39"/>
      <c r="S387" s="39"/>
      <c r="T387" s="39"/>
      <c r="U387" s="39"/>
      <c r="V387" s="39"/>
      <c r="W387" s="39"/>
      <c r="X387" s="39"/>
      <c r="Y387" s="47"/>
      <c r="Z387" s="47"/>
      <c r="AA387" s="39"/>
      <c r="AB387" s="39"/>
      <c r="AC387" s="39"/>
      <c r="AD387" s="39"/>
      <c r="AE387" s="47"/>
      <c r="AF387" s="39"/>
      <c r="AG387" s="39"/>
      <c r="AY387" s="40"/>
    </row>
    <row r="388" spans="1:51" ht="18" customHeight="1">
      <c r="A388" s="40"/>
      <c r="B388" s="40"/>
      <c r="C388" s="40"/>
      <c r="D388" s="40"/>
      <c r="E388" s="40"/>
      <c r="F388" s="40"/>
      <c r="G388" s="40"/>
      <c r="O388" s="43"/>
      <c r="P388" s="46"/>
      <c r="Q388" s="39"/>
      <c r="R388" s="39"/>
      <c r="S388" s="39"/>
      <c r="T388" s="39"/>
      <c r="U388" s="39"/>
      <c r="V388" s="39"/>
      <c r="W388" s="39"/>
      <c r="X388" s="39"/>
      <c r="Y388" s="47"/>
      <c r="Z388" s="47"/>
      <c r="AE388" s="39"/>
      <c r="AF388" s="39"/>
      <c r="AG388" s="47"/>
      <c r="AY388" s="40"/>
    </row>
    <row r="389" spans="1:51" ht="18" customHeight="1">
      <c r="A389" s="40"/>
      <c r="B389" s="40"/>
      <c r="C389" s="40"/>
      <c r="D389" s="40"/>
      <c r="E389" s="40"/>
      <c r="F389" s="40"/>
      <c r="G389" s="40"/>
      <c r="O389" s="43"/>
      <c r="P389" s="46"/>
      <c r="Q389" s="39"/>
      <c r="R389" s="39"/>
      <c r="S389" s="39"/>
      <c r="T389" s="39"/>
      <c r="U389" s="39"/>
      <c r="V389" s="39"/>
      <c r="W389" s="39"/>
      <c r="X389" s="39"/>
      <c r="Y389" s="47"/>
      <c r="Z389" s="47"/>
      <c r="AE389" s="39"/>
      <c r="AF389" s="39"/>
      <c r="AG389" s="47"/>
      <c r="AY389" s="40"/>
    </row>
    <row r="390" spans="1:51" ht="18" customHeight="1">
      <c r="A390" s="40"/>
      <c r="B390" s="40"/>
      <c r="C390" s="40"/>
      <c r="D390" s="40"/>
      <c r="E390" s="40"/>
      <c r="F390" s="40"/>
      <c r="G390" s="40"/>
      <c r="O390" s="43"/>
      <c r="P390" s="46"/>
      <c r="Q390" s="39"/>
      <c r="R390" s="39"/>
      <c r="S390" s="39"/>
      <c r="T390" s="39"/>
      <c r="U390" s="39"/>
      <c r="V390" s="39"/>
      <c r="W390" s="39"/>
      <c r="X390" s="39"/>
      <c r="Y390" s="47"/>
      <c r="Z390" s="47"/>
      <c r="AE390" s="39"/>
      <c r="AF390" s="39"/>
      <c r="AG390" s="47"/>
      <c r="AY390" s="40"/>
    </row>
    <row r="391" spans="1:51" ht="18" customHeight="1">
      <c r="A391" s="40"/>
      <c r="B391" s="40"/>
      <c r="C391" s="40"/>
      <c r="D391" s="40"/>
      <c r="E391" s="40"/>
      <c r="F391" s="40"/>
      <c r="G391" s="40"/>
      <c r="O391" s="43"/>
      <c r="P391" s="46"/>
      <c r="Q391" s="39"/>
      <c r="R391" s="39"/>
      <c r="S391" s="39"/>
      <c r="T391" s="39"/>
      <c r="U391" s="39"/>
      <c r="V391" s="39"/>
      <c r="W391" s="39"/>
      <c r="X391" s="39"/>
      <c r="Y391" s="47"/>
      <c r="Z391" s="47"/>
      <c r="AE391" s="39"/>
      <c r="AF391" s="39"/>
      <c r="AG391" s="47"/>
      <c r="AY391" s="40"/>
    </row>
    <row r="392" spans="1:51" ht="18" customHeight="1">
      <c r="A392" s="40"/>
      <c r="B392" s="40"/>
      <c r="C392" s="40"/>
      <c r="D392" s="40"/>
      <c r="E392" s="40"/>
      <c r="F392" s="40"/>
      <c r="G392" s="40"/>
      <c r="O392" s="43"/>
      <c r="P392" s="46"/>
      <c r="Q392" s="39"/>
      <c r="R392" s="39"/>
      <c r="S392" s="39"/>
      <c r="T392" s="39"/>
      <c r="U392" s="39"/>
      <c r="V392" s="39"/>
      <c r="W392" s="39"/>
      <c r="X392" s="39"/>
      <c r="Y392" s="47"/>
      <c r="Z392" s="47"/>
      <c r="AE392" s="39"/>
      <c r="AF392" s="39"/>
      <c r="AG392" s="47"/>
      <c r="AY392" s="40"/>
    </row>
    <row r="393" spans="1:51" ht="18" customHeight="1">
      <c r="A393" s="40"/>
      <c r="B393" s="40"/>
      <c r="C393" s="40"/>
      <c r="D393" s="40"/>
      <c r="E393" s="40"/>
      <c r="F393" s="40"/>
      <c r="G393" s="40"/>
      <c r="O393" s="43"/>
      <c r="P393" s="46"/>
      <c r="Q393" s="39"/>
      <c r="R393" s="39"/>
      <c r="S393" s="39"/>
      <c r="T393" s="39"/>
      <c r="U393" s="39"/>
      <c r="V393" s="39"/>
      <c r="W393" s="39"/>
      <c r="X393" s="39"/>
      <c r="Y393" s="47"/>
      <c r="Z393" s="47"/>
      <c r="AE393" s="39"/>
      <c r="AF393" s="39"/>
      <c r="AG393" s="47"/>
      <c r="AJ393" s="39"/>
      <c r="AK393" s="39"/>
      <c r="AY393" s="40"/>
    </row>
    <row r="394" spans="1:51" ht="18" customHeight="1">
      <c r="A394" s="40"/>
      <c r="B394" s="40"/>
      <c r="C394" s="40"/>
      <c r="D394" s="40"/>
      <c r="E394" s="40"/>
      <c r="F394" s="40"/>
      <c r="G394" s="40"/>
      <c r="O394" s="43"/>
      <c r="P394" s="46"/>
      <c r="Q394" s="39"/>
      <c r="R394" s="39"/>
      <c r="S394" s="39"/>
      <c r="T394" s="46"/>
      <c r="AF394" s="39"/>
      <c r="AG394" s="47"/>
      <c r="AH394" s="39"/>
      <c r="AI394" s="39"/>
      <c r="AJ394" s="39"/>
      <c r="AK394" s="39"/>
      <c r="AY394" s="40"/>
    </row>
    <row r="395" spans="1:51" ht="18" customHeight="1">
      <c r="A395" s="40"/>
      <c r="B395" s="40"/>
      <c r="C395" s="40"/>
      <c r="D395" s="40"/>
      <c r="E395" s="40"/>
      <c r="F395" s="40"/>
      <c r="G395" s="40"/>
      <c r="O395" s="43"/>
      <c r="P395" s="46"/>
      <c r="Q395" s="39"/>
      <c r="R395" s="39"/>
      <c r="S395" s="39"/>
      <c r="T395" s="46"/>
      <c r="AF395" s="39"/>
      <c r="AG395" s="47"/>
      <c r="AH395" s="39"/>
      <c r="AI395" s="39"/>
      <c r="AJ395" s="39"/>
      <c r="AK395" s="39"/>
      <c r="AY395" s="40"/>
    </row>
    <row r="396" spans="1:51" ht="18" customHeight="1">
      <c r="A396" s="40"/>
      <c r="B396" s="40"/>
      <c r="C396" s="40"/>
      <c r="D396" s="40"/>
      <c r="E396" s="40"/>
      <c r="F396" s="40"/>
      <c r="G396" s="40"/>
      <c r="O396" s="43"/>
      <c r="P396" s="46"/>
      <c r="Q396" s="39"/>
      <c r="R396" s="39"/>
      <c r="S396" s="39"/>
      <c r="T396" s="46"/>
      <c r="AF396" s="39"/>
      <c r="AG396" s="47"/>
      <c r="AH396" s="39"/>
      <c r="AI396" s="39"/>
      <c r="AJ396" s="39"/>
      <c r="AK396" s="39"/>
      <c r="AY396" s="40"/>
    </row>
    <row r="397" spans="1:51" ht="18" customHeight="1">
      <c r="A397" s="40"/>
      <c r="B397" s="40"/>
      <c r="C397" s="40"/>
      <c r="D397" s="40"/>
      <c r="E397" s="40"/>
      <c r="F397" s="40"/>
      <c r="G397" s="40"/>
      <c r="O397" s="43"/>
      <c r="P397" s="46"/>
      <c r="Q397" s="39"/>
      <c r="R397" s="39"/>
      <c r="S397" s="39"/>
      <c r="T397" s="46"/>
      <c r="AA397" s="39"/>
      <c r="AB397" s="39"/>
      <c r="AC397" s="39"/>
      <c r="AD397" s="47"/>
      <c r="AE397" s="39"/>
      <c r="AF397" s="46"/>
      <c r="AG397" s="47"/>
      <c r="AH397" s="39"/>
      <c r="AI397" s="39"/>
      <c r="AJ397" s="39"/>
      <c r="AK397" s="39"/>
      <c r="AY397" s="40"/>
    </row>
    <row r="398" spans="1:51" ht="18" customHeight="1">
      <c r="A398" s="40"/>
      <c r="B398" s="40"/>
      <c r="C398" s="40"/>
      <c r="D398" s="40"/>
      <c r="E398" s="40"/>
      <c r="F398" s="40"/>
      <c r="G398" s="40"/>
      <c r="O398" s="43"/>
      <c r="P398" s="46"/>
      <c r="Q398" s="39"/>
      <c r="R398" s="39"/>
      <c r="S398" s="39"/>
      <c r="T398" s="46"/>
      <c r="AA398" s="39"/>
      <c r="AB398" s="39"/>
      <c r="AC398" s="39"/>
      <c r="AD398" s="47"/>
      <c r="AE398" s="39"/>
      <c r="AF398" s="46"/>
      <c r="AG398" s="47"/>
      <c r="AH398" s="39"/>
      <c r="AI398" s="39"/>
      <c r="AJ398" s="39"/>
      <c r="AK398" s="39"/>
      <c r="AY398" s="40"/>
    </row>
    <row r="399" spans="1:51" ht="18" customHeight="1">
      <c r="F399" s="40"/>
      <c r="G399" s="40"/>
      <c r="N399" s="39"/>
      <c r="O399" s="39"/>
      <c r="P399" s="46"/>
      <c r="Q399" s="39"/>
      <c r="R399" s="39"/>
      <c r="S399" s="39"/>
      <c r="T399" s="46"/>
      <c r="V399" s="39"/>
      <c r="W399" s="39"/>
      <c r="X399" s="39"/>
      <c r="AA399" s="39"/>
      <c r="AB399" s="39"/>
      <c r="AC399" s="39"/>
      <c r="AD399" s="47"/>
      <c r="AE399" s="39"/>
      <c r="AF399" s="46"/>
      <c r="AG399" s="47"/>
      <c r="AH399" s="39"/>
      <c r="AI399" s="46"/>
      <c r="AJ399" s="39"/>
      <c r="AK399" s="39"/>
      <c r="AY399" s="40"/>
    </row>
    <row r="400" spans="1:51" ht="18" customHeight="1">
      <c r="F400" s="40"/>
      <c r="G400" s="40"/>
      <c r="N400" s="39"/>
      <c r="O400" s="39"/>
      <c r="P400" s="46"/>
      <c r="Q400" s="39"/>
      <c r="R400" s="39"/>
      <c r="S400" s="39"/>
      <c r="T400" s="46"/>
      <c r="V400" s="39"/>
      <c r="W400" s="39"/>
      <c r="X400" s="39"/>
      <c r="AA400" s="39"/>
      <c r="AB400" s="39"/>
      <c r="AC400" s="39"/>
      <c r="AD400" s="47"/>
      <c r="AE400" s="39"/>
      <c r="AF400" s="46"/>
      <c r="AG400" s="47"/>
      <c r="AH400" s="39"/>
      <c r="AI400" s="39"/>
      <c r="AJ400" s="46"/>
      <c r="AK400" s="39"/>
      <c r="AL400" s="39"/>
      <c r="AY400" s="40"/>
    </row>
    <row r="401" spans="1:51" ht="18" customHeight="1">
      <c r="F401" s="40"/>
      <c r="G401" s="40"/>
      <c r="N401" s="39"/>
      <c r="O401" s="39"/>
      <c r="P401" s="46"/>
      <c r="Q401" s="39"/>
      <c r="R401" s="39"/>
      <c r="S401" s="39"/>
      <c r="T401" s="46"/>
      <c r="V401" s="39"/>
      <c r="W401" s="39"/>
      <c r="X401" s="39"/>
      <c r="AA401" s="39"/>
      <c r="AB401" s="39"/>
      <c r="AC401" s="39"/>
      <c r="AD401" s="47"/>
      <c r="AE401" s="39"/>
      <c r="AF401" s="46"/>
      <c r="AG401" s="47"/>
      <c r="AH401" s="39"/>
      <c r="AI401" s="39"/>
      <c r="AJ401" s="46"/>
      <c r="AK401" s="39"/>
      <c r="AL401" s="39"/>
      <c r="AY401" s="40"/>
    </row>
    <row r="402" spans="1:51" ht="18" customHeight="1">
      <c r="F402" s="40"/>
      <c r="G402" s="40"/>
      <c r="N402" s="39"/>
      <c r="O402" s="39"/>
      <c r="P402" s="46"/>
      <c r="Q402" s="39"/>
      <c r="R402" s="39"/>
      <c r="S402" s="39"/>
      <c r="T402" s="46"/>
      <c r="V402" s="39"/>
      <c r="W402" s="39"/>
      <c r="X402" s="39"/>
      <c r="AA402" s="39"/>
      <c r="AB402" s="39"/>
      <c r="AC402" s="39"/>
      <c r="AD402" s="47"/>
      <c r="AE402" s="39"/>
      <c r="AF402" s="46"/>
      <c r="AG402" s="47"/>
      <c r="AH402" s="39"/>
      <c r="AI402" s="39"/>
      <c r="AJ402" s="46"/>
      <c r="AK402" s="39"/>
      <c r="AL402" s="39"/>
      <c r="AY402" s="40"/>
    </row>
    <row r="403" spans="1:51" ht="18" customHeight="1">
      <c r="F403" s="40"/>
      <c r="G403" s="40"/>
      <c r="N403" s="39"/>
      <c r="O403" s="39"/>
      <c r="P403" s="46"/>
      <c r="Q403" s="39"/>
      <c r="R403" s="39"/>
      <c r="S403" s="39"/>
      <c r="T403" s="46"/>
      <c r="V403" s="39"/>
      <c r="W403" s="39"/>
      <c r="X403" s="39"/>
      <c r="Y403" s="39"/>
      <c r="Z403" s="39"/>
      <c r="AA403" s="39"/>
      <c r="AB403" s="39"/>
      <c r="AC403" s="39"/>
      <c r="AD403" s="47"/>
      <c r="AE403" s="39"/>
      <c r="AF403" s="46"/>
      <c r="AG403" s="47"/>
      <c r="AH403" s="39"/>
      <c r="AI403" s="39"/>
      <c r="AY403" s="40"/>
    </row>
    <row r="404" spans="1:51" ht="18" customHeight="1">
      <c r="F404" s="40"/>
      <c r="G404" s="40"/>
      <c r="N404" s="39"/>
      <c r="O404" s="39"/>
      <c r="P404" s="46"/>
      <c r="Q404" s="39"/>
      <c r="R404" s="39"/>
      <c r="S404" s="39"/>
      <c r="T404" s="46"/>
      <c r="V404" s="39"/>
      <c r="W404" s="39"/>
      <c r="X404" s="39"/>
      <c r="Y404" s="39"/>
      <c r="Z404" s="39"/>
      <c r="AA404" s="39"/>
      <c r="AB404" s="39"/>
      <c r="AC404" s="39"/>
      <c r="AD404" s="47"/>
      <c r="AE404" s="39"/>
      <c r="AF404" s="46"/>
      <c r="AG404" s="39"/>
      <c r="AH404" s="39"/>
      <c r="AI404" s="39"/>
    </row>
    <row r="405" spans="1:51" ht="18" customHeight="1">
      <c r="F405" s="40"/>
      <c r="G405" s="40"/>
      <c r="N405" s="39"/>
      <c r="O405" s="39"/>
      <c r="P405" s="46"/>
      <c r="Q405" s="39"/>
      <c r="R405" s="39"/>
      <c r="S405" s="39"/>
      <c r="T405" s="46"/>
      <c r="V405" s="39"/>
      <c r="W405" s="39"/>
      <c r="X405" s="39"/>
      <c r="Y405" s="39"/>
      <c r="Z405" s="39"/>
      <c r="AA405" s="39"/>
      <c r="AB405" s="39"/>
      <c r="AC405" s="39"/>
      <c r="AD405" s="47"/>
      <c r="AE405" s="39"/>
      <c r="AF405" s="46"/>
      <c r="AG405" s="39"/>
      <c r="AH405" s="39"/>
      <c r="AI405" s="39"/>
    </row>
    <row r="406" spans="1:51" ht="18" customHeight="1">
      <c r="A406" s="47"/>
      <c r="B406" s="47"/>
      <c r="C406" s="47"/>
      <c r="F406" s="40"/>
      <c r="G406" s="40"/>
      <c r="I406" s="47"/>
      <c r="J406" s="47"/>
      <c r="K406" s="47"/>
      <c r="L406" s="47"/>
      <c r="N406" s="39"/>
      <c r="O406" s="39"/>
      <c r="P406" s="46"/>
      <c r="Q406" s="47"/>
      <c r="R406" s="39"/>
      <c r="S406" s="39"/>
      <c r="T406" s="46"/>
      <c r="V406" s="47"/>
      <c r="W406" s="39"/>
      <c r="X406" s="39"/>
      <c r="Y406" s="39"/>
      <c r="Z406" s="39"/>
      <c r="AA406" s="39"/>
      <c r="AB406" s="39"/>
      <c r="AC406" s="39"/>
      <c r="AD406" s="47"/>
      <c r="AE406" s="39"/>
      <c r="AF406" s="46"/>
      <c r="AG406" s="39"/>
      <c r="AH406" s="39"/>
      <c r="AI406" s="39"/>
    </row>
    <row r="407" spans="1:51" ht="18" customHeight="1">
      <c r="A407" s="47"/>
      <c r="B407" s="47"/>
      <c r="C407" s="47"/>
      <c r="F407" s="40"/>
      <c r="G407" s="40"/>
      <c r="I407" s="47"/>
      <c r="J407" s="47"/>
      <c r="K407" s="47"/>
      <c r="L407" s="47"/>
      <c r="N407" s="39"/>
      <c r="O407" s="39"/>
      <c r="P407" s="46"/>
      <c r="Q407" s="47"/>
      <c r="R407" s="39"/>
      <c r="S407" s="39"/>
      <c r="T407" s="46"/>
      <c r="V407" s="47"/>
      <c r="W407" s="39"/>
      <c r="X407" s="39"/>
      <c r="Y407" s="39"/>
      <c r="Z407" s="39"/>
      <c r="AA407" s="39"/>
      <c r="AB407" s="39"/>
      <c r="AC407" s="39"/>
      <c r="AD407" s="47"/>
      <c r="AE407" s="39"/>
      <c r="AF407" s="46"/>
      <c r="AG407" s="39"/>
      <c r="AH407" s="39"/>
      <c r="AI407" s="39"/>
    </row>
    <row r="408" spans="1:51" ht="18" customHeight="1">
      <c r="N408" s="39"/>
      <c r="O408" s="39"/>
      <c r="P408" s="46"/>
      <c r="Q408" s="39"/>
      <c r="R408" s="39"/>
      <c r="S408" s="39"/>
      <c r="T408" s="46"/>
      <c r="V408" s="39"/>
      <c r="W408" s="39"/>
      <c r="X408" s="39"/>
      <c r="Y408" s="39"/>
      <c r="Z408" s="39"/>
      <c r="AA408" s="39"/>
      <c r="AB408" s="39"/>
      <c r="AC408" s="39"/>
      <c r="AD408" s="47"/>
      <c r="AE408" s="39"/>
      <c r="AF408" s="46"/>
      <c r="AG408" s="39"/>
      <c r="AH408" s="39"/>
      <c r="AI408" s="39"/>
    </row>
    <row r="409" spans="1:51" ht="18" customHeight="1">
      <c r="N409" s="39"/>
      <c r="O409" s="39"/>
      <c r="P409" s="46"/>
      <c r="Q409" s="39"/>
      <c r="R409" s="39"/>
      <c r="S409" s="39"/>
      <c r="T409" s="46"/>
      <c r="V409" s="39"/>
      <c r="W409" s="39"/>
      <c r="X409" s="39"/>
      <c r="Y409" s="39"/>
      <c r="Z409" s="39"/>
      <c r="AA409" s="39"/>
      <c r="AB409" s="39"/>
      <c r="AC409" s="39"/>
      <c r="AD409" s="47"/>
      <c r="AE409" s="39"/>
      <c r="AF409" s="46"/>
      <c r="AG409" s="39"/>
      <c r="AH409" s="39"/>
      <c r="AI409" s="39"/>
    </row>
    <row r="410" spans="1:51" ht="18" customHeight="1">
      <c r="N410" s="39"/>
      <c r="O410" s="39"/>
      <c r="P410" s="46"/>
      <c r="Q410" s="39"/>
      <c r="R410" s="39"/>
      <c r="S410" s="39"/>
      <c r="T410" s="46"/>
      <c r="V410" s="39"/>
      <c r="W410" s="39"/>
      <c r="X410" s="39"/>
      <c r="Y410" s="39"/>
      <c r="Z410" s="39"/>
      <c r="AH410" s="39"/>
      <c r="AI410" s="39"/>
    </row>
    <row r="411" spans="1:51" ht="18" customHeight="1">
      <c r="N411" s="39"/>
      <c r="O411" s="39"/>
      <c r="P411" s="46"/>
      <c r="Q411" s="39"/>
      <c r="R411" s="39"/>
      <c r="S411" s="39"/>
      <c r="T411" s="46"/>
      <c r="V411" s="39"/>
      <c r="W411" s="39"/>
      <c r="X411" s="39"/>
      <c r="Y411" s="39"/>
      <c r="Z411" s="39"/>
      <c r="AH411" s="39"/>
      <c r="AI411" s="39"/>
    </row>
    <row r="412" spans="1:51" ht="18" customHeight="1">
      <c r="N412" s="39"/>
      <c r="O412" s="39"/>
      <c r="P412" s="46"/>
      <c r="Q412" s="39"/>
      <c r="R412" s="39"/>
      <c r="S412" s="39"/>
      <c r="T412" s="46"/>
      <c r="V412" s="39"/>
      <c r="W412" s="39"/>
      <c r="X412" s="39"/>
      <c r="Y412" s="39"/>
      <c r="Z412" s="39"/>
      <c r="AH412" s="39"/>
      <c r="AI412" s="39"/>
    </row>
    <row r="413" spans="1:51" ht="18" customHeight="1">
      <c r="N413" s="39"/>
      <c r="O413" s="39"/>
      <c r="P413" s="46"/>
      <c r="Q413" s="39"/>
      <c r="R413" s="39"/>
      <c r="S413" s="39"/>
      <c r="T413" s="46"/>
      <c r="V413" s="39"/>
      <c r="W413" s="39"/>
      <c r="X413" s="39"/>
      <c r="Y413" s="39"/>
      <c r="Z413" s="39"/>
      <c r="AH413" s="39"/>
      <c r="AI413" s="39"/>
    </row>
    <row r="414" spans="1:51" ht="18" customHeight="1">
      <c r="N414" s="39"/>
      <c r="O414" s="39"/>
      <c r="P414" s="46"/>
      <c r="Q414" s="39"/>
      <c r="R414" s="39"/>
      <c r="S414" s="39"/>
      <c r="T414" s="46"/>
      <c r="V414" s="39"/>
      <c r="W414" s="39"/>
      <c r="X414" s="39"/>
      <c r="Y414" s="39"/>
      <c r="Z414" s="39"/>
      <c r="AH414" s="39"/>
      <c r="AI414" s="39"/>
    </row>
    <row r="415" spans="1:51" ht="18" customHeight="1">
      <c r="A415" s="40"/>
      <c r="B415" s="40"/>
      <c r="C415" s="40"/>
      <c r="D415" s="40"/>
      <c r="E415" s="40"/>
      <c r="F415" s="40"/>
      <c r="G415" s="40"/>
      <c r="H415" s="40"/>
      <c r="I415" s="40"/>
      <c r="J415" s="40"/>
      <c r="K415" s="40"/>
      <c r="L415" s="40"/>
      <c r="M415" s="40"/>
      <c r="N415" s="39"/>
      <c r="O415" s="39"/>
      <c r="P415" s="46"/>
      <c r="Q415" s="39"/>
      <c r="R415" s="39"/>
      <c r="S415" s="39"/>
      <c r="T415" s="46"/>
      <c r="V415" s="39"/>
      <c r="W415" s="39"/>
      <c r="X415" s="39"/>
      <c r="Y415" s="39"/>
      <c r="Z415" s="39"/>
      <c r="AH415" s="39"/>
      <c r="AI415" s="39"/>
    </row>
  </sheetData>
  <sheetProtection algorithmName="SHA-512" hashValue="or4hYOfzX/s1UEZR/3mRBVWrkOOus0aU/rbHR9WCD4mmgEFqA/hAzad4Zr8vt7p2Ljpv5juANOWj3XhgGgdKSw==" saltValue="5yQX7nk6tQdy9AfdD680Xg==" spinCount="100000" sheet="1" objects="1" scenarios="1" selectLockedCells="1"/>
  <mergeCells count="9">
    <mergeCell ref="AL6:AM6"/>
    <mergeCell ref="AO6:AP6"/>
    <mergeCell ref="A327:B329"/>
    <mergeCell ref="C327:C329"/>
    <mergeCell ref="D327:H327"/>
    <mergeCell ref="D328:E328"/>
    <mergeCell ref="F328:H328"/>
    <mergeCell ref="AE6:AG6"/>
    <mergeCell ref="AH6:AK6"/>
  </mergeCells>
  <conditionalFormatting sqref="A138:E211 A233:E306">
    <cfRule type="expression" dxfId="5" priority="4">
      <formula>$A138=90</formula>
    </cfRule>
  </conditionalFormatting>
  <conditionalFormatting sqref="AQ6 AN6">
    <cfRule type="cellIs" dxfId="4" priority="2" operator="lessThanOrEqual">
      <formula>0</formula>
    </cfRule>
    <cfRule type="cellIs" dxfId="3" priority="3" operator="greaterThan">
      <formula>0</formula>
    </cfRule>
  </conditionalFormatting>
  <conditionalFormatting sqref="C63:D64">
    <cfRule type="cellIs" dxfId="2" priority="1" operator="lessThan">
      <formula>2.5*$C$59</formula>
    </cfRule>
  </conditionalFormatting>
  <dataValidations disablePrompts="1" count="2">
    <dataValidation type="list" allowBlank="1" showInputMessage="1" showErrorMessage="1" sqref="C74" xr:uid="{F682DD73-71DF-4D2A-A5BB-817F13C821D2}">
      <formula1>"ja,nein"</formula1>
    </dataValidation>
    <dataValidation type="list" allowBlank="1" showInputMessage="1" showErrorMessage="1" sqref="C80" xr:uid="{5595F47A-10CC-4988-8233-BA6BD7F8A76A}">
      <formula1>"6,8,10"</formula1>
    </dataValidation>
  </dataValidations>
  <pageMargins left="0.7" right="0.7" top="0.78740157499999996" bottom="0.78740157499999996"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12" r:id="rId4" name="Button 4">
              <controlPr defaultSize="0" print="0" autoFill="0" autoPict="0" macro="[0]!Druckzonenhoehe">
                <anchor moveWithCells="1" sizeWithCells="1">
                  <from>
                    <xdr:col>9</xdr:col>
                    <xdr:colOff>66675</xdr:colOff>
                    <xdr:row>10</xdr:row>
                    <xdr:rowOff>19050</xdr:rowOff>
                  </from>
                  <to>
                    <xdr:col>12</xdr:col>
                    <xdr:colOff>371475</xdr:colOff>
                    <xdr:row>11</xdr:row>
                    <xdr:rowOff>200025</xdr:rowOff>
                  </to>
                </anchor>
              </controlPr>
            </control>
          </mc:Choice>
        </mc:AlternateContent>
        <mc:AlternateContent xmlns:mc="http://schemas.openxmlformats.org/markup-compatibility/2006">
          <mc:Choice Requires="x14">
            <control shapeId="17413" r:id="rId5" name="Button 5">
              <controlPr defaultSize="0" print="0" autoFill="0" autoPict="0" macro="[0]!Druckzonenhöhe_verstärkt">
                <anchor moveWithCells="1" sizeWithCells="1">
                  <from>
                    <xdr:col>26</xdr:col>
                    <xdr:colOff>123825</xdr:colOff>
                    <xdr:row>10</xdr:row>
                    <xdr:rowOff>19050</xdr:rowOff>
                  </from>
                  <to>
                    <xdr:col>29</xdr:col>
                    <xdr:colOff>419100</xdr:colOff>
                    <xdr:row>11</xdr:row>
                    <xdr:rowOff>209550</xdr:rowOff>
                  </to>
                </anchor>
              </controlPr>
            </control>
          </mc:Choice>
        </mc:AlternateContent>
        <mc:AlternateContent xmlns:mc="http://schemas.openxmlformats.org/markup-compatibility/2006">
          <mc:Choice Requires="x14">
            <control shapeId="17414" r:id="rId6" name="Button 6">
              <controlPr defaultSize="0" print="0" autoFill="0" autoPict="0" macro="[0]!Druckzonenhoehe">
                <anchor moveWithCells="1" sizeWithCells="1">
                  <from>
                    <xdr:col>9</xdr:col>
                    <xdr:colOff>66675</xdr:colOff>
                    <xdr:row>10</xdr:row>
                    <xdr:rowOff>19050</xdr:rowOff>
                  </from>
                  <to>
                    <xdr:col>12</xdr:col>
                    <xdr:colOff>371475</xdr:colOff>
                    <xdr:row>11</xdr:row>
                    <xdr:rowOff>200025</xdr:rowOff>
                  </to>
                </anchor>
              </controlPr>
            </control>
          </mc:Choice>
        </mc:AlternateContent>
        <mc:AlternateContent xmlns:mc="http://schemas.openxmlformats.org/markup-compatibility/2006">
          <mc:Choice Requires="x14">
            <control shapeId="17415" r:id="rId7" name="Button 7">
              <controlPr defaultSize="0" print="0" autoFill="0" autoPict="0" macro="[0]!Druckzonenhöhe_verstärkt">
                <anchor moveWithCells="1" sizeWithCells="1">
                  <from>
                    <xdr:col>26</xdr:col>
                    <xdr:colOff>123825</xdr:colOff>
                    <xdr:row>10</xdr:row>
                    <xdr:rowOff>19050</xdr:rowOff>
                  </from>
                  <to>
                    <xdr:col>29</xdr:col>
                    <xdr:colOff>419100</xdr:colOff>
                    <xdr:row>11</xdr:row>
                    <xdr:rowOff>209550</xdr:rowOff>
                  </to>
                </anchor>
              </controlPr>
            </control>
          </mc:Choice>
        </mc:AlternateContent>
        <mc:AlternateContent xmlns:mc="http://schemas.openxmlformats.org/markup-compatibility/2006">
          <mc:Choice Requires="x14">
            <control shapeId="17416" r:id="rId8" name="Button 8">
              <controlPr defaultSize="0" print="0" autoFill="0" autoPict="0" macro="[0]!Druckzonenhoehe">
                <anchor moveWithCells="1" sizeWithCells="1">
                  <from>
                    <xdr:col>9</xdr:col>
                    <xdr:colOff>66675</xdr:colOff>
                    <xdr:row>10</xdr:row>
                    <xdr:rowOff>19050</xdr:rowOff>
                  </from>
                  <to>
                    <xdr:col>12</xdr:col>
                    <xdr:colOff>371475</xdr:colOff>
                    <xdr:row>11</xdr:row>
                    <xdr:rowOff>200025</xdr:rowOff>
                  </to>
                </anchor>
              </controlPr>
            </control>
          </mc:Choice>
        </mc:AlternateContent>
        <mc:AlternateContent xmlns:mc="http://schemas.openxmlformats.org/markup-compatibility/2006">
          <mc:Choice Requires="x14">
            <control shapeId="17417" r:id="rId9" name="Button 9">
              <controlPr defaultSize="0" print="0" autoFill="0" autoPict="0" macro="[0]!Druckzonenhöhe_verstärkt">
                <anchor moveWithCells="1" sizeWithCells="1">
                  <from>
                    <xdr:col>26</xdr:col>
                    <xdr:colOff>123825</xdr:colOff>
                    <xdr:row>10</xdr:row>
                    <xdr:rowOff>19050</xdr:rowOff>
                  </from>
                  <to>
                    <xdr:col>29</xdr:col>
                    <xdr:colOff>419100</xdr:colOff>
                    <xdr:row>11</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B9152-D10E-4D91-8C9D-76F71EE40825}">
  <sheetPr codeName="Tabelle5"/>
  <dimension ref="A2:BC163"/>
  <sheetViews>
    <sheetView topLeftCell="A115" zoomScaleNormal="100" zoomScaleSheetLayoutView="100" workbookViewId="0">
      <selection activeCell="O137" sqref="O137"/>
    </sheetView>
  </sheetViews>
  <sheetFormatPr baseColWidth="10" defaultColWidth="7.140625" defaultRowHeight="12.75"/>
  <cols>
    <col min="1" max="1" width="38" style="1" bestFit="1" customWidth="1"/>
    <col min="2" max="2" width="9.140625" style="1" bestFit="1" customWidth="1"/>
    <col min="3" max="3" width="8.5703125" style="1" bestFit="1" customWidth="1"/>
    <col min="4" max="6" width="7.28515625" style="1" customWidth="1"/>
    <col min="7" max="15" width="7.42578125" style="1" customWidth="1"/>
    <col min="16" max="43" width="7.140625" style="1" customWidth="1"/>
    <col min="44" max="16384" width="7.140625" style="1"/>
  </cols>
  <sheetData>
    <row r="2" spans="1:55" s="443" customFormat="1">
      <c r="A2" s="443" t="s">
        <v>288</v>
      </c>
      <c r="B2" s="444"/>
    </row>
    <row r="3" spans="1:55" s="2" customFormat="1">
      <c r="A3" s="9" t="s">
        <v>26</v>
      </c>
      <c r="B3" s="440">
        <v>1</v>
      </c>
      <c r="C3" s="9"/>
      <c r="D3" s="10"/>
      <c r="E3" s="11"/>
      <c r="F3" s="12"/>
      <c r="G3" s="12"/>
      <c r="H3" s="12"/>
      <c r="I3" s="12"/>
      <c r="J3" s="12" t="s">
        <v>27</v>
      </c>
      <c r="K3" s="12" t="s">
        <v>28</v>
      </c>
      <c r="L3" s="12" t="s">
        <v>29</v>
      </c>
      <c r="M3" s="12" t="s">
        <v>30</v>
      </c>
      <c r="N3" s="12" t="s">
        <v>31</v>
      </c>
      <c r="O3" s="12" t="s">
        <v>32</v>
      </c>
      <c r="P3" s="13" t="s">
        <v>33</v>
      </c>
      <c r="Q3" s="11"/>
      <c r="R3" s="12" t="s">
        <v>34</v>
      </c>
      <c r="S3" s="12" t="s">
        <v>35</v>
      </c>
      <c r="T3" s="12" t="s">
        <v>36</v>
      </c>
      <c r="U3" s="12" t="s">
        <v>37</v>
      </c>
      <c r="V3" s="12" t="s">
        <v>38</v>
      </c>
      <c r="W3" s="12" t="s">
        <v>39</v>
      </c>
      <c r="X3" s="12" t="s">
        <v>40</v>
      </c>
      <c r="Y3" s="12" t="s">
        <v>41</v>
      </c>
      <c r="Z3" s="12" t="s">
        <v>42</v>
      </c>
      <c r="AA3" s="12" t="s">
        <v>43</v>
      </c>
      <c r="AB3" s="12" t="s">
        <v>44</v>
      </c>
      <c r="AC3" s="12" t="s">
        <v>45</v>
      </c>
      <c r="AD3" s="13" t="s">
        <v>46</v>
      </c>
      <c r="AE3" s="11"/>
      <c r="AF3" s="12"/>
      <c r="AG3" s="12" t="s">
        <v>47</v>
      </c>
      <c r="AH3" s="12" t="s">
        <v>48</v>
      </c>
      <c r="AI3" s="12" t="s">
        <v>49</v>
      </c>
      <c r="AJ3" s="14" t="s">
        <v>50</v>
      </c>
      <c r="AK3" s="15" t="s">
        <v>51</v>
      </c>
      <c r="AL3" s="11"/>
      <c r="AM3" s="12"/>
      <c r="AN3" s="12" t="s">
        <v>52</v>
      </c>
      <c r="AO3" s="12" t="s">
        <v>53</v>
      </c>
      <c r="AP3" s="12" t="s">
        <v>54</v>
      </c>
      <c r="AQ3" s="14" t="s">
        <v>55</v>
      </c>
      <c r="AR3" s="15" t="s">
        <v>56</v>
      </c>
      <c r="AS3" s="16" t="s">
        <v>57</v>
      </c>
      <c r="AT3" s="445" t="s">
        <v>617</v>
      </c>
      <c r="AU3" s="445" t="s">
        <v>604</v>
      </c>
      <c r="AV3" s="445" t="s">
        <v>605</v>
      </c>
      <c r="AW3" s="445" t="s">
        <v>606</v>
      </c>
      <c r="AX3" s="445" t="s">
        <v>607</v>
      </c>
      <c r="AY3" s="445" t="s">
        <v>608</v>
      </c>
      <c r="AZ3" s="445" t="s">
        <v>609</v>
      </c>
      <c r="BA3" s="445" t="s">
        <v>610</v>
      </c>
      <c r="BB3" s="445" t="s">
        <v>611</v>
      </c>
      <c r="BC3" s="445" t="s">
        <v>612</v>
      </c>
    </row>
    <row r="4" spans="1:55" s="2" customFormat="1">
      <c r="A4" s="2" t="s">
        <v>17</v>
      </c>
      <c r="B4" s="441">
        <v>2</v>
      </c>
      <c r="D4" s="3"/>
      <c r="E4" s="4"/>
      <c r="F4" s="5"/>
      <c r="G4" s="5"/>
      <c r="H4" s="5"/>
      <c r="I4" s="5"/>
      <c r="J4" s="5" t="s">
        <v>18</v>
      </c>
      <c r="K4" s="5" t="s">
        <v>18</v>
      </c>
      <c r="L4" s="5" t="s">
        <v>18</v>
      </c>
      <c r="M4" s="5" t="s">
        <v>18</v>
      </c>
      <c r="N4" s="5" t="s">
        <v>18</v>
      </c>
      <c r="O4" s="5" t="s">
        <v>18</v>
      </c>
      <c r="P4" s="6" t="s">
        <v>18</v>
      </c>
      <c r="Q4" s="4"/>
      <c r="R4" s="5" t="s">
        <v>19</v>
      </c>
      <c r="S4" s="5" t="s">
        <v>19</v>
      </c>
      <c r="T4" s="5" t="s">
        <v>19</v>
      </c>
      <c r="U4" s="5" t="s">
        <v>19</v>
      </c>
      <c r="V4" s="5" t="s">
        <v>19</v>
      </c>
      <c r="W4" s="5" t="s">
        <v>19</v>
      </c>
      <c r="X4" s="5" t="s">
        <v>19</v>
      </c>
      <c r="Y4" s="5" t="s">
        <v>19</v>
      </c>
      <c r="Z4" s="5" t="s">
        <v>19</v>
      </c>
      <c r="AA4" s="5" t="s">
        <v>19</v>
      </c>
      <c r="AB4" s="5" t="s">
        <v>19</v>
      </c>
      <c r="AC4" s="5" t="s">
        <v>19</v>
      </c>
      <c r="AD4" s="6" t="s">
        <v>19</v>
      </c>
      <c r="AE4" s="4"/>
      <c r="AF4" s="5"/>
      <c r="AG4" s="5" t="s">
        <v>0</v>
      </c>
      <c r="AH4" s="5" t="s">
        <v>0</v>
      </c>
      <c r="AI4" s="5" t="s">
        <v>0</v>
      </c>
      <c r="AJ4" s="7" t="s">
        <v>0</v>
      </c>
      <c r="AK4" s="3" t="s">
        <v>0</v>
      </c>
      <c r="AL4" s="4"/>
      <c r="AM4" s="5"/>
      <c r="AN4" s="5" t="s">
        <v>0</v>
      </c>
      <c r="AO4" s="5" t="s">
        <v>0</v>
      </c>
      <c r="AP4" s="5" t="s">
        <v>0</v>
      </c>
      <c r="AQ4" s="7" t="s">
        <v>0</v>
      </c>
      <c r="AR4" s="3" t="s">
        <v>0</v>
      </c>
      <c r="AS4" s="8" t="s">
        <v>289</v>
      </c>
      <c r="AT4" s="446" t="s">
        <v>615</v>
      </c>
      <c r="AU4" s="446" t="s">
        <v>615</v>
      </c>
      <c r="AV4" s="446" t="s">
        <v>615</v>
      </c>
      <c r="AW4" s="446" t="s">
        <v>615</v>
      </c>
      <c r="AX4" s="446" t="s">
        <v>615</v>
      </c>
      <c r="AY4" s="446" t="s">
        <v>615</v>
      </c>
      <c r="AZ4" s="446" t="s">
        <v>615</v>
      </c>
      <c r="BA4" s="446" t="s">
        <v>615</v>
      </c>
      <c r="BB4" s="446" t="s">
        <v>615</v>
      </c>
      <c r="BC4" s="446" t="s">
        <v>615</v>
      </c>
    </row>
    <row r="5" spans="1:55" s="9" customFormat="1">
      <c r="A5" s="9" t="s">
        <v>20</v>
      </c>
      <c r="B5" s="440">
        <v>3</v>
      </c>
      <c r="D5" s="10"/>
      <c r="E5" s="31"/>
      <c r="F5" s="32"/>
      <c r="G5" s="32"/>
      <c r="H5" s="32"/>
      <c r="I5" s="32"/>
      <c r="J5" s="32" t="s">
        <v>21</v>
      </c>
      <c r="K5" s="32" t="s">
        <v>21</v>
      </c>
      <c r="L5" s="32" t="s">
        <v>21</v>
      </c>
      <c r="M5" s="32" t="s">
        <v>21</v>
      </c>
      <c r="N5" s="32" t="s">
        <v>21</v>
      </c>
      <c r="O5" s="32" t="s">
        <v>21</v>
      </c>
      <c r="P5" s="33" t="s">
        <v>21</v>
      </c>
      <c r="Q5" s="31"/>
      <c r="R5" s="32" t="s">
        <v>22</v>
      </c>
      <c r="S5" s="32" t="s">
        <v>22</v>
      </c>
      <c r="T5" s="32" t="s">
        <v>22</v>
      </c>
      <c r="U5" s="32" t="s">
        <v>22</v>
      </c>
      <c r="V5" s="32" t="s">
        <v>22</v>
      </c>
      <c r="W5" s="32" t="s">
        <v>22</v>
      </c>
      <c r="X5" s="32" t="s">
        <v>22</v>
      </c>
      <c r="Y5" s="32" t="s">
        <v>22</v>
      </c>
      <c r="Z5" s="32" t="s">
        <v>22</v>
      </c>
      <c r="AA5" s="32" t="s">
        <v>22</v>
      </c>
      <c r="AB5" s="32" t="s">
        <v>22</v>
      </c>
      <c r="AC5" s="32" t="s">
        <v>22</v>
      </c>
      <c r="AD5" s="33" t="s">
        <v>22</v>
      </c>
      <c r="AE5" s="31"/>
      <c r="AF5" s="32"/>
      <c r="AG5" s="32" t="s">
        <v>23</v>
      </c>
      <c r="AH5" s="32" t="s">
        <v>23</v>
      </c>
      <c r="AI5" s="32" t="s">
        <v>23</v>
      </c>
      <c r="AJ5" s="34" t="s">
        <v>23</v>
      </c>
      <c r="AK5" s="10" t="s">
        <v>23</v>
      </c>
      <c r="AL5" s="31"/>
      <c r="AM5" s="32"/>
      <c r="AN5" s="32" t="s">
        <v>24</v>
      </c>
      <c r="AO5" s="32" t="s">
        <v>24</v>
      </c>
      <c r="AP5" s="32" t="s">
        <v>24</v>
      </c>
      <c r="AQ5" s="34" t="s">
        <v>24</v>
      </c>
      <c r="AR5" s="10" t="s">
        <v>24</v>
      </c>
      <c r="AS5" s="35" t="s">
        <v>25</v>
      </c>
      <c r="AT5" s="35" t="s">
        <v>618</v>
      </c>
      <c r="AU5" s="35" t="s">
        <v>616</v>
      </c>
      <c r="AV5" s="35" t="s">
        <v>616</v>
      </c>
      <c r="AW5" s="35" t="s">
        <v>616</v>
      </c>
      <c r="AX5" s="35" t="s">
        <v>616</v>
      </c>
      <c r="AY5" s="35" t="s">
        <v>616</v>
      </c>
      <c r="AZ5" s="35" t="s">
        <v>616</v>
      </c>
      <c r="BA5" s="35" t="s">
        <v>616</v>
      </c>
      <c r="BB5" s="35" t="s">
        <v>616</v>
      </c>
      <c r="BC5" s="35" t="s">
        <v>616</v>
      </c>
    </row>
    <row r="6" spans="1:55" s="2" customFormat="1" ht="14.25">
      <c r="A6" s="2" t="s">
        <v>58</v>
      </c>
      <c r="B6" s="441">
        <v>4</v>
      </c>
      <c r="C6" s="2" t="s">
        <v>59</v>
      </c>
      <c r="D6" s="3" t="s">
        <v>60</v>
      </c>
      <c r="E6" s="17"/>
      <c r="F6" s="18"/>
      <c r="G6" s="18"/>
      <c r="H6" s="18"/>
      <c r="I6" s="18"/>
      <c r="J6" s="18">
        <v>24</v>
      </c>
      <c r="K6" s="18">
        <v>27</v>
      </c>
      <c r="L6" s="18">
        <v>30</v>
      </c>
      <c r="M6" s="18">
        <v>35</v>
      </c>
      <c r="N6" s="18">
        <v>40</v>
      </c>
      <c r="O6" s="18">
        <v>45</v>
      </c>
      <c r="P6" s="19">
        <v>50</v>
      </c>
      <c r="Q6" s="17"/>
      <c r="R6" s="18">
        <v>24</v>
      </c>
      <c r="S6" s="18">
        <v>27</v>
      </c>
      <c r="T6" s="18">
        <v>30</v>
      </c>
      <c r="U6" s="18">
        <v>35</v>
      </c>
      <c r="V6" s="18">
        <v>40</v>
      </c>
      <c r="W6" s="18">
        <v>45</v>
      </c>
      <c r="X6" s="18">
        <v>50</v>
      </c>
      <c r="Y6" s="18">
        <v>55</v>
      </c>
      <c r="Z6" s="18">
        <v>60</v>
      </c>
      <c r="AA6" s="18">
        <v>65</v>
      </c>
      <c r="AB6" s="18">
        <v>70</v>
      </c>
      <c r="AC6" s="18">
        <v>75</v>
      </c>
      <c r="AD6" s="19">
        <v>80</v>
      </c>
      <c r="AE6" s="17"/>
      <c r="AF6" s="18"/>
      <c r="AG6" s="18">
        <v>24</v>
      </c>
      <c r="AH6" s="18">
        <v>26</v>
      </c>
      <c r="AI6" s="18">
        <v>28</v>
      </c>
      <c r="AJ6" s="20">
        <v>30</v>
      </c>
      <c r="AK6" s="21">
        <v>32</v>
      </c>
      <c r="AL6" s="17"/>
      <c r="AM6" s="18"/>
      <c r="AN6" s="18">
        <v>24</v>
      </c>
      <c r="AO6" s="18">
        <v>26</v>
      </c>
      <c r="AP6" s="18">
        <v>28</v>
      </c>
      <c r="AQ6" s="20">
        <v>30</v>
      </c>
      <c r="AR6" s="21">
        <v>32</v>
      </c>
      <c r="AS6" s="22">
        <v>75</v>
      </c>
      <c r="AT6" s="21">
        <v>32</v>
      </c>
    </row>
    <row r="7" spans="1:55" s="2" customFormat="1" ht="14.25">
      <c r="A7" s="2" t="s">
        <v>61</v>
      </c>
      <c r="B7" s="441">
        <v>5</v>
      </c>
      <c r="C7" s="2" t="s">
        <v>62</v>
      </c>
      <c r="D7" s="3" t="s">
        <v>60</v>
      </c>
      <c r="E7" s="17"/>
      <c r="F7" s="18"/>
      <c r="G7" s="18"/>
      <c r="H7" s="18"/>
      <c r="I7" s="18"/>
      <c r="J7" s="18">
        <v>14.5</v>
      </c>
      <c r="K7" s="18">
        <v>16.5</v>
      </c>
      <c r="L7" s="18">
        <v>19</v>
      </c>
      <c r="M7" s="18">
        <v>22.5</v>
      </c>
      <c r="N7" s="18">
        <v>26</v>
      </c>
      <c r="O7" s="18">
        <v>30</v>
      </c>
      <c r="P7" s="19">
        <v>33.5</v>
      </c>
      <c r="Q7" s="17"/>
      <c r="R7" s="18">
        <v>14</v>
      </c>
      <c r="S7" s="18">
        <v>16</v>
      </c>
      <c r="T7" s="18">
        <v>18</v>
      </c>
      <c r="U7" s="18">
        <v>21</v>
      </c>
      <c r="V7" s="18">
        <v>24</v>
      </c>
      <c r="W7" s="18">
        <v>27</v>
      </c>
      <c r="X7" s="18">
        <v>30</v>
      </c>
      <c r="Y7" s="18">
        <v>33</v>
      </c>
      <c r="Z7" s="18">
        <v>36</v>
      </c>
      <c r="AA7" s="18">
        <v>39</v>
      </c>
      <c r="AB7" s="18">
        <v>42</v>
      </c>
      <c r="AC7" s="18">
        <v>45</v>
      </c>
      <c r="AD7" s="19">
        <v>48</v>
      </c>
      <c r="AE7" s="17"/>
      <c r="AF7" s="18"/>
      <c r="AG7" s="18">
        <v>17</v>
      </c>
      <c r="AH7" s="18">
        <v>19</v>
      </c>
      <c r="AI7" s="18">
        <v>19.5</v>
      </c>
      <c r="AJ7" s="20">
        <v>19.5</v>
      </c>
      <c r="AK7" s="21">
        <v>19.5</v>
      </c>
      <c r="AL7" s="17"/>
      <c r="AM7" s="18"/>
      <c r="AN7" s="18">
        <v>19.2</v>
      </c>
      <c r="AO7" s="18">
        <v>20.8</v>
      </c>
      <c r="AP7" s="18">
        <v>22.3</v>
      </c>
      <c r="AQ7" s="20">
        <v>24</v>
      </c>
      <c r="AR7" s="21">
        <v>25.6</v>
      </c>
      <c r="AS7" s="22">
        <v>60</v>
      </c>
      <c r="AT7" s="21">
        <v>25.6</v>
      </c>
    </row>
    <row r="8" spans="1:55" s="2" customFormat="1" ht="14.25">
      <c r="A8" s="2" t="s">
        <v>63</v>
      </c>
      <c r="B8" s="441">
        <v>6</v>
      </c>
      <c r="C8" s="2" t="s">
        <v>64</v>
      </c>
      <c r="D8" s="3" t="s">
        <v>60</v>
      </c>
      <c r="E8" s="17"/>
      <c r="F8" s="18"/>
      <c r="G8" s="18"/>
      <c r="H8" s="18"/>
      <c r="I8" s="18"/>
      <c r="J8" s="18">
        <v>0.4</v>
      </c>
      <c r="K8" s="18">
        <v>0.4</v>
      </c>
      <c r="L8" s="18">
        <v>0.4</v>
      </c>
      <c r="M8" s="18">
        <v>0.4</v>
      </c>
      <c r="N8" s="18">
        <v>0.4</v>
      </c>
      <c r="O8" s="18">
        <v>0.4</v>
      </c>
      <c r="P8" s="19">
        <v>0.4</v>
      </c>
      <c r="Q8" s="17"/>
      <c r="R8" s="18">
        <v>0.6</v>
      </c>
      <c r="S8" s="18">
        <v>0.6</v>
      </c>
      <c r="T8" s="18">
        <v>0.6</v>
      </c>
      <c r="U8" s="18">
        <v>0.6</v>
      </c>
      <c r="V8" s="18">
        <v>0.6</v>
      </c>
      <c r="W8" s="18">
        <v>0.6</v>
      </c>
      <c r="X8" s="18">
        <v>0.6</v>
      </c>
      <c r="Y8" s="18">
        <v>0.6</v>
      </c>
      <c r="Z8" s="18">
        <v>0.6</v>
      </c>
      <c r="AA8" s="18">
        <v>0.6</v>
      </c>
      <c r="AB8" s="18">
        <v>0.6</v>
      </c>
      <c r="AC8" s="18">
        <v>0.6</v>
      </c>
      <c r="AD8" s="19">
        <v>0.6</v>
      </c>
      <c r="AE8" s="17"/>
      <c r="AF8" s="18"/>
      <c r="AG8" s="18">
        <v>0.5</v>
      </c>
      <c r="AH8" s="18">
        <v>0.5</v>
      </c>
      <c r="AI8" s="18">
        <v>0.5</v>
      </c>
      <c r="AJ8" s="20">
        <v>0.5</v>
      </c>
      <c r="AK8" s="21">
        <v>0.5</v>
      </c>
      <c r="AL8" s="17"/>
      <c r="AM8" s="18"/>
      <c r="AN8" s="18">
        <v>0.5</v>
      </c>
      <c r="AO8" s="18">
        <v>0.5</v>
      </c>
      <c r="AP8" s="18">
        <v>0.5</v>
      </c>
      <c r="AQ8" s="20">
        <v>0.5</v>
      </c>
      <c r="AR8" s="21">
        <v>0.5</v>
      </c>
      <c r="AS8" s="22">
        <v>0.6</v>
      </c>
      <c r="AT8" s="21">
        <v>0.5</v>
      </c>
    </row>
    <row r="9" spans="1:55" s="2" customFormat="1" ht="14.25">
      <c r="A9" s="2" t="s">
        <v>65</v>
      </c>
      <c r="B9" s="441">
        <v>7</v>
      </c>
      <c r="C9" s="2" t="s">
        <v>66</v>
      </c>
      <c r="D9" s="3" t="s">
        <v>60</v>
      </c>
      <c r="E9" s="17"/>
      <c r="F9" s="18"/>
      <c r="G9" s="18"/>
      <c r="H9" s="18"/>
      <c r="I9" s="18"/>
      <c r="J9" s="18">
        <v>21</v>
      </c>
      <c r="K9" s="18">
        <v>22</v>
      </c>
      <c r="L9" s="18">
        <v>24</v>
      </c>
      <c r="M9" s="18">
        <v>25</v>
      </c>
      <c r="N9" s="18">
        <v>27</v>
      </c>
      <c r="O9" s="18">
        <v>29</v>
      </c>
      <c r="P9" s="19">
        <v>30</v>
      </c>
      <c r="Q9" s="17"/>
      <c r="R9" s="18">
        <v>21</v>
      </c>
      <c r="S9" s="18">
        <v>22</v>
      </c>
      <c r="T9" s="18">
        <v>24</v>
      </c>
      <c r="U9" s="18">
        <v>25</v>
      </c>
      <c r="V9" s="18">
        <v>27</v>
      </c>
      <c r="W9" s="18">
        <v>29</v>
      </c>
      <c r="X9" s="18">
        <v>30</v>
      </c>
      <c r="Y9" s="18">
        <v>32</v>
      </c>
      <c r="Z9" s="18">
        <v>33</v>
      </c>
      <c r="AA9" s="18">
        <v>35</v>
      </c>
      <c r="AB9" s="18">
        <v>36</v>
      </c>
      <c r="AC9" s="18">
        <v>37</v>
      </c>
      <c r="AD9" s="19">
        <v>38</v>
      </c>
      <c r="AE9" s="17"/>
      <c r="AF9" s="18"/>
      <c r="AG9" s="18">
        <v>21.5</v>
      </c>
      <c r="AH9" s="18">
        <v>23.5</v>
      </c>
      <c r="AI9" s="18">
        <v>24</v>
      </c>
      <c r="AJ9" s="20">
        <v>24.5</v>
      </c>
      <c r="AK9" s="21">
        <v>24.5</v>
      </c>
      <c r="AL9" s="17"/>
      <c r="AM9" s="18"/>
      <c r="AN9" s="18">
        <v>24</v>
      </c>
      <c r="AO9" s="18">
        <v>26</v>
      </c>
      <c r="AP9" s="18">
        <v>28</v>
      </c>
      <c r="AQ9" s="20">
        <v>30</v>
      </c>
      <c r="AR9" s="21">
        <v>32</v>
      </c>
      <c r="AS9" s="22">
        <v>59.4</v>
      </c>
      <c r="AT9" s="21">
        <v>32</v>
      </c>
    </row>
    <row r="10" spans="1:55" s="2" customFormat="1" ht="14.25">
      <c r="A10" s="2" t="s">
        <v>67</v>
      </c>
      <c r="B10" s="441">
        <v>8</v>
      </c>
      <c r="C10" s="2" t="s">
        <v>68</v>
      </c>
      <c r="D10" s="3" t="s">
        <v>60</v>
      </c>
      <c r="E10" s="17"/>
      <c r="F10" s="18"/>
      <c r="G10" s="18"/>
      <c r="H10" s="18"/>
      <c r="I10" s="18"/>
      <c r="J10" s="18">
        <v>2.5</v>
      </c>
      <c r="K10" s="18">
        <v>2.5</v>
      </c>
      <c r="L10" s="18">
        <v>2.7</v>
      </c>
      <c r="M10" s="18">
        <v>2.7</v>
      </c>
      <c r="N10" s="18">
        <v>2.8</v>
      </c>
      <c r="O10" s="18">
        <v>2.9</v>
      </c>
      <c r="P10" s="19">
        <v>3</v>
      </c>
      <c r="Q10" s="17"/>
      <c r="R10" s="18">
        <v>4.9000000000000004</v>
      </c>
      <c r="S10" s="18">
        <v>5.0999999999999996</v>
      </c>
      <c r="T10" s="18">
        <v>5.3</v>
      </c>
      <c r="U10" s="18">
        <v>5.4</v>
      </c>
      <c r="V10" s="18">
        <v>5.5</v>
      </c>
      <c r="W10" s="18">
        <v>5.8</v>
      </c>
      <c r="X10" s="18">
        <v>6.2</v>
      </c>
      <c r="Y10" s="18">
        <v>6.6</v>
      </c>
      <c r="Z10" s="18">
        <v>10.5</v>
      </c>
      <c r="AA10" s="18">
        <v>11.3</v>
      </c>
      <c r="AB10" s="18">
        <v>12</v>
      </c>
      <c r="AC10" s="18">
        <v>12.8</v>
      </c>
      <c r="AD10" s="19">
        <v>13.5</v>
      </c>
      <c r="AE10" s="17"/>
      <c r="AF10" s="18"/>
      <c r="AG10" s="18">
        <v>2.5</v>
      </c>
      <c r="AH10" s="18">
        <v>2.5</v>
      </c>
      <c r="AI10" s="18">
        <v>2.5</v>
      </c>
      <c r="AJ10" s="20">
        <v>2.5</v>
      </c>
      <c r="AK10" s="21">
        <v>2.5</v>
      </c>
      <c r="AL10" s="17"/>
      <c r="AM10" s="18"/>
      <c r="AN10" s="18">
        <v>2.5</v>
      </c>
      <c r="AO10" s="18">
        <v>2.5</v>
      </c>
      <c r="AP10" s="18">
        <v>2.5</v>
      </c>
      <c r="AQ10" s="20">
        <v>2.5</v>
      </c>
      <c r="AR10" s="21">
        <v>2.5</v>
      </c>
      <c r="AS10" s="22">
        <v>14.8</v>
      </c>
      <c r="AT10" s="21">
        <v>2.5</v>
      </c>
    </row>
    <row r="11" spans="1:55" s="2" customFormat="1" ht="14.25">
      <c r="A11" s="2" t="s">
        <v>69</v>
      </c>
      <c r="B11" s="441">
        <v>9</v>
      </c>
      <c r="C11" s="2" t="s">
        <v>70</v>
      </c>
      <c r="D11" s="3" t="s">
        <v>60</v>
      </c>
      <c r="E11" s="17"/>
      <c r="F11" s="18"/>
      <c r="G11" s="18"/>
      <c r="H11" s="18"/>
      <c r="I11" s="18"/>
      <c r="J11" s="18">
        <v>4</v>
      </c>
      <c r="K11" s="18">
        <v>4</v>
      </c>
      <c r="L11" s="18">
        <v>4</v>
      </c>
      <c r="M11" s="18">
        <v>4</v>
      </c>
      <c r="N11" s="18">
        <v>4</v>
      </c>
      <c r="O11" s="18">
        <v>4</v>
      </c>
      <c r="P11" s="19">
        <v>4</v>
      </c>
      <c r="Q11" s="17"/>
      <c r="R11" s="18">
        <v>3.7</v>
      </c>
      <c r="S11" s="18">
        <v>3.8</v>
      </c>
      <c r="T11" s="18">
        <v>3.9</v>
      </c>
      <c r="U11" s="18">
        <v>4.0999999999999996</v>
      </c>
      <c r="V11" s="18">
        <v>4.2</v>
      </c>
      <c r="W11" s="18">
        <v>4.4000000000000004</v>
      </c>
      <c r="X11" s="18">
        <v>4.5</v>
      </c>
      <c r="Y11" s="18">
        <v>4.7</v>
      </c>
      <c r="Z11" s="18">
        <v>4.8</v>
      </c>
      <c r="AA11" s="18">
        <v>5</v>
      </c>
      <c r="AB11" s="18">
        <v>5</v>
      </c>
      <c r="AC11" s="18">
        <v>5</v>
      </c>
      <c r="AD11" s="19">
        <v>5</v>
      </c>
      <c r="AE11" s="17"/>
      <c r="AF11" s="18"/>
      <c r="AG11" s="18">
        <v>3.5</v>
      </c>
      <c r="AH11" s="18">
        <v>3.5</v>
      </c>
      <c r="AI11" s="18">
        <v>3.5</v>
      </c>
      <c r="AJ11" s="20">
        <v>3.5</v>
      </c>
      <c r="AK11" s="21">
        <v>3.5</v>
      </c>
      <c r="AL11" s="17"/>
      <c r="AM11" s="18"/>
      <c r="AN11" s="18">
        <v>3.5</v>
      </c>
      <c r="AO11" s="18">
        <v>3.5</v>
      </c>
      <c r="AP11" s="18">
        <v>3.5</v>
      </c>
      <c r="AQ11" s="20">
        <v>3.5</v>
      </c>
      <c r="AR11" s="21">
        <v>3.5</v>
      </c>
      <c r="AS11" s="22">
        <v>4.5</v>
      </c>
      <c r="AT11" s="21">
        <v>3.5</v>
      </c>
    </row>
    <row r="12" spans="1:55" s="2" customFormat="1" ht="14.25">
      <c r="A12" s="2" t="s">
        <v>71</v>
      </c>
      <c r="B12" s="441">
        <v>10</v>
      </c>
      <c r="C12" s="2" t="s">
        <v>72</v>
      </c>
      <c r="D12" s="3" t="s">
        <v>60</v>
      </c>
      <c r="E12" s="17"/>
      <c r="F12" s="18"/>
      <c r="G12" s="18"/>
      <c r="H12" s="18"/>
      <c r="I12" s="18"/>
      <c r="J12" s="18"/>
      <c r="K12" s="18"/>
      <c r="L12" s="18"/>
      <c r="M12" s="18"/>
      <c r="N12" s="18"/>
      <c r="O12" s="18"/>
      <c r="P12" s="19"/>
      <c r="Q12" s="17"/>
      <c r="R12" s="18"/>
      <c r="S12" s="18"/>
      <c r="T12" s="18"/>
      <c r="U12" s="18"/>
      <c r="V12" s="18"/>
      <c r="W12" s="18"/>
      <c r="X12" s="18"/>
      <c r="Y12" s="18"/>
      <c r="Z12" s="18"/>
      <c r="AA12" s="18"/>
      <c r="AB12" s="18"/>
      <c r="AC12" s="18"/>
      <c r="AD12" s="19"/>
      <c r="AE12" s="17"/>
      <c r="AF12" s="18"/>
      <c r="AG12" s="18">
        <v>1.2</v>
      </c>
      <c r="AH12" s="18">
        <v>1.2</v>
      </c>
      <c r="AI12" s="18">
        <v>1.2</v>
      </c>
      <c r="AJ12" s="20">
        <v>1.2</v>
      </c>
      <c r="AK12" s="21">
        <v>1.2</v>
      </c>
      <c r="AL12" s="17"/>
      <c r="AM12" s="18"/>
      <c r="AN12" s="18">
        <v>1.2</v>
      </c>
      <c r="AO12" s="18">
        <v>1.2</v>
      </c>
      <c r="AP12" s="18">
        <v>1.2</v>
      </c>
      <c r="AQ12" s="20">
        <v>1.2</v>
      </c>
      <c r="AR12" s="21">
        <v>1.2</v>
      </c>
      <c r="AS12" s="22"/>
      <c r="AT12" s="21">
        <v>1.2</v>
      </c>
    </row>
    <row r="13" spans="1:55" s="2" customFormat="1" ht="14.25">
      <c r="A13" s="2" t="s">
        <v>73</v>
      </c>
      <c r="B13" s="441">
        <v>11</v>
      </c>
      <c r="C13" s="2" t="s">
        <v>74</v>
      </c>
      <c r="D13" s="3" t="s">
        <v>60</v>
      </c>
      <c r="E13" s="23"/>
      <c r="F13" s="24"/>
      <c r="G13" s="24"/>
      <c r="H13" s="24"/>
      <c r="I13" s="24"/>
      <c r="J13" s="24">
        <v>11000</v>
      </c>
      <c r="K13" s="24">
        <v>11500</v>
      </c>
      <c r="L13" s="24">
        <v>12000</v>
      </c>
      <c r="M13" s="24">
        <v>13000</v>
      </c>
      <c r="N13" s="24">
        <v>14000</v>
      </c>
      <c r="O13" s="24">
        <v>15000</v>
      </c>
      <c r="P13" s="25">
        <v>16000</v>
      </c>
      <c r="Q13" s="23"/>
      <c r="R13" s="24">
        <v>10000</v>
      </c>
      <c r="S13" s="24">
        <v>10500</v>
      </c>
      <c r="T13" s="24">
        <v>11000</v>
      </c>
      <c r="U13" s="24">
        <v>12000</v>
      </c>
      <c r="V13" s="24">
        <v>13000</v>
      </c>
      <c r="W13" s="24">
        <v>13500</v>
      </c>
      <c r="X13" s="24">
        <v>14000</v>
      </c>
      <c r="Y13" s="24">
        <v>15500</v>
      </c>
      <c r="Z13" s="24">
        <v>17000</v>
      </c>
      <c r="AA13" s="24">
        <v>18500</v>
      </c>
      <c r="AB13" s="24">
        <v>20000</v>
      </c>
      <c r="AC13" s="24">
        <v>22000</v>
      </c>
      <c r="AD13" s="25">
        <v>24000</v>
      </c>
      <c r="AE13" s="23"/>
      <c r="AF13" s="24"/>
      <c r="AG13" s="24">
        <v>11000</v>
      </c>
      <c r="AH13" s="24">
        <v>12000</v>
      </c>
      <c r="AI13" s="24">
        <v>12500</v>
      </c>
      <c r="AJ13" s="26">
        <v>13000</v>
      </c>
      <c r="AK13" s="27">
        <v>13500</v>
      </c>
      <c r="AL13" s="23"/>
      <c r="AM13" s="24"/>
      <c r="AN13" s="24">
        <v>11500</v>
      </c>
      <c r="AO13" s="24">
        <v>12100</v>
      </c>
      <c r="AP13" s="24">
        <v>12600</v>
      </c>
      <c r="AQ13" s="26">
        <v>13600</v>
      </c>
      <c r="AR13" s="27">
        <v>14200</v>
      </c>
      <c r="AS13" s="28">
        <v>16800</v>
      </c>
      <c r="AT13" s="27">
        <v>14200</v>
      </c>
    </row>
    <row r="14" spans="1:55" s="2" customFormat="1" ht="14.25">
      <c r="A14" s="2" t="s">
        <v>75</v>
      </c>
      <c r="B14" s="441">
        <v>12</v>
      </c>
      <c r="C14" s="2" t="s">
        <v>76</v>
      </c>
      <c r="D14" s="3" t="s">
        <v>60</v>
      </c>
      <c r="E14" s="23"/>
      <c r="F14" s="24"/>
      <c r="G14" s="24"/>
      <c r="H14" s="24"/>
      <c r="I14" s="24"/>
      <c r="J14" s="24">
        <v>7400</v>
      </c>
      <c r="K14" s="24">
        <v>7700</v>
      </c>
      <c r="L14" s="24">
        <v>8000</v>
      </c>
      <c r="M14" s="24">
        <v>8700</v>
      </c>
      <c r="N14" s="24">
        <v>9400</v>
      </c>
      <c r="O14" s="24">
        <v>10100</v>
      </c>
      <c r="P14" s="25">
        <v>10700</v>
      </c>
      <c r="Q14" s="23"/>
      <c r="R14" s="24">
        <v>8400</v>
      </c>
      <c r="S14" s="24">
        <v>8800</v>
      </c>
      <c r="T14" s="24">
        <v>9200</v>
      </c>
      <c r="U14" s="24">
        <v>10100</v>
      </c>
      <c r="V14" s="24">
        <v>10900</v>
      </c>
      <c r="W14" s="24">
        <v>11300</v>
      </c>
      <c r="X14" s="24">
        <v>11800</v>
      </c>
      <c r="Y14" s="24">
        <v>13000</v>
      </c>
      <c r="Z14" s="24">
        <v>14300</v>
      </c>
      <c r="AA14" s="24">
        <v>15500</v>
      </c>
      <c r="AB14" s="24">
        <v>16800</v>
      </c>
      <c r="AC14" s="24">
        <v>18500</v>
      </c>
      <c r="AD14" s="25">
        <v>20200</v>
      </c>
      <c r="AE14" s="23"/>
      <c r="AF14" s="24"/>
      <c r="AG14" s="24">
        <v>9100</v>
      </c>
      <c r="AH14" s="24">
        <v>10000</v>
      </c>
      <c r="AI14" s="24">
        <v>10400</v>
      </c>
      <c r="AJ14" s="26">
        <v>10800</v>
      </c>
      <c r="AK14" s="27">
        <v>11200</v>
      </c>
      <c r="AL14" s="23"/>
      <c r="AM14" s="24"/>
      <c r="AN14" s="24">
        <v>9600</v>
      </c>
      <c r="AO14" s="24">
        <v>10100</v>
      </c>
      <c r="AP14" s="24">
        <v>10500</v>
      </c>
      <c r="AQ14" s="26">
        <v>11300</v>
      </c>
      <c r="AR14" s="27">
        <v>11800</v>
      </c>
      <c r="AS14" s="28">
        <v>15300</v>
      </c>
      <c r="AT14" s="27">
        <v>11800</v>
      </c>
    </row>
    <row r="15" spans="1:55" s="2" customFormat="1" ht="14.25">
      <c r="A15" s="2" t="s">
        <v>77</v>
      </c>
      <c r="B15" s="441">
        <v>13</v>
      </c>
      <c r="C15" s="2" t="s">
        <v>78</v>
      </c>
      <c r="D15" s="3" t="s">
        <v>60</v>
      </c>
      <c r="E15" s="23"/>
      <c r="F15" s="24"/>
      <c r="G15" s="24"/>
      <c r="H15" s="24"/>
      <c r="I15" s="24"/>
      <c r="J15" s="24">
        <v>370</v>
      </c>
      <c r="K15" s="24">
        <v>380</v>
      </c>
      <c r="L15" s="24">
        <v>400</v>
      </c>
      <c r="M15" s="24">
        <v>430</v>
      </c>
      <c r="N15" s="24">
        <v>470</v>
      </c>
      <c r="O15" s="24">
        <v>500</v>
      </c>
      <c r="P15" s="25">
        <v>530</v>
      </c>
      <c r="Q15" s="23"/>
      <c r="R15" s="24">
        <v>670</v>
      </c>
      <c r="S15" s="24">
        <v>700</v>
      </c>
      <c r="T15" s="24">
        <v>730</v>
      </c>
      <c r="U15" s="24">
        <v>800</v>
      </c>
      <c r="V15" s="24">
        <v>870</v>
      </c>
      <c r="W15" s="24">
        <v>900</v>
      </c>
      <c r="X15" s="24">
        <v>930</v>
      </c>
      <c r="Y15" s="24">
        <v>1030</v>
      </c>
      <c r="Z15" s="24">
        <v>1130</v>
      </c>
      <c r="AA15" s="24">
        <v>1230</v>
      </c>
      <c r="AB15" s="24">
        <v>1330</v>
      </c>
      <c r="AC15" s="24">
        <v>1470</v>
      </c>
      <c r="AD15" s="25">
        <v>1600</v>
      </c>
      <c r="AE15" s="23"/>
      <c r="AF15" s="24"/>
      <c r="AG15" s="24">
        <v>300</v>
      </c>
      <c r="AH15" s="24">
        <v>300</v>
      </c>
      <c r="AI15" s="24">
        <v>300</v>
      </c>
      <c r="AJ15" s="26">
        <v>300</v>
      </c>
      <c r="AK15" s="27">
        <v>300</v>
      </c>
      <c r="AL15" s="23"/>
      <c r="AM15" s="24"/>
      <c r="AN15" s="24">
        <v>300</v>
      </c>
      <c r="AO15" s="24">
        <v>300</v>
      </c>
      <c r="AP15" s="24">
        <v>300</v>
      </c>
      <c r="AQ15" s="26">
        <v>300</v>
      </c>
      <c r="AR15" s="27">
        <v>300</v>
      </c>
      <c r="AS15" s="28">
        <v>470</v>
      </c>
      <c r="AT15" s="27">
        <v>300</v>
      </c>
    </row>
    <row r="16" spans="1:55" s="2" customFormat="1" ht="14.25">
      <c r="A16" s="2" t="s">
        <v>79</v>
      </c>
      <c r="B16" s="441">
        <v>14</v>
      </c>
      <c r="C16" s="2" t="s">
        <v>80</v>
      </c>
      <c r="D16" s="3" t="s">
        <v>60</v>
      </c>
      <c r="E16" s="23"/>
      <c r="F16" s="24"/>
      <c r="G16" s="24"/>
      <c r="H16" s="24"/>
      <c r="I16" s="24"/>
      <c r="J16" s="24"/>
      <c r="K16" s="24"/>
      <c r="L16" s="24"/>
      <c r="M16" s="24"/>
      <c r="N16" s="24"/>
      <c r="O16" s="24"/>
      <c r="P16" s="25"/>
      <c r="Q16" s="23"/>
      <c r="R16" s="24"/>
      <c r="S16" s="24"/>
      <c r="T16" s="24"/>
      <c r="U16" s="24"/>
      <c r="V16" s="24"/>
      <c r="W16" s="24"/>
      <c r="X16" s="24"/>
      <c r="Y16" s="24"/>
      <c r="Z16" s="24"/>
      <c r="AA16" s="24"/>
      <c r="AB16" s="24"/>
      <c r="AC16" s="24"/>
      <c r="AD16" s="25"/>
      <c r="AE16" s="23"/>
      <c r="AF16" s="24"/>
      <c r="AG16" s="24">
        <v>250</v>
      </c>
      <c r="AH16" s="24">
        <v>250</v>
      </c>
      <c r="AI16" s="24">
        <v>250</v>
      </c>
      <c r="AJ16" s="26">
        <v>250</v>
      </c>
      <c r="AK16" s="27">
        <v>250</v>
      </c>
      <c r="AL16" s="23"/>
      <c r="AM16" s="24"/>
      <c r="AN16" s="24">
        <v>250</v>
      </c>
      <c r="AO16" s="24">
        <v>250</v>
      </c>
      <c r="AP16" s="24">
        <v>250</v>
      </c>
      <c r="AQ16" s="26">
        <v>250</v>
      </c>
      <c r="AR16" s="27">
        <v>250</v>
      </c>
      <c r="AS16" s="28">
        <v>400</v>
      </c>
      <c r="AT16" s="27">
        <v>250</v>
      </c>
    </row>
    <row r="17" spans="1:46" s="2" customFormat="1" ht="14.25">
      <c r="A17" s="2" t="s">
        <v>81</v>
      </c>
      <c r="B17" s="441">
        <v>15</v>
      </c>
      <c r="C17" s="2" t="s">
        <v>82</v>
      </c>
      <c r="D17" s="3" t="s">
        <v>60</v>
      </c>
      <c r="E17" s="23"/>
      <c r="F17" s="24"/>
      <c r="G17" s="24"/>
      <c r="H17" s="24"/>
      <c r="I17" s="24"/>
      <c r="J17" s="24">
        <v>690</v>
      </c>
      <c r="K17" s="24">
        <v>720</v>
      </c>
      <c r="L17" s="24">
        <v>750</v>
      </c>
      <c r="M17" s="24">
        <v>810</v>
      </c>
      <c r="N17" s="24">
        <v>880</v>
      </c>
      <c r="O17" s="24">
        <v>940</v>
      </c>
      <c r="P17" s="25">
        <v>1000</v>
      </c>
      <c r="Q17" s="23"/>
      <c r="R17" s="24">
        <v>630</v>
      </c>
      <c r="S17" s="24">
        <v>660</v>
      </c>
      <c r="T17" s="24">
        <v>690</v>
      </c>
      <c r="U17" s="24">
        <v>750</v>
      </c>
      <c r="V17" s="24">
        <v>810</v>
      </c>
      <c r="W17" s="24">
        <v>840</v>
      </c>
      <c r="X17" s="24">
        <v>880</v>
      </c>
      <c r="Y17" s="24">
        <v>970</v>
      </c>
      <c r="Z17" s="24">
        <v>1060</v>
      </c>
      <c r="AA17" s="24">
        <v>1160</v>
      </c>
      <c r="AB17" s="24">
        <v>1250</v>
      </c>
      <c r="AC17" s="24">
        <v>1380</v>
      </c>
      <c r="AD17" s="25">
        <v>1500</v>
      </c>
      <c r="AE17" s="23"/>
      <c r="AF17" s="24"/>
      <c r="AG17" s="24">
        <v>650</v>
      </c>
      <c r="AH17" s="24">
        <v>650</v>
      </c>
      <c r="AI17" s="24">
        <v>650</v>
      </c>
      <c r="AJ17" s="26">
        <v>650</v>
      </c>
      <c r="AK17" s="27">
        <v>650</v>
      </c>
      <c r="AL17" s="23"/>
      <c r="AM17" s="24"/>
      <c r="AN17" s="24">
        <v>650</v>
      </c>
      <c r="AO17" s="24">
        <v>650</v>
      </c>
      <c r="AP17" s="24">
        <v>650</v>
      </c>
      <c r="AQ17" s="26">
        <v>650</v>
      </c>
      <c r="AR17" s="27">
        <v>650</v>
      </c>
      <c r="AS17" s="28">
        <v>850</v>
      </c>
      <c r="AT17" s="27">
        <v>650</v>
      </c>
    </row>
    <row r="18" spans="1:46" s="2" customFormat="1" ht="14.25">
      <c r="A18" s="2" t="s">
        <v>83</v>
      </c>
      <c r="B18" s="441">
        <v>16</v>
      </c>
      <c r="C18" s="2" t="s">
        <v>84</v>
      </c>
      <c r="D18" s="3" t="s">
        <v>60</v>
      </c>
      <c r="E18" s="23"/>
      <c r="F18" s="24"/>
      <c r="G18" s="24"/>
      <c r="H18" s="24"/>
      <c r="I18" s="24"/>
      <c r="J18" s="24"/>
      <c r="K18" s="24"/>
      <c r="L18" s="24"/>
      <c r="M18" s="24"/>
      <c r="N18" s="24"/>
      <c r="O18" s="24"/>
      <c r="P18" s="25"/>
      <c r="Q18" s="23"/>
      <c r="R18" s="24"/>
      <c r="S18" s="24"/>
      <c r="T18" s="24"/>
      <c r="U18" s="24"/>
      <c r="V18" s="24"/>
      <c r="W18" s="24"/>
      <c r="X18" s="24"/>
      <c r="Y18" s="24"/>
      <c r="Z18" s="24"/>
      <c r="AA18" s="24"/>
      <c r="AB18" s="24"/>
      <c r="AC18" s="24"/>
      <c r="AD18" s="25"/>
      <c r="AE18" s="23"/>
      <c r="AF18" s="24"/>
      <c r="AG18" s="24">
        <v>540</v>
      </c>
      <c r="AH18" s="24">
        <v>540</v>
      </c>
      <c r="AI18" s="24">
        <v>540</v>
      </c>
      <c r="AJ18" s="26">
        <v>540</v>
      </c>
      <c r="AK18" s="27">
        <v>540</v>
      </c>
      <c r="AL18" s="23"/>
      <c r="AM18" s="24"/>
      <c r="AN18" s="24">
        <v>540</v>
      </c>
      <c r="AO18" s="24">
        <v>540</v>
      </c>
      <c r="AP18" s="24">
        <v>540</v>
      </c>
      <c r="AQ18" s="26">
        <v>540</v>
      </c>
      <c r="AR18" s="27">
        <v>540</v>
      </c>
      <c r="AS18" s="28">
        <v>760</v>
      </c>
      <c r="AT18" s="27">
        <v>540</v>
      </c>
    </row>
    <row r="19" spans="1:46" s="2" customFormat="1" ht="14.25">
      <c r="A19" s="2" t="s">
        <v>85</v>
      </c>
      <c r="B19" s="441">
        <v>17</v>
      </c>
      <c r="C19" s="2" t="s">
        <v>86</v>
      </c>
      <c r="D19" s="3" t="s">
        <v>60</v>
      </c>
      <c r="E19" s="23"/>
      <c r="F19" s="24"/>
      <c r="G19" s="24"/>
      <c r="H19" s="24"/>
      <c r="I19" s="24"/>
      <c r="J19" s="24"/>
      <c r="K19" s="24"/>
      <c r="L19" s="24"/>
      <c r="M19" s="24"/>
      <c r="N19" s="24"/>
      <c r="O19" s="24"/>
      <c r="P19" s="25"/>
      <c r="Q19" s="23"/>
      <c r="R19" s="24"/>
      <c r="S19" s="24"/>
      <c r="T19" s="24"/>
      <c r="U19" s="24"/>
      <c r="V19" s="24"/>
      <c r="W19" s="24"/>
      <c r="X19" s="24"/>
      <c r="Y19" s="24"/>
      <c r="Z19" s="24"/>
      <c r="AA19" s="24"/>
      <c r="AB19" s="24"/>
      <c r="AC19" s="24"/>
      <c r="AD19" s="25"/>
      <c r="AE19" s="23"/>
      <c r="AF19" s="24"/>
      <c r="AG19" s="24">
        <v>65</v>
      </c>
      <c r="AH19" s="24">
        <v>65</v>
      </c>
      <c r="AI19" s="24">
        <v>65</v>
      </c>
      <c r="AJ19" s="26">
        <v>65</v>
      </c>
      <c r="AK19" s="27">
        <v>65</v>
      </c>
      <c r="AL19" s="23"/>
      <c r="AM19" s="24"/>
      <c r="AN19" s="24">
        <v>65</v>
      </c>
      <c r="AO19" s="24">
        <v>65</v>
      </c>
      <c r="AP19" s="24">
        <v>65</v>
      </c>
      <c r="AQ19" s="26">
        <v>65</v>
      </c>
      <c r="AR19" s="27">
        <v>65</v>
      </c>
      <c r="AS19" s="28"/>
      <c r="AT19" s="27">
        <v>65</v>
      </c>
    </row>
    <row r="20" spans="1:46" s="2" customFormat="1" ht="14.25">
      <c r="A20" s="2" t="s">
        <v>87</v>
      </c>
      <c r="B20" s="441">
        <v>18</v>
      </c>
      <c r="C20" s="2" t="s">
        <v>88</v>
      </c>
      <c r="D20" s="3" t="s">
        <v>60</v>
      </c>
      <c r="E20" s="23"/>
      <c r="F20" s="24"/>
      <c r="G20" s="24"/>
      <c r="H20" s="24"/>
      <c r="I20" s="24"/>
      <c r="J20" s="24"/>
      <c r="K20" s="24"/>
      <c r="L20" s="24"/>
      <c r="M20" s="24"/>
      <c r="N20" s="24"/>
      <c r="O20" s="24"/>
      <c r="P20" s="25"/>
      <c r="Q20" s="23"/>
      <c r="R20" s="24"/>
      <c r="S20" s="24"/>
      <c r="T20" s="24"/>
      <c r="U20" s="24"/>
      <c r="V20" s="24"/>
      <c r="W20" s="24"/>
      <c r="X20" s="24"/>
      <c r="Y20" s="24"/>
      <c r="Z20" s="24"/>
      <c r="AA20" s="24"/>
      <c r="AB20" s="24"/>
      <c r="AC20" s="24"/>
      <c r="AD20" s="25"/>
      <c r="AE20" s="23"/>
      <c r="AF20" s="24"/>
      <c r="AG20" s="24">
        <v>54</v>
      </c>
      <c r="AH20" s="24">
        <v>54</v>
      </c>
      <c r="AI20" s="24">
        <v>54</v>
      </c>
      <c r="AJ20" s="26">
        <v>54</v>
      </c>
      <c r="AK20" s="27">
        <v>54</v>
      </c>
      <c r="AL20" s="23"/>
      <c r="AM20" s="24"/>
      <c r="AN20" s="24">
        <v>54</v>
      </c>
      <c r="AO20" s="24">
        <v>54</v>
      </c>
      <c r="AP20" s="24">
        <v>54</v>
      </c>
      <c r="AQ20" s="26">
        <v>54</v>
      </c>
      <c r="AR20" s="27">
        <v>54</v>
      </c>
      <c r="AS20" s="28"/>
      <c r="AT20" s="27">
        <v>54</v>
      </c>
    </row>
    <row r="21" spans="1:46" s="2" customFormat="1" ht="14.25">
      <c r="A21" s="2" t="s">
        <v>89</v>
      </c>
      <c r="B21" s="441">
        <v>19</v>
      </c>
      <c r="C21" s="29" t="s">
        <v>90</v>
      </c>
      <c r="D21" s="30" t="s">
        <v>91</v>
      </c>
      <c r="E21" s="23"/>
      <c r="F21" s="24"/>
      <c r="G21" s="24"/>
      <c r="H21" s="24"/>
      <c r="I21" s="24"/>
      <c r="J21" s="24">
        <v>350</v>
      </c>
      <c r="K21" s="24">
        <v>360</v>
      </c>
      <c r="L21" s="24">
        <v>380</v>
      </c>
      <c r="M21" s="24">
        <v>390</v>
      </c>
      <c r="N21" s="24">
        <v>400</v>
      </c>
      <c r="O21" s="24">
        <v>410</v>
      </c>
      <c r="P21" s="25">
        <v>430</v>
      </c>
      <c r="Q21" s="23"/>
      <c r="R21" s="24">
        <v>485</v>
      </c>
      <c r="S21" s="24">
        <v>510</v>
      </c>
      <c r="T21" s="24">
        <v>530</v>
      </c>
      <c r="U21" s="24">
        <v>540</v>
      </c>
      <c r="V21" s="24">
        <v>550</v>
      </c>
      <c r="W21" s="24">
        <v>580</v>
      </c>
      <c r="X21" s="24">
        <v>590</v>
      </c>
      <c r="Y21" s="24">
        <v>590</v>
      </c>
      <c r="Z21" s="24">
        <v>590</v>
      </c>
      <c r="AA21" s="24">
        <v>590</v>
      </c>
      <c r="AB21" s="24">
        <v>590</v>
      </c>
      <c r="AC21" s="24">
        <v>590</v>
      </c>
      <c r="AD21" s="24">
        <v>590</v>
      </c>
      <c r="AE21" s="23"/>
      <c r="AF21" s="24"/>
      <c r="AG21" s="24">
        <v>365</v>
      </c>
      <c r="AH21" s="24">
        <v>385</v>
      </c>
      <c r="AI21" s="24">
        <v>390</v>
      </c>
      <c r="AJ21" s="26">
        <v>390</v>
      </c>
      <c r="AK21" s="27">
        <v>400</v>
      </c>
      <c r="AL21" s="23"/>
      <c r="AM21" s="24"/>
      <c r="AN21" s="24">
        <v>385</v>
      </c>
      <c r="AO21" s="24">
        <v>405</v>
      </c>
      <c r="AP21" s="24">
        <v>425</v>
      </c>
      <c r="AQ21" s="26">
        <v>430</v>
      </c>
      <c r="AR21" s="27">
        <v>440</v>
      </c>
      <c r="AS21" s="28">
        <v>730</v>
      </c>
      <c r="AT21" s="27">
        <v>450</v>
      </c>
    </row>
    <row r="22" spans="1:46" s="2" customFormat="1" ht="14.25">
      <c r="A22" s="2" t="s">
        <v>92</v>
      </c>
      <c r="B22" s="441">
        <v>20</v>
      </c>
      <c r="C22" s="29" t="s">
        <v>93</v>
      </c>
      <c r="D22" s="30" t="s">
        <v>91</v>
      </c>
      <c r="E22" s="23"/>
      <c r="F22" s="24"/>
      <c r="G22" s="24"/>
      <c r="H22" s="24"/>
      <c r="I22" s="24"/>
      <c r="J22" s="24">
        <v>420</v>
      </c>
      <c r="K22" s="24">
        <v>430</v>
      </c>
      <c r="L22" s="24">
        <v>460</v>
      </c>
      <c r="M22" s="24">
        <v>470</v>
      </c>
      <c r="N22" s="24">
        <v>480</v>
      </c>
      <c r="O22" s="24">
        <v>490</v>
      </c>
      <c r="P22" s="25">
        <v>520</v>
      </c>
      <c r="Q22" s="23"/>
      <c r="R22" s="24">
        <v>580</v>
      </c>
      <c r="S22" s="24">
        <v>610</v>
      </c>
      <c r="T22" s="24">
        <v>640</v>
      </c>
      <c r="U22" s="24">
        <v>650</v>
      </c>
      <c r="V22" s="24">
        <v>660</v>
      </c>
      <c r="W22" s="24">
        <v>700</v>
      </c>
      <c r="X22" s="24">
        <v>740</v>
      </c>
      <c r="Y22" s="24">
        <v>790</v>
      </c>
      <c r="Z22" s="24">
        <v>840</v>
      </c>
      <c r="AA22" s="24">
        <v>900</v>
      </c>
      <c r="AB22" s="24">
        <v>960</v>
      </c>
      <c r="AC22" s="24">
        <v>1020</v>
      </c>
      <c r="AD22" s="25">
        <v>1080</v>
      </c>
      <c r="AE22" s="23"/>
      <c r="AF22" s="24"/>
      <c r="AG22" s="24">
        <v>400</v>
      </c>
      <c r="AH22" s="24">
        <v>420</v>
      </c>
      <c r="AI22" s="24">
        <v>420</v>
      </c>
      <c r="AJ22" s="26">
        <v>430</v>
      </c>
      <c r="AK22" s="27">
        <v>440</v>
      </c>
      <c r="AL22" s="23"/>
      <c r="AM22" s="24"/>
      <c r="AN22" s="24">
        <v>420</v>
      </c>
      <c r="AO22" s="24">
        <v>445</v>
      </c>
      <c r="AP22" s="24">
        <v>460</v>
      </c>
      <c r="AQ22" s="26">
        <v>480</v>
      </c>
      <c r="AR22" s="27">
        <v>490</v>
      </c>
      <c r="AS22" s="28">
        <v>800</v>
      </c>
      <c r="AT22" s="27">
        <v>490</v>
      </c>
    </row>
    <row r="23" spans="1:46" s="732" customFormat="1" ht="14.25">
      <c r="A23" s="2" t="s">
        <v>812</v>
      </c>
      <c r="B23" s="441">
        <v>21</v>
      </c>
      <c r="C23" s="29" t="s">
        <v>813</v>
      </c>
      <c r="D23" s="30" t="s">
        <v>814</v>
      </c>
      <c r="E23" s="726"/>
      <c r="F23" s="727"/>
      <c r="G23" s="727"/>
      <c r="H23" s="727"/>
      <c r="I23" s="727"/>
      <c r="J23" s="727">
        <v>0.8</v>
      </c>
      <c r="K23" s="727">
        <v>0.8</v>
      </c>
      <c r="L23" s="727">
        <v>0.8</v>
      </c>
      <c r="M23" s="727">
        <v>0.8</v>
      </c>
      <c r="N23" s="727">
        <v>0.8</v>
      </c>
      <c r="O23" s="727">
        <v>0.8</v>
      </c>
      <c r="P23" s="728">
        <v>0.8</v>
      </c>
      <c r="Q23" s="726"/>
      <c r="R23" s="727">
        <v>0.55000000000000004</v>
      </c>
      <c r="S23" s="727">
        <v>0.55000000000000004</v>
      </c>
      <c r="T23" s="727">
        <v>0.55000000000000004</v>
      </c>
      <c r="U23" s="727">
        <v>0.55000000000000004</v>
      </c>
      <c r="V23" s="727">
        <v>0.55000000000000004</v>
      </c>
      <c r="W23" s="727">
        <v>0.55000000000000004</v>
      </c>
      <c r="X23" s="727">
        <v>0.55000000000000004</v>
      </c>
      <c r="Y23" s="727">
        <v>0.55000000000000004</v>
      </c>
      <c r="Z23" s="727">
        <v>0.55000000000000004</v>
      </c>
      <c r="AA23" s="727">
        <v>0.55000000000000004</v>
      </c>
      <c r="AB23" s="727">
        <v>0.55000000000000004</v>
      </c>
      <c r="AC23" s="727">
        <v>0.55000000000000004</v>
      </c>
      <c r="AD23" s="728">
        <v>0.55000000000000004</v>
      </c>
      <c r="AE23" s="726"/>
      <c r="AF23" s="727"/>
      <c r="AG23" s="727">
        <v>0.7</v>
      </c>
      <c r="AH23" s="727">
        <v>0.7</v>
      </c>
      <c r="AI23" s="727">
        <v>0.7</v>
      </c>
      <c r="AJ23" s="729">
        <v>0.7</v>
      </c>
      <c r="AK23" s="730">
        <v>0.7</v>
      </c>
      <c r="AL23" s="726"/>
      <c r="AM23" s="727"/>
      <c r="AN23" s="727">
        <v>0.7</v>
      </c>
      <c r="AO23" s="727">
        <v>0.7</v>
      </c>
      <c r="AP23" s="727">
        <v>0.7</v>
      </c>
      <c r="AQ23" s="729">
        <v>0.7</v>
      </c>
      <c r="AR23" s="730">
        <v>0.7</v>
      </c>
      <c r="AS23" s="731">
        <v>0.7</v>
      </c>
      <c r="AT23" s="730">
        <v>0.8</v>
      </c>
    </row>
    <row r="24" spans="1:46" s="732" customFormat="1" ht="14.25">
      <c r="A24" s="2" t="s">
        <v>2006</v>
      </c>
      <c r="B24" s="441">
        <v>22</v>
      </c>
      <c r="C24" s="29" t="s">
        <v>2007</v>
      </c>
      <c r="D24" s="29" t="s">
        <v>370</v>
      </c>
      <c r="E24" s="1214"/>
      <c r="F24" s="1214"/>
      <c r="G24" s="1214"/>
      <c r="H24" s="1214"/>
      <c r="I24" s="1214"/>
      <c r="J24" s="1214">
        <v>5</v>
      </c>
      <c r="K24" s="1214">
        <v>5</v>
      </c>
      <c r="L24" s="1214">
        <v>5</v>
      </c>
      <c r="M24" s="1214">
        <v>5</v>
      </c>
      <c r="N24" s="1214">
        <v>5</v>
      </c>
      <c r="O24" s="1214">
        <v>5</v>
      </c>
      <c r="P24" s="1214">
        <v>5</v>
      </c>
      <c r="Q24" s="1214"/>
      <c r="R24" s="1214">
        <v>5</v>
      </c>
      <c r="S24" s="1214">
        <v>5</v>
      </c>
      <c r="T24" s="1214">
        <v>5</v>
      </c>
      <c r="U24" s="1214">
        <v>5</v>
      </c>
      <c r="V24" s="1214">
        <v>5</v>
      </c>
      <c r="W24" s="1214">
        <v>5</v>
      </c>
      <c r="X24" s="1214">
        <v>5</v>
      </c>
      <c r="Y24" s="1214">
        <v>5</v>
      </c>
      <c r="Z24" s="1214">
        <v>5</v>
      </c>
      <c r="AA24" s="1214">
        <v>5</v>
      </c>
      <c r="AB24" s="1214">
        <v>5</v>
      </c>
      <c r="AC24" s="1214">
        <v>5</v>
      </c>
      <c r="AD24" s="1214">
        <v>5</v>
      </c>
      <c r="AE24" s="1214"/>
      <c r="AF24" s="1214"/>
      <c r="AG24" s="1214">
        <v>6.5</v>
      </c>
      <c r="AH24" s="1214">
        <v>6.5</v>
      </c>
      <c r="AI24" s="1214">
        <v>6.5</v>
      </c>
      <c r="AJ24" s="1214">
        <v>6.5</v>
      </c>
      <c r="AK24" s="1214">
        <v>6.5</v>
      </c>
      <c r="AL24" s="1214"/>
      <c r="AM24" s="1214"/>
      <c r="AN24" s="1214">
        <v>6.5</v>
      </c>
      <c r="AO24" s="1214">
        <v>6.5</v>
      </c>
      <c r="AP24" s="1214">
        <v>6.5</v>
      </c>
      <c r="AQ24" s="1214">
        <v>6.5</v>
      </c>
      <c r="AR24" s="1214">
        <v>6.5</v>
      </c>
      <c r="AS24" s="1214">
        <v>4.5</v>
      </c>
      <c r="AT24" s="1214">
        <v>4.5</v>
      </c>
    </row>
    <row r="25" spans="1:46" s="732" customFormat="1" ht="14.25">
      <c r="A25" s="2" t="s">
        <v>2010</v>
      </c>
      <c r="B25" s="441">
        <v>23</v>
      </c>
      <c r="C25" s="29" t="s">
        <v>2011</v>
      </c>
      <c r="D25" s="29" t="s">
        <v>370</v>
      </c>
      <c r="E25" s="1214"/>
      <c r="F25" s="1214"/>
      <c r="G25" s="1214"/>
      <c r="H25" s="1214"/>
      <c r="I25" s="1214"/>
      <c r="J25" s="1214">
        <f>2/J11</f>
        <v>0.5</v>
      </c>
      <c r="K25" s="1214">
        <f t="shared" ref="K25:P25" si="0">2/K11</f>
        <v>0.5</v>
      </c>
      <c r="L25" s="1214">
        <f t="shared" si="0"/>
        <v>0.5</v>
      </c>
      <c r="M25" s="1214">
        <f t="shared" si="0"/>
        <v>0.5</v>
      </c>
      <c r="N25" s="1214">
        <f t="shared" si="0"/>
        <v>0.5</v>
      </c>
      <c r="O25" s="1214">
        <f t="shared" si="0"/>
        <v>0.5</v>
      </c>
      <c r="P25" s="1214">
        <f t="shared" si="0"/>
        <v>0.5</v>
      </c>
      <c r="Q25" s="1214"/>
      <c r="R25" s="1214">
        <f>2/3</f>
        <v>0.66666666666666663</v>
      </c>
      <c r="S25" s="1214">
        <f t="shared" ref="S25:AD25" si="1">2/3</f>
        <v>0.66666666666666663</v>
      </c>
      <c r="T25" s="1214">
        <f t="shared" si="1"/>
        <v>0.66666666666666663</v>
      </c>
      <c r="U25" s="1214">
        <f t="shared" si="1"/>
        <v>0.66666666666666663</v>
      </c>
      <c r="V25" s="1214">
        <f t="shared" si="1"/>
        <v>0.66666666666666663</v>
      </c>
      <c r="W25" s="1214">
        <f t="shared" si="1"/>
        <v>0.66666666666666663</v>
      </c>
      <c r="X25" s="1214">
        <f t="shared" si="1"/>
        <v>0.66666666666666663</v>
      </c>
      <c r="Y25" s="1214">
        <f t="shared" si="1"/>
        <v>0.66666666666666663</v>
      </c>
      <c r="Z25" s="1214">
        <f t="shared" si="1"/>
        <v>0.66666666666666663</v>
      </c>
      <c r="AA25" s="1214">
        <f t="shared" si="1"/>
        <v>0.66666666666666663</v>
      </c>
      <c r="AB25" s="1214">
        <f t="shared" si="1"/>
        <v>0.66666666666666663</v>
      </c>
      <c r="AC25" s="1214">
        <f t="shared" si="1"/>
        <v>0.66666666666666663</v>
      </c>
      <c r="AD25" s="1214">
        <f t="shared" si="1"/>
        <v>0.66666666666666663</v>
      </c>
      <c r="AE25" s="1214"/>
      <c r="AF25" s="1214"/>
      <c r="AG25" s="1214">
        <f>2.5/AG11</f>
        <v>0.7142857142857143</v>
      </c>
      <c r="AH25" s="1214">
        <f t="shared" ref="AH25:AK25" si="2">2.5/AH11</f>
        <v>0.7142857142857143</v>
      </c>
      <c r="AI25" s="1214">
        <f t="shared" si="2"/>
        <v>0.7142857142857143</v>
      </c>
      <c r="AJ25" s="1214">
        <f t="shared" si="2"/>
        <v>0.7142857142857143</v>
      </c>
      <c r="AK25" s="1214">
        <f t="shared" si="2"/>
        <v>0.7142857142857143</v>
      </c>
      <c r="AL25" s="1214"/>
      <c r="AM25" s="1214"/>
      <c r="AN25" s="1214">
        <f>2.5/AN11</f>
        <v>0.7142857142857143</v>
      </c>
      <c r="AO25" s="1214">
        <f t="shared" ref="AO25:AT25" si="3">2.5/AO11</f>
        <v>0.7142857142857143</v>
      </c>
      <c r="AP25" s="1214">
        <f t="shared" si="3"/>
        <v>0.7142857142857143</v>
      </c>
      <c r="AQ25" s="1214">
        <f t="shared" si="3"/>
        <v>0.7142857142857143</v>
      </c>
      <c r="AR25" s="1214">
        <f t="shared" si="3"/>
        <v>0.7142857142857143</v>
      </c>
      <c r="AS25" s="1214">
        <f t="shared" si="3"/>
        <v>0.55555555555555558</v>
      </c>
      <c r="AT25" s="1214">
        <f t="shared" si="3"/>
        <v>0.7142857142857143</v>
      </c>
    </row>
    <row r="26" spans="1:46" ht="14.25">
      <c r="A26" s="447" t="s">
        <v>290</v>
      </c>
      <c r="B26" s="448"/>
      <c r="C26" s="448"/>
      <c r="D26" s="448"/>
      <c r="E26" s="448"/>
      <c r="F26" s="448"/>
      <c r="G26" s="448"/>
      <c r="H26" s="448"/>
      <c r="I26" s="448"/>
    </row>
    <row r="27" spans="1:46" s="452" customFormat="1" ht="13.5">
      <c r="A27" s="449"/>
      <c r="B27" s="450" t="s">
        <v>291</v>
      </c>
      <c r="C27" s="1582" t="s">
        <v>292</v>
      </c>
      <c r="D27" s="1583"/>
      <c r="E27" s="1583"/>
      <c r="F27" s="1583"/>
      <c r="G27" s="1583"/>
      <c r="H27" s="1584"/>
      <c r="I27" s="451" t="s">
        <v>293</v>
      </c>
    </row>
    <row r="28" spans="1:46" s="452" customFormat="1" ht="13.5">
      <c r="A28" s="449"/>
      <c r="B28" s="450"/>
      <c r="C28" s="453" t="s">
        <v>294</v>
      </c>
      <c r="D28" s="453" t="s">
        <v>295</v>
      </c>
      <c r="E28" s="453" t="s">
        <v>296</v>
      </c>
      <c r="F28" s="453" t="s">
        <v>297</v>
      </c>
      <c r="G28" s="453" t="s">
        <v>298</v>
      </c>
      <c r="H28" s="453" t="s">
        <v>299</v>
      </c>
      <c r="I28" s="451"/>
    </row>
    <row r="29" spans="1:46" s="452" customFormat="1" ht="13.5">
      <c r="A29" s="449" t="s">
        <v>18</v>
      </c>
      <c r="B29" s="450">
        <v>1</v>
      </c>
      <c r="C29" s="453">
        <v>0.6</v>
      </c>
      <c r="D29" s="453">
        <v>0.7</v>
      </c>
      <c r="E29" s="453">
        <v>0.8</v>
      </c>
      <c r="F29" s="453">
        <v>0.9</v>
      </c>
      <c r="G29" s="453">
        <v>1</v>
      </c>
      <c r="H29" s="453">
        <v>1.1000000000000001</v>
      </c>
      <c r="I29" s="451">
        <v>0.6</v>
      </c>
    </row>
    <row r="30" spans="1:46" s="452" customFormat="1" ht="15" customHeight="1">
      <c r="A30" s="454" t="s">
        <v>18</v>
      </c>
      <c r="B30" s="455">
        <v>2</v>
      </c>
      <c r="C30" s="456">
        <v>0.6</v>
      </c>
      <c r="D30" s="456">
        <v>0.7</v>
      </c>
      <c r="E30" s="456">
        <v>0.8</v>
      </c>
      <c r="F30" s="456">
        <v>0.9</v>
      </c>
      <c r="G30" s="456">
        <v>1</v>
      </c>
      <c r="H30" s="456">
        <v>1.1000000000000001</v>
      </c>
      <c r="I30" s="457">
        <v>0.8</v>
      </c>
    </row>
    <row r="31" spans="1:46" s="452" customFormat="1" ht="13.5">
      <c r="A31" s="449" t="s">
        <v>18</v>
      </c>
      <c r="B31" s="450">
        <v>3</v>
      </c>
      <c r="C31" s="453">
        <v>0.5</v>
      </c>
      <c r="D31" s="453">
        <v>0.55000000000000004</v>
      </c>
      <c r="E31" s="453">
        <v>0.65</v>
      </c>
      <c r="F31" s="453">
        <v>0.7</v>
      </c>
      <c r="G31" s="453">
        <v>0.8</v>
      </c>
      <c r="H31" s="453">
        <v>0.9</v>
      </c>
      <c r="I31" s="451">
        <v>2</v>
      </c>
    </row>
    <row r="32" spans="1:46" s="452" customFormat="1" ht="13.5">
      <c r="A32" s="458" t="s">
        <v>19</v>
      </c>
      <c r="B32" s="459">
        <v>1</v>
      </c>
      <c r="C32" s="460">
        <v>0.6</v>
      </c>
      <c r="D32" s="460">
        <v>0.7</v>
      </c>
      <c r="E32" s="460">
        <v>0.8</v>
      </c>
      <c r="F32" s="460">
        <v>0.9</v>
      </c>
      <c r="G32" s="460">
        <v>1</v>
      </c>
      <c r="H32" s="460">
        <v>1.1000000000000001</v>
      </c>
      <c r="I32" s="461">
        <v>0.6</v>
      </c>
    </row>
    <row r="33" spans="1:9" s="452" customFormat="1" ht="13.5">
      <c r="A33" s="454" t="s">
        <v>19</v>
      </c>
      <c r="B33" s="455">
        <v>2</v>
      </c>
      <c r="C33" s="456">
        <v>0.6</v>
      </c>
      <c r="D33" s="456">
        <v>0.7</v>
      </c>
      <c r="E33" s="456">
        <v>0.8</v>
      </c>
      <c r="F33" s="456">
        <v>0.9</v>
      </c>
      <c r="G33" s="456">
        <v>1</v>
      </c>
      <c r="H33" s="456">
        <v>1.1000000000000001</v>
      </c>
      <c r="I33" s="457">
        <v>0.8</v>
      </c>
    </row>
    <row r="34" spans="1:9" s="452" customFormat="1" ht="13.5">
      <c r="A34" s="449" t="s">
        <v>19</v>
      </c>
      <c r="B34" s="450">
        <v>3</v>
      </c>
      <c r="C34" s="453">
        <v>0.5</v>
      </c>
      <c r="D34" s="453">
        <v>0.55000000000000004</v>
      </c>
      <c r="E34" s="453">
        <v>0.65</v>
      </c>
      <c r="F34" s="453">
        <v>0.7</v>
      </c>
      <c r="G34" s="453">
        <v>0.8</v>
      </c>
      <c r="H34" s="453">
        <v>0.9</v>
      </c>
      <c r="I34" s="451">
        <v>2</v>
      </c>
    </row>
    <row r="35" spans="1:9" s="452" customFormat="1" ht="13.5">
      <c r="A35" s="458" t="s">
        <v>0</v>
      </c>
      <c r="B35" s="459">
        <v>1</v>
      </c>
      <c r="C35" s="460">
        <v>0.6</v>
      </c>
      <c r="D35" s="460">
        <v>0.7</v>
      </c>
      <c r="E35" s="460">
        <v>0.8</v>
      </c>
      <c r="F35" s="460">
        <v>0.9</v>
      </c>
      <c r="G35" s="460">
        <v>1</v>
      </c>
      <c r="H35" s="460">
        <v>1.1000000000000001</v>
      </c>
      <c r="I35" s="461">
        <v>0.6</v>
      </c>
    </row>
    <row r="36" spans="1:9" s="452" customFormat="1" ht="13.5">
      <c r="A36" s="454" t="s">
        <v>0</v>
      </c>
      <c r="B36" s="455">
        <v>2</v>
      </c>
      <c r="C36" s="456">
        <v>0.6</v>
      </c>
      <c r="D36" s="456">
        <v>0.7</v>
      </c>
      <c r="E36" s="456">
        <v>0.8</v>
      </c>
      <c r="F36" s="456">
        <v>0.9</v>
      </c>
      <c r="G36" s="456">
        <v>1</v>
      </c>
      <c r="H36" s="456">
        <v>1.1000000000000001</v>
      </c>
      <c r="I36" s="457">
        <v>0.8</v>
      </c>
    </row>
    <row r="37" spans="1:9" s="452" customFormat="1" ht="13.5">
      <c r="A37" s="454" t="s">
        <v>0</v>
      </c>
      <c r="B37" s="455">
        <v>3</v>
      </c>
      <c r="C37" s="456">
        <v>0.5</v>
      </c>
      <c r="D37" s="456">
        <v>0.55000000000000004</v>
      </c>
      <c r="E37" s="456">
        <v>0.65</v>
      </c>
      <c r="F37" s="456">
        <v>0.7</v>
      </c>
      <c r="G37" s="456">
        <v>0.8</v>
      </c>
      <c r="H37" s="456">
        <v>0.9</v>
      </c>
      <c r="I37" s="457">
        <v>2</v>
      </c>
    </row>
    <row r="38" spans="1:9" s="452" customFormat="1" ht="13.5">
      <c r="A38" s="462" t="s">
        <v>289</v>
      </c>
      <c r="B38" s="463">
        <v>1</v>
      </c>
      <c r="C38" s="460">
        <v>0.6</v>
      </c>
      <c r="D38" s="460">
        <v>0.7</v>
      </c>
      <c r="E38" s="460">
        <v>0.8</v>
      </c>
      <c r="F38" s="460">
        <v>0.9</v>
      </c>
      <c r="G38" s="460">
        <v>1</v>
      </c>
      <c r="H38" s="460">
        <v>1.1000000000000001</v>
      </c>
      <c r="I38" s="461">
        <v>0.6</v>
      </c>
    </row>
    <row r="39" spans="1:9" s="452" customFormat="1" ht="13.5">
      <c r="A39" s="464" t="s">
        <v>289</v>
      </c>
      <c r="B39" s="465">
        <v>2</v>
      </c>
      <c r="C39" s="456">
        <v>0.6</v>
      </c>
      <c r="D39" s="456">
        <v>0.7</v>
      </c>
      <c r="E39" s="456">
        <v>0.8</v>
      </c>
      <c r="F39" s="456">
        <v>0.9</v>
      </c>
      <c r="G39" s="456">
        <v>1</v>
      </c>
      <c r="H39" s="456">
        <v>1.1000000000000001</v>
      </c>
      <c r="I39" s="457">
        <v>0.8</v>
      </c>
    </row>
    <row r="40" spans="1:9" s="452" customFormat="1" ht="13.5">
      <c r="A40" s="466" t="s">
        <v>289</v>
      </c>
      <c r="B40" s="467">
        <v>3</v>
      </c>
      <c r="C40" s="456">
        <v>0.5</v>
      </c>
      <c r="D40" s="456">
        <v>0.55000000000000004</v>
      </c>
      <c r="E40" s="456">
        <v>0.65</v>
      </c>
      <c r="F40" s="456">
        <v>0.7</v>
      </c>
      <c r="G40" s="456">
        <v>0.8</v>
      </c>
      <c r="H40" s="456">
        <v>0.9</v>
      </c>
      <c r="I40" s="457">
        <v>2</v>
      </c>
    </row>
    <row r="41" spans="1:9" s="470" customFormat="1" ht="13.5">
      <c r="A41" s="462" t="s">
        <v>615</v>
      </c>
      <c r="B41" s="463">
        <v>1</v>
      </c>
      <c r="C41" s="460">
        <v>0.6</v>
      </c>
      <c r="D41" s="460">
        <v>0.7</v>
      </c>
      <c r="E41" s="460">
        <v>0.8</v>
      </c>
      <c r="F41" s="460">
        <v>0.9</v>
      </c>
      <c r="G41" s="460">
        <v>1</v>
      </c>
      <c r="H41" s="460">
        <v>1.1000000000000001</v>
      </c>
      <c r="I41" s="461">
        <v>0.6</v>
      </c>
    </row>
    <row r="42" spans="1:9" s="470" customFormat="1" ht="13.5">
      <c r="A42" s="464" t="s">
        <v>615</v>
      </c>
      <c r="B42" s="465">
        <v>2</v>
      </c>
      <c r="C42" s="456">
        <v>0.6</v>
      </c>
      <c r="D42" s="456">
        <v>0.7</v>
      </c>
      <c r="E42" s="456">
        <v>0.8</v>
      </c>
      <c r="F42" s="456">
        <v>0.9</v>
      </c>
      <c r="G42" s="456">
        <v>1</v>
      </c>
      <c r="H42" s="456">
        <v>1.1000000000000001</v>
      </c>
      <c r="I42" s="457">
        <v>0.8</v>
      </c>
    </row>
    <row r="43" spans="1:9" s="470" customFormat="1" ht="13.5">
      <c r="A43" s="466" t="s">
        <v>615</v>
      </c>
      <c r="B43" s="467">
        <v>3</v>
      </c>
      <c r="C43" s="456">
        <v>0.5</v>
      </c>
      <c r="D43" s="456">
        <v>0.55000000000000004</v>
      </c>
      <c r="E43" s="456">
        <v>0.65</v>
      </c>
      <c r="F43" s="456">
        <v>0.7</v>
      </c>
      <c r="G43" s="456">
        <v>0.8</v>
      </c>
      <c r="H43" s="456">
        <v>0.9</v>
      </c>
      <c r="I43" s="457">
        <v>2</v>
      </c>
    </row>
    <row r="44" spans="1:9" s="470" customFormat="1" ht="13.5">
      <c r="A44" s="462" t="s">
        <v>300</v>
      </c>
      <c r="B44" s="463">
        <v>1</v>
      </c>
      <c r="C44" s="468">
        <v>0.3</v>
      </c>
      <c r="D44" s="468">
        <v>0.45</v>
      </c>
      <c r="E44" s="468">
        <v>0.65</v>
      </c>
      <c r="F44" s="468">
        <v>0.85</v>
      </c>
      <c r="G44" s="468">
        <f>(F44+H44)/2</f>
        <v>0.97500000000000009</v>
      </c>
      <c r="H44" s="468">
        <v>1.1000000000000001</v>
      </c>
      <c r="I44" s="469">
        <v>2.25</v>
      </c>
    </row>
    <row r="45" spans="1:9" s="470" customFormat="1" ht="13.5">
      <c r="A45" s="464" t="s">
        <v>300</v>
      </c>
      <c r="B45" s="465">
        <v>2</v>
      </c>
      <c r="C45" s="471">
        <v>0.3</v>
      </c>
      <c r="D45" s="471">
        <v>0.4</v>
      </c>
      <c r="E45" s="471">
        <v>0.55000000000000004</v>
      </c>
      <c r="F45" s="471">
        <v>0.7</v>
      </c>
      <c r="G45" s="471">
        <f t="shared" ref="G45:G46" si="4">(F45+H45)/2</f>
        <v>0.8</v>
      </c>
      <c r="H45" s="471">
        <v>0.9</v>
      </c>
      <c r="I45" s="472">
        <v>2.25</v>
      </c>
    </row>
    <row r="46" spans="1:9" s="470" customFormat="1" ht="13.5">
      <c r="A46" s="464" t="s">
        <v>300</v>
      </c>
      <c r="B46" s="465">
        <v>3</v>
      </c>
      <c r="C46" s="471">
        <v>0</v>
      </c>
      <c r="D46" s="471">
        <v>0</v>
      </c>
      <c r="E46" s="471">
        <v>0</v>
      </c>
      <c r="F46" s="471">
        <v>0</v>
      </c>
      <c r="G46" s="471">
        <f t="shared" si="4"/>
        <v>0</v>
      </c>
      <c r="H46" s="471">
        <v>0</v>
      </c>
      <c r="I46" s="472">
        <v>0</v>
      </c>
    </row>
    <row r="47" spans="1:9" s="473" customFormat="1" ht="13.5"/>
    <row r="48" spans="1:9" s="473" customFormat="1" ht="13.5">
      <c r="A48" s="474" t="s">
        <v>301</v>
      </c>
      <c r="B48" s="475"/>
      <c r="C48" s="475"/>
      <c r="D48" s="475"/>
      <c r="E48" s="475"/>
      <c r="F48" s="475"/>
    </row>
    <row r="49" spans="1:6" s="473" customFormat="1" ht="13.5">
      <c r="A49" s="476"/>
      <c r="B49" s="477" t="s">
        <v>302</v>
      </c>
      <c r="C49" s="477" t="s">
        <v>303</v>
      </c>
      <c r="D49" s="477" t="s">
        <v>304</v>
      </c>
      <c r="E49" s="478" t="str">
        <f>Sprachtexte!A65</f>
        <v>KLED</v>
      </c>
      <c r="F49" s="479"/>
    </row>
    <row r="50" spans="1:6" s="473" customFormat="1" ht="13.5">
      <c r="A50" s="480" t="str">
        <f>Sprachtexte!A67</f>
        <v>Nutzlast Kat. A: Wohnraum</v>
      </c>
      <c r="B50" s="481">
        <v>0.7</v>
      </c>
      <c r="C50" s="481">
        <v>0.5</v>
      </c>
      <c r="D50" s="481">
        <v>0.3</v>
      </c>
      <c r="E50" s="482" t="str">
        <f>Sprachtexte!A80</f>
        <v>mittel</v>
      </c>
      <c r="F50" s="479"/>
    </row>
    <row r="51" spans="1:6" s="473" customFormat="1" ht="13.5">
      <c r="A51" s="480" t="str">
        <f>Sprachtexte!A68</f>
        <v>Nutzlast Kat. B: Büro</v>
      </c>
      <c r="B51" s="481">
        <v>0.7</v>
      </c>
      <c r="C51" s="481">
        <v>0.5</v>
      </c>
      <c r="D51" s="481">
        <v>0.3</v>
      </c>
      <c r="E51" s="482" t="str">
        <f>Sprachtexte!A80</f>
        <v>mittel</v>
      </c>
      <c r="F51" s="479"/>
    </row>
    <row r="52" spans="1:6" s="473" customFormat="1" ht="13.5">
      <c r="A52" s="480" t="str">
        <f>Sprachtexte!A69</f>
        <v>Nutzlast Kat. C: Versammlungsraum</v>
      </c>
      <c r="B52" s="481">
        <v>0.7</v>
      </c>
      <c r="C52" s="481">
        <v>0.7</v>
      </c>
      <c r="D52" s="481">
        <v>0.6</v>
      </c>
      <c r="E52" s="482" t="str">
        <f>Sprachtexte!A81</f>
        <v>kurz</v>
      </c>
      <c r="F52" s="479"/>
    </row>
    <row r="53" spans="1:6" s="473" customFormat="1" ht="13.5">
      <c r="A53" s="480" t="str">
        <f>Sprachtexte!A70</f>
        <v>Nutzlast Kat. D: Verkaufsraum</v>
      </c>
      <c r="B53" s="481">
        <v>0.7</v>
      </c>
      <c r="C53" s="481">
        <v>0.7</v>
      </c>
      <c r="D53" s="481">
        <v>0.6</v>
      </c>
      <c r="E53" s="482" t="str">
        <f>Sprachtexte!A80</f>
        <v>mittel</v>
      </c>
      <c r="F53" s="479"/>
    </row>
    <row r="54" spans="1:6" s="473" customFormat="1" ht="13.5">
      <c r="A54" s="480" t="str">
        <f>Sprachtexte!A71</f>
        <v>Nutzlast Kat. E: Lagerraum</v>
      </c>
      <c r="B54" s="481">
        <v>1</v>
      </c>
      <c r="C54" s="481">
        <v>0.9</v>
      </c>
      <c r="D54" s="481">
        <v>0.8</v>
      </c>
      <c r="E54" s="482" t="str">
        <f>Sprachtexte!A79</f>
        <v>lang</v>
      </c>
      <c r="F54" s="479"/>
    </row>
    <row r="55" spans="1:6" s="473" customFormat="1" ht="13.5">
      <c r="A55" s="480" t="str">
        <f>Sprachtexte!A72</f>
        <v>Nutzlast Kat. F: Verkehrsflächen leicht</v>
      </c>
      <c r="B55" s="481">
        <v>0.7</v>
      </c>
      <c r="C55" s="481">
        <v>0.7</v>
      </c>
      <c r="D55" s="481">
        <v>0.6</v>
      </c>
      <c r="E55" s="482" t="str">
        <f>Sprachtexte!A80</f>
        <v>mittel</v>
      </c>
      <c r="F55" s="479"/>
    </row>
    <row r="56" spans="1:6" s="473" customFormat="1" ht="13.5">
      <c r="A56" s="480" t="str">
        <f>Sprachtexte!A73</f>
        <v>Nutzlast Kat. G: Verkehrsflächen schwer</v>
      </c>
      <c r="B56" s="481">
        <v>0.7</v>
      </c>
      <c r="C56" s="481">
        <v>0.5</v>
      </c>
      <c r="D56" s="481">
        <v>0.3</v>
      </c>
      <c r="E56" s="482" t="str">
        <f>Sprachtexte!A80</f>
        <v>mittel</v>
      </c>
      <c r="F56" s="479"/>
    </row>
    <row r="57" spans="1:6" s="473" customFormat="1" ht="13.5">
      <c r="A57" s="480" t="str">
        <f>Sprachtexte!A74</f>
        <v>Nutzlast Kat. H: Dächer</v>
      </c>
      <c r="B57" s="481">
        <v>0</v>
      </c>
      <c r="C57" s="481">
        <v>0</v>
      </c>
      <c r="D57" s="481">
        <v>0</v>
      </c>
      <c r="E57" s="482" t="str">
        <f>Sprachtexte!A81</f>
        <v>kurz</v>
      </c>
      <c r="F57" s="479"/>
    </row>
    <row r="58" spans="1:6" s="473" customFormat="1" ht="13.5">
      <c r="A58" s="480" t="str">
        <f>Sprachtexte!A75</f>
        <v>Schneelast bis 1.000 m</v>
      </c>
      <c r="B58" s="481">
        <v>0.5</v>
      </c>
      <c r="C58" s="481">
        <v>0.2</v>
      </c>
      <c r="D58" s="481">
        <v>0</v>
      </c>
      <c r="E58" s="482" t="str">
        <f>Sprachtexte!A81</f>
        <v>kurz</v>
      </c>
      <c r="F58" s="479"/>
    </row>
    <row r="59" spans="1:6" s="473" customFormat="1" ht="13.5">
      <c r="A59" s="480" t="str">
        <f>Sprachtexte!A76</f>
        <v>Schneelast ab 1.000 m</v>
      </c>
      <c r="B59" s="481">
        <v>0.7</v>
      </c>
      <c r="C59" s="481">
        <v>0.5</v>
      </c>
      <c r="D59" s="481">
        <v>0.2</v>
      </c>
      <c r="E59" s="482" t="str">
        <f>Sprachtexte!A80</f>
        <v>mittel</v>
      </c>
      <c r="F59" s="479"/>
    </row>
    <row r="60" spans="1:6" s="473" customFormat="1" ht="13.5">
      <c r="A60" s="480" t="str">
        <f>Sprachtexte!A77</f>
        <v>Windlast</v>
      </c>
      <c r="B60" s="481">
        <v>0.6</v>
      </c>
      <c r="C60" s="481">
        <v>0.2</v>
      </c>
      <c r="D60" s="481">
        <v>0</v>
      </c>
      <c r="E60" s="482" t="str">
        <f>Sprachtexte!A82</f>
        <v>kurz/sehr kurz</v>
      </c>
      <c r="F60" s="479"/>
    </row>
    <row r="61" spans="1:6" s="473" customFormat="1" ht="13.5"/>
    <row r="62" spans="1:6" s="473" customFormat="1" ht="13.5"/>
    <row r="63" spans="1:6" s="473" customFormat="1" ht="13.5"/>
    <row r="86" spans="1:52" s="473" customFormat="1" ht="13.5"/>
    <row r="88" spans="1:52">
      <c r="A88" s="1" t="s">
        <v>316</v>
      </c>
      <c r="B88" s="1">
        <v>2</v>
      </c>
      <c r="C88" s="1">
        <v>3</v>
      </c>
      <c r="D88" s="1">
        <v>4</v>
      </c>
      <c r="E88" s="1">
        <v>5</v>
      </c>
      <c r="F88" s="1">
        <v>6</v>
      </c>
      <c r="G88" s="1">
        <v>7</v>
      </c>
      <c r="H88" s="1">
        <v>8</v>
      </c>
      <c r="I88" s="1">
        <v>9</v>
      </c>
      <c r="J88" s="1">
        <v>10</v>
      </c>
      <c r="K88" s="1">
        <v>11</v>
      </c>
      <c r="L88" s="1">
        <v>12</v>
      </c>
      <c r="M88" s="1">
        <v>13</v>
      </c>
      <c r="N88" s="1">
        <v>14</v>
      </c>
      <c r="O88" s="1">
        <v>15</v>
      </c>
      <c r="P88" s="1">
        <v>16</v>
      </c>
      <c r="Q88" s="1">
        <v>17</v>
      </c>
      <c r="R88" s="1">
        <v>18</v>
      </c>
      <c r="S88" s="1">
        <v>19</v>
      </c>
      <c r="T88" s="1">
        <v>20</v>
      </c>
      <c r="U88" s="1">
        <v>21</v>
      </c>
      <c r="V88" s="1">
        <v>22</v>
      </c>
      <c r="W88" s="1">
        <v>23</v>
      </c>
      <c r="X88" s="1">
        <v>24</v>
      </c>
      <c r="Y88" s="1">
        <v>25</v>
      </c>
      <c r="Z88" s="1">
        <v>26</v>
      </c>
      <c r="AA88" s="1">
        <v>27</v>
      </c>
      <c r="AB88" s="1">
        <v>28</v>
      </c>
      <c r="AC88" s="1">
        <v>29</v>
      </c>
      <c r="AD88" s="1">
        <v>30</v>
      </c>
      <c r="AE88" s="1">
        <v>31</v>
      </c>
      <c r="AF88" s="1">
        <v>32</v>
      </c>
      <c r="AG88" s="1">
        <v>33</v>
      </c>
      <c r="AH88" s="1">
        <v>34</v>
      </c>
      <c r="AI88" s="1">
        <v>35</v>
      </c>
      <c r="AJ88" s="1">
        <v>36</v>
      </c>
      <c r="AK88" s="1">
        <v>37</v>
      </c>
      <c r="AL88" s="1">
        <v>38</v>
      </c>
      <c r="AM88" s="1">
        <v>39</v>
      </c>
      <c r="AN88" s="1">
        <v>40</v>
      </c>
      <c r="AO88" s="1">
        <v>41</v>
      </c>
      <c r="AP88" s="1">
        <v>42</v>
      </c>
      <c r="AQ88" s="1">
        <v>43</v>
      </c>
      <c r="AR88" s="1">
        <v>44</v>
      </c>
      <c r="AS88" s="1">
        <v>45</v>
      </c>
      <c r="AT88" s="1">
        <v>46</v>
      </c>
      <c r="AU88" s="1">
        <v>47</v>
      </c>
      <c r="AV88" s="1">
        <v>48</v>
      </c>
      <c r="AW88" s="1">
        <v>49</v>
      </c>
      <c r="AX88" s="1">
        <v>50</v>
      </c>
      <c r="AY88" s="1">
        <v>51</v>
      </c>
      <c r="AZ88" s="1">
        <v>52</v>
      </c>
    </row>
    <row r="89" spans="1:52" s="484" customFormat="1">
      <c r="A89" s="483" t="s">
        <v>317</v>
      </c>
      <c r="C89" s="484" t="s">
        <v>318</v>
      </c>
      <c r="D89" s="484" t="s">
        <v>318</v>
      </c>
      <c r="E89" s="484" t="s">
        <v>319</v>
      </c>
      <c r="F89" s="484" t="s">
        <v>319</v>
      </c>
    </row>
    <row r="90" spans="1:52" s="651" customFormat="1" ht="25.5" customHeight="1">
      <c r="B90" s="651" t="s">
        <v>2255</v>
      </c>
      <c r="C90" s="651" t="s">
        <v>2256</v>
      </c>
      <c r="D90" s="651" t="s">
        <v>2257</v>
      </c>
      <c r="E90" s="651" t="s">
        <v>2256</v>
      </c>
      <c r="F90" s="651" t="s">
        <v>2257</v>
      </c>
      <c r="G90" s="651" t="s">
        <v>320</v>
      </c>
      <c r="H90" s="651" t="s">
        <v>2258</v>
      </c>
      <c r="I90" s="651" t="s">
        <v>2259</v>
      </c>
      <c r="J90" s="651" t="s">
        <v>2260</v>
      </c>
      <c r="K90" s="652" t="s">
        <v>321</v>
      </c>
      <c r="L90" s="653"/>
      <c r="M90" s="653"/>
      <c r="N90" s="652" t="s">
        <v>322</v>
      </c>
      <c r="O90" s="652" t="s">
        <v>2262</v>
      </c>
      <c r="P90" s="651" t="s">
        <v>2263</v>
      </c>
      <c r="Q90" s="651" t="s">
        <v>2264</v>
      </c>
      <c r="S90" s="651" t="s">
        <v>325</v>
      </c>
      <c r="T90" s="651" t="s">
        <v>326</v>
      </c>
      <c r="U90" s="651" t="s">
        <v>2264</v>
      </c>
      <c r="V90" s="651" t="s">
        <v>2263</v>
      </c>
      <c r="W90" s="651" t="s">
        <v>2265</v>
      </c>
      <c r="Y90" s="651" t="s">
        <v>2266</v>
      </c>
      <c r="Z90" s="654"/>
      <c r="AA90" s="654"/>
      <c r="AB90" s="654" t="s">
        <v>2267</v>
      </c>
      <c r="AC90" s="654" t="s">
        <v>2268</v>
      </c>
      <c r="AD90" s="651" t="s">
        <v>2269</v>
      </c>
      <c r="AE90" s="651" t="s">
        <v>2270</v>
      </c>
      <c r="AF90" s="651" t="s">
        <v>2271</v>
      </c>
      <c r="AG90" s="651" t="s">
        <v>2272</v>
      </c>
      <c r="AI90" s="651" t="s">
        <v>2273</v>
      </c>
      <c r="AJ90" s="654" t="s">
        <v>2274</v>
      </c>
      <c r="AK90" s="654" t="s">
        <v>2275</v>
      </c>
      <c r="AL90" s="654" t="s">
        <v>2276</v>
      </c>
      <c r="AM90" s="651" t="s">
        <v>329</v>
      </c>
      <c r="AN90" s="651" t="s">
        <v>2300</v>
      </c>
      <c r="AO90" s="651" t="s">
        <v>2299</v>
      </c>
      <c r="AP90" s="652" t="s">
        <v>2298</v>
      </c>
      <c r="AQ90" s="652" t="s">
        <v>2297</v>
      </c>
      <c r="AR90" s="651" t="s">
        <v>2301</v>
      </c>
      <c r="AS90" s="651" t="s">
        <v>2302</v>
      </c>
      <c r="AT90" s="651" t="s">
        <v>2303</v>
      </c>
      <c r="AU90" s="651" t="s">
        <v>2304</v>
      </c>
    </row>
    <row r="91" spans="1:52" s="442" customFormat="1">
      <c r="A91" s="442" t="s">
        <v>331</v>
      </c>
      <c r="C91" s="442" t="s">
        <v>330</v>
      </c>
      <c r="D91" s="442" t="s">
        <v>330</v>
      </c>
      <c r="E91" s="442" t="s">
        <v>330</v>
      </c>
      <c r="F91" s="442" t="s">
        <v>330</v>
      </c>
      <c r="H91" s="442" t="s">
        <v>330</v>
      </c>
      <c r="I91" s="442" t="s">
        <v>330</v>
      </c>
      <c r="J91" s="442" t="s">
        <v>2261</v>
      </c>
      <c r="K91" s="485" t="s">
        <v>331</v>
      </c>
      <c r="M91" s="485"/>
      <c r="N91" s="485"/>
      <c r="O91" s="485" t="s">
        <v>332</v>
      </c>
      <c r="AJ91" s="442" t="s">
        <v>331</v>
      </c>
      <c r="AK91" s="442" t="s">
        <v>331</v>
      </c>
      <c r="AL91" s="442" t="s">
        <v>331</v>
      </c>
      <c r="AM91" s="442" t="s">
        <v>331</v>
      </c>
      <c r="AN91" s="442" t="s">
        <v>620</v>
      </c>
      <c r="AO91" s="442" t="s">
        <v>620</v>
      </c>
      <c r="AP91" s="485" t="s">
        <v>620</v>
      </c>
      <c r="AQ91" s="485" t="s">
        <v>620</v>
      </c>
      <c r="AR91" s="442" t="s">
        <v>621</v>
      </c>
      <c r="AS91" s="442" t="s">
        <v>621</v>
      </c>
      <c r="AT91" s="442" t="s">
        <v>621</v>
      </c>
      <c r="AU91" s="442" t="s">
        <v>621</v>
      </c>
    </row>
    <row r="92" spans="1:52">
      <c r="A92" s="442" t="s">
        <v>333</v>
      </c>
      <c r="B92" s="487">
        <v>3</v>
      </c>
      <c r="G92" s="488">
        <v>6082</v>
      </c>
      <c r="H92" s="489">
        <v>7</v>
      </c>
      <c r="I92" s="489">
        <v>5</v>
      </c>
      <c r="J92" s="489">
        <v>1</v>
      </c>
      <c r="K92" s="489">
        <v>340</v>
      </c>
      <c r="L92" s="488"/>
      <c r="M92" s="488"/>
      <c r="N92" s="489" t="s">
        <v>334</v>
      </c>
      <c r="O92" s="489">
        <v>2.4500000000000002</v>
      </c>
      <c r="P92" s="488">
        <v>60</v>
      </c>
      <c r="Q92" s="488">
        <v>310</v>
      </c>
      <c r="R92" s="488"/>
      <c r="S92" s="489">
        <v>50</v>
      </c>
      <c r="T92" s="488">
        <v>1</v>
      </c>
      <c r="U92" s="489">
        <v>310</v>
      </c>
      <c r="V92" s="489">
        <v>60</v>
      </c>
      <c r="W92" s="1">
        <v>40</v>
      </c>
      <c r="Y92" s="1">
        <v>36.6</v>
      </c>
      <c r="AB92" s="1">
        <v>130.1</v>
      </c>
      <c r="AC92" s="1">
        <v>150.4</v>
      </c>
      <c r="AF92" s="1">
        <v>36.9</v>
      </c>
      <c r="AJ92" s="1">
        <v>10</v>
      </c>
      <c r="AL92" s="1">
        <v>14</v>
      </c>
      <c r="AN92" s="442">
        <v>2.5</v>
      </c>
      <c r="AO92" s="442">
        <v>2.7</v>
      </c>
      <c r="AP92" s="485">
        <v>3.3</v>
      </c>
      <c r="AQ92" s="485">
        <v>3.5</v>
      </c>
      <c r="AR92" s="442">
        <v>200</v>
      </c>
      <c r="AS92" s="442">
        <v>227</v>
      </c>
      <c r="AT92" s="442">
        <v>374</v>
      </c>
      <c r="AU92" s="442">
        <v>439</v>
      </c>
    </row>
    <row r="93" spans="1:52">
      <c r="A93" s="442" t="s">
        <v>335</v>
      </c>
      <c r="B93" s="487">
        <v>3</v>
      </c>
      <c r="G93" s="488">
        <v>6082</v>
      </c>
      <c r="H93" s="489">
        <v>11</v>
      </c>
      <c r="I93" s="489">
        <v>5</v>
      </c>
      <c r="J93" s="489">
        <v>1</v>
      </c>
      <c r="K93" s="489">
        <v>460</v>
      </c>
      <c r="L93" s="488"/>
      <c r="M93" s="488"/>
      <c r="N93" s="489" t="s">
        <v>334</v>
      </c>
      <c r="O93" s="489">
        <v>2.4500000000000002</v>
      </c>
      <c r="P93" s="488">
        <v>60</v>
      </c>
      <c r="Q93" s="488">
        <v>430</v>
      </c>
      <c r="R93" s="488"/>
      <c r="S93" s="489">
        <v>50</v>
      </c>
      <c r="T93" s="488">
        <v>1.1000000000000001</v>
      </c>
      <c r="U93" s="489">
        <v>430</v>
      </c>
      <c r="V93" s="489">
        <v>60</v>
      </c>
      <c r="W93" s="1">
        <v>40</v>
      </c>
      <c r="Y93" s="1">
        <v>36.6</v>
      </c>
      <c r="AB93" s="1">
        <v>130.1</v>
      </c>
      <c r="AC93" s="1">
        <v>150.4</v>
      </c>
      <c r="AF93" s="1">
        <v>40.6</v>
      </c>
      <c r="AJ93" s="1">
        <v>10</v>
      </c>
      <c r="AL93" s="1">
        <v>14</v>
      </c>
      <c r="AN93" s="442">
        <v>5.5</v>
      </c>
      <c r="AO93" s="442">
        <v>5.8</v>
      </c>
      <c r="AP93" s="485">
        <v>7</v>
      </c>
      <c r="AQ93" s="485">
        <v>7.5</v>
      </c>
      <c r="AR93" s="442">
        <v>639</v>
      </c>
      <c r="AS93" s="442">
        <v>723</v>
      </c>
      <c r="AT93" s="442">
        <v>1241</v>
      </c>
      <c r="AU93" s="442">
        <v>1457</v>
      </c>
    </row>
    <row r="94" spans="1:52">
      <c r="A94" s="442" t="s">
        <v>336</v>
      </c>
      <c r="B94" s="487">
        <v>3</v>
      </c>
      <c r="G94" s="488">
        <v>6082</v>
      </c>
      <c r="H94" s="489">
        <v>15</v>
      </c>
      <c r="I94" s="489">
        <v>5</v>
      </c>
      <c r="J94" s="489">
        <v>1</v>
      </c>
      <c r="K94" s="489">
        <v>580</v>
      </c>
      <c r="L94" s="488"/>
      <c r="M94" s="488"/>
      <c r="N94" s="489" t="s">
        <v>334</v>
      </c>
      <c r="O94" s="489">
        <v>2.4500000000000002</v>
      </c>
      <c r="P94" s="488">
        <v>60</v>
      </c>
      <c r="Q94" s="488">
        <v>550</v>
      </c>
      <c r="R94" s="488"/>
      <c r="S94" s="489">
        <v>50</v>
      </c>
      <c r="T94" s="488">
        <v>1.2</v>
      </c>
      <c r="U94" s="489">
        <v>550</v>
      </c>
      <c r="V94" s="489">
        <v>60</v>
      </c>
      <c r="W94" s="1">
        <v>40</v>
      </c>
      <c r="Y94" s="1">
        <v>36.6</v>
      </c>
      <c r="AB94" s="1">
        <v>130.1</v>
      </c>
      <c r="AC94" s="1">
        <v>150.4</v>
      </c>
      <c r="AF94" s="1">
        <v>44.3</v>
      </c>
      <c r="AJ94" s="1">
        <v>10</v>
      </c>
      <c r="AL94" s="1">
        <v>14</v>
      </c>
      <c r="AN94" s="442">
        <v>9.6</v>
      </c>
      <c r="AO94" s="442">
        <v>10.199999999999999</v>
      </c>
      <c r="AP94" s="485">
        <v>12.4</v>
      </c>
      <c r="AQ94" s="485">
        <v>13.2</v>
      </c>
      <c r="AR94" s="442">
        <v>1569</v>
      </c>
      <c r="AS94" s="442">
        <v>1775</v>
      </c>
      <c r="AT94" s="442">
        <v>2924</v>
      </c>
      <c r="AU94" s="442">
        <v>3434</v>
      </c>
    </row>
    <row r="95" spans="1:52">
      <c r="A95" s="442" t="s">
        <v>337</v>
      </c>
      <c r="B95" s="487">
        <v>4.67</v>
      </c>
      <c r="G95" s="488">
        <v>6082</v>
      </c>
      <c r="H95" s="489">
        <v>9</v>
      </c>
      <c r="I95" s="489">
        <v>8</v>
      </c>
      <c r="J95" s="489">
        <v>2</v>
      </c>
      <c r="K95" s="489">
        <v>340</v>
      </c>
      <c r="L95" s="488"/>
      <c r="M95" s="488"/>
      <c r="N95" s="489" t="s">
        <v>338</v>
      </c>
      <c r="O95" s="489">
        <v>1.57</v>
      </c>
      <c r="P95" s="488">
        <v>100</v>
      </c>
      <c r="Q95" s="488">
        <v>310</v>
      </c>
      <c r="R95" s="488"/>
      <c r="S95" s="489">
        <v>50</v>
      </c>
      <c r="T95" s="488">
        <v>1</v>
      </c>
      <c r="U95" s="489">
        <v>310</v>
      </c>
      <c r="V95" s="489">
        <v>100</v>
      </c>
      <c r="W95" s="1">
        <v>40</v>
      </c>
      <c r="Y95" s="1">
        <v>55.3</v>
      </c>
      <c r="AB95" s="1">
        <v>206.6</v>
      </c>
      <c r="AC95" s="1">
        <v>224.2</v>
      </c>
      <c r="AF95" s="1">
        <v>62.4</v>
      </c>
      <c r="AJ95" s="1">
        <v>10</v>
      </c>
      <c r="AL95" s="1">
        <v>14</v>
      </c>
      <c r="AN95" s="442">
        <v>4.2</v>
      </c>
      <c r="AO95" s="442">
        <v>4.4000000000000004</v>
      </c>
      <c r="AP95" s="485">
        <v>5.3</v>
      </c>
      <c r="AQ95" s="485">
        <v>5.7</v>
      </c>
      <c r="AR95" s="442">
        <v>346</v>
      </c>
      <c r="AS95" s="442">
        <v>391</v>
      </c>
      <c r="AT95" s="442">
        <v>644</v>
      </c>
      <c r="AU95" s="442">
        <v>757</v>
      </c>
    </row>
    <row r="96" spans="1:52">
      <c r="A96" s="442" t="s">
        <v>339</v>
      </c>
      <c r="B96" s="487">
        <v>4.67</v>
      </c>
      <c r="G96" s="488">
        <v>6082</v>
      </c>
      <c r="H96" s="489">
        <v>15</v>
      </c>
      <c r="I96" s="489">
        <v>8</v>
      </c>
      <c r="J96" s="489">
        <v>2</v>
      </c>
      <c r="K96" s="489">
        <v>460</v>
      </c>
      <c r="L96" s="488"/>
      <c r="M96" s="488"/>
      <c r="N96" s="489" t="s">
        <v>338</v>
      </c>
      <c r="O96" s="489">
        <v>1.57</v>
      </c>
      <c r="P96" s="488">
        <v>100</v>
      </c>
      <c r="Q96" s="488">
        <v>430</v>
      </c>
      <c r="R96" s="488"/>
      <c r="S96" s="489">
        <v>50</v>
      </c>
      <c r="T96" s="488">
        <v>1.1000000000000001</v>
      </c>
      <c r="U96" s="489">
        <v>430</v>
      </c>
      <c r="V96" s="489">
        <v>100</v>
      </c>
      <c r="W96" s="1">
        <v>40</v>
      </c>
      <c r="Y96" s="1">
        <v>55.3</v>
      </c>
      <c r="AB96" s="1">
        <v>206.6</v>
      </c>
      <c r="AC96" s="1">
        <v>224.2</v>
      </c>
      <c r="AF96" s="1">
        <v>68.599999999999994</v>
      </c>
      <c r="AJ96" s="1">
        <v>10</v>
      </c>
      <c r="AL96" s="1">
        <v>14</v>
      </c>
      <c r="AN96" s="442">
        <v>8.6</v>
      </c>
      <c r="AO96" s="442">
        <v>9.1999999999999993</v>
      </c>
      <c r="AP96" s="485">
        <v>11.1</v>
      </c>
      <c r="AQ96" s="485">
        <v>11.9</v>
      </c>
      <c r="AR96" s="442">
        <v>1066</v>
      </c>
      <c r="AS96" s="442">
        <v>1206</v>
      </c>
      <c r="AT96" s="442">
        <v>1986</v>
      </c>
      <c r="AU96" s="442">
        <v>2333</v>
      </c>
    </row>
    <row r="97" spans="1:47">
      <c r="A97" s="442" t="s">
        <v>340</v>
      </c>
      <c r="B97" s="487">
        <v>4.67</v>
      </c>
      <c r="G97" s="488">
        <v>6082</v>
      </c>
      <c r="H97" s="489">
        <v>21</v>
      </c>
      <c r="I97" s="489">
        <v>8</v>
      </c>
      <c r="J97" s="489">
        <v>2</v>
      </c>
      <c r="K97" s="489">
        <v>580</v>
      </c>
      <c r="L97" s="488"/>
      <c r="M97" s="488"/>
      <c r="N97" s="489" t="s">
        <v>338</v>
      </c>
      <c r="O97" s="489">
        <v>1.57</v>
      </c>
      <c r="P97" s="488">
        <v>100</v>
      </c>
      <c r="Q97" s="488">
        <v>550</v>
      </c>
      <c r="R97" s="488"/>
      <c r="S97" s="489">
        <v>50</v>
      </c>
      <c r="T97" s="488">
        <v>1.2</v>
      </c>
      <c r="U97" s="489">
        <v>550</v>
      </c>
      <c r="V97" s="489">
        <v>100</v>
      </c>
      <c r="W97" s="1">
        <v>40</v>
      </c>
      <c r="Y97" s="1">
        <v>55.3</v>
      </c>
      <c r="AB97" s="1">
        <v>206.6</v>
      </c>
      <c r="AC97" s="1">
        <v>224.2</v>
      </c>
      <c r="AF97" s="1">
        <v>74.900000000000006</v>
      </c>
      <c r="AJ97" s="1">
        <v>10</v>
      </c>
      <c r="AL97" s="1">
        <v>14</v>
      </c>
      <c r="AN97" s="442">
        <v>14.9</v>
      </c>
      <c r="AO97" s="442">
        <v>15.9</v>
      </c>
      <c r="AP97" s="485">
        <v>19.3</v>
      </c>
      <c r="AQ97" s="898">
        <v>20.5</v>
      </c>
      <c r="AR97" s="442">
        <v>2443</v>
      </c>
      <c r="AS97" s="442">
        <v>2764</v>
      </c>
      <c r="AT97" s="442">
        <v>4553</v>
      </c>
      <c r="AU97" s="442">
        <v>5348</v>
      </c>
    </row>
    <row r="98" spans="1:47">
      <c r="A98" s="442" t="s">
        <v>341</v>
      </c>
      <c r="B98" s="487">
        <v>6.33</v>
      </c>
      <c r="C98" s="1">
        <v>8</v>
      </c>
      <c r="D98" s="1">
        <v>12</v>
      </c>
      <c r="E98" s="1">
        <v>4</v>
      </c>
      <c r="F98" s="1">
        <v>0</v>
      </c>
      <c r="G98" s="488">
        <v>6082</v>
      </c>
      <c r="H98" s="489">
        <v>12</v>
      </c>
      <c r="I98" s="489">
        <v>12</v>
      </c>
      <c r="J98" s="489">
        <v>1</v>
      </c>
      <c r="K98" s="489">
        <v>340</v>
      </c>
      <c r="L98" s="488"/>
      <c r="M98" s="488"/>
      <c r="N98" s="489" t="s">
        <v>334</v>
      </c>
      <c r="O98" s="489">
        <v>2.4500000000000002</v>
      </c>
      <c r="P98" s="488">
        <v>150</v>
      </c>
      <c r="Q98" s="488">
        <v>310</v>
      </c>
      <c r="R98" s="488"/>
      <c r="S98" s="489">
        <v>50</v>
      </c>
      <c r="T98" s="488">
        <v>1</v>
      </c>
      <c r="U98" s="489">
        <v>310</v>
      </c>
      <c r="V98" s="489">
        <v>150</v>
      </c>
      <c r="W98" s="1">
        <v>50</v>
      </c>
      <c r="Y98" s="1">
        <v>74.3</v>
      </c>
      <c r="AB98" s="1">
        <v>366.5</v>
      </c>
      <c r="AC98" s="1">
        <v>375</v>
      </c>
      <c r="AF98" s="1">
        <v>68</v>
      </c>
      <c r="AJ98" s="1">
        <v>20</v>
      </c>
      <c r="AL98" s="1">
        <v>14</v>
      </c>
      <c r="AN98" s="442">
        <v>3.9</v>
      </c>
      <c r="AO98" s="442">
        <v>4.2</v>
      </c>
      <c r="AP98" s="485">
        <v>5.0999999999999996</v>
      </c>
      <c r="AQ98" s="485">
        <v>5.4</v>
      </c>
      <c r="AR98" s="442">
        <v>304</v>
      </c>
      <c r="AS98" s="442">
        <v>344</v>
      </c>
      <c r="AT98" s="442">
        <v>567</v>
      </c>
      <c r="AU98" s="442">
        <v>666</v>
      </c>
    </row>
    <row r="99" spans="1:47">
      <c r="A99" s="442" t="s">
        <v>342</v>
      </c>
      <c r="B99" s="487">
        <v>6.33</v>
      </c>
      <c r="G99" s="488">
        <v>6082</v>
      </c>
      <c r="H99" s="489">
        <v>20</v>
      </c>
      <c r="I99" s="489">
        <v>12</v>
      </c>
      <c r="J99" s="489">
        <v>2</v>
      </c>
      <c r="K99" s="489">
        <v>460</v>
      </c>
      <c r="L99" s="488"/>
      <c r="M99" s="488"/>
      <c r="N99" s="489" t="s">
        <v>334</v>
      </c>
      <c r="O99" s="489">
        <v>2.4500000000000002</v>
      </c>
      <c r="P99" s="488">
        <v>150</v>
      </c>
      <c r="Q99" s="488">
        <v>430</v>
      </c>
      <c r="R99" s="488"/>
      <c r="S99" s="489">
        <v>50</v>
      </c>
      <c r="T99" s="488">
        <v>1.1000000000000001</v>
      </c>
      <c r="U99" s="489">
        <v>430</v>
      </c>
      <c r="V99" s="489">
        <v>150</v>
      </c>
      <c r="W99" s="1">
        <v>50</v>
      </c>
      <c r="Y99" s="1">
        <v>74.3</v>
      </c>
      <c r="AB99" s="1">
        <v>366.5</v>
      </c>
      <c r="AC99" s="1">
        <v>375</v>
      </c>
      <c r="AF99" s="1">
        <v>74.8</v>
      </c>
      <c r="AJ99" s="1">
        <v>20</v>
      </c>
      <c r="AL99" s="1">
        <v>14</v>
      </c>
      <c r="AN99" s="442">
        <v>12.5</v>
      </c>
      <c r="AO99" s="442">
        <v>13.3</v>
      </c>
      <c r="AP99" s="485">
        <v>16.100000000000001</v>
      </c>
      <c r="AQ99" s="485">
        <v>17.2</v>
      </c>
      <c r="AR99" s="442">
        <v>1594</v>
      </c>
      <c r="AS99" s="442">
        <v>1803</v>
      </c>
      <c r="AT99" s="442">
        <v>2970</v>
      </c>
      <c r="AU99" s="442">
        <v>3489</v>
      </c>
    </row>
    <row r="100" spans="1:47">
      <c r="A100" s="442" t="s">
        <v>343</v>
      </c>
      <c r="B100" s="487">
        <v>6.33</v>
      </c>
      <c r="C100" s="1">
        <v>8</v>
      </c>
      <c r="D100" s="1">
        <v>28</v>
      </c>
      <c r="E100" s="1">
        <v>4</v>
      </c>
      <c r="F100" s="1">
        <v>0</v>
      </c>
      <c r="G100" s="488">
        <v>6082</v>
      </c>
      <c r="H100" s="489">
        <v>28</v>
      </c>
      <c r="I100" s="489">
        <v>12</v>
      </c>
      <c r="J100" s="489">
        <v>3</v>
      </c>
      <c r="K100" s="489">
        <v>580</v>
      </c>
      <c r="L100" s="488"/>
      <c r="M100" s="488"/>
      <c r="N100" s="489" t="s">
        <v>334</v>
      </c>
      <c r="O100" s="489">
        <v>2.4500000000000002</v>
      </c>
      <c r="P100" s="488">
        <v>150</v>
      </c>
      <c r="Q100" s="488">
        <v>550</v>
      </c>
      <c r="R100" s="488"/>
      <c r="S100" s="489">
        <v>50</v>
      </c>
      <c r="T100" s="488">
        <v>1.2</v>
      </c>
      <c r="U100" s="489">
        <v>550</v>
      </c>
      <c r="V100" s="489">
        <v>150</v>
      </c>
      <c r="W100" s="1">
        <v>50</v>
      </c>
      <c r="Y100" s="1">
        <v>74.3</v>
      </c>
      <c r="AB100" s="1">
        <v>366.5</v>
      </c>
      <c r="AC100" s="1">
        <v>375</v>
      </c>
      <c r="AF100" s="1">
        <v>81.599999999999994</v>
      </c>
      <c r="AJ100" s="1">
        <v>20</v>
      </c>
      <c r="AL100" s="1">
        <v>14</v>
      </c>
      <c r="AN100" s="442">
        <v>20.9</v>
      </c>
      <c r="AO100" s="442">
        <v>22.3</v>
      </c>
      <c r="AP100" s="485">
        <v>27</v>
      </c>
      <c r="AQ100" s="485">
        <v>28.8</v>
      </c>
      <c r="AR100" s="442">
        <v>3488</v>
      </c>
      <c r="AS100" s="442">
        <v>3946</v>
      </c>
      <c r="AT100" s="442">
        <v>6500</v>
      </c>
      <c r="AU100" s="442">
        <v>7634</v>
      </c>
    </row>
    <row r="101" spans="1:47">
      <c r="A101" s="442" t="s">
        <v>344</v>
      </c>
      <c r="B101" s="487">
        <v>6.33</v>
      </c>
      <c r="G101" s="488">
        <v>6082</v>
      </c>
      <c r="H101" s="489">
        <v>32</v>
      </c>
      <c r="I101" s="489">
        <v>12</v>
      </c>
      <c r="J101" s="489">
        <v>3</v>
      </c>
      <c r="K101" s="489">
        <v>610</v>
      </c>
      <c r="L101" s="488"/>
      <c r="M101" s="488"/>
      <c r="N101" s="489" t="s">
        <v>334</v>
      </c>
      <c r="O101" s="489">
        <v>2.4500000000000002</v>
      </c>
      <c r="P101" s="488">
        <v>150</v>
      </c>
      <c r="Q101" s="488">
        <v>610</v>
      </c>
      <c r="R101" s="488"/>
      <c r="S101" s="489">
        <v>50</v>
      </c>
      <c r="T101" s="488">
        <v>1.2</v>
      </c>
      <c r="U101" s="489">
        <v>610</v>
      </c>
      <c r="V101" s="489">
        <v>150</v>
      </c>
      <c r="W101" s="1">
        <v>50</v>
      </c>
      <c r="Y101" s="1">
        <v>74.3</v>
      </c>
      <c r="AB101" s="1">
        <v>366.5</v>
      </c>
      <c r="AC101" s="1">
        <v>375</v>
      </c>
      <c r="AF101" s="1">
        <v>81.599999999999994</v>
      </c>
      <c r="AJ101" s="1">
        <v>20</v>
      </c>
      <c r="AL101" s="1">
        <v>14</v>
      </c>
      <c r="AN101" s="442">
        <v>20.9</v>
      </c>
      <c r="AO101" s="442">
        <v>22.3</v>
      </c>
      <c r="AP101" s="485">
        <v>27</v>
      </c>
      <c r="AQ101" s="485">
        <v>28.5</v>
      </c>
      <c r="AR101" s="442">
        <v>3488</v>
      </c>
      <c r="AS101" s="442">
        <v>3946</v>
      </c>
      <c r="AT101" s="442">
        <v>6500</v>
      </c>
      <c r="AU101" s="442">
        <v>7634</v>
      </c>
    </row>
    <row r="102" spans="1:47">
      <c r="A102" s="442" t="s">
        <v>345</v>
      </c>
      <c r="B102" s="487">
        <v>6.33</v>
      </c>
      <c r="G102" s="488">
        <v>6082</v>
      </c>
      <c r="H102" s="489">
        <v>40</v>
      </c>
      <c r="I102" s="489">
        <v>12</v>
      </c>
      <c r="J102" s="489">
        <v>3</v>
      </c>
      <c r="K102" s="489">
        <v>760</v>
      </c>
      <c r="L102" s="488"/>
      <c r="M102" s="488"/>
      <c r="N102" s="489" t="s">
        <v>334</v>
      </c>
      <c r="O102" s="489">
        <v>2.4500000000000002</v>
      </c>
      <c r="P102" s="488">
        <v>150</v>
      </c>
      <c r="Q102" s="488">
        <v>730</v>
      </c>
      <c r="R102" s="488"/>
      <c r="S102" s="489">
        <v>50</v>
      </c>
      <c r="T102" s="488">
        <v>1.2</v>
      </c>
      <c r="U102" s="489">
        <v>730</v>
      </c>
      <c r="V102" s="489">
        <v>150</v>
      </c>
      <c r="W102" s="1">
        <v>50</v>
      </c>
      <c r="Y102" s="1">
        <v>74.3</v>
      </c>
      <c r="AB102" s="1">
        <v>366.5</v>
      </c>
      <c r="AC102" s="1">
        <v>375</v>
      </c>
      <c r="AF102" s="1">
        <v>81.599999999999994</v>
      </c>
      <c r="AJ102" s="1">
        <v>20</v>
      </c>
      <c r="AL102" s="1">
        <v>14</v>
      </c>
      <c r="AN102" s="442">
        <v>20.9</v>
      </c>
      <c r="AO102" s="442">
        <v>22.3</v>
      </c>
      <c r="AP102" s="485">
        <v>27</v>
      </c>
      <c r="AQ102" s="485">
        <v>28.8</v>
      </c>
      <c r="AR102" s="442">
        <v>3488</v>
      </c>
      <c r="AS102" s="442">
        <v>3946</v>
      </c>
      <c r="AT102" s="442">
        <v>6500</v>
      </c>
      <c r="AU102" s="442">
        <v>7634</v>
      </c>
    </row>
    <row r="103" spans="1:47">
      <c r="A103" s="442" t="s">
        <v>346</v>
      </c>
      <c r="B103" s="487">
        <v>6.33</v>
      </c>
      <c r="G103" s="488">
        <v>6082</v>
      </c>
      <c r="H103" s="489">
        <v>44</v>
      </c>
      <c r="I103" s="489">
        <v>12</v>
      </c>
      <c r="J103" s="489">
        <v>3</v>
      </c>
      <c r="K103" s="489">
        <v>820</v>
      </c>
      <c r="L103" s="488"/>
      <c r="M103" s="488"/>
      <c r="N103" s="489" t="s">
        <v>334</v>
      </c>
      <c r="O103" s="489">
        <v>2.4500000000000002</v>
      </c>
      <c r="P103" s="488">
        <v>150</v>
      </c>
      <c r="Q103" s="488">
        <v>790</v>
      </c>
      <c r="R103" s="488"/>
      <c r="S103" s="489">
        <v>50</v>
      </c>
      <c r="T103" s="488">
        <v>1.2</v>
      </c>
      <c r="U103" s="489">
        <v>790</v>
      </c>
      <c r="V103" s="489">
        <v>150</v>
      </c>
      <c r="W103" s="1">
        <v>50</v>
      </c>
      <c r="Y103" s="1">
        <v>74.3</v>
      </c>
      <c r="AB103" s="1">
        <v>366.5</v>
      </c>
      <c r="AC103" s="1">
        <v>375</v>
      </c>
      <c r="AF103" s="1">
        <v>81.599999999999994</v>
      </c>
      <c r="AJ103" s="1">
        <v>20</v>
      </c>
      <c r="AL103" s="1">
        <v>14</v>
      </c>
      <c r="AN103" s="442" t="s">
        <v>124</v>
      </c>
      <c r="AO103" s="442" t="s">
        <v>124</v>
      </c>
      <c r="AP103" s="485" t="s">
        <v>124</v>
      </c>
      <c r="AQ103" s="485" t="s">
        <v>124</v>
      </c>
      <c r="AR103" s="442" t="s">
        <v>124</v>
      </c>
      <c r="AS103" s="442" t="s">
        <v>124</v>
      </c>
      <c r="AT103" s="442" t="s">
        <v>124</v>
      </c>
      <c r="AU103" s="442" t="s">
        <v>124</v>
      </c>
    </row>
    <row r="104" spans="1:47">
      <c r="A104" s="442" t="s">
        <v>347</v>
      </c>
      <c r="B104" s="487">
        <v>6.33</v>
      </c>
      <c r="G104" s="488">
        <v>6082</v>
      </c>
      <c r="H104" s="489">
        <v>48</v>
      </c>
      <c r="I104" s="489">
        <v>15</v>
      </c>
      <c r="J104" s="489">
        <v>3</v>
      </c>
      <c r="K104" s="489">
        <v>910</v>
      </c>
      <c r="L104" s="488"/>
      <c r="M104" s="488"/>
      <c r="N104" s="489" t="s">
        <v>334</v>
      </c>
      <c r="O104" s="489">
        <v>2.4500000000000002</v>
      </c>
      <c r="P104" s="488">
        <v>150</v>
      </c>
      <c r="Q104" s="488">
        <v>850</v>
      </c>
      <c r="R104" s="488"/>
      <c r="S104" s="489">
        <v>50</v>
      </c>
      <c r="T104" s="488">
        <v>1.2</v>
      </c>
      <c r="U104" s="489">
        <v>850</v>
      </c>
      <c r="V104" s="489">
        <v>150</v>
      </c>
      <c r="W104" s="1">
        <v>50</v>
      </c>
      <c r="Y104" s="1">
        <v>74.3</v>
      </c>
      <c r="AB104" s="1">
        <v>366.5</v>
      </c>
      <c r="AC104" s="1">
        <v>375</v>
      </c>
      <c r="AF104" s="1">
        <v>81.599999999999994</v>
      </c>
      <c r="AJ104" s="1">
        <v>20</v>
      </c>
      <c r="AL104" s="1">
        <v>14</v>
      </c>
      <c r="AN104" s="442" t="s">
        <v>124</v>
      </c>
      <c r="AO104" s="442" t="s">
        <v>124</v>
      </c>
      <c r="AP104" s="485" t="s">
        <v>124</v>
      </c>
      <c r="AQ104" s="485" t="s">
        <v>124</v>
      </c>
      <c r="AR104" s="442" t="s">
        <v>124</v>
      </c>
      <c r="AS104" s="442" t="s">
        <v>124</v>
      </c>
      <c r="AT104" s="442" t="s">
        <v>124</v>
      </c>
      <c r="AU104" s="442" t="s">
        <v>124</v>
      </c>
    </row>
    <row r="105" spans="1:47">
      <c r="A105" s="442" t="s">
        <v>348</v>
      </c>
      <c r="B105" s="487">
        <v>6.33</v>
      </c>
      <c r="G105" s="488">
        <v>6082</v>
      </c>
      <c r="H105" s="489">
        <v>48</v>
      </c>
      <c r="I105" s="489">
        <v>15</v>
      </c>
      <c r="J105" s="489">
        <v>3</v>
      </c>
      <c r="K105" s="489">
        <v>1150</v>
      </c>
      <c r="L105" s="488"/>
      <c r="M105" s="488"/>
      <c r="N105" s="489" t="s">
        <v>334</v>
      </c>
      <c r="O105" s="489">
        <v>2.4500000000000002</v>
      </c>
      <c r="P105" s="488">
        <v>150</v>
      </c>
      <c r="Q105" s="488">
        <v>1090</v>
      </c>
      <c r="R105" s="488"/>
      <c r="S105" s="489">
        <v>50</v>
      </c>
      <c r="T105" s="488">
        <v>1.2</v>
      </c>
      <c r="U105" s="489">
        <v>1090</v>
      </c>
      <c r="V105" s="489">
        <v>150</v>
      </c>
      <c r="W105" s="1">
        <v>50</v>
      </c>
      <c r="Y105" s="1">
        <v>74.3</v>
      </c>
      <c r="AB105" s="1">
        <v>366.5</v>
      </c>
      <c r="AC105" s="1">
        <v>375</v>
      </c>
      <c r="AF105" s="1">
        <v>81.599999999999994</v>
      </c>
      <c r="AJ105" s="1">
        <v>20</v>
      </c>
      <c r="AL105" s="1">
        <v>14</v>
      </c>
      <c r="AN105" s="442" t="s">
        <v>124</v>
      </c>
      <c r="AO105" s="442" t="s">
        <v>124</v>
      </c>
      <c r="AP105" s="485" t="s">
        <v>124</v>
      </c>
      <c r="AQ105" s="485" t="s">
        <v>124</v>
      </c>
      <c r="AR105" s="442" t="s">
        <v>124</v>
      </c>
      <c r="AS105" s="442" t="s">
        <v>124</v>
      </c>
      <c r="AT105" s="442" t="s">
        <v>124</v>
      </c>
      <c r="AU105" s="442" t="s">
        <v>124</v>
      </c>
    </row>
    <row r="106" spans="1:47">
      <c r="A106" s="442" t="s">
        <v>349</v>
      </c>
      <c r="B106" s="487">
        <v>6.33</v>
      </c>
      <c r="G106" s="488">
        <v>6082</v>
      </c>
      <c r="H106" s="489">
        <v>48</v>
      </c>
      <c r="I106" s="489">
        <v>15</v>
      </c>
      <c r="J106" s="489">
        <v>3</v>
      </c>
      <c r="K106" s="489">
        <v>920</v>
      </c>
      <c r="L106" s="488"/>
      <c r="M106" s="488"/>
      <c r="N106" s="489" t="s">
        <v>334</v>
      </c>
      <c r="O106" s="489">
        <v>2.4500000000000002</v>
      </c>
      <c r="P106" s="488">
        <v>150</v>
      </c>
      <c r="Q106" s="488">
        <v>1030</v>
      </c>
      <c r="R106" s="488"/>
      <c r="S106" s="489">
        <v>200</v>
      </c>
      <c r="T106" s="488">
        <v>1.2</v>
      </c>
      <c r="U106" s="489">
        <v>1030</v>
      </c>
      <c r="V106" s="489">
        <v>150</v>
      </c>
      <c r="W106" s="1">
        <v>50</v>
      </c>
      <c r="Y106" s="1">
        <v>74.3</v>
      </c>
      <c r="AB106" s="1">
        <v>650</v>
      </c>
      <c r="AC106" s="1">
        <v>650</v>
      </c>
      <c r="AF106" s="1">
        <v>81.599999999999994</v>
      </c>
      <c r="AJ106" s="1">
        <v>20</v>
      </c>
      <c r="AK106" s="1">
        <v>50</v>
      </c>
      <c r="AL106" s="1">
        <v>14</v>
      </c>
      <c r="AN106" s="442">
        <v>20.9</v>
      </c>
      <c r="AO106" s="442">
        <v>22.3</v>
      </c>
      <c r="AP106" s="485">
        <v>27</v>
      </c>
      <c r="AQ106" s="898">
        <v>28.8</v>
      </c>
      <c r="AR106" s="442">
        <v>3488</v>
      </c>
      <c r="AS106" s="442">
        <v>3946</v>
      </c>
      <c r="AT106" s="442">
        <v>6500</v>
      </c>
      <c r="AU106" s="442">
        <v>7634</v>
      </c>
    </row>
    <row r="108" spans="1:47">
      <c r="A108" s="488" t="s">
        <v>720</v>
      </c>
    </row>
    <row r="114" spans="1:53" ht="13.5" thickBot="1"/>
    <row r="115" spans="1:53" ht="13.5" thickBot="1">
      <c r="E115" s="1585" t="s">
        <v>1116</v>
      </c>
      <c r="F115" s="1586"/>
      <c r="G115" s="1586"/>
      <c r="H115" s="1586"/>
      <c r="I115" s="1586"/>
      <c r="J115" s="1586"/>
      <c r="K115" s="1586"/>
      <c r="L115" s="1586"/>
      <c r="M115" s="1586"/>
      <c r="N115" s="1586"/>
      <c r="O115" s="1586"/>
      <c r="P115" s="1586"/>
      <c r="Q115" s="1586"/>
      <c r="R115" s="1586"/>
      <c r="S115" s="1586"/>
      <c r="T115" s="1586"/>
      <c r="U115" s="1587"/>
      <c r="V115" s="1585" t="s">
        <v>1115</v>
      </c>
      <c r="W115" s="1586"/>
      <c r="X115" s="1586"/>
      <c r="Y115" s="1586"/>
      <c r="Z115" s="1586"/>
      <c r="AA115" s="1586"/>
      <c r="AB115" s="1586"/>
      <c r="AC115" s="1586"/>
      <c r="AD115" s="1586"/>
      <c r="AE115" s="1586"/>
      <c r="AF115" s="1586"/>
      <c r="AG115" s="1586"/>
      <c r="AH115" s="1586"/>
      <c r="AI115" s="1586"/>
      <c r="AJ115" s="1586"/>
      <c r="AK115" s="1587"/>
    </row>
    <row r="116" spans="1:53" s="490" customFormat="1">
      <c r="A116" s="490" t="s">
        <v>350</v>
      </c>
      <c r="B116" s="490" t="s">
        <v>351</v>
      </c>
      <c r="C116" s="490" t="s">
        <v>352</v>
      </c>
      <c r="D116" s="490" t="s">
        <v>353</v>
      </c>
      <c r="E116" s="490" t="s">
        <v>354</v>
      </c>
      <c r="F116" s="490" t="s">
        <v>355</v>
      </c>
      <c r="G116" s="490" t="s">
        <v>356</v>
      </c>
      <c r="H116" s="490" t="s">
        <v>2673</v>
      </c>
      <c r="I116" s="490" t="s">
        <v>2674</v>
      </c>
      <c r="J116" s="490" t="s">
        <v>2675</v>
      </c>
      <c r="K116" s="490" t="s">
        <v>2676</v>
      </c>
      <c r="L116" s="490" t="s">
        <v>2677</v>
      </c>
      <c r="M116" s="490" t="s">
        <v>2678</v>
      </c>
      <c r="N116" s="490" t="s">
        <v>2679</v>
      </c>
      <c r="O116" s="490" t="s">
        <v>2680</v>
      </c>
      <c r="P116" s="490" t="s">
        <v>2681</v>
      </c>
      <c r="V116" s="490" t="s">
        <v>357</v>
      </c>
      <c r="W116" s="490" t="s">
        <v>358</v>
      </c>
      <c r="X116" s="490" t="s">
        <v>359</v>
      </c>
      <c r="Y116" s="490" t="s">
        <v>360</v>
      </c>
      <c r="Z116" s="490" t="s">
        <v>361</v>
      </c>
      <c r="AA116" s="490" t="s">
        <v>362</v>
      </c>
      <c r="AB116" s="490" t="s">
        <v>363</v>
      </c>
      <c r="AC116" s="490" t="s">
        <v>364</v>
      </c>
      <c r="AD116" s="490" t="s">
        <v>365</v>
      </c>
      <c r="AE116" s="490" t="s">
        <v>366</v>
      </c>
      <c r="AF116" s="490" t="s">
        <v>367</v>
      </c>
      <c r="AG116" s="490" t="s">
        <v>368</v>
      </c>
    </row>
    <row r="117" spans="1:53">
      <c r="A117" s="491" t="s">
        <v>369</v>
      </c>
      <c r="B117" s="492"/>
      <c r="C117" s="492" t="s">
        <v>370</v>
      </c>
      <c r="D117" s="492">
        <v>2</v>
      </c>
      <c r="E117" s="492" t="s">
        <v>371</v>
      </c>
      <c r="F117" s="492" t="s">
        <v>371</v>
      </c>
      <c r="G117" s="492" t="s">
        <v>371</v>
      </c>
      <c r="H117" s="492" t="s">
        <v>2682</v>
      </c>
      <c r="I117" s="492" t="s">
        <v>2682</v>
      </c>
      <c r="J117" s="492" t="s">
        <v>2682</v>
      </c>
      <c r="K117" s="492" t="s">
        <v>2682</v>
      </c>
      <c r="L117" s="492" t="s">
        <v>2682</v>
      </c>
      <c r="M117" s="492" t="s">
        <v>2682</v>
      </c>
      <c r="N117" s="492" t="s">
        <v>2682</v>
      </c>
      <c r="O117" s="492" t="s">
        <v>2682</v>
      </c>
      <c r="P117" s="492" t="s">
        <v>2682</v>
      </c>
      <c r="Q117" s="492"/>
      <c r="R117" s="492"/>
      <c r="S117" s="492"/>
      <c r="T117" s="492"/>
      <c r="V117" s="492" t="s">
        <v>372</v>
      </c>
      <c r="W117" s="492" t="s">
        <v>372</v>
      </c>
      <c r="X117" s="492" t="s">
        <v>372</v>
      </c>
      <c r="Y117" s="492" t="s">
        <v>372</v>
      </c>
      <c r="Z117" s="492" t="s">
        <v>372</v>
      </c>
      <c r="AA117" s="492" t="s">
        <v>372</v>
      </c>
      <c r="AB117" s="492" t="s">
        <v>372</v>
      </c>
      <c r="AC117" s="492" t="s">
        <v>372</v>
      </c>
      <c r="AD117" s="492" t="s">
        <v>372</v>
      </c>
      <c r="AE117" s="492" t="s">
        <v>372</v>
      </c>
      <c r="AF117" s="492" t="s">
        <v>372</v>
      </c>
      <c r="AG117" s="492" t="s">
        <v>372</v>
      </c>
      <c r="AJ117" s="492"/>
      <c r="AK117" s="492"/>
    </row>
    <row r="118" spans="1:53">
      <c r="A118" s="491" t="s">
        <v>373</v>
      </c>
      <c r="B118" s="492"/>
      <c r="C118" s="492" t="s">
        <v>370</v>
      </c>
      <c r="D118" s="492">
        <v>3</v>
      </c>
      <c r="E118" s="492" t="s">
        <v>743</v>
      </c>
      <c r="F118" s="492" t="s">
        <v>743</v>
      </c>
      <c r="G118" s="492" t="s">
        <v>743</v>
      </c>
      <c r="H118" s="492" t="s">
        <v>2683</v>
      </c>
      <c r="I118" s="492" t="s">
        <v>2683</v>
      </c>
      <c r="J118" s="492" t="s">
        <v>2683</v>
      </c>
      <c r="K118" s="492" t="s">
        <v>2683</v>
      </c>
      <c r="L118" s="492" t="s">
        <v>2683</v>
      </c>
      <c r="M118" s="492" t="s">
        <v>2683</v>
      </c>
      <c r="N118" s="492" t="s">
        <v>2683</v>
      </c>
      <c r="O118" s="492" t="s">
        <v>2683</v>
      </c>
      <c r="P118" s="492" t="s">
        <v>2683</v>
      </c>
      <c r="Q118" s="492"/>
      <c r="R118" s="492"/>
      <c r="S118" s="492"/>
      <c r="T118" s="492"/>
      <c r="V118" s="492" t="s">
        <v>374</v>
      </c>
      <c r="W118" s="492" t="s">
        <v>374</v>
      </c>
      <c r="X118" s="492" t="s">
        <v>374</v>
      </c>
      <c r="Y118" s="492" t="s">
        <v>374</v>
      </c>
      <c r="Z118" s="492" t="s">
        <v>374</v>
      </c>
      <c r="AA118" s="492" t="s">
        <v>374</v>
      </c>
      <c r="AB118" s="492" t="s">
        <v>374</v>
      </c>
      <c r="AC118" s="492" t="s">
        <v>374</v>
      </c>
      <c r="AD118" s="492" t="s">
        <v>374</v>
      </c>
      <c r="AE118" s="492" t="s">
        <v>374</v>
      </c>
      <c r="AF118" s="492" t="s">
        <v>374</v>
      </c>
      <c r="AG118" s="492" t="s">
        <v>374</v>
      </c>
      <c r="AJ118" s="492"/>
      <c r="AK118" s="492"/>
    </row>
    <row r="119" spans="1:53">
      <c r="A119" s="491" t="s">
        <v>375</v>
      </c>
      <c r="B119" s="492" t="s">
        <v>111</v>
      </c>
      <c r="C119" s="492" t="s">
        <v>331</v>
      </c>
      <c r="D119" s="492">
        <v>4</v>
      </c>
      <c r="E119" s="492">
        <v>8</v>
      </c>
      <c r="F119" s="492">
        <v>8</v>
      </c>
      <c r="G119" s="492">
        <v>8</v>
      </c>
      <c r="H119" s="492">
        <v>8</v>
      </c>
      <c r="I119" s="492">
        <v>8</v>
      </c>
      <c r="J119" s="492">
        <v>8</v>
      </c>
      <c r="K119" s="492">
        <v>8</v>
      </c>
      <c r="L119" s="492">
        <v>8</v>
      </c>
      <c r="M119" s="492">
        <v>8</v>
      </c>
      <c r="N119" s="492">
        <v>8</v>
      </c>
      <c r="O119" s="492">
        <v>8</v>
      </c>
      <c r="P119" s="492">
        <v>8</v>
      </c>
      <c r="Q119" s="492"/>
      <c r="R119" s="492"/>
      <c r="S119" s="492"/>
      <c r="T119" s="492"/>
      <c r="V119" s="492">
        <v>8</v>
      </c>
      <c r="W119" s="492">
        <v>8</v>
      </c>
      <c r="X119" s="492">
        <v>8</v>
      </c>
      <c r="Y119" s="492">
        <v>8</v>
      </c>
      <c r="Z119" s="492">
        <v>8</v>
      </c>
      <c r="AA119" s="492">
        <v>8</v>
      </c>
      <c r="AB119" s="492">
        <v>8</v>
      </c>
      <c r="AC119" s="492">
        <v>8</v>
      </c>
      <c r="AD119" s="492">
        <v>8</v>
      </c>
      <c r="AE119" s="492">
        <v>8</v>
      </c>
      <c r="AF119" s="492">
        <v>8</v>
      </c>
      <c r="AG119" s="492">
        <v>8</v>
      </c>
      <c r="AJ119" s="492"/>
      <c r="AK119" s="492"/>
    </row>
    <row r="120" spans="1:53" ht="14.25">
      <c r="A120" s="491" t="s">
        <v>376</v>
      </c>
      <c r="B120" s="492" t="s">
        <v>2277</v>
      </c>
      <c r="C120" s="492" t="s">
        <v>331</v>
      </c>
      <c r="D120" s="492">
        <v>5</v>
      </c>
      <c r="E120" s="492">
        <f>120</f>
        <v>120</v>
      </c>
      <c r="F120" s="492">
        <v>160</v>
      </c>
      <c r="G120" s="492">
        <v>240</v>
      </c>
      <c r="H120" s="492">
        <v>280</v>
      </c>
      <c r="I120" s="492">
        <v>300</v>
      </c>
      <c r="J120" s="492">
        <v>325</v>
      </c>
      <c r="K120" s="492">
        <v>350</v>
      </c>
      <c r="L120" s="492">
        <v>375</v>
      </c>
      <c r="M120" s="492">
        <v>400</v>
      </c>
      <c r="N120" s="492">
        <v>450</v>
      </c>
      <c r="O120" s="492">
        <v>500</v>
      </c>
      <c r="P120" s="492">
        <v>600</v>
      </c>
      <c r="Q120" s="492"/>
      <c r="R120" s="492"/>
      <c r="S120" s="492"/>
      <c r="T120" s="492"/>
      <c r="V120" s="492">
        <v>120</v>
      </c>
      <c r="W120" s="492">
        <v>140</v>
      </c>
      <c r="X120" s="492">
        <v>160</v>
      </c>
      <c r="Y120" s="492">
        <v>180</v>
      </c>
      <c r="Z120" s="492">
        <v>200</v>
      </c>
      <c r="AA120" s="492">
        <v>220</v>
      </c>
      <c r="AB120" s="492">
        <v>240</v>
      </c>
      <c r="AC120" s="492">
        <v>260</v>
      </c>
      <c r="AD120" s="492">
        <v>280</v>
      </c>
      <c r="AE120" s="492">
        <v>300</v>
      </c>
      <c r="AF120" s="492">
        <v>330</v>
      </c>
      <c r="AG120" s="492">
        <v>380</v>
      </c>
      <c r="AJ120" s="492"/>
      <c r="AK120" s="492"/>
    </row>
    <row r="121" spans="1:53">
      <c r="A121" s="491" t="s">
        <v>377</v>
      </c>
      <c r="B121" s="492" t="s">
        <v>378</v>
      </c>
      <c r="C121" s="492" t="s">
        <v>60</v>
      </c>
      <c r="D121" s="492">
        <v>6</v>
      </c>
      <c r="E121" s="492">
        <v>210000</v>
      </c>
      <c r="F121" s="492">
        <v>210000</v>
      </c>
      <c r="G121" s="492">
        <v>210000</v>
      </c>
      <c r="H121" s="492">
        <v>210000</v>
      </c>
      <c r="I121" s="492">
        <v>210000</v>
      </c>
      <c r="J121" s="492">
        <v>210000</v>
      </c>
      <c r="K121" s="492">
        <v>210000</v>
      </c>
      <c r="L121" s="492">
        <v>210000</v>
      </c>
      <c r="M121" s="492">
        <v>210000</v>
      </c>
      <c r="N121" s="492">
        <v>210000</v>
      </c>
      <c r="O121" s="492">
        <v>210000</v>
      </c>
      <c r="P121" s="492">
        <v>210000</v>
      </c>
      <c r="Q121" s="492"/>
      <c r="R121" s="492"/>
      <c r="S121" s="492"/>
      <c r="T121" s="492"/>
      <c r="V121" s="492">
        <v>210000</v>
      </c>
      <c r="W121" s="492">
        <v>210000</v>
      </c>
      <c r="X121" s="492">
        <v>210000</v>
      </c>
      <c r="Y121" s="492">
        <v>210000</v>
      </c>
      <c r="Z121" s="492">
        <v>210000</v>
      </c>
      <c r="AA121" s="492">
        <v>210000</v>
      </c>
      <c r="AB121" s="492">
        <v>210000</v>
      </c>
      <c r="AC121" s="492">
        <v>210000</v>
      </c>
      <c r="AD121" s="492">
        <v>210000</v>
      </c>
      <c r="AE121" s="492">
        <v>210000</v>
      </c>
      <c r="AF121" s="492">
        <v>210000</v>
      </c>
      <c r="AG121" s="492">
        <v>210000</v>
      </c>
      <c r="AJ121" s="492"/>
      <c r="AK121" s="492"/>
    </row>
    <row r="122" spans="1:53" ht="15">
      <c r="A122" s="491" t="s">
        <v>379</v>
      </c>
      <c r="B122" s="492" t="s">
        <v>2278</v>
      </c>
      <c r="C122" s="492" t="s">
        <v>60</v>
      </c>
      <c r="D122" s="492">
        <v>7</v>
      </c>
      <c r="E122" s="492"/>
      <c r="F122" s="493"/>
      <c r="G122" s="492"/>
      <c r="H122" s="492"/>
      <c r="I122" s="492"/>
      <c r="J122" s="492"/>
      <c r="K122" s="492"/>
      <c r="L122" s="492"/>
      <c r="M122" s="492"/>
      <c r="N122" s="492"/>
      <c r="O122" s="492"/>
      <c r="P122" s="492"/>
      <c r="Q122" s="493"/>
      <c r="R122" s="494"/>
      <c r="S122" s="492"/>
      <c r="T122" s="492"/>
      <c r="V122" s="492">
        <v>11</v>
      </c>
      <c r="W122" s="492">
        <v>11</v>
      </c>
      <c r="X122" s="492">
        <v>11</v>
      </c>
      <c r="Y122" s="492">
        <v>11</v>
      </c>
      <c r="Z122" s="492">
        <v>11</v>
      </c>
      <c r="AA122" s="492">
        <v>11</v>
      </c>
      <c r="AB122" s="492">
        <v>11</v>
      </c>
      <c r="AC122" s="492">
        <v>11</v>
      </c>
      <c r="AD122" s="492">
        <v>11</v>
      </c>
      <c r="AE122" s="492">
        <v>11</v>
      </c>
      <c r="AF122" s="492">
        <v>11</v>
      </c>
      <c r="AG122" s="492">
        <v>11</v>
      </c>
      <c r="AJ122" s="492"/>
      <c r="AK122" s="492"/>
    </row>
    <row r="123" spans="1:53" ht="14.25">
      <c r="A123" s="491" t="s">
        <v>380</v>
      </c>
      <c r="B123" s="492" t="s">
        <v>2279</v>
      </c>
      <c r="C123" s="492" t="s">
        <v>381</v>
      </c>
      <c r="D123" s="492">
        <v>8</v>
      </c>
      <c r="E123" s="492">
        <v>20</v>
      </c>
      <c r="F123" s="492">
        <v>20</v>
      </c>
      <c r="G123" s="492">
        <v>20</v>
      </c>
      <c r="H123" s="492">
        <v>24.1</v>
      </c>
      <c r="I123" s="492">
        <v>24.1</v>
      </c>
      <c r="J123" s="492">
        <v>24.1</v>
      </c>
      <c r="K123" s="492">
        <v>24.1</v>
      </c>
      <c r="L123" s="492">
        <v>24.1</v>
      </c>
      <c r="M123" s="492">
        <v>24.1</v>
      </c>
      <c r="N123" s="492">
        <v>24.1</v>
      </c>
      <c r="O123" s="492">
        <v>24.1</v>
      </c>
      <c r="P123" s="492">
        <v>24.1</v>
      </c>
      <c r="Q123" s="492"/>
      <c r="R123" s="492"/>
      <c r="S123" s="492"/>
      <c r="T123" s="492"/>
      <c r="V123" s="492">
        <v>22</v>
      </c>
      <c r="W123" s="492">
        <v>22</v>
      </c>
      <c r="X123" s="492">
        <v>22</v>
      </c>
      <c r="Y123" s="492">
        <v>22</v>
      </c>
      <c r="Z123" s="492">
        <v>22</v>
      </c>
      <c r="AA123" s="492">
        <v>22</v>
      </c>
      <c r="AB123" s="492">
        <v>22</v>
      </c>
      <c r="AC123" s="492">
        <v>22</v>
      </c>
      <c r="AD123" s="492">
        <v>22</v>
      </c>
      <c r="AE123" s="492">
        <v>22</v>
      </c>
      <c r="AF123" s="492">
        <v>22</v>
      </c>
      <c r="AG123" s="492">
        <v>22</v>
      </c>
      <c r="AJ123" s="492"/>
      <c r="AK123" s="492"/>
    </row>
    <row r="124" spans="1:53" ht="14.25">
      <c r="A124" s="491"/>
      <c r="B124" s="492" t="s">
        <v>2280</v>
      </c>
      <c r="C124" s="492" t="s">
        <v>382</v>
      </c>
      <c r="D124" s="492">
        <v>9</v>
      </c>
      <c r="E124" s="492">
        <v>20</v>
      </c>
      <c r="F124" s="492">
        <v>20</v>
      </c>
      <c r="G124" s="492">
        <v>20</v>
      </c>
      <c r="H124" s="492">
        <v>20.3</v>
      </c>
      <c r="I124" s="492">
        <v>20.3</v>
      </c>
      <c r="J124" s="492">
        <v>20.3</v>
      </c>
      <c r="K124" s="492">
        <v>20.3</v>
      </c>
      <c r="L124" s="492">
        <v>20.3</v>
      </c>
      <c r="M124" s="492">
        <v>20.3</v>
      </c>
      <c r="N124" s="492">
        <v>20.3</v>
      </c>
      <c r="O124" s="492">
        <v>20.3</v>
      </c>
      <c r="P124" s="492">
        <v>20.3</v>
      </c>
      <c r="Q124" s="492"/>
      <c r="R124" s="492"/>
      <c r="S124" s="492"/>
      <c r="T124" s="492"/>
      <c r="V124" s="492">
        <v>23</v>
      </c>
      <c r="W124" s="492">
        <v>23</v>
      </c>
      <c r="X124" s="492">
        <v>23</v>
      </c>
      <c r="Y124" s="492">
        <v>23</v>
      </c>
      <c r="Z124" s="492">
        <v>23</v>
      </c>
      <c r="AA124" s="492">
        <v>23</v>
      </c>
      <c r="AB124" s="492">
        <v>23</v>
      </c>
      <c r="AC124" s="492">
        <v>23</v>
      </c>
      <c r="AD124" s="492">
        <v>23</v>
      </c>
      <c r="AE124" s="492">
        <v>23</v>
      </c>
      <c r="AF124" s="492">
        <v>23</v>
      </c>
      <c r="AG124" s="492">
        <v>23</v>
      </c>
      <c r="AJ124" s="492"/>
      <c r="AK124" s="492"/>
    </row>
    <row r="125" spans="1:53" ht="14.25">
      <c r="A125" s="492"/>
      <c r="B125" s="492" t="s">
        <v>2281</v>
      </c>
      <c r="C125" s="492" t="s">
        <v>382</v>
      </c>
      <c r="D125" s="492">
        <v>10</v>
      </c>
      <c r="E125" s="492">
        <v>23</v>
      </c>
      <c r="F125" s="492">
        <v>23</v>
      </c>
      <c r="G125" s="492">
        <v>23</v>
      </c>
      <c r="H125" s="492">
        <v>25.8</v>
      </c>
      <c r="I125" s="492">
        <v>25.8</v>
      </c>
      <c r="J125" s="492">
        <v>25.8</v>
      </c>
      <c r="K125" s="492">
        <v>25.8</v>
      </c>
      <c r="L125" s="492">
        <v>25.8</v>
      </c>
      <c r="M125" s="492">
        <v>25.8</v>
      </c>
      <c r="N125" s="492">
        <v>25.8</v>
      </c>
      <c r="O125" s="492">
        <v>25.8</v>
      </c>
      <c r="P125" s="492">
        <v>25.8</v>
      </c>
      <c r="Q125" s="492"/>
      <c r="R125" s="492"/>
      <c r="S125" s="492"/>
      <c r="T125" s="492"/>
      <c r="V125" s="492">
        <v>25</v>
      </c>
      <c r="W125" s="492">
        <v>25</v>
      </c>
      <c r="X125" s="492">
        <v>25</v>
      </c>
      <c r="Y125" s="492">
        <v>25</v>
      </c>
      <c r="Z125" s="492">
        <v>25</v>
      </c>
      <c r="AA125" s="492">
        <v>25</v>
      </c>
      <c r="AB125" s="492">
        <v>25</v>
      </c>
      <c r="AC125" s="492">
        <v>25</v>
      </c>
      <c r="AD125" s="492">
        <v>25</v>
      </c>
      <c r="AE125" s="492">
        <v>25</v>
      </c>
      <c r="AF125" s="492">
        <v>25</v>
      </c>
      <c r="AG125" s="492">
        <v>25</v>
      </c>
      <c r="AJ125" s="492"/>
      <c r="AK125" s="492"/>
    </row>
    <row r="126" spans="1:53" ht="14.25">
      <c r="A126" s="491" t="s">
        <v>536</v>
      </c>
      <c r="B126" s="492" t="s">
        <v>539</v>
      </c>
      <c r="C126" s="492"/>
      <c r="D126" s="492">
        <v>11</v>
      </c>
      <c r="E126" s="492">
        <v>14</v>
      </c>
      <c r="F126" s="492">
        <v>14</v>
      </c>
      <c r="G126" s="492">
        <v>14</v>
      </c>
      <c r="H126" s="492">
        <v>14</v>
      </c>
      <c r="I126" s="492">
        <v>14</v>
      </c>
      <c r="J126" s="492">
        <v>14</v>
      </c>
      <c r="K126" s="492">
        <v>14</v>
      </c>
      <c r="L126" s="492">
        <v>14</v>
      </c>
      <c r="M126" s="492">
        <v>14</v>
      </c>
      <c r="N126" s="492">
        <v>14</v>
      </c>
      <c r="O126" s="492">
        <v>14</v>
      </c>
      <c r="P126" s="492">
        <v>14</v>
      </c>
      <c r="Q126" s="492"/>
      <c r="R126" s="492"/>
      <c r="S126" s="492"/>
      <c r="T126" s="492"/>
      <c r="U126" s="492"/>
      <c r="V126" s="442">
        <f>V120-V127</f>
        <v>19</v>
      </c>
      <c r="W126" s="442">
        <f t="shared" ref="W126:AF126" si="5">W120-W127</f>
        <v>19</v>
      </c>
      <c r="X126" s="442">
        <f t="shared" si="5"/>
        <v>19</v>
      </c>
      <c r="Y126" s="442">
        <f t="shared" si="5"/>
        <v>19</v>
      </c>
      <c r="Z126" s="442">
        <f t="shared" si="5"/>
        <v>19</v>
      </c>
      <c r="AA126" s="442">
        <f t="shared" si="5"/>
        <v>19</v>
      </c>
      <c r="AB126" s="442">
        <f t="shared" si="5"/>
        <v>19</v>
      </c>
      <c r="AC126" s="442">
        <f t="shared" si="5"/>
        <v>19</v>
      </c>
      <c r="AD126" s="442">
        <f t="shared" si="5"/>
        <v>19</v>
      </c>
      <c r="AE126" s="442">
        <f t="shared" si="5"/>
        <v>25</v>
      </c>
      <c r="AF126" s="442">
        <f t="shared" si="5"/>
        <v>25</v>
      </c>
      <c r="AG126" s="442">
        <f>AG120-AG127</f>
        <v>25</v>
      </c>
      <c r="AH126" s="492"/>
      <c r="AI126" s="492"/>
      <c r="AJ126" s="442"/>
      <c r="AL126" s="492"/>
      <c r="AM126" s="492"/>
      <c r="AN126" s="492"/>
      <c r="AO126" s="492"/>
      <c r="AP126" s="492"/>
      <c r="AQ126" s="492"/>
      <c r="AR126" s="492"/>
      <c r="AS126" s="492"/>
      <c r="AT126" s="492"/>
      <c r="AU126" s="492"/>
      <c r="AV126" s="492"/>
      <c r="AW126" s="492"/>
      <c r="AX126" s="492"/>
      <c r="AY126" s="492"/>
      <c r="AZ126" s="492"/>
      <c r="BA126" s="492"/>
    </row>
    <row r="127" spans="1:53" ht="15">
      <c r="A127" s="491" t="s">
        <v>537</v>
      </c>
      <c r="B127" s="492" t="s">
        <v>538</v>
      </c>
      <c r="C127" s="492"/>
      <c r="D127" s="492">
        <v>12</v>
      </c>
      <c r="E127" s="492">
        <f>E120-E126</f>
        <v>106</v>
      </c>
      <c r="F127" s="492">
        <f t="shared" ref="F127:G127" si="6">F120-F126</f>
        <v>146</v>
      </c>
      <c r="G127" s="492">
        <f t="shared" si="6"/>
        <v>226</v>
      </c>
      <c r="H127" s="492">
        <f>H120-H126</f>
        <v>266</v>
      </c>
      <c r="I127" s="492">
        <f>I120-I126</f>
        <v>286</v>
      </c>
      <c r="J127" s="492">
        <f>J120-J126</f>
        <v>311</v>
      </c>
      <c r="K127" s="492">
        <f>K120-K126</f>
        <v>336</v>
      </c>
      <c r="L127" s="492">
        <f>L120-L126</f>
        <v>361</v>
      </c>
      <c r="M127" s="492">
        <f>M120-M126</f>
        <v>386</v>
      </c>
      <c r="N127" s="492">
        <f>N120-N126</f>
        <v>436</v>
      </c>
      <c r="O127" s="492">
        <f>O120-O126</f>
        <v>486</v>
      </c>
      <c r="P127" s="492">
        <f>P120-P126</f>
        <v>586</v>
      </c>
      <c r="Q127" s="493"/>
      <c r="R127" s="492"/>
      <c r="S127" s="492"/>
      <c r="T127" s="492"/>
      <c r="U127" s="492"/>
      <c r="V127" s="492">
        <v>101</v>
      </c>
      <c r="W127" s="492">
        <v>121</v>
      </c>
      <c r="X127" s="492">
        <v>141</v>
      </c>
      <c r="Y127" s="492">
        <v>161</v>
      </c>
      <c r="Z127" s="492">
        <v>181</v>
      </c>
      <c r="AA127" s="492">
        <v>201</v>
      </c>
      <c r="AB127" s="492">
        <v>221</v>
      </c>
      <c r="AC127" s="492">
        <v>241</v>
      </c>
      <c r="AD127" s="492">
        <v>261</v>
      </c>
      <c r="AE127" s="492">
        <v>275</v>
      </c>
      <c r="AF127" s="492">
        <v>305</v>
      </c>
      <c r="AG127" s="492">
        <v>355</v>
      </c>
      <c r="AJ127" s="492"/>
      <c r="AK127" s="492"/>
    </row>
    <row r="128" spans="1:53" ht="15">
      <c r="A128" s="492"/>
      <c r="B128" s="492"/>
      <c r="C128" s="492"/>
      <c r="D128" s="492">
        <v>13</v>
      </c>
      <c r="E128" s="492"/>
      <c r="F128" s="492"/>
      <c r="G128" s="492"/>
      <c r="H128" s="492"/>
      <c r="I128" s="492"/>
      <c r="J128" s="492"/>
      <c r="K128" s="492"/>
      <c r="L128" s="493"/>
      <c r="M128" s="493"/>
      <c r="N128" s="493"/>
      <c r="O128" s="493"/>
      <c r="P128" s="493"/>
      <c r="Q128" s="493"/>
      <c r="R128" s="492"/>
      <c r="S128" s="492"/>
      <c r="T128" s="492"/>
      <c r="U128" s="492"/>
      <c r="V128" s="492"/>
      <c r="W128" s="492"/>
      <c r="X128" s="492"/>
      <c r="Y128" s="492"/>
      <c r="Z128" s="492"/>
      <c r="AA128" s="492"/>
      <c r="AB128" s="492"/>
      <c r="AC128" s="492"/>
      <c r="AD128" s="492"/>
      <c r="AE128" s="492"/>
      <c r="AF128" s="492"/>
      <c r="AG128" s="492"/>
      <c r="AH128" s="492"/>
      <c r="AI128" s="492"/>
      <c r="AJ128" s="492"/>
      <c r="AK128" s="492"/>
    </row>
    <row r="129" spans="1:52" ht="15">
      <c r="A129" s="492"/>
      <c r="B129" s="492"/>
      <c r="C129" s="492"/>
      <c r="D129" s="492">
        <v>14</v>
      </c>
      <c r="E129" s="492"/>
      <c r="F129" s="492"/>
      <c r="G129" s="492"/>
      <c r="H129" s="492"/>
      <c r="I129" s="492"/>
      <c r="J129" s="492"/>
      <c r="K129" s="492"/>
      <c r="L129" s="493"/>
      <c r="M129" s="493"/>
      <c r="N129" s="493"/>
      <c r="O129" s="493"/>
      <c r="P129" s="493"/>
      <c r="Q129" s="493"/>
      <c r="R129" s="492"/>
      <c r="S129" s="492"/>
      <c r="T129" s="492"/>
      <c r="U129" s="492"/>
      <c r="V129" s="492"/>
      <c r="W129" s="492"/>
      <c r="X129" s="492"/>
      <c r="Y129" s="492"/>
      <c r="Z129" s="492"/>
      <c r="AA129" s="492"/>
      <c r="AB129" s="492"/>
      <c r="AC129" s="492"/>
      <c r="AD129" s="492"/>
      <c r="AE129" s="492"/>
      <c r="AF129" s="492"/>
      <c r="AG129" s="492"/>
      <c r="AH129" s="492"/>
      <c r="AI129" s="492"/>
      <c r="AJ129" s="492"/>
      <c r="AK129" s="492"/>
    </row>
    <row r="130" spans="1:52" ht="15">
      <c r="A130" s="492"/>
      <c r="B130" s="492"/>
      <c r="C130" s="492"/>
      <c r="D130" s="492">
        <v>15</v>
      </c>
      <c r="E130" s="492"/>
      <c r="F130" s="492"/>
      <c r="G130" s="492"/>
      <c r="H130" s="492"/>
      <c r="I130" s="492"/>
      <c r="J130" s="492"/>
      <c r="K130" s="492"/>
      <c r="L130" s="493"/>
      <c r="M130" s="493"/>
      <c r="N130" s="493"/>
      <c r="O130" s="493"/>
      <c r="P130" s="493"/>
      <c r="Q130" s="493"/>
      <c r="R130" s="492"/>
      <c r="S130" s="492"/>
      <c r="T130" s="492"/>
      <c r="U130" s="492"/>
      <c r="V130" s="492"/>
      <c r="W130" s="492"/>
      <c r="X130" s="492"/>
      <c r="Y130" s="492"/>
      <c r="Z130" s="492"/>
      <c r="AA130" s="492"/>
      <c r="AB130" s="492"/>
      <c r="AC130" s="492"/>
      <c r="AD130" s="492"/>
      <c r="AE130" s="492"/>
      <c r="AF130" s="492"/>
      <c r="AG130" s="492"/>
      <c r="AH130" s="492"/>
      <c r="AI130" s="492"/>
      <c r="AJ130" s="492"/>
      <c r="AK130" s="492"/>
    </row>
    <row r="131" spans="1:52" ht="15">
      <c r="A131" s="492"/>
      <c r="B131" s="492"/>
      <c r="C131" s="492"/>
      <c r="D131" s="492">
        <v>16</v>
      </c>
      <c r="E131" s="492"/>
      <c r="F131" s="492"/>
      <c r="G131" s="492"/>
      <c r="H131" s="492"/>
      <c r="I131" s="492"/>
      <c r="J131" s="492"/>
      <c r="K131" s="492"/>
      <c r="L131" s="493"/>
      <c r="M131" s="493"/>
      <c r="N131" s="493"/>
      <c r="O131" s="493"/>
      <c r="P131" s="493"/>
      <c r="Q131" s="493"/>
      <c r="R131" s="492"/>
      <c r="S131" s="492"/>
      <c r="T131" s="492"/>
      <c r="U131" s="492"/>
      <c r="V131" s="492"/>
      <c r="W131" s="492"/>
      <c r="X131" s="492"/>
      <c r="Y131" s="492"/>
      <c r="Z131" s="492"/>
      <c r="AA131" s="492"/>
      <c r="AB131" s="492"/>
      <c r="AC131" s="492"/>
      <c r="AD131" s="492"/>
      <c r="AE131" s="492"/>
      <c r="AF131" s="492"/>
      <c r="AG131" s="492"/>
      <c r="AH131" s="492"/>
      <c r="AI131" s="492"/>
      <c r="AJ131" s="492"/>
      <c r="AK131" s="492"/>
    </row>
    <row r="132" spans="1:52" ht="15">
      <c r="A132" s="492"/>
      <c r="B132" s="492"/>
      <c r="C132" s="492"/>
      <c r="D132" s="492">
        <v>17</v>
      </c>
      <c r="E132" s="492"/>
      <c r="F132" s="492"/>
      <c r="G132" s="492"/>
      <c r="H132" s="492"/>
      <c r="I132" s="492"/>
      <c r="J132" s="492"/>
      <c r="K132" s="492"/>
      <c r="L132" s="493"/>
      <c r="M132" s="493"/>
      <c r="N132" s="493"/>
      <c r="O132" s="493"/>
      <c r="P132" s="493"/>
      <c r="Q132" s="493"/>
      <c r="R132" s="492"/>
      <c r="S132" s="492"/>
      <c r="T132" s="492"/>
      <c r="U132" s="492"/>
      <c r="V132" s="492"/>
      <c r="W132" s="492"/>
      <c r="X132" s="492"/>
      <c r="Y132" s="492"/>
      <c r="Z132" s="492"/>
      <c r="AA132" s="492"/>
      <c r="AB132" s="492"/>
      <c r="AC132" s="492"/>
      <c r="AD132" s="492"/>
      <c r="AE132" s="492"/>
      <c r="AF132" s="492"/>
      <c r="AG132" s="492"/>
      <c r="AH132" s="492"/>
      <c r="AI132" s="492"/>
      <c r="AJ132" s="492"/>
      <c r="AK132" s="492"/>
    </row>
    <row r="133" spans="1:52" ht="15">
      <c r="A133" s="492"/>
      <c r="B133" s="492"/>
      <c r="C133" s="492"/>
      <c r="D133" s="492">
        <v>18</v>
      </c>
      <c r="E133" s="492"/>
      <c r="F133" s="492"/>
      <c r="G133" s="492"/>
      <c r="H133" s="492"/>
      <c r="I133" s="492"/>
      <c r="J133" s="492"/>
      <c r="K133" s="492"/>
      <c r="L133" s="493"/>
      <c r="M133" s="493"/>
      <c r="N133" s="493"/>
      <c r="O133" s="493"/>
      <c r="P133" s="493"/>
      <c r="Q133" s="493"/>
      <c r="R133" s="492"/>
      <c r="S133" s="492"/>
      <c r="T133" s="492"/>
      <c r="U133" s="492"/>
      <c r="V133" s="492"/>
      <c r="W133" s="492"/>
      <c r="X133" s="492"/>
      <c r="Y133" s="492"/>
      <c r="Z133" s="492"/>
      <c r="AA133" s="492"/>
      <c r="AB133" s="492"/>
      <c r="AC133" s="492"/>
      <c r="AD133" s="492"/>
      <c r="AE133" s="492"/>
      <c r="AF133" s="492"/>
      <c r="AG133" s="492"/>
      <c r="AH133" s="492"/>
      <c r="AI133" s="492"/>
      <c r="AJ133" s="492"/>
      <c r="AK133" s="492"/>
    </row>
    <row r="134" spans="1:52" ht="15">
      <c r="A134" s="492"/>
      <c r="B134" s="492"/>
      <c r="C134" s="492"/>
      <c r="D134" s="492">
        <v>19</v>
      </c>
      <c r="E134" s="492"/>
      <c r="F134" s="492"/>
      <c r="G134" s="492"/>
      <c r="H134" s="492"/>
      <c r="I134" s="492"/>
      <c r="J134" s="492"/>
      <c r="K134" s="492"/>
      <c r="L134" s="493"/>
      <c r="M134" s="493"/>
      <c r="N134" s="493"/>
      <c r="O134" s="493"/>
      <c r="P134" s="493"/>
      <c r="Q134" s="493"/>
      <c r="R134" s="492"/>
      <c r="S134" s="492"/>
      <c r="T134" s="492"/>
      <c r="U134" s="492"/>
      <c r="V134" s="492"/>
      <c r="W134" s="492"/>
      <c r="X134" s="492"/>
      <c r="Y134" s="492"/>
      <c r="Z134" s="492"/>
      <c r="AA134" s="492"/>
      <c r="AB134" s="492"/>
      <c r="AC134" s="492"/>
      <c r="AD134" s="492"/>
      <c r="AE134" s="492"/>
      <c r="AF134" s="492"/>
      <c r="AG134" s="492"/>
      <c r="AH134" s="492"/>
      <c r="AI134" s="492"/>
      <c r="AJ134" s="492"/>
      <c r="AK134" s="492"/>
    </row>
    <row r="135" spans="1:52" ht="15">
      <c r="A135" s="492"/>
      <c r="B135" s="492"/>
      <c r="C135" s="492"/>
      <c r="D135" s="492">
        <v>20</v>
      </c>
      <c r="E135" s="492"/>
      <c r="F135" s="492"/>
      <c r="G135" s="492"/>
      <c r="H135" s="492"/>
      <c r="I135" s="492"/>
      <c r="J135" s="492"/>
      <c r="K135" s="492"/>
      <c r="L135" s="493"/>
      <c r="M135" s="493"/>
      <c r="N135" s="493"/>
      <c r="O135" s="493"/>
      <c r="P135" s="493"/>
      <c r="Q135" s="493"/>
      <c r="R135" s="492"/>
      <c r="S135" s="492"/>
      <c r="T135" s="492"/>
      <c r="U135" s="492"/>
      <c r="V135" s="492"/>
      <c r="W135" s="492"/>
      <c r="X135" s="492"/>
      <c r="Y135" s="492"/>
      <c r="Z135" s="492"/>
      <c r="AA135" s="492"/>
      <c r="AB135" s="492"/>
      <c r="AC135" s="492"/>
      <c r="AD135" s="492"/>
      <c r="AE135" s="492"/>
      <c r="AF135" s="492"/>
      <c r="AG135" s="492"/>
      <c r="AH135" s="492"/>
      <c r="AI135" s="492"/>
      <c r="AJ135" s="492"/>
      <c r="AK135" s="492"/>
    </row>
    <row r="136" spans="1:52" ht="15">
      <c r="A136" s="492"/>
      <c r="B136" s="492"/>
      <c r="C136" s="492"/>
      <c r="D136" s="492">
        <v>21</v>
      </c>
      <c r="E136" s="492"/>
      <c r="F136" s="492"/>
      <c r="G136" s="492"/>
      <c r="H136" s="492"/>
      <c r="I136" s="492"/>
      <c r="J136" s="492"/>
      <c r="K136" s="492"/>
      <c r="L136" s="493"/>
      <c r="M136" s="493"/>
      <c r="N136" s="493"/>
      <c r="O136" s="493"/>
      <c r="P136" s="493"/>
      <c r="Q136" s="493"/>
      <c r="R136" s="492"/>
      <c r="S136" s="492"/>
      <c r="T136" s="492"/>
      <c r="U136" s="492"/>
      <c r="V136" s="492"/>
      <c r="W136" s="492"/>
      <c r="X136" s="492"/>
      <c r="Y136" s="492"/>
      <c r="Z136" s="492"/>
      <c r="AA136" s="492"/>
      <c r="AB136" s="492"/>
      <c r="AC136" s="492"/>
      <c r="AD136" s="492"/>
      <c r="AE136" s="492"/>
      <c r="AF136" s="492"/>
      <c r="AG136" s="492"/>
      <c r="AH136" s="492"/>
      <c r="AI136" s="492"/>
      <c r="AJ136" s="492"/>
      <c r="AK136" s="492"/>
    </row>
    <row r="137" spans="1:52">
      <c r="A137" s="492"/>
      <c r="B137" s="492"/>
      <c r="C137" s="492"/>
      <c r="D137" s="492">
        <v>22</v>
      </c>
      <c r="E137" s="492"/>
      <c r="F137" s="492"/>
      <c r="G137" s="492"/>
      <c r="H137" s="492"/>
      <c r="I137" s="492"/>
      <c r="J137" s="492"/>
      <c r="K137" s="492"/>
      <c r="L137" s="492"/>
      <c r="M137" s="492"/>
      <c r="N137" s="492"/>
      <c r="O137" s="492"/>
      <c r="P137" s="492"/>
      <c r="Q137" s="492"/>
      <c r="R137" s="492"/>
      <c r="S137" s="492"/>
      <c r="T137" s="492"/>
      <c r="U137" s="492"/>
      <c r="V137" s="492"/>
      <c r="W137" s="492"/>
      <c r="X137" s="492"/>
      <c r="Y137" s="492"/>
      <c r="Z137" s="492"/>
      <c r="AA137" s="492"/>
      <c r="AB137" s="492"/>
      <c r="AC137" s="492"/>
      <c r="AD137" s="492"/>
      <c r="AE137" s="492"/>
      <c r="AF137" s="492"/>
      <c r="AG137" s="492"/>
      <c r="AH137" s="492"/>
      <c r="AI137" s="492"/>
      <c r="AJ137" s="492"/>
      <c r="AK137" s="492"/>
    </row>
    <row r="138" spans="1:52">
      <c r="A138" s="492"/>
      <c r="B138" s="492"/>
      <c r="C138" s="492"/>
      <c r="D138" s="492">
        <v>23</v>
      </c>
      <c r="E138" s="492"/>
      <c r="F138" s="492"/>
      <c r="G138" s="492"/>
      <c r="H138" s="492"/>
      <c r="I138" s="492"/>
      <c r="J138" s="492"/>
      <c r="K138" s="492"/>
      <c r="L138" s="492"/>
      <c r="M138" s="492"/>
      <c r="N138" s="492"/>
      <c r="O138" s="492"/>
      <c r="P138" s="492"/>
      <c r="Q138" s="492"/>
      <c r="R138" s="492"/>
      <c r="S138" s="492"/>
      <c r="T138" s="492"/>
      <c r="U138" s="492"/>
      <c r="V138" s="492"/>
      <c r="W138" s="492"/>
      <c r="X138" s="492"/>
      <c r="Y138" s="492"/>
      <c r="Z138" s="492"/>
      <c r="AA138" s="492"/>
      <c r="AB138" s="492"/>
      <c r="AC138" s="492"/>
      <c r="AD138" s="492"/>
      <c r="AE138" s="492"/>
      <c r="AF138" s="492"/>
      <c r="AG138" s="492"/>
      <c r="AH138" s="492"/>
      <c r="AI138" s="492"/>
      <c r="AJ138" s="492"/>
      <c r="AK138" s="492"/>
    </row>
    <row r="139" spans="1:52">
      <c r="A139" s="492"/>
      <c r="B139" s="492"/>
      <c r="C139" s="492"/>
      <c r="D139" s="492">
        <v>24</v>
      </c>
      <c r="E139" s="492"/>
      <c r="F139" s="492"/>
      <c r="G139" s="492"/>
      <c r="H139" s="492"/>
      <c r="I139" s="492"/>
      <c r="J139" s="492"/>
      <c r="K139" s="492"/>
      <c r="L139" s="492"/>
      <c r="M139" s="492"/>
      <c r="N139" s="492"/>
      <c r="O139" s="492"/>
      <c r="P139" s="492"/>
      <c r="Q139" s="492"/>
      <c r="R139" s="492"/>
      <c r="S139" s="492"/>
      <c r="T139" s="492"/>
      <c r="U139" s="492"/>
      <c r="V139" s="492"/>
      <c r="W139" s="492"/>
      <c r="X139" s="492"/>
      <c r="Y139" s="492"/>
      <c r="Z139" s="492"/>
      <c r="AA139" s="492"/>
      <c r="AB139" s="492"/>
      <c r="AC139" s="492"/>
      <c r="AD139" s="492"/>
      <c r="AE139" s="492"/>
      <c r="AF139" s="492"/>
      <c r="AG139" s="492"/>
      <c r="AH139" s="492"/>
      <c r="AI139" s="492"/>
      <c r="AJ139" s="492"/>
      <c r="AK139" s="492"/>
    </row>
    <row r="140" spans="1:52">
      <c r="A140" s="492"/>
      <c r="B140" s="492"/>
      <c r="C140" s="492"/>
      <c r="D140" s="492">
        <v>25</v>
      </c>
      <c r="E140" s="492"/>
      <c r="F140" s="492"/>
      <c r="G140" s="492"/>
      <c r="H140" s="492"/>
      <c r="I140" s="492"/>
      <c r="J140" s="492"/>
      <c r="K140" s="492"/>
      <c r="L140" s="492"/>
      <c r="M140" s="492"/>
      <c r="N140" s="492"/>
      <c r="O140" s="492"/>
      <c r="P140" s="492"/>
      <c r="Q140" s="492"/>
      <c r="R140" s="492"/>
      <c r="S140" s="492"/>
      <c r="T140" s="492"/>
      <c r="U140" s="492"/>
      <c r="V140" s="492"/>
      <c r="W140" s="492"/>
      <c r="X140" s="492"/>
      <c r="Y140" s="492"/>
      <c r="Z140" s="492"/>
      <c r="AA140" s="492"/>
      <c r="AB140" s="492"/>
      <c r="AC140" s="492"/>
      <c r="AD140" s="492"/>
      <c r="AE140" s="492"/>
      <c r="AF140" s="492"/>
      <c r="AG140" s="492"/>
      <c r="AH140" s="492"/>
      <c r="AI140" s="492"/>
      <c r="AJ140" s="492"/>
      <c r="AK140" s="492"/>
      <c r="AL140" s="492"/>
      <c r="AM140" s="492"/>
      <c r="AN140" s="492"/>
      <c r="AO140" s="492"/>
      <c r="AP140" s="492"/>
      <c r="AQ140" s="492"/>
      <c r="AR140" s="492"/>
      <c r="AS140" s="492"/>
      <c r="AT140" s="492"/>
      <c r="AU140" s="492"/>
      <c r="AV140" s="492"/>
      <c r="AW140" s="492"/>
      <c r="AX140" s="492"/>
      <c r="AY140" s="492"/>
      <c r="AZ140" s="492"/>
    </row>
    <row r="141" spans="1:52">
      <c r="A141" s="492"/>
      <c r="B141" s="492"/>
      <c r="C141" s="492"/>
      <c r="D141" s="492"/>
      <c r="E141" s="492"/>
      <c r="F141" s="492"/>
      <c r="G141" s="492"/>
      <c r="H141" s="492"/>
      <c r="I141" s="492"/>
      <c r="J141" s="492"/>
      <c r="K141" s="492"/>
      <c r="L141" s="492"/>
      <c r="M141" s="492"/>
      <c r="N141" s="492"/>
      <c r="O141" s="492"/>
      <c r="P141" s="492"/>
      <c r="Q141" s="492"/>
      <c r="R141" s="492"/>
      <c r="S141" s="492"/>
      <c r="T141" s="492"/>
      <c r="U141" s="492"/>
      <c r="V141" s="492"/>
      <c r="W141" s="492"/>
      <c r="X141" s="492"/>
      <c r="Y141" s="492"/>
      <c r="Z141" s="492"/>
      <c r="AA141" s="492"/>
      <c r="AB141" s="492"/>
      <c r="AC141" s="492"/>
      <c r="AD141" s="492"/>
      <c r="AE141" s="492"/>
      <c r="AF141" s="492"/>
      <c r="AG141" s="492"/>
      <c r="AH141" s="492"/>
      <c r="AI141" s="492"/>
      <c r="AJ141" s="492"/>
      <c r="AK141" s="492"/>
      <c r="AL141" s="492"/>
      <c r="AM141" s="492"/>
      <c r="AN141" s="492"/>
      <c r="AO141" s="492"/>
      <c r="AP141" s="492"/>
      <c r="AQ141" s="492"/>
      <c r="AR141" s="492"/>
      <c r="AS141" s="492"/>
      <c r="AT141" s="492"/>
      <c r="AU141" s="492"/>
      <c r="AV141" s="492"/>
      <c r="AW141" s="492"/>
      <c r="AX141" s="492"/>
      <c r="AY141" s="492"/>
      <c r="AZ141" s="492"/>
    </row>
    <row r="142" spans="1:52">
      <c r="A142" s="492"/>
      <c r="B142" s="492"/>
      <c r="C142" s="492"/>
      <c r="D142" s="492"/>
      <c r="E142" s="492"/>
      <c r="F142" s="492"/>
      <c r="G142" s="492"/>
      <c r="H142" s="492"/>
      <c r="I142" s="492"/>
      <c r="J142" s="492"/>
      <c r="K142" s="492"/>
      <c r="L142" s="492"/>
      <c r="M142" s="492"/>
      <c r="N142" s="492"/>
      <c r="O142" s="492"/>
      <c r="P142" s="492"/>
      <c r="Q142" s="492"/>
      <c r="R142" s="492"/>
      <c r="S142" s="492"/>
      <c r="T142" s="492"/>
      <c r="U142" s="492"/>
      <c r="V142" s="492"/>
      <c r="W142" s="492"/>
      <c r="X142" s="492"/>
      <c r="Y142" s="492"/>
      <c r="Z142" s="492"/>
      <c r="AA142" s="492"/>
      <c r="AB142" s="492"/>
      <c r="AC142" s="492"/>
      <c r="AD142" s="492"/>
      <c r="AE142" s="492"/>
      <c r="AF142" s="492"/>
      <c r="AG142" s="492"/>
      <c r="AH142" s="492"/>
      <c r="AI142" s="492"/>
      <c r="AJ142" s="492"/>
      <c r="AK142" s="492"/>
      <c r="AL142" s="492"/>
      <c r="AM142" s="492"/>
      <c r="AN142" s="492"/>
      <c r="AO142" s="492"/>
      <c r="AP142" s="492"/>
      <c r="AQ142" s="492"/>
      <c r="AR142" s="492"/>
      <c r="AS142" s="492"/>
      <c r="AT142" s="492"/>
      <c r="AU142" s="492"/>
      <c r="AV142" s="492"/>
      <c r="AW142" s="492"/>
      <c r="AX142" s="492"/>
      <c r="AY142" s="492"/>
      <c r="AZ142" s="492"/>
    </row>
    <row r="143" spans="1:52">
      <c r="A143" s="492"/>
      <c r="B143" s="492"/>
      <c r="C143" s="492"/>
      <c r="D143" s="492"/>
      <c r="E143" s="492"/>
      <c r="F143" s="492"/>
      <c r="G143" s="492"/>
      <c r="H143" s="492"/>
      <c r="I143" s="492"/>
      <c r="J143" s="492"/>
      <c r="K143" s="492"/>
      <c r="L143" s="492"/>
      <c r="M143" s="492"/>
      <c r="N143" s="492"/>
      <c r="O143" s="492"/>
      <c r="P143" s="492"/>
      <c r="Q143" s="492"/>
      <c r="R143" s="492"/>
      <c r="S143" s="492"/>
      <c r="T143" s="492"/>
      <c r="U143" s="492"/>
      <c r="V143" s="492"/>
      <c r="W143" s="492"/>
      <c r="X143" s="492"/>
      <c r="Y143" s="492"/>
      <c r="Z143" s="492"/>
      <c r="AA143" s="492"/>
      <c r="AB143" s="492"/>
      <c r="AC143" s="492"/>
      <c r="AD143" s="492"/>
      <c r="AE143" s="492"/>
      <c r="AF143" s="492"/>
      <c r="AG143" s="492"/>
      <c r="AH143" s="492"/>
      <c r="AI143" s="492"/>
      <c r="AJ143" s="492"/>
      <c r="AK143" s="492"/>
      <c r="AL143" s="492"/>
      <c r="AM143" s="492"/>
      <c r="AN143" s="492"/>
      <c r="AO143" s="492"/>
      <c r="AP143" s="492"/>
      <c r="AQ143" s="492"/>
      <c r="AR143" s="492"/>
      <c r="AS143" s="492"/>
      <c r="AT143" s="492"/>
      <c r="AU143" s="492"/>
      <c r="AV143" s="492"/>
      <c r="AW143" s="492"/>
      <c r="AX143" s="492"/>
      <c r="AY143" s="492"/>
      <c r="AZ143" s="492"/>
    </row>
    <row r="144" spans="1:52" s="496" customFormat="1">
      <c r="A144" s="495" t="s">
        <v>383</v>
      </c>
      <c r="B144" s="496" t="s">
        <v>351</v>
      </c>
      <c r="C144" s="496" t="s">
        <v>352</v>
      </c>
      <c r="D144" s="496" t="s">
        <v>353</v>
      </c>
      <c r="E144" s="496" t="s">
        <v>338</v>
      </c>
      <c r="F144" s="496" t="s">
        <v>334</v>
      </c>
    </row>
    <row r="145" spans="1:6" s="442" customFormat="1">
      <c r="A145" s="486" t="s">
        <v>26</v>
      </c>
      <c r="B145" s="497" t="s">
        <v>384</v>
      </c>
      <c r="C145" s="497" t="s">
        <v>370</v>
      </c>
      <c r="D145" s="497" t="s">
        <v>385</v>
      </c>
      <c r="E145" s="497" t="s">
        <v>386</v>
      </c>
      <c r="F145" s="497" t="s">
        <v>386</v>
      </c>
    </row>
    <row r="146" spans="1:6">
      <c r="A146" s="486" t="s">
        <v>387</v>
      </c>
      <c r="B146" s="442" t="s">
        <v>111</v>
      </c>
      <c r="C146" s="442" t="s">
        <v>331</v>
      </c>
      <c r="D146" s="497" t="s">
        <v>388</v>
      </c>
      <c r="E146" s="442">
        <v>16</v>
      </c>
      <c r="F146" s="442">
        <v>20</v>
      </c>
    </row>
    <row r="147" spans="1:6">
      <c r="A147" s="486" t="s">
        <v>389</v>
      </c>
      <c r="B147" s="442" t="s">
        <v>323</v>
      </c>
      <c r="C147" s="442" t="s">
        <v>390</v>
      </c>
      <c r="D147" s="497" t="s">
        <v>391</v>
      </c>
      <c r="E147" s="442">
        <v>157</v>
      </c>
      <c r="F147" s="442">
        <v>245</v>
      </c>
    </row>
    <row r="148" spans="1:6">
      <c r="A148" s="486" t="s">
        <v>392</v>
      </c>
      <c r="B148" s="442" t="s">
        <v>393</v>
      </c>
      <c r="C148" s="442" t="s">
        <v>60</v>
      </c>
      <c r="D148" s="497" t="s">
        <v>394</v>
      </c>
      <c r="E148" s="442">
        <v>800</v>
      </c>
      <c r="F148" s="442">
        <v>800</v>
      </c>
    </row>
    <row r="149" spans="1:6">
      <c r="D149" s="497" t="s">
        <v>395</v>
      </c>
      <c r="E149" s="442"/>
      <c r="F149" s="442"/>
    </row>
    <row r="150" spans="1:6">
      <c r="B150" s="442"/>
      <c r="C150" s="442"/>
      <c r="D150" s="497" t="s">
        <v>396</v>
      </c>
      <c r="E150" s="442"/>
      <c r="F150" s="442"/>
    </row>
    <row r="151" spans="1:6">
      <c r="B151" s="442"/>
      <c r="C151" s="442"/>
      <c r="D151" s="497" t="s">
        <v>397</v>
      </c>
      <c r="E151" s="442"/>
      <c r="F151" s="442"/>
    </row>
    <row r="152" spans="1:6">
      <c r="B152" s="442"/>
      <c r="C152" s="442"/>
      <c r="D152" s="497" t="s">
        <v>398</v>
      </c>
      <c r="E152" s="442"/>
      <c r="F152" s="442"/>
    </row>
    <row r="153" spans="1:6">
      <c r="B153" s="442"/>
      <c r="C153" s="442"/>
      <c r="D153" s="497" t="s">
        <v>399</v>
      </c>
      <c r="E153" s="442"/>
      <c r="F153" s="442"/>
    </row>
    <row r="163" spans="1:52">
      <c r="A163" s="492"/>
      <c r="B163" s="492"/>
      <c r="C163" s="492"/>
      <c r="D163" s="492"/>
      <c r="E163" s="492"/>
      <c r="F163" s="492"/>
      <c r="G163" s="492"/>
      <c r="H163" s="492"/>
      <c r="I163" s="492"/>
      <c r="J163" s="492"/>
      <c r="K163" s="492"/>
      <c r="L163" s="492"/>
      <c r="M163" s="492"/>
      <c r="N163" s="492"/>
      <c r="O163" s="492"/>
      <c r="P163" s="492"/>
      <c r="Q163" s="492"/>
      <c r="R163" s="492"/>
      <c r="S163" s="492"/>
      <c r="T163" s="492"/>
      <c r="U163" s="492"/>
      <c r="V163" s="492"/>
      <c r="W163" s="492"/>
      <c r="X163" s="492"/>
      <c r="Y163" s="492"/>
      <c r="Z163" s="492"/>
      <c r="AA163" s="492"/>
      <c r="AB163" s="492"/>
      <c r="AC163" s="492"/>
      <c r="AD163" s="492"/>
      <c r="AE163" s="492"/>
      <c r="AF163" s="492"/>
      <c r="AG163" s="492"/>
      <c r="AH163" s="492"/>
      <c r="AI163" s="492"/>
      <c r="AJ163" s="492"/>
      <c r="AK163" s="492"/>
      <c r="AL163" s="492"/>
      <c r="AM163" s="492"/>
      <c r="AN163" s="492"/>
      <c r="AO163" s="492"/>
      <c r="AP163" s="492"/>
      <c r="AQ163" s="492"/>
      <c r="AR163" s="492"/>
      <c r="AS163" s="492"/>
      <c r="AT163" s="492"/>
      <c r="AU163" s="492"/>
      <c r="AV163" s="492"/>
      <c r="AW163" s="492"/>
      <c r="AX163" s="492"/>
      <c r="AY163" s="492"/>
      <c r="AZ163" s="492"/>
    </row>
  </sheetData>
  <sheetProtection algorithmName="SHA-512" hashValue="cW6MsNd34wXmY6A0KrKGnrifgSp1Pllet1rHOwP3bnJg3V2imo2anR5G15BavVWsB9UnK2Obuz7O82pid0Hq3g==" saltValue="CjssRMZM/JwyCGE+es5jPQ==" spinCount="100000" sheet="1" selectLockedCells="1" selectUnlockedCells="1"/>
  <mergeCells count="3">
    <mergeCell ref="C27:H27"/>
    <mergeCell ref="E115:U115"/>
    <mergeCell ref="V115:AK115"/>
  </mergeCells>
  <phoneticPr fontId="19" type="noConversion"/>
  <pageMargins left="0.7" right="0.7" top="0.78740157499999996" bottom="0.78740157499999996" header="0.3" footer="0.3"/>
  <pageSetup paperSize="9" orientation="portrait" verticalDpi="300"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7AF0F-1EB3-4C1C-83BB-D887B6583AE9}">
  <sheetPr codeName="Tabelle11"/>
  <dimension ref="A1:V117"/>
  <sheetViews>
    <sheetView showGridLines="0" showRowColHeaders="0" zoomScaleNormal="100" zoomScaleSheetLayoutView="100" workbookViewId="0">
      <selection activeCell="H39" sqref="H39"/>
    </sheetView>
  </sheetViews>
  <sheetFormatPr baseColWidth="10" defaultRowHeight="16.5" customHeight="1"/>
  <cols>
    <col min="1" max="1" width="27" style="646" customWidth="1"/>
    <col min="2" max="2" width="5.85546875" style="751" customWidth="1"/>
    <col min="3" max="3" width="8.140625" style="751" customWidth="1"/>
    <col min="4" max="4" width="8.140625" style="646" customWidth="1"/>
    <col min="5" max="5" width="6.5703125" style="753" customWidth="1"/>
    <col min="6" max="6" width="14.140625" style="753" customWidth="1"/>
    <col min="7" max="8" width="7.5703125" style="753" customWidth="1"/>
    <col min="9" max="9" width="6.140625" style="1306" customWidth="1"/>
    <col min="10" max="16384" width="11.42578125" style="1306"/>
  </cols>
  <sheetData>
    <row r="1" spans="1:22" ht="16.5" customHeight="1">
      <c r="A1" s="1548" t="s">
        <v>2052</v>
      </c>
      <c r="B1" s="1548"/>
      <c r="C1" s="1548"/>
      <c r="D1" s="1548"/>
      <c r="E1" s="1548"/>
      <c r="F1" s="1548"/>
      <c r="G1" s="1548"/>
      <c r="H1" s="1549" t="s">
        <v>401</v>
      </c>
      <c r="I1" s="1549"/>
      <c r="K1" s="1221"/>
      <c r="L1" s="1221"/>
      <c r="M1" s="1221"/>
      <c r="N1" s="1221"/>
      <c r="O1" s="1221"/>
      <c r="P1" s="1221"/>
      <c r="Q1" s="1221"/>
      <c r="R1" s="1221"/>
      <c r="S1" s="1221"/>
      <c r="T1" s="1221"/>
      <c r="U1" s="1221"/>
      <c r="V1" s="1221"/>
    </row>
    <row r="2" spans="1:22" ht="16.5" customHeight="1">
      <c r="A2" s="1589" t="s">
        <v>2349</v>
      </c>
      <c r="B2" s="1589"/>
      <c r="C2" s="1589"/>
      <c r="D2" s="1589"/>
      <c r="E2" s="1589"/>
      <c r="F2" s="1589"/>
      <c r="G2" s="1589"/>
      <c r="H2" s="1551" t="s">
        <v>402</v>
      </c>
      <c r="I2" s="1551"/>
      <c r="K2" s="1221"/>
      <c r="L2" s="1221"/>
      <c r="M2" s="1221"/>
      <c r="N2" s="1221"/>
      <c r="O2" s="1221"/>
      <c r="P2" s="1221"/>
      <c r="Q2" s="1221"/>
      <c r="R2" s="1221"/>
      <c r="S2" s="1221"/>
      <c r="T2" s="1221"/>
      <c r="U2" s="1221"/>
      <c r="V2" s="1221"/>
    </row>
    <row r="3" spans="1:22" ht="16.5" customHeight="1">
      <c r="A3" s="769" t="s">
        <v>2053</v>
      </c>
      <c r="E3" s="751"/>
      <c r="F3" s="751"/>
      <c r="K3" s="1221"/>
      <c r="L3" s="1221"/>
      <c r="M3" s="1221"/>
      <c r="N3" s="1221"/>
      <c r="O3" s="1221"/>
      <c r="P3" s="1221"/>
      <c r="Q3" s="1221"/>
      <c r="R3" s="1221"/>
      <c r="S3" s="1221"/>
      <c r="T3" s="1221"/>
      <c r="U3" s="1221"/>
      <c r="V3" s="1221"/>
    </row>
    <row r="4" spans="1:22" ht="16.5" customHeight="1">
      <c r="A4" s="1520" t="s">
        <v>2055</v>
      </c>
      <c r="B4" s="1520"/>
      <c r="C4" s="1520"/>
      <c r="D4" s="1520"/>
      <c r="E4" s="1520"/>
      <c r="F4" s="1520"/>
      <c r="G4" s="1520"/>
      <c r="H4" s="1520"/>
      <c r="I4" s="1520"/>
      <c r="K4" s="1221"/>
      <c r="L4" s="1221"/>
      <c r="M4" s="1221"/>
      <c r="N4" s="1221"/>
      <c r="O4" s="1221"/>
      <c r="P4" s="1221"/>
      <c r="Q4" s="1221"/>
      <c r="R4" s="1221"/>
      <c r="S4" s="1221"/>
      <c r="T4" s="1221"/>
      <c r="U4" s="1221"/>
      <c r="V4" s="1221"/>
    </row>
    <row r="5" spans="1:22" ht="16.5" customHeight="1">
      <c r="A5" s="1520"/>
      <c r="B5" s="1520"/>
      <c r="C5" s="1520"/>
      <c r="D5" s="1520"/>
      <c r="E5" s="1520"/>
      <c r="F5" s="1520"/>
      <c r="G5" s="1520"/>
      <c r="H5" s="1520"/>
      <c r="I5" s="1520"/>
      <c r="K5" s="1221"/>
      <c r="L5" s="1221"/>
      <c r="M5" s="1221"/>
      <c r="N5" s="1221"/>
      <c r="O5" s="1221"/>
      <c r="P5" s="1221"/>
      <c r="Q5" s="1221"/>
      <c r="R5" s="1221"/>
      <c r="S5" s="1221"/>
      <c r="T5" s="1221"/>
      <c r="U5" s="1221"/>
      <c r="V5" s="1221"/>
    </row>
    <row r="6" spans="1:22" ht="16.5" customHeight="1">
      <c r="A6" s="1520"/>
      <c r="B6" s="1520"/>
      <c r="C6" s="1520"/>
      <c r="D6" s="1520"/>
      <c r="E6" s="1520"/>
      <c r="F6" s="1520"/>
      <c r="G6" s="1520"/>
      <c r="H6" s="1520"/>
      <c r="I6" s="1520"/>
      <c r="K6" s="1221"/>
      <c r="L6" s="1221"/>
      <c r="M6" s="1221"/>
      <c r="N6" s="1221"/>
      <c r="O6" s="1221"/>
      <c r="P6" s="1221"/>
      <c r="Q6" s="1221"/>
      <c r="R6" s="1221"/>
      <c r="S6" s="1221"/>
      <c r="T6" s="1221"/>
      <c r="U6" s="1221"/>
      <c r="V6" s="1221"/>
    </row>
    <row r="7" spans="1:22" ht="16.5" customHeight="1">
      <c r="A7" s="1590" t="e" vm="22">
        <v>#VALUE!</v>
      </c>
      <c r="B7" s="1590"/>
      <c r="C7" s="1590"/>
      <c r="D7" s="1590"/>
      <c r="E7" s="1590"/>
      <c r="F7" s="1590"/>
      <c r="G7" s="1590"/>
      <c r="H7" s="1590"/>
      <c r="I7" s="1590"/>
      <c r="J7" s="1306" t="s">
        <v>2341</v>
      </c>
    </row>
    <row r="8" spans="1:22" ht="16.5" customHeight="1">
      <c r="A8" s="1590"/>
      <c r="B8" s="1590"/>
      <c r="C8" s="1590"/>
      <c r="D8" s="1590"/>
      <c r="E8" s="1590"/>
      <c r="F8" s="1590"/>
      <c r="G8" s="1590"/>
      <c r="H8" s="1590"/>
      <c r="I8" s="1590"/>
      <c r="J8" s="1306" t="e" vm="22">
        <v>#VALUE!</v>
      </c>
      <c r="K8" s="646"/>
    </row>
    <row r="9" spans="1:22" ht="16.5" customHeight="1">
      <c r="A9" s="1590"/>
      <c r="B9" s="1590"/>
      <c r="C9" s="1590"/>
      <c r="D9" s="1590"/>
      <c r="E9" s="1590"/>
      <c r="F9" s="1590"/>
      <c r="G9" s="1590"/>
      <c r="H9" s="1590"/>
      <c r="I9" s="1590"/>
      <c r="K9" s="646"/>
    </row>
    <row r="10" spans="1:22" ht="16.5" customHeight="1">
      <c r="A10" s="1590"/>
      <c r="B10" s="1590"/>
      <c r="C10" s="1590"/>
      <c r="D10" s="1590"/>
      <c r="E10" s="1590"/>
      <c r="F10" s="1590"/>
      <c r="G10" s="1590"/>
      <c r="H10" s="1590"/>
      <c r="I10" s="1590"/>
    </row>
    <row r="11" spans="1:22" ht="16.5" customHeight="1">
      <c r="A11" s="1590"/>
      <c r="B11" s="1590"/>
      <c r="C11" s="1590"/>
      <c r="D11" s="1590"/>
      <c r="E11" s="1590"/>
      <c r="F11" s="1590"/>
      <c r="G11" s="1590"/>
      <c r="H11" s="1590"/>
      <c r="I11" s="1590"/>
    </row>
    <row r="12" spans="1:22" ht="16.5" customHeight="1">
      <c r="A12" s="1590"/>
      <c r="B12" s="1590"/>
      <c r="C12" s="1590"/>
      <c r="D12" s="1590"/>
      <c r="E12" s="1590"/>
      <c r="F12" s="1590"/>
      <c r="G12" s="1590"/>
      <c r="H12" s="1590"/>
      <c r="I12" s="1590"/>
    </row>
    <row r="13" spans="1:22" ht="16.5" customHeight="1">
      <c r="A13" s="1590"/>
      <c r="B13" s="1590"/>
      <c r="C13" s="1590"/>
      <c r="D13" s="1590"/>
      <c r="E13" s="1590"/>
      <c r="F13" s="1590"/>
      <c r="G13" s="1590"/>
      <c r="H13" s="1590"/>
      <c r="I13" s="1590"/>
    </row>
    <row r="14" spans="1:22" ht="16.5" customHeight="1">
      <c r="A14" s="1590"/>
      <c r="B14" s="1590"/>
      <c r="C14" s="1590"/>
      <c r="D14" s="1590"/>
      <c r="E14" s="1590"/>
      <c r="F14" s="1590"/>
      <c r="G14" s="1590"/>
      <c r="H14" s="1590"/>
      <c r="I14" s="1590"/>
    </row>
    <row r="15" spans="1:22" ht="16.5" customHeight="1">
      <c r="A15" s="1590"/>
      <c r="B15" s="1590"/>
      <c r="C15" s="1590"/>
      <c r="D15" s="1590"/>
      <c r="E15" s="1590"/>
      <c r="F15" s="1590"/>
      <c r="G15" s="1590"/>
      <c r="H15" s="1590"/>
      <c r="I15" s="1590"/>
    </row>
    <row r="16" spans="1:22" ht="16.5" customHeight="1">
      <c r="A16" s="1590"/>
      <c r="B16" s="1590"/>
      <c r="C16" s="1590"/>
      <c r="D16" s="1590"/>
      <c r="E16" s="1590"/>
      <c r="F16" s="1590"/>
      <c r="G16" s="1590"/>
      <c r="H16" s="1590"/>
      <c r="I16" s="1590"/>
    </row>
    <row r="17" spans="1:9" ht="16.5" customHeight="1">
      <c r="A17" s="1590"/>
      <c r="B17" s="1590"/>
      <c r="C17" s="1590"/>
      <c r="D17" s="1590"/>
      <c r="E17" s="1590"/>
      <c r="F17" s="1590"/>
      <c r="G17" s="1590"/>
      <c r="H17" s="1590"/>
      <c r="I17" s="1590"/>
    </row>
    <row r="18" spans="1:9" ht="16.5" customHeight="1">
      <c r="A18" s="1590"/>
      <c r="B18" s="1590"/>
      <c r="C18" s="1590"/>
      <c r="D18" s="1590"/>
      <c r="E18" s="1590"/>
      <c r="F18" s="1590"/>
      <c r="G18" s="1590"/>
      <c r="H18" s="1590"/>
      <c r="I18" s="1590"/>
    </row>
    <row r="19" spans="1:9" ht="16.5" customHeight="1">
      <c r="A19" s="1590"/>
      <c r="B19" s="1590"/>
      <c r="C19" s="1590"/>
      <c r="D19" s="1590"/>
      <c r="E19" s="1590"/>
      <c r="F19" s="1590"/>
      <c r="G19" s="1590"/>
      <c r="H19" s="1590"/>
      <c r="I19" s="1590"/>
    </row>
    <row r="20" spans="1:9" ht="16.5" customHeight="1">
      <c r="A20" s="1590"/>
      <c r="B20" s="1590"/>
      <c r="C20" s="1590"/>
      <c r="D20" s="1590"/>
      <c r="E20" s="1590"/>
      <c r="F20" s="1590"/>
      <c r="G20" s="1590"/>
      <c r="H20" s="1590"/>
      <c r="I20" s="1590"/>
    </row>
    <row r="21" spans="1:9" ht="16.5" customHeight="1">
      <c r="A21" s="1590"/>
      <c r="B21" s="1590"/>
      <c r="C21" s="1590"/>
      <c r="D21" s="1590"/>
      <c r="E21" s="1590"/>
      <c r="F21" s="1590"/>
      <c r="G21" s="1590"/>
      <c r="H21" s="1590"/>
      <c r="I21" s="1590"/>
    </row>
    <row r="22" spans="1:9" ht="16.5" customHeight="1">
      <c r="A22" s="1590"/>
      <c r="B22" s="1590"/>
      <c r="C22" s="1590"/>
      <c r="D22" s="1590"/>
      <c r="E22" s="1590"/>
      <c r="F22" s="1590"/>
      <c r="G22" s="1590"/>
      <c r="H22" s="1590"/>
      <c r="I22" s="1590"/>
    </row>
    <row r="23" spans="1:9" ht="16.5" customHeight="1">
      <c r="A23" s="1590"/>
      <c r="B23" s="1590"/>
      <c r="C23" s="1590"/>
      <c r="D23" s="1590"/>
      <c r="E23" s="1590"/>
      <c r="F23" s="1590"/>
      <c r="G23" s="1590"/>
      <c r="H23" s="1590"/>
      <c r="I23" s="1590"/>
    </row>
    <row r="24" spans="1:9" ht="16.5" customHeight="1">
      <c r="A24" s="1590"/>
      <c r="B24" s="1590"/>
      <c r="C24" s="1590"/>
      <c r="D24" s="1590"/>
      <c r="E24" s="1590"/>
      <c r="F24" s="1590"/>
      <c r="G24" s="1590"/>
      <c r="H24" s="1590"/>
      <c r="I24" s="1590"/>
    </row>
    <row r="25" spans="1:9" ht="16.5" customHeight="1">
      <c r="A25" s="1590"/>
      <c r="B25" s="1590"/>
      <c r="C25" s="1590"/>
      <c r="D25" s="1590"/>
      <c r="E25" s="1590"/>
      <c r="F25" s="1590"/>
      <c r="G25" s="1590"/>
      <c r="H25" s="1590"/>
      <c r="I25" s="1590"/>
    </row>
    <row r="26" spans="1:9" ht="16.5" customHeight="1">
      <c r="A26" s="1590"/>
      <c r="B26" s="1590"/>
      <c r="C26" s="1590"/>
      <c r="D26" s="1590"/>
      <c r="E26" s="1590"/>
      <c r="F26" s="1590"/>
      <c r="G26" s="1590"/>
      <c r="H26" s="1590"/>
      <c r="I26" s="1590"/>
    </row>
    <row r="27" spans="1:9" ht="16.5" customHeight="1">
      <c r="A27" s="1590"/>
      <c r="B27" s="1590"/>
      <c r="C27" s="1590"/>
      <c r="D27" s="1590"/>
      <c r="E27" s="1590"/>
      <c r="F27" s="1590"/>
      <c r="G27" s="1590"/>
      <c r="H27" s="1590"/>
      <c r="I27" s="1590"/>
    </row>
    <row r="28" spans="1:9" ht="16.5" customHeight="1">
      <c r="A28" s="769" t="s">
        <v>1120</v>
      </c>
      <c r="B28" s="781"/>
      <c r="C28" s="781"/>
      <c r="E28" s="751"/>
      <c r="F28" s="751"/>
      <c r="G28" s="753" t="s">
        <v>2371</v>
      </c>
    </row>
    <row r="29" spans="1:9" ht="16.5" customHeight="1">
      <c r="A29" s="1308" t="s">
        <v>26</v>
      </c>
      <c r="C29" s="787" t="s">
        <v>52</v>
      </c>
    </row>
    <row r="30" spans="1:9" ht="16.5" customHeight="1">
      <c r="A30" s="1308" t="s">
        <v>481</v>
      </c>
      <c r="B30" s="751" t="s">
        <v>1927</v>
      </c>
      <c r="C30" s="787">
        <v>385</v>
      </c>
      <c r="D30" s="646" t="s">
        <v>115</v>
      </c>
      <c r="E30" s="1308"/>
    </row>
    <row r="31" spans="1:9" ht="16.5" customHeight="1">
      <c r="A31" s="1308" t="s">
        <v>456</v>
      </c>
      <c r="B31" s="751" t="s">
        <v>2102</v>
      </c>
      <c r="C31" s="787">
        <v>240</v>
      </c>
      <c r="D31" s="646" t="s">
        <v>2</v>
      </c>
    </row>
    <row r="32" spans="1:9" ht="16.5" customHeight="1">
      <c r="A32" s="1308" t="s">
        <v>458</v>
      </c>
      <c r="B32" s="751" t="s">
        <v>2103</v>
      </c>
      <c r="C32" s="787">
        <v>240</v>
      </c>
      <c r="D32" s="646" t="s">
        <v>2</v>
      </c>
    </row>
    <row r="34" spans="1:9" ht="16.5" customHeight="1">
      <c r="A34" s="769" t="s">
        <v>926</v>
      </c>
    </row>
    <row r="35" spans="1:9" ht="16.5" customHeight="1">
      <c r="A35" s="646" t="s">
        <v>26</v>
      </c>
      <c r="C35" s="787" t="s">
        <v>52</v>
      </c>
    </row>
    <row r="36" spans="1:9" ht="16.5" customHeight="1">
      <c r="A36" s="1308" t="s">
        <v>481</v>
      </c>
      <c r="B36" s="751" t="s">
        <v>1928</v>
      </c>
      <c r="C36" s="787">
        <v>385</v>
      </c>
      <c r="D36" s="646" t="s">
        <v>115</v>
      </c>
      <c r="E36" s="1308"/>
      <c r="G36" s="754"/>
    </row>
    <row r="37" spans="1:9" ht="16.5" customHeight="1">
      <c r="A37" s="646" t="s">
        <v>456</v>
      </c>
      <c r="B37" s="751" t="s">
        <v>1869</v>
      </c>
      <c r="C37" s="787">
        <v>200</v>
      </c>
      <c r="D37" s="646" t="s">
        <v>2</v>
      </c>
    </row>
    <row r="38" spans="1:9" ht="16.5" customHeight="1">
      <c r="A38" s="646" t="s">
        <v>458</v>
      </c>
      <c r="B38" s="751" t="s">
        <v>1870</v>
      </c>
      <c r="C38" s="787">
        <v>600</v>
      </c>
      <c r="D38" s="646" t="s">
        <v>2</v>
      </c>
    </row>
    <row r="40" spans="1:9" ht="16.5" customHeight="1">
      <c r="A40" s="646" t="s">
        <v>726</v>
      </c>
      <c r="B40" s="646" t="s">
        <v>1871</v>
      </c>
    </row>
    <row r="41" spans="1:9" ht="16.5" customHeight="1">
      <c r="B41" s="751" t="s">
        <v>1873</v>
      </c>
      <c r="C41" s="787">
        <v>50</v>
      </c>
      <c r="D41" s="646" t="s">
        <v>2</v>
      </c>
      <c r="F41" s="650" t="s">
        <v>2065</v>
      </c>
      <c r="G41" s="754"/>
    </row>
    <row r="42" spans="1:9" ht="16.5" customHeight="1">
      <c r="C42" s="787"/>
      <c r="E42" s="751"/>
      <c r="F42" s="751"/>
    </row>
    <row r="43" spans="1:9" ht="16.5" customHeight="1">
      <c r="A43" s="769" t="s">
        <v>2085</v>
      </c>
      <c r="C43" s="787"/>
      <c r="E43" s="751"/>
      <c r="F43" s="751"/>
    </row>
    <row r="44" spans="1:9" ht="16.5" customHeight="1">
      <c r="A44" s="646" t="s">
        <v>1878</v>
      </c>
      <c r="B44" s="886" t="s">
        <v>1879</v>
      </c>
      <c r="C44" s="1306"/>
      <c r="E44" s="751"/>
      <c r="F44" s="751"/>
    </row>
    <row r="45" spans="1:9" ht="16.5" customHeight="1">
      <c r="A45" s="646" t="s">
        <v>1818</v>
      </c>
      <c r="B45" s="751" t="s">
        <v>275</v>
      </c>
      <c r="C45" s="787">
        <v>2</v>
      </c>
    </row>
    <row r="46" spans="1:9" ht="16.5" customHeight="1">
      <c r="A46" s="646" t="s">
        <v>375</v>
      </c>
      <c r="B46" s="751" t="s">
        <v>111</v>
      </c>
      <c r="C46" s="787">
        <v>10</v>
      </c>
      <c r="D46" s="646" t="s">
        <v>2</v>
      </c>
    </row>
    <row r="47" spans="1:9" ht="16.5" customHeight="1">
      <c r="A47" s="646" t="s">
        <v>2382</v>
      </c>
      <c r="B47" s="751" t="s">
        <v>1874</v>
      </c>
      <c r="C47" s="787">
        <v>350</v>
      </c>
      <c r="D47" s="646" t="s">
        <v>2</v>
      </c>
      <c r="E47" s="753" t="s">
        <v>2345</v>
      </c>
    </row>
    <row r="48" spans="1:9" ht="16.5" customHeight="1">
      <c r="A48" s="646" t="s">
        <v>536</v>
      </c>
      <c r="B48" s="751" t="s">
        <v>2049</v>
      </c>
      <c r="C48" s="787">
        <v>15</v>
      </c>
      <c r="D48" s="753" t="s">
        <v>2</v>
      </c>
      <c r="E48" s="646" t="s">
        <v>2083</v>
      </c>
      <c r="F48" s="646"/>
      <c r="G48" s="646"/>
      <c r="H48" s="646"/>
      <c r="I48" s="646"/>
    </row>
    <row r="49" spans="1:10" ht="16.5" customHeight="1">
      <c r="A49" s="646" t="s">
        <v>1868</v>
      </c>
      <c r="B49" s="1309" t="s">
        <v>479</v>
      </c>
      <c r="C49" s="787">
        <v>30</v>
      </c>
      <c r="D49" s="646" t="s">
        <v>270</v>
      </c>
      <c r="E49" s="751"/>
    </row>
    <row r="50" spans="1:10" ht="16.5" customHeight="1">
      <c r="A50" s="650" t="s">
        <v>1881</v>
      </c>
      <c r="B50" s="751" t="s">
        <v>2145</v>
      </c>
      <c r="C50" s="778">
        <v>57.735026918962575</v>
      </c>
      <c r="D50" s="646" t="s">
        <v>2</v>
      </c>
      <c r="E50" s="1310" t="s">
        <v>2066</v>
      </c>
    </row>
    <row r="51" spans="1:10" ht="16.5" customHeight="1">
      <c r="A51" s="646" t="s">
        <v>2080</v>
      </c>
      <c r="B51" s="751" t="s">
        <v>2104</v>
      </c>
      <c r="C51" s="787">
        <v>127.26497308103745</v>
      </c>
      <c r="D51" s="646" t="s">
        <v>2</v>
      </c>
      <c r="E51" s="1310" t="s">
        <v>2344</v>
      </c>
    </row>
    <row r="52" spans="1:10" ht="16.5" customHeight="1">
      <c r="A52" s="646" t="s">
        <v>2081</v>
      </c>
      <c r="B52" s="751" t="s">
        <v>2105</v>
      </c>
      <c r="C52" s="787">
        <v>149.99999999999997</v>
      </c>
      <c r="D52" s="646" t="s">
        <v>2</v>
      </c>
      <c r="E52" s="1310" t="s">
        <v>2082</v>
      </c>
    </row>
    <row r="53" spans="1:10" ht="16.5" customHeight="1">
      <c r="A53" s="646" t="s">
        <v>2079</v>
      </c>
      <c r="B53" s="751" t="s">
        <v>2106</v>
      </c>
      <c r="C53" s="787">
        <v>240.00000000000003</v>
      </c>
      <c r="D53" s="646" t="s">
        <v>2</v>
      </c>
      <c r="E53" s="1310" t="s">
        <v>2346</v>
      </c>
    </row>
    <row r="54" spans="1:10" ht="16.5" customHeight="1">
      <c r="A54" s="646" t="s">
        <v>1940</v>
      </c>
      <c r="B54" s="751" t="s">
        <v>1872</v>
      </c>
      <c r="C54" s="778">
        <v>11</v>
      </c>
      <c r="D54" s="646" t="s">
        <v>3</v>
      </c>
      <c r="E54" s="754" t="s">
        <v>1906</v>
      </c>
      <c r="G54" s="755"/>
      <c r="H54" s="755"/>
    </row>
    <row r="55" spans="1:10" ht="16.5" customHeight="1">
      <c r="A55" s="646" t="s">
        <v>2069</v>
      </c>
      <c r="B55" s="751" t="s">
        <v>2070</v>
      </c>
      <c r="C55" s="787">
        <v>30</v>
      </c>
      <c r="D55" s="646" t="s">
        <v>2</v>
      </c>
      <c r="E55" s="753" t="s">
        <v>2099</v>
      </c>
      <c r="F55" s="755"/>
      <c r="G55" s="755"/>
      <c r="H55" s="755"/>
    </row>
    <row r="56" spans="1:10" ht="16.5" customHeight="1">
      <c r="C56" s="787"/>
      <c r="F56" s="755"/>
      <c r="G56" s="755"/>
      <c r="H56" s="755"/>
    </row>
    <row r="57" spans="1:10" ht="16.5" customHeight="1">
      <c r="A57" s="769" t="s">
        <v>1893</v>
      </c>
      <c r="C57" s="787"/>
    </row>
    <row r="58" spans="1:10" ht="16.5" customHeight="1">
      <c r="B58" s="751" t="s">
        <v>2067</v>
      </c>
      <c r="C58" s="787">
        <v>55.107349850060594</v>
      </c>
      <c r="D58" s="787" t="s">
        <v>1892</v>
      </c>
      <c r="E58" s="787">
        <v>50</v>
      </c>
      <c r="F58" s="646" t="s">
        <v>2</v>
      </c>
      <c r="G58" s="646" t="s">
        <v>2071</v>
      </c>
      <c r="H58" s="753" t="s">
        <v>2072</v>
      </c>
    </row>
    <row r="59" spans="1:10" ht="16.5" customHeight="1">
      <c r="B59" s="751" t="s">
        <v>2068</v>
      </c>
      <c r="C59" s="787">
        <v>31.81624327025936</v>
      </c>
      <c r="D59" s="787" t="s">
        <v>1892</v>
      </c>
      <c r="E59" s="787">
        <v>30</v>
      </c>
      <c r="F59" s="646" t="s">
        <v>2</v>
      </c>
      <c r="G59" s="646" t="s">
        <v>2073</v>
      </c>
      <c r="H59" s="753" t="s">
        <v>2076</v>
      </c>
    </row>
    <row r="60" spans="1:10" ht="16.5" customHeight="1">
      <c r="B60" s="751" t="s">
        <v>1875</v>
      </c>
      <c r="C60" s="787">
        <v>40</v>
      </c>
      <c r="D60" s="787" t="s">
        <v>1892</v>
      </c>
      <c r="E60" s="751">
        <v>30</v>
      </c>
      <c r="F60" s="646" t="s">
        <v>2</v>
      </c>
      <c r="G60" s="646" t="s">
        <v>2074</v>
      </c>
      <c r="H60" s="753" t="s">
        <v>2076</v>
      </c>
      <c r="J60" s="646"/>
    </row>
    <row r="61" spans="1:10" ht="16.5" customHeight="1">
      <c r="B61" s="751" t="s">
        <v>1876</v>
      </c>
      <c r="C61" s="787">
        <v>40</v>
      </c>
      <c r="D61" s="787" t="s">
        <v>1892</v>
      </c>
      <c r="E61" s="751">
        <v>30</v>
      </c>
      <c r="F61" s="646" t="s">
        <v>2</v>
      </c>
      <c r="G61" s="646" t="s">
        <v>2075</v>
      </c>
      <c r="H61" s="753" t="s">
        <v>2076</v>
      </c>
      <c r="J61" s="646"/>
    </row>
    <row r="62" spans="1:10" ht="16.5" customHeight="1">
      <c r="B62" s="751" t="s">
        <v>1877</v>
      </c>
      <c r="C62" s="787">
        <v>50</v>
      </c>
      <c r="D62" s="787" t="s">
        <v>1892</v>
      </c>
      <c r="E62" s="751">
        <v>50</v>
      </c>
      <c r="F62" s="646" t="s">
        <v>2</v>
      </c>
      <c r="G62" s="646" t="s">
        <v>2077</v>
      </c>
      <c r="H62" s="753" t="s">
        <v>2078</v>
      </c>
      <c r="J62" s="646"/>
    </row>
    <row r="63" spans="1:10" ht="16.5" customHeight="1">
      <c r="C63" s="787"/>
      <c r="D63" s="787"/>
      <c r="E63" s="751"/>
      <c r="F63" s="646"/>
      <c r="G63" s="646"/>
      <c r="J63" s="646"/>
    </row>
    <row r="64" spans="1:10" ht="16.5" customHeight="1">
      <c r="A64" s="769" t="s">
        <v>1895</v>
      </c>
    </row>
    <row r="65" spans="1:11" ht="16.5" customHeight="1">
      <c r="A65" s="650" t="s">
        <v>1883</v>
      </c>
      <c r="B65" s="751" t="s">
        <v>1990</v>
      </c>
      <c r="C65" s="778">
        <v>149.99999999999997</v>
      </c>
      <c r="D65" s="646" t="s">
        <v>2</v>
      </c>
      <c r="E65" s="804"/>
      <c r="K65" s="1311"/>
    </row>
    <row r="66" spans="1:11" ht="16.5" customHeight="1">
      <c r="A66" s="646" t="s">
        <v>645</v>
      </c>
      <c r="B66" s="751" t="s">
        <v>1989</v>
      </c>
      <c r="C66" s="778">
        <v>3</v>
      </c>
      <c r="E66" s="642" t="s">
        <v>2424</v>
      </c>
      <c r="F66" s="642"/>
      <c r="G66" s="642"/>
      <c r="H66" s="642"/>
      <c r="I66" s="642"/>
      <c r="K66" s="1311"/>
    </row>
    <row r="67" spans="1:11" ht="16.5" customHeight="1">
      <c r="B67" s="751" t="s">
        <v>506</v>
      </c>
      <c r="C67" s="778">
        <v>1</v>
      </c>
      <c r="E67" s="646" t="s">
        <v>2329</v>
      </c>
      <c r="F67" s="677"/>
      <c r="G67" s="677"/>
      <c r="H67" s="677"/>
      <c r="K67" s="1311"/>
    </row>
    <row r="68" spans="1:11" ht="16.5" customHeight="1">
      <c r="A68" s="650" t="s">
        <v>1987</v>
      </c>
      <c r="B68" s="751" t="s">
        <v>1885</v>
      </c>
      <c r="C68" s="787">
        <v>17807.300697431696</v>
      </c>
      <c r="D68" s="646" t="s">
        <v>5</v>
      </c>
      <c r="E68" s="1520" t="s">
        <v>1907</v>
      </c>
      <c r="F68" s="1520"/>
      <c r="G68" s="1520"/>
      <c r="H68" s="1520"/>
    </row>
    <row r="69" spans="1:11" ht="16.5" customHeight="1">
      <c r="A69" s="769"/>
      <c r="B69" s="781"/>
      <c r="C69" s="1312"/>
      <c r="D69" s="769"/>
      <c r="E69" s="1520"/>
      <c r="F69" s="1520"/>
      <c r="G69" s="1520"/>
      <c r="H69" s="1520"/>
    </row>
    <row r="70" spans="1:11" ht="16.5" customHeight="1">
      <c r="A70" s="742" t="s">
        <v>2088</v>
      </c>
      <c r="B70" s="751" t="s">
        <v>2090</v>
      </c>
      <c r="C70" s="787">
        <v>33000</v>
      </c>
      <c r="D70" s="646" t="s">
        <v>5</v>
      </c>
      <c r="E70" s="1520" t="s">
        <v>2091</v>
      </c>
      <c r="F70" s="1520"/>
      <c r="G70" s="1520"/>
      <c r="H70" s="1520"/>
    </row>
    <row r="71" spans="1:11" ht="16.5" customHeight="1">
      <c r="A71" s="1528" t="s">
        <v>2092</v>
      </c>
      <c r="B71" s="1528"/>
      <c r="C71" s="1528"/>
      <c r="D71" s="1528"/>
      <c r="E71" s="1528"/>
      <c r="F71" s="1528"/>
      <c r="G71" s="1528"/>
      <c r="H71" s="1528"/>
      <c r="I71" s="1528"/>
    </row>
    <row r="72" spans="1:11" ht="16.5" customHeight="1">
      <c r="A72" s="650" t="s">
        <v>1995</v>
      </c>
      <c r="B72" s="796" t="s">
        <v>1950</v>
      </c>
      <c r="C72" s="787">
        <v>30843.149553608404</v>
      </c>
      <c r="D72" s="646" t="s">
        <v>5</v>
      </c>
      <c r="E72" s="1520" t="s">
        <v>2330</v>
      </c>
      <c r="F72" s="1520"/>
      <c r="G72" s="1520"/>
      <c r="H72" s="1520"/>
      <c r="J72" s="1313"/>
    </row>
    <row r="73" spans="1:11" ht="16.5" customHeight="1">
      <c r="E73" s="1520"/>
      <c r="F73" s="1520"/>
      <c r="G73" s="1520"/>
      <c r="H73" s="1520"/>
      <c r="J73" s="1313"/>
    </row>
    <row r="74" spans="1:11" ht="16.5" customHeight="1">
      <c r="A74" s="1528" t="s">
        <v>1988</v>
      </c>
      <c r="B74" s="751" t="s">
        <v>1886</v>
      </c>
      <c r="C74" s="787">
        <v>37499.999999999993</v>
      </c>
      <c r="D74" s="646" t="s">
        <v>4</v>
      </c>
      <c r="E74" s="1520" t="s">
        <v>1884</v>
      </c>
      <c r="F74" s="1520"/>
      <c r="G74" s="1520"/>
      <c r="H74" s="1520"/>
      <c r="J74" s="1313"/>
    </row>
    <row r="75" spans="1:11" ht="16.5" customHeight="1">
      <c r="A75" s="1528"/>
      <c r="E75" s="1520"/>
      <c r="F75" s="1520"/>
      <c r="G75" s="1520"/>
      <c r="H75" s="1520"/>
      <c r="J75" s="1313"/>
    </row>
    <row r="76" spans="1:11" ht="16.5" customHeight="1">
      <c r="A76" s="650"/>
      <c r="B76" s="751" t="s">
        <v>1887</v>
      </c>
      <c r="C76" s="787">
        <v>24999.999999999993</v>
      </c>
      <c r="D76" s="646" t="s">
        <v>4</v>
      </c>
      <c r="E76" s="646" t="s">
        <v>2333</v>
      </c>
      <c r="G76" s="650"/>
      <c r="H76" s="754"/>
      <c r="J76" s="1313"/>
    </row>
    <row r="77" spans="1:11" ht="16.5" customHeight="1">
      <c r="A77" s="1588" t="s">
        <v>2087</v>
      </c>
      <c r="B77" s="751" t="s">
        <v>1951</v>
      </c>
      <c r="C77" s="787">
        <v>37499.999999999993</v>
      </c>
      <c r="D77" s="646" t="s">
        <v>4</v>
      </c>
      <c r="E77" s="1520" t="s">
        <v>2398</v>
      </c>
      <c r="F77" s="1520"/>
      <c r="G77" s="1520"/>
      <c r="H77" s="1520"/>
      <c r="I77" s="753"/>
    </row>
    <row r="78" spans="1:11" ht="16.5" customHeight="1">
      <c r="A78" s="1588"/>
      <c r="C78" s="787"/>
      <c r="E78" s="1520"/>
      <c r="F78" s="1520"/>
      <c r="G78" s="1520"/>
      <c r="H78" s="1520"/>
      <c r="I78" s="753"/>
    </row>
    <row r="79" spans="1:11" ht="16.5" customHeight="1">
      <c r="A79" s="1390"/>
      <c r="C79" s="787"/>
      <c r="E79" s="677"/>
      <c r="F79" s="677"/>
      <c r="G79" s="677"/>
      <c r="H79" s="677"/>
      <c r="I79" s="753"/>
    </row>
    <row r="80" spans="1:11" ht="16.5" customHeight="1">
      <c r="A80" s="769" t="s">
        <v>1867</v>
      </c>
    </row>
    <row r="81" spans="1:9" ht="16.5" customHeight="1">
      <c r="A81" s="650" t="s">
        <v>1883</v>
      </c>
      <c r="B81" s="751" t="s">
        <v>1882</v>
      </c>
      <c r="C81" s="787">
        <v>127.26497308103745</v>
      </c>
      <c r="D81" s="646" t="s">
        <v>2</v>
      </c>
      <c r="E81" s="646" t="s">
        <v>2331</v>
      </c>
    </row>
    <row r="82" spans="1:9" ht="16.5" customHeight="1">
      <c r="A82" s="646" t="s">
        <v>645</v>
      </c>
      <c r="B82" s="751" t="s">
        <v>1888</v>
      </c>
      <c r="C82" s="778">
        <v>3</v>
      </c>
      <c r="E82" s="642" t="s">
        <v>2424</v>
      </c>
      <c r="F82" s="642"/>
      <c r="G82" s="642"/>
      <c r="H82" s="642"/>
    </row>
    <row r="83" spans="1:9" ht="16.5" customHeight="1">
      <c r="B83" s="751" t="s">
        <v>506</v>
      </c>
      <c r="C83" s="778">
        <v>0.76666666666666661</v>
      </c>
      <c r="E83" s="646" t="s">
        <v>2332</v>
      </c>
      <c r="F83" s="677"/>
      <c r="G83" s="677"/>
      <c r="H83" s="677"/>
    </row>
    <row r="84" spans="1:9" ht="16.5" customHeight="1">
      <c r="A84" s="1528" t="s">
        <v>2089</v>
      </c>
      <c r="B84" s="751" t="s">
        <v>1889</v>
      </c>
      <c r="C84" s="787">
        <v>11583.033291067877</v>
      </c>
      <c r="D84" s="646" t="s">
        <v>5</v>
      </c>
      <c r="E84" s="1520" t="s">
        <v>1894</v>
      </c>
      <c r="F84" s="1520"/>
      <c r="G84" s="1520"/>
      <c r="H84" s="1520"/>
    </row>
    <row r="85" spans="1:9" ht="16.5" customHeight="1">
      <c r="A85" s="1528"/>
      <c r="C85" s="787"/>
      <c r="E85" s="1520"/>
      <c r="F85" s="1520"/>
      <c r="G85" s="1520"/>
      <c r="H85" s="1520"/>
    </row>
    <row r="86" spans="1:9" ht="16.5" customHeight="1">
      <c r="A86" s="742" t="s">
        <v>2088</v>
      </c>
      <c r="B86" s="751" t="s">
        <v>2090</v>
      </c>
      <c r="C86" s="787">
        <v>33000</v>
      </c>
      <c r="D86" s="646" t="s">
        <v>5</v>
      </c>
      <c r="E86" s="1520" t="s">
        <v>2091</v>
      </c>
      <c r="F86" s="1520"/>
      <c r="G86" s="1520"/>
      <c r="H86" s="1520"/>
    </row>
    <row r="87" spans="1:9" ht="16.5" customHeight="1">
      <c r="A87" s="1528" t="s">
        <v>2092</v>
      </c>
      <c r="B87" s="1528"/>
      <c r="C87" s="1528"/>
      <c r="D87" s="1528"/>
      <c r="E87" s="1528"/>
      <c r="F87" s="1528"/>
      <c r="G87" s="1528"/>
      <c r="H87" s="1528"/>
      <c r="I87" s="1528"/>
    </row>
    <row r="88" spans="1:9" ht="16.5" customHeight="1">
      <c r="A88" s="1528" t="s">
        <v>2086</v>
      </c>
      <c r="B88" s="796" t="s">
        <v>2100</v>
      </c>
      <c r="C88" s="1314">
        <v>20062.402165891308</v>
      </c>
      <c r="D88" s="650" t="s">
        <v>5</v>
      </c>
      <c r="E88" s="1520" t="s">
        <v>2084</v>
      </c>
      <c r="F88" s="1520"/>
      <c r="G88" s="1520"/>
      <c r="H88" s="1520"/>
    </row>
    <row r="89" spans="1:9" ht="16.5" customHeight="1">
      <c r="A89" s="1528"/>
      <c r="C89" s="787"/>
      <c r="E89" s="1520"/>
      <c r="F89" s="1520"/>
      <c r="G89" s="1520"/>
      <c r="H89" s="1520"/>
    </row>
    <row r="90" spans="1:9" ht="16.5" customHeight="1">
      <c r="A90" s="1528" t="s">
        <v>1988</v>
      </c>
      <c r="B90" s="751" t="s">
        <v>1890</v>
      </c>
      <c r="C90" s="787">
        <v>31816.243270259365</v>
      </c>
      <c r="D90" s="646" t="s">
        <v>4</v>
      </c>
      <c r="E90" s="1520" t="s">
        <v>1884</v>
      </c>
      <c r="F90" s="1520"/>
      <c r="G90" s="1520"/>
      <c r="H90" s="1520"/>
    </row>
    <row r="91" spans="1:9" ht="16.5" customHeight="1">
      <c r="A91" s="1528"/>
      <c r="C91" s="787"/>
      <c r="E91" s="1520"/>
      <c r="F91" s="1520"/>
      <c r="G91" s="1520"/>
      <c r="H91" s="1520"/>
    </row>
    <row r="92" spans="1:9" ht="16.5" customHeight="1">
      <c r="A92" s="650"/>
      <c r="B92" s="751" t="s">
        <v>1891</v>
      </c>
      <c r="C92" s="787">
        <v>21210.828846839577</v>
      </c>
      <c r="D92" s="646" t="s">
        <v>4</v>
      </c>
      <c r="E92" s="646" t="s">
        <v>2333</v>
      </c>
      <c r="G92" s="650"/>
    </row>
    <row r="93" spans="1:9" ht="16.5" customHeight="1">
      <c r="A93" s="1588" t="s">
        <v>2087</v>
      </c>
      <c r="B93" s="796" t="s">
        <v>2101</v>
      </c>
      <c r="C93" s="1314">
        <v>31816.243270259369</v>
      </c>
      <c r="D93" s="650" t="s">
        <v>4</v>
      </c>
      <c r="E93" s="1520" t="s">
        <v>2093</v>
      </c>
      <c r="F93" s="1520"/>
      <c r="G93" s="1520"/>
      <c r="H93" s="1520"/>
    </row>
    <row r="94" spans="1:9" ht="16.5" customHeight="1">
      <c r="A94" s="1588"/>
      <c r="E94" s="1520"/>
      <c r="F94" s="1520"/>
      <c r="G94" s="1520"/>
      <c r="H94" s="1520"/>
    </row>
    <row r="96" spans="1:9" ht="16.5" customHeight="1">
      <c r="A96" s="769" t="s">
        <v>2381</v>
      </c>
    </row>
    <row r="97" spans="1:12" ht="16.5" customHeight="1">
      <c r="A97" s="769"/>
    </row>
    <row r="98" spans="1:12" ht="16.5" customHeight="1">
      <c r="A98" s="646" t="s">
        <v>1932</v>
      </c>
      <c r="B98" s="1315" t="s">
        <v>1994</v>
      </c>
      <c r="C98" s="1315">
        <v>30843.149553608404</v>
      </c>
      <c r="D98" s="789" t="s">
        <v>5</v>
      </c>
      <c r="E98" s="646" t="s">
        <v>2004</v>
      </c>
      <c r="F98" s="646"/>
      <c r="G98" s="646"/>
      <c r="H98" s="646"/>
    </row>
    <row r="99" spans="1:12" ht="16.5" customHeight="1">
      <c r="B99" s="1316" t="s">
        <v>1985</v>
      </c>
      <c r="C99" s="1315">
        <v>37499.999999999993</v>
      </c>
      <c r="D99" s="789" t="s">
        <v>4</v>
      </c>
      <c r="E99" s="646" t="s">
        <v>2004</v>
      </c>
      <c r="F99" s="646"/>
      <c r="G99" s="646"/>
      <c r="H99" s="646"/>
      <c r="J99" s="646"/>
      <c r="K99" s="748"/>
      <c r="L99" s="646"/>
    </row>
    <row r="100" spans="1:12" ht="16.5" customHeight="1">
      <c r="B100" s="1316" t="s">
        <v>2094</v>
      </c>
      <c r="C100" s="1316">
        <v>50</v>
      </c>
      <c r="D100" s="789" t="s">
        <v>2</v>
      </c>
      <c r="E100" s="1317"/>
      <c r="F100" s="1317"/>
      <c r="G100" s="1317"/>
      <c r="H100" s="646"/>
    </row>
    <row r="101" spans="1:12" ht="16.5" customHeight="1">
      <c r="B101" s="1316" t="s">
        <v>2095</v>
      </c>
      <c r="C101" s="1316">
        <v>40</v>
      </c>
      <c r="D101" s="789" t="s">
        <v>2</v>
      </c>
      <c r="E101" s="1317"/>
      <c r="F101" s="1317"/>
      <c r="G101" s="1317"/>
      <c r="H101" s="646"/>
    </row>
    <row r="102" spans="1:12" ht="16.5" customHeight="1">
      <c r="B102" s="1316" t="s">
        <v>275</v>
      </c>
      <c r="C102" s="1315">
        <f>C45</f>
        <v>2</v>
      </c>
      <c r="D102" s="789" t="s">
        <v>1934</v>
      </c>
      <c r="E102" s="1520" t="s">
        <v>2166</v>
      </c>
      <c r="F102" s="1520"/>
      <c r="G102" s="1520"/>
      <c r="H102" s="1520"/>
    </row>
    <row r="103" spans="1:12" ht="16.5" customHeight="1">
      <c r="B103" s="1316"/>
      <c r="C103" s="1316"/>
      <c r="D103" s="789"/>
      <c r="E103" s="1520"/>
      <c r="F103" s="1520"/>
      <c r="G103" s="1520"/>
      <c r="H103" s="1520"/>
    </row>
    <row r="104" spans="1:12" ht="16.5" customHeight="1">
      <c r="B104" s="1316"/>
      <c r="C104" s="1316"/>
      <c r="D104" s="789"/>
      <c r="E104" s="1520"/>
      <c r="F104" s="1520"/>
      <c r="G104" s="1520"/>
      <c r="H104" s="1520"/>
    </row>
    <row r="105" spans="1:12" ht="16.5" customHeight="1">
      <c r="A105" s="646" t="s">
        <v>1933</v>
      </c>
      <c r="B105" s="1315" t="s">
        <v>1982</v>
      </c>
      <c r="C105" s="1315">
        <v>20062.402165891308</v>
      </c>
      <c r="D105" s="789" t="s">
        <v>5</v>
      </c>
      <c r="E105" s="646" t="s">
        <v>2004</v>
      </c>
      <c r="F105" s="646"/>
      <c r="G105" s="646"/>
      <c r="H105" s="646"/>
    </row>
    <row r="106" spans="1:12" ht="16.5" customHeight="1">
      <c r="B106" s="1316" t="s">
        <v>1983</v>
      </c>
      <c r="C106" s="1315">
        <v>31816.243270259369</v>
      </c>
      <c r="D106" s="789" t="s">
        <v>4</v>
      </c>
      <c r="E106" s="646" t="s">
        <v>2004</v>
      </c>
      <c r="F106" s="646"/>
      <c r="G106" s="646"/>
      <c r="H106" s="646"/>
      <c r="J106" s="646"/>
      <c r="K106" s="748"/>
      <c r="L106" s="646"/>
    </row>
    <row r="107" spans="1:12" ht="16.5" customHeight="1">
      <c r="B107" s="1316" t="s">
        <v>2096</v>
      </c>
      <c r="C107" s="1316">
        <v>50</v>
      </c>
      <c r="D107" s="789" t="s">
        <v>2</v>
      </c>
      <c r="E107" s="1317"/>
      <c r="F107" s="1317"/>
      <c r="G107" s="1317"/>
      <c r="H107" s="1317"/>
    </row>
    <row r="108" spans="1:12" ht="16.5" customHeight="1">
      <c r="B108" s="1316" t="s">
        <v>2097</v>
      </c>
      <c r="C108" s="1316">
        <v>40</v>
      </c>
      <c r="D108" s="789" t="s">
        <v>2</v>
      </c>
      <c r="E108" s="1317"/>
      <c r="F108" s="1317"/>
      <c r="G108" s="1317"/>
      <c r="H108" s="1317"/>
    </row>
    <row r="109" spans="1:12" ht="16.5" customHeight="1">
      <c r="B109" s="1316" t="s">
        <v>275</v>
      </c>
      <c r="C109" s="1315">
        <f>C102</f>
        <v>2</v>
      </c>
      <c r="D109" s="789" t="s">
        <v>1934</v>
      </c>
      <c r="E109" s="1520" t="s">
        <v>2166</v>
      </c>
      <c r="F109" s="1520"/>
      <c r="G109" s="1520"/>
      <c r="H109" s="1520"/>
    </row>
    <row r="110" spans="1:12" ht="16.5" customHeight="1">
      <c r="E110" s="1520"/>
      <c r="F110" s="1520"/>
      <c r="G110" s="1520"/>
      <c r="H110" s="1520"/>
    </row>
    <row r="111" spans="1:12" ht="16.5" customHeight="1">
      <c r="E111" s="1520"/>
      <c r="F111" s="1520"/>
      <c r="G111" s="1520"/>
      <c r="H111" s="1520"/>
    </row>
    <row r="113" spans="1:9" ht="16.5" customHeight="1">
      <c r="A113" s="769" t="s">
        <v>2397</v>
      </c>
    </row>
    <row r="114" spans="1:9" ht="16.5" customHeight="1">
      <c r="A114" s="1520" t="s">
        <v>2384</v>
      </c>
      <c r="B114" s="1520"/>
      <c r="C114" s="1520"/>
      <c r="D114" s="1520"/>
      <c r="E114" s="1520"/>
      <c r="F114" s="1520"/>
      <c r="G114" s="1520"/>
      <c r="H114" s="1520"/>
      <c r="I114" s="1520"/>
    </row>
    <row r="115" spans="1:9" ht="16.5" customHeight="1">
      <c r="A115" s="1520"/>
      <c r="B115" s="1520"/>
      <c r="C115" s="1520"/>
      <c r="D115" s="1520"/>
      <c r="E115" s="1520"/>
      <c r="F115" s="1520"/>
      <c r="G115" s="1520"/>
      <c r="H115" s="1520"/>
      <c r="I115" s="1520"/>
    </row>
    <row r="116" spans="1:9" ht="16.5" customHeight="1">
      <c r="A116" s="646" t="s">
        <v>2098</v>
      </c>
    </row>
    <row r="117" spans="1:9" ht="16.5" customHeight="1">
      <c r="A117" s="646" t="s">
        <v>2347</v>
      </c>
    </row>
  </sheetData>
  <sheetProtection algorithmName="SHA-512" hashValue="ga8Hch23TYS+WAUrOP/uCYy8D+CRpUqOfMALoG9zRzOMniq4r+FNZ6AcHL4eGVskKMezoex1q76etjK0TFLijg==" saltValue="ldotT1/3nwBmkLROgwv90Q==" spinCount="100000" sheet="1" objects="1" scenarios="1"/>
  <mergeCells count="27">
    <mergeCell ref="E84:H85"/>
    <mergeCell ref="E86:H86"/>
    <mergeCell ref="A114:I115"/>
    <mergeCell ref="A84:A85"/>
    <mergeCell ref="A88:A89"/>
    <mergeCell ref="A90:A91"/>
    <mergeCell ref="A93:A94"/>
    <mergeCell ref="E88:H89"/>
    <mergeCell ref="E90:H91"/>
    <mergeCell ref="E93:H94"/>
    <mergeCell ref="A87:I87"/>
    <mergeCell ref="E102:H104"/>
    <mergeCell ref="E109:H111"/>
    <mergeCell ref="E77:H78"/>
    <mergeCell ref="A71:I71"/>
    <mergeCell ref="E70:H70"/>
    <mergeCell ref="A77:A78"/>
    <mergeCell ref="A1:G1"/>
    <mergeCell ref="H1:I1"/>
    <mergeCell ref="A2:G2"/>
    <mergeCell ref="H2:I2"/>
    <mergeCell ref="A74:A75"/>
    <mergeCell ref="A7:I27"/>
    <mergeCell ref="A4:I6"/>
    <mergeCell ref="E72:H73"/>
    <mergeCell ref="E68:H69"/>
    <mergeCell ref="E74:H75"/>
  </mergeCells>
  <dataValidations count="3">
    <dataValidation type="list" allowBlank="1" showInputMessage="1" showErrorMessage="1" sqref="C46:C47" xr:uid="{2718D208-B94B-4725-B57F-262E78AB882B}">
      <formula1>"6,8,10"</formula1>
    </dataValidation>
    <dataValidation type="list" allowBlank="1" showInputMessage="1" showErrorMessage="1" sqref="C45" xr:uid="{6CA9B44B-6F68-4B45-85AD-980136C16DF9}">
      <formula1>"1,2,3"</formula1>
    </dataValidation>
    <dataValidation type="list" allowBlank="1" showInputMessage="1" showErrorMessage="1" sqref="C49" xr:uid="{1085D7A9-E3CF-400C-8A15-1BF25E3E0B18}">
      <formula1>"30,45"</formula1>
    </dataValidation>
  </dataValidations>
  <printOptions gridLines="1"/>
  <pageMargins left="0.7" right="0.7" top="0.78740157499999996" bottom="0.78740157499999996" header="0.3" footer="0.3"/>
  <pageSetup paperSize="9" scale="95" orientation="portrait" verticalDpi="300" r:id="rId1"/>
  <rowBreaks count="3" manualBreakCount="3">
    <brk id="42" max="8" man="1"/>
    <brk id="63" max="8" man="1"/>
    <brk id="95"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A3C24-D9A7-44A3-9301-3EB2C8891677}">
  <sheetPr codeName="Tabelle12"/>
  <dimension ref="A1:V116"/>
  <sheetViews>
    <sheetView showGridLines="0" showRowColHeaders="0" zoomScaleNormal="100" zoomScaleSheetLayoutView="100" workbookViewId="0">
      <selection activeCell="A7" sqref="A7:I27"/>
    </sheetView>
  </sheetViews>
  <sheetFormatPr baseColWidth="10" defaultRowHeight="16.5" customHeight="1"/>
  <cols>
    <col min="1" max="1" width="27" style="646" customWidth="1"/>
    <col min="2" max="2" width="5.85546875" style="751" customWidth="1"/>
    <col min="3" max="3" width="8.140625" style="751" customWidth="1"/>
    <col min="4" max="4" width="8.140625" style="646" customWidth="1"/>
    <col min="5" max="5" width="6.5703125" style="646" customWidth="1"/>
    <col min="6" max="6" width="14.140625" style="646" customWidth="1"/>
    <col min="7" max="8" width="7.5703125" style="646" customWidth="1"/>
    <col min="9" max="9" width="6.140625" style="646" customWidth="1"/>
    <col min="10" max="16384" width="11.42578125" style="646"/>
  </cols>
  <sheetData>
    <row r="1" spans="1:22" ht="16.5" customHeight="1">
      <c r="A1" s="1548" t="s">
        <v>2052</v>
      </c>
      <c r="B1" s="1548"/>
      <c r="C1" s="1548"/>
      <c r="D1" s="1548"/>
      <c r="E1" s="1548"/>
      <c r="F1" s="1548"/>
      <c r="G1" s="1548"/>
      <c r="H1" s="1549" t="s">
        <v>401</v>
      </c>
      <c r="I1" s="1549"/>
      <c r="K1" s="1221"/>
      <c r="L1" s="1221"/>
      <c r="M1" s="1221"/>
      <c r="N1" s="1221"/>
      <c r="O1" s="1221"/>
      <c r="P1" s="1221"/>
      <c r="Q1" s="1221"/>
      <c r="R1" s="1221"/>
      <c r="S1" s="1221"/>
      <c r="T1" s="1221"/>
      <c r="U1" s="1221"/>
      <c r="V1" s="1221"/>
    </row>
    <row r="2" spans="1:22" ht="16.5" customHeight="1">
      <c r="A2" s="1589" t="s">
        <v>2349</v>
      </c>
      <c r="B2" s="1589"/>
      <c r="C2" s="1589"/>
      <c r="D2" s="1589"/>
      <c r="E2" s="1589"/>
      <c r="F2" s="1589"/>
      <c r="G2" s="1589"/>
      <c r="H2" s="1551" t="s">
        <v>402</v>
      </c>
      <c r="I2" s="1551"/>
      <c r="K2" s="1221"/>
      <c r="L2" s="1221"/>
      <c r="M2" s="1221"/>
      <c r="N2" s="1221"/>
      <c r="O2" s="1221"/>
      <c r="P2" s="1221"/>
      <c r="Q2" s="1221"/>
      <c r="R2" s="1221"/>
      <c r="S2" s="1221"/>
      <c r="T2" s="1221"/>
      <c r="U2" s="1221"/>
      <c r="V2" s="1221"/>
    </row>
    <row r="3" spans="1:22" ht="16.5" customHeight="1">
      <c r="A3" s="769" t="s">
        <v>2053</v>
      </c>
      <c r="K3" s="1221"/>
      <c r="L3" s="1221"/>
      <c r="M3" s="1221"/>
      <c r="N3" s="1221"/>
      <c r="O3" s="1221"/>
      <c r="P3" s="1221"/>
      <c r="Q3" s="1221"/>
      <c r="R3" s="1221"/>
      <c r="S3" s="1221"/>
      <c r="T3" s="1221"/>
      <c r="U3" s="1221"/>
      <c r="V3" s="1221"/>
    </row>
    <row r="4" spans="1:22" ht="16.5" customHeight="1">
      <c r="A4" s="1520" t="s">
        <v>2054</v>
      </c>
      <c r="B4" s="1520"/>
      <c r="C4" s="1520"/>
      <c r="D4" s="1520"/>
      <c r="E4" s="1520"/>
      <c r="F4" s="1520"/>
      <c r="G4" s="1520"/>
      <c r="H4" s="1520"/>
      <c r="I4" s="1520"/>
      <c r="K4" s="1221"/>
      <c r="L4" s="1221"/>
      <c r="M4" s="1221"/>
      <c r="N4" s="1221"/>
      <c r="O4" s="1221"/>
      <c r="P4" s="1221"/>
      <c r="Q4" s="1221"/>
      <c r="R4" s="1221"/>
      <c r="S4" s="1221"/>
      <c r="T4" s="1221"/>
      <c r="U4" s="1221"/>
      <c r="V4" s="1221"/>
    </row>
    <row r="5" spans="1:22" ht="16.5" customHeight="1">
      <c r="A5" s="1520"/>
      <c r="B5" s="1520"/>
      <c r="C5" s="1520"/>
      <c r="D5" s="1520"/>
      <c r="E5" s="1520"/>
      <c r="F5" s="1520"/>
      <c r="G5" s="1520"/>
      <c r="H5" s="1520"/>
      <c r="I5" s="1520"/>
    </row>
    <row r="6" spans="1:22" ht="16.5" customHeight="1">
      <c r="A6" s="1520"/>
      <c r="B6" s="1520"/>
      <c r="C6" s="1520"/>
      <c r="D6" s="1520"/>
      <c r="E6" s="1520"/>
      <c r="F6" s="1520"/>
      <c r="G6" s="1520"/>
      <c r="H6" s="1520"/>
      <c r="I6" s="1520"/>
    </row>
    <row r="7" spans="1:22" ht="16.5" customHeight="1">
      <c r="A7" s="1540" t="e" vm="23">
        <v>#VALUE!</v>
      </c>
      <c r="B7" s="1540"/>
      <c r="C7" s="1540"/>
      <c r="D7" s="1540"/>
      <c r="E7" s="1540"/>
      <c r="F7" s="1540"/>
      <c r="G7" s="1540"/>
      <c r="H7" s="1540"/>
      <c r="I7" s="1540"/>
      <c r="J7" s="1306" t="s">
        <v>742</v>
      </c>
      <c r="K7" s="1306"/>
    </row>
    <row r="8" spans="1:22" ht="16.5" customHeight="1">
      <c r="A8" s="1540"/>
      <c r="B8" s="1540"/>
      <c r="C8" s="1540"/>
      <c r="D8" s="1540"/>
      <c r="E8" s="1540"/>
      <c r="F8" s="1540"/>
      <c r="G8" s="1540"/>
      <c r="H8" s="1540"/>
      <c r="I8" s="1540"/>
      <c r="J8" s="1307" t="e" vm="23">
        <v>#VALUE!</v>
      </c>
    </row>
    <row r="9" spans="1:22" ht="16.5" customHeight="1">
      <c r="A9" s="1540"/>
      <c r="B9" s="1540"/>
      <c r="C9" s="1540"/>
      <c r="D9" s="1540"/>
      <c r="E9" s="1540"/>
      <c r="F9" s="1540"/>
      <c r="G9" s="1540"/>
      <c r="H9" s="1540"/>
      <c r="I9" s="1540"/>
      <c r="J9" s="1307"/>
    </row>
    <row r="10" spans="1:22" ht="16.5" customHeight="1">
      <c r="A10" s="1540"/>
      <c r="B10" s="1540"/>
      <c r="C10" s="1540"/>
      <c r="D10" s="1540"/>
      <c r="E10" s="1540"/>
      <c r="F10" s="1540"/>
      <c r="G10" s="1540"/>
      <c r="H10" s="1540"/>
      <c r="I10" s="1540"/>
    </row>
    <row r="11" spans="1:22" ht="16.5" customHeight="1">
      <c r="A11" s="1540"/>
      <c r="B11" s="1540"/>
      <c r="C11" s="1540"/>
      <c r="D11" s="1540"/>
      <c r="E11" s="1540"/>
      <c r="F11" s="1540"/>
      <c r="G11" s="1540"/>
      <c r="H11" s="1540"/>
      <c r="I11" s="1540"/>
    </row>
    <row r="12" spans="1:22" ht="16.5" customHeight="1">
      <c r="A12" s="1540"/>
      <c r="B12" s="1540"/>
      <c r="C12" s="1540"/>
      <c r="D12" s="1540"/>
      <c r="E12" s="1540"/>
      <c r="F12" s="1540"/>
      <c r="G12" s="1540"/>
      <c r="H12" s="1540"/>
      <c r="I12" s="1540"/>
    </row>
    <row r="13" spans="1:22" ht="16.5" customHeight="1">
      <c r="A13" s="1540"/>
      <c r="B13" s="1540"/>
      <c r="C13" s="1540"/>
      <c r="D13" s="1540"/>
      <c r="E13" s="1540"/>
      <c r="F13" s="1540"/>
      <c r="G13" s="1540"/>
      <c r="H13" s="1540"/>
      <c r="I13" s="1540"/>
    </row>
    <row r="14" spans="1:22" ht="16.5" customHeight="1">
      <c r="A14" s="1540"/>
      <c r="B14" s="1540"/>
      <c r="C14" s="1540"/>
      <c r="D14" s="1540"/>
      <c r="E14" s="1540"/>
      <c r="F14" s="1540"/>
      <c r="G14" s="1540"/>
      <c r="H14" s="1540"/>
      <c r="I14" s="1540"/>
    </row>
    <row r="15" spans="1:22" ht="16.5" customHeight="1">
      <c r="A15" s="1540"/>
      <c r="B15" s="1540"/>
      <c r="C15" s="1540"/>
      <c r="D15" s="1540"/>
      <c r="E15" s="1540"/>
      <c r="F15" s="1540"/>
      <c r="G15" s="1540"/>
      <c r="H15" s="1540"/>
      <c r="I15" s="1540"/>
    </row>
    <row r="16" spans="1:22" ht="16.5" customHeight="1">
      <c r="A16" s="1540"/>
      <c r="B16" s="1540"/>
      <c r="C16" s="1540"/>
      <c r="D16" s="1540"/>
      <c r="E16" s="1540"/>
      <c r="F16" s="1540"/>
      <c r="G16" s="1540"/>
      <c r="H16" s="1540"/>
      <c r="I16" s="1540"/>
    </row>
    <row r="17" spans="1:9" ht="16.5" customHeight="1">
      <c r="A17" s="1540"/>
      <c r="B17" s="1540"/>
      <c r="C17" s="1540"/>
      <c r="D17" s="1540"/>
      <c r="E17" s="1540"/>
      <c r="F17" s="1540"/>
      <c r="G17" s="1540"/>
      <c r="H17" s="1540"/>
      <c r="I17" s="1540"/>
    </row>
    <row r="18" spans="1:9" ht="16.5" customHeight="1">
      <c r="A18" s="1540"/>
      <c r="B18" s="1540"/>
      <c r="C18" s="1540"/>
      <c r="D18" s="1540"/>
      <c r="E18" s="1540"/>
      <c r="F18" s="1540"/>
      <c r="G18" s="1540"/>
      <c r="H18" s="1540"/>
      <c r="I18" s="1540"/>
    </row>
    <row r="19" spans="1:9" ht="16.5" customHeight="1">
      <c r="A19" s="1540"/>
      <c r="B19" s="1540"/>
      <c r="C19" s="1540"/>
      <c r="D19" s="1540"/>
      <c r="E19" s="1540"/>
      <c r="F19" s="1540"/>
      <c r="G19" s="1540"/>
      <c r="H19" s="1540"/>
      <c r="I19" s="1540"/>
    </row>
    <row r="20" spans="1:9" ht="16.5" customHeight="1">
      <c r="A20" s="1540"/>
      <c r="B20" s="1540"/>
      <c r="C20" s="1540"/>
      <c r="D20" s="1540"/>
      <c r="E20" s="1540"/>
      <c r="F20" s="1540"/>
      <c r="G20" s="1540"/>
      <c r="H20" s="1540"/>
      <c r="I20" s="1540"/>
    </row>
    <row r="21" spans="1:9" ht="16.5" customHeight="1">
      <c r="A21" s="1540"/>
      <c r="B21" s="1540"/>
      <c r="C21" s="1540"/>
      <c r="D21" s="1540"/>
      <c r="E21" s="1540"/>
      <c r="F21" s="1540"/>
      <c r="G21" s="1540"/>
      <c r="H21" s="1540"/>
      <c r="I21" s="1540"/>
    </row>
    <row r="22" spans="1:9" ht="16.5" customHeight="1">
      <c r="A22" s="1540"/>
      <c r="B22" s="1540"/>
      <c r="C22" s="1540"/>
      <c r="D22" s="1540"/>
      <c r="E22" s="1540"/>
      <c r="F22" s="1540"/>
      <c r="G22" s="1540"/>
      <c r="H22" s="1540"/>
      <c r="I22" s="1540"/>
    </row>
    <row r="23" spans="1:9" ht="16.5" customHeight="1">
      <c r="A23" s="1540"/>
      <c r="B23" s="1540"/>
      <c r="C23" s="1540"/>
      <c r="D23" s="1540"/>
      <c r="E23" s="1540"/>
      <c r="F23" s="1540"/>
      <c r="G23" s="1540"/>
      <c r="H23" s="1540"/>
      <c r="I23" s="1540"/>
    </row>
    <row r="24" spans="1:9" ht="16.5" customHeight="1">
      <c r="A24" s="1540"/>
      <c r="B24" s="1540"/>
      <c r="C24" s="1540"/>
      <c r="D24" s="1540"/>
      <c r="E24" s="1540"/>
      <c r="F24" s="1540"/>
      <c r="G24" s="1540"/>
      <c r="H24" s="1540"/>
      <c r="I24" s="1540"/>
    </row>
    <row r="25" spans="1:9" ht="16.5" customHeight="1">
      <c r="A25" s="1540"/>
      <c r="B25" s="1540"/>
      <c r="C25" s="1540"/>
      <c r="D25" s="1540"/>
      <c r="E25" s="1540"/>
      <c r="F25" s="1540"/>
      <c r="G25" s="1540"/>
      <c r="H25" s="1540"/>
      <c r="I25" s="1540"/>
    </row>
    <row r="26" spans="1:9" ht="16.5" customHeight="1">
      <c r="A26" s="1540"/>
      <c r="B26" s="1540"/>
      <c r="C26" s="1540"/>
      <c r="D26" s="1540"/>
      <c r="E26" s="1540"/>
      <c r="F26" s="1540"/>
      <c r="G26" s="1540"/>
      <c r="H26" s="1540"/>
      <c r="I26" s="1540"/>
    </row>
    <row r="27" spans="1:9" ht="16.5" customHeight="1">
      <c r="A27" s="1540"/>
      <c r="B27" s="1540"/>
      <c r="C27" s="1540"/>
      <c r="D27" s="1540"/>
      <c r="E27" s="1540"/>
      <c r="F27" s="1540"/>
      <c r="G27" s="1540"/>
      <c r="H27" s="1540"/>
      <c r="I27" s="1540"/>
    </row>
    <row r="28" spans="1:9" ht="16.5" customHeight="1">
      <c r="A28" s="769" t="s">
        <v>927</v>
      </c>
      <c r="B28" s="781"/>
      <c r="C28" s="781"/>
      <c r="E28" s="751"/>
      <c r="F28" s="751"/>
      <c r="G28" s="753" t="s">
        <v>2371</v>
      </c>
      <c r="H28" s="753"/>
    </row>
    <row r="29" spans="1:9" ht="16.5" customHeight="1">
      <c r="A29" s="1308" t="s">
        <v>26</v>
      </c>
      <c r="C29" s="787" t="s">
        <v>52</v>
      </c>
      <c r="E29" s="753"/>
      <c r="F29" s="753"/>
      <c r="G29" s="753"/>
      <c r="H29" s="753"/>
    </row>
    <row r="30" spans="1:9" ht="16.5" customHeight="1">
      <c r="A30" s="1308" t="s">
        <v>481</v>
      </c>
      <c r="B30" s="751" t="s">
        <v>1927</v>
      </c>
      <c r="C30" s="787">
        <v>385</v>
      </c>
      <c r="D30" s="646" t="s">
        <v>115</v>
      </c>
      <c r="E30" s="1308"/>
      <c r="F30" s="753"/>
      <c r="G30" s="753"/>
      <c r="H30" s="753"/>
    </row>
    <row r="31" spans="1:9" ht="16.5" customHeight="1">
      <c r="A31" s="1308" t="s">
        <v>456</v>
      </c>
      <c r="B31" s="751" t="s">
        <v>2102</v>
      </c>
      <c r="C31" s="787">
        <v>240</v>
      </c>
      <c r="D31" s="646" t="s">
        <v>2</v>
      </c>
      <c r="E31" s="753"/>
      <c r="F31" s="753"/>
      <c r="G31" s="753"/>
      <c r="H31" s="753"/>
    </row>
    <row r="32" spans="1:9" ht="16.5" customHeight="1">
      <c r="A32" s="1308" t="s">
        <v>458</v>
      </c>
      <c r="B32" s="751" t="s">
        <v>2103</v>
      </c>
      <c r="C32" s="787">
        <v>240</v>
      </c>
      <c r="D32" s="646" t="s">
        <v>2</v>
      </c>
      <c r="E32" s="753"/>
      <c r="F32" s="753"/>
      <c r="G32" s="753"/>
      <c r="H32" s="753"/>
    </row>
    <row r="33" spans="1:8" ht="16.5" customHeight="1">
      <c r="E33" s="753"/>
      <c r="F33" s="753"/>
      <c r="G33" s="753"/>
      <c r="H33" s="753"/>
    </row>
    <row r="34" spans="1:8" ht="16.5" customHeight="1">
      <c r="A34" s="769" t="s">
        <v>926</v>
      </c>
      <c r="E34" s="753"/>
      <c r="F34" s="753"/>
      <c r="G34" s="753"/>
      <c r="H34" s="753"/>
    </row>
    <row r="35" spans="1:8" ht="16.5" customHeight="1">
      <c r="A35" s="646" t="s">
        <v>26</v>
      </c>
      <c r="C35" s="787" t="s">
        <v>52</v>
      </c>
      <c r="E35" s="753"/>
      <c r="F35" s="753"/>
      <c r="G35" s="753"/>
      <c r="H35" s="753"/>
    </row>
    <row r="36" spans="1:8" ht="16.5" customHeight="1">
      <c r="A36" s="1308" t="s">
        <v>481</v>
      </c>
      <c r="B36" s="751" t="s">
        <v>1928</v>
      </c>
      <c r="C36" s="787">
        <v>385</v>
      </c>
      <c r="D36" s="646" t="s">
        <v>115</v>
      </c>
      <c r="E36" s="1308"/>
      <c r="F36" s="753"/>
      <c r="G36" s="754"/>
      <c r="H36" s="753"/>
    </row>
    <row r="37" spans="1:8" ht="16.5" customHeight="1">
      <c r="A37" s="646" t="s">
        <v>456</v>
      </c>
      <c r="B37" s="751" t="s">
        <v>2377</v>
      </c>
      <c r="C37" s="787">
        <v>200</v>
      </c>
      <c r="D37" s="646" t="s">
        <v>2</v>
      </c>
      <c r="E37" s="753"/>
      <c r="F37" s="753"/>
      <c r="G37" s="753"/>
      <c r="H37" s="753"/>
    </row>
    <row r="38" spans="1:8" ht="16.5" customHeight="1">
      <c r="A38" s="646" t="s">
        <v>458</v>
      </c>
      <c r="B38" s="751" t="s">
        <v>2378</v>
      </c>
      <c r="C38" s="787">
        <v>600</v>
      </c>
      <c r="D38" s="646" t="s">
        <v>2</v>
      </c>
      <c r="E38" s="753"/>
      <c r="F38" s="753"/>
      <c r="G38" s="753"/>
      <c r="H38" s="753"/>
    </row>
    <row r="39" spans="1:8" ht="16.5" customHeight="1">
      <c r="E39" s="753"/>
      <c r="F39" s="753"/>
      <c r="G39" s="753"/>
      <c r="H39" s="753"/>
    </row>
    <row r="40" spans="1:8" ht="16.5" customHeight="1">
      <c r="A40" s="769" t="s">
        <v>726</v>
      </c>
      <c r="B40" s="646" t="s">
        <v>1871</v>
      </c>
      <c r="E40" s="753"/>
      <c r="F40" s="753"/>
      <c r="G40" s="753"/>
      <c r="H40" s="753"/>
    </row>
    <row r="41" spans="1:8" ht="16.5" customHeight="1">
      <c r="B41" s="751" t="s">
        <v>1873</v>
      </c>
      <c r="C41" s="787">
        <v>50</v>
      </c>
      <c r="D41" s="646" t="s">
        <v>2</v>
      </c>
      <c r="E41" s="753"/>
      <c r="F41" s="650" t="s">
        <v>2057</v>
      </c>
      <c r="G41" s="754"/>
      <c r="H41" s="753"/>
    </row>
    <row r="42" spans="1:8" ht="16.5" customHeight="1">
      <c r="E42" s="751"/>
      <c r="F42" s="751"/>
      <c r="G42" s="753"/>
      <c r="H42" s="753"/>
    </row>
    <row r="43" spans="1:8" ht="16.5" customHeight="1">
      <c r="A43" s="769" t="s">
        <v>2059</v>
      </c>
      <c r="E43" s="751"/>
      <c r="F43" s="751"/>
      <c r="G43" s="753"/>
      <c r="H43" s="753"/>
    </row>
    <row r="44" spans="1:8" ht="16.5" customHeight="1">
      <c r="A44" s="646" t="s">
        <v>1919</v>
      </c>
      <c r="B44" s="751" t="s">
        <v>329</v>
      </c>
      <c r="C44" s="787">
        <v>10</v>
      </c>
      <c r="D44" s="646" t="s">
        <v>2</v>
      </c>
      <c r="E44" s="751"/>
      <c r="F44" s="751"/>
      <c r="G44" s="753"/>
      <c r="H44" s="753"/>
    </row>
    <row r="45" spans="1:8" ht="16.5" customHeight="1">
      <c r="C45" s="787"/>
      <c r="E45" s="751"/>
      <c r="F45" s="751"/>
      <c r="G45" s="753"/>
      <c r="H45" s="753"/>
    </row>
    <row r="46" spans="1:8" ht="16.5" customHeight="1">
      <c r="A46" s="769" t="s">
        <v>1900</v>
      </c>
      <c r="E46" s="751"/>
      <c r="F46" s="751"/>
      <c r="G46" s="753"/>
      <c r="H46" s="753"/>
    </row>
    <row r="47" spans="1:8" ht="16.5" customHeight="1">
      <c r="A47" s="646" t="s">
        <v>1878</v>
      </c>
      <c r="B47" s="646" t="s">
        <v>2361</v>
      </c>
      <c r="E47" s="751"/>
      <c r="F47" s="751"/>
      <c r="G47" s="753"/>
      <c r="H47" s="753"/>
    </row>
    <row r="48" spans="1:8" ht="16.5" customHeight="1">
      <c r="A48" s="646" t="s">
        <v>2389</v>
      </c>
      <c r="B48" s="751" t="s">
        <v>275</v>
      </c>
      <c r="C48" s="787">
        <v>3</v>
      </c>
      <c r="E48" s="753"/>
      <c r="F48" s="753"/>
      <c r="G48" s="753"/>
      <c r="H48" s="753"/>
    </row>
    <row r="49" spans="1:8" ht="16.5" customHeight="1">
      <c r="A49" s="646" t="s">
        <v>1901</v>
      </c>
      <c r="B49" s="751" t="s">
        <v>10</v>
      </c>
      <c r="C49" s="787">
        <v>2</v>
      </c>
      <c r="E49" s="753"/>
      <c r="F49" s="753"/>
      <c r="G49" s="753"/>
      <c r="H49" s="753"/>
    </row>
    <row r="50" spans="1:8" ht="16.5" customHeight="1">
      <c r="A50" s="646" t="s">
        <v>375</v>
      </c>
      <c r="B50" s="751" t="s">
        <v>111</v>
      </c>
      <c r="C50" s="787">
        <v>8</v>
      </c>
      <c r="D50" s="646" t="s">
        <v>2</v>
      </c>
      <c r="E50" s="753"/>
      <c r="F50" s="753"/>
      <c r="G50" s="753"/>
      <c r="H50" s="753"/>
    </row>
    <row r="51" spans="1:8" ht="16.5" customHeight="1">
      <c r="A51" s="650" t="s">
        <v>1881</v>
      </c>
      <c r="B51" s="751" t="s">
        <v>540</v>
      </c>
      <c r="C51" s="787">
        <v>120</v>
      </c>
      <c r="D51" s="646" t="s">
        <v>2</v>
      </c>
      <c r="E51" s="753"/>
      <c r="F51" s="753"/>
      <c r="G51" s="753"/>
      <c r="H51" s="753"/>
    </row>
    <row r="52" spans="1:8" ht="16.5" customHeight="1">
      <c r="A52" s="646" t="s">
        <v>1868</v>
      </c>
      <c r="B52" s="1398" t="s">
        <v>984</v>
      </c>
      <c r="C52" s="787">
        <v>90</v>
      </c>
      <c r="D52" s="646" t="s">
        <v>270</v>
      </c>
      <c r="E52" s="751"/>
      <c r="F52" s="753"/>
      <c r="G52" s="753"/>
      <c r="H52" s="753"/>
    </row>
    <row r="53" spans="1:8" ht="16.5" customHeight="1">
      <c r="A53" s="646" t="s">
        <v>1940</v>
      </c>
      <c r="B53" s="751" t="s">
        <v>1904</v>
      </c>
      <c r="C53" s="787">
        <v>11</v>
      </c>
      <c r="D53" s="646" t="s">
        <v>3</v>
      </c>
      <c r="E53" s="753"/>
      <c r="F53" s="753"/>
      <c r="G53" s="753"/>
      <c r="H53" s="753"/>
    </row>
    <row r="54" spans="1:8" ht="16.5" customHeight="1">
      <c r="A54" s="646" t="s">
        <v>536</v>
      </c>
      <c r="B54" s="751" t="s">
        <v>2049</v>
      </c>
      <c r="C54" s="751">
        <v>19</v>
      </c>
      <c r="D54" s="646" t="s">
        <v>2</v>
      </c>
      <c r="E54" s="753"/>
      <c r="F54" s="753"/>
      <c r="G54" s="753"/>
      <c r="H54" s="753"/>
    </row>
    <row r="55" spans="1:8" ht="16.5" customHeight="1">
      <c r="E55" s="753"/>
      <c r="F55" s="753"/>
      <c r="G55" s="753"/>
      <c r="H55" s="753"/>
    </row>
    <row r="56" spans="1:8" ht="16.5" customHeight="1">
      <c r="A56" s="769" t="s">
        <v>95</v>
      </c>
      <c r="E56" s="753"/>
      <c r="F56" s="754"/>
      <c r="G56" s="754"/>
      <c r="H56" s="754"/>
    </row>
    <row r="57" spans="1:8" ht="16.5" customHeight="1">
      <c r="A57" s="646" t="s">
        <v>1878</v>
      </c>
      <c r="B57" s="646" t="s">
        <v>2361</v>
      </c>
      <c r="E57" s="753"/>
      <c r="F57" s="754"/>
      <c r="G57" s="754"/>
      <c r="H57" s="754"/>
    </row>
    <row r="58" spans="1:8" ht="16.5" customHeight="1">
      <c r="A58" s="646" t="s">
        <v>1903</v>
      </c>
      <c r="B58" s="751" t="s">
        <v>10</v>
      </c>
      <c r="C58" s="787">
        <v>3</v>
      </c>
      <c r="E58" s="753"/>
      <c r="F58" s="753"/>
      <c r="G58" s="753"/>
      <c r="H58" s="753"/>
    </row>
    <row r="59" spans="1:8" ht="16.5" customHeight="1">
      <c r="A59" s="646" t="s">
        <v>1902</v>
      </c>
      <c r="B59" s="751" t="s">
        <v>10</v>
      </c>
      <c r="C59" s="787">
        <v>2</v>
      </c>
    </row>
    <row r="60" spans="1:8" ht="16.5" customHeight="1">
      <c r="A60" s="646" t="s">
        <v>375</v>
      </c>
      <c r="B60" s="751" t="s">
        <v>111</v>
      </c>
      <c r="C60" s="787">
        <v>8</v>
      </c>
      <c r="D60" s="646" t="s">
        <v>2</v>
      </c>
    </row>
    <row r="61" spans="1:8" ht="16.5" customHeight="1">
      <c r="A61" s="650" t="s">
        <v>1881</v>
      </c>
      <c r="B61" s="751" t="s">
        <v>540</v>
      </c>
      <c r="C61" s="787">
        <v>120</v>
      </c>
      <c r="D61" s="646" t="s">
        <v>2</v>
      </c>
    </row>
    <row r="62" spans="1:8" ht="16.5" customHeight="1">
      <c r="A62" s="646" t="s">
        <v>1868</v>
      </c>
      <c r="B62" s="1398" t="s">
        <v>984</v>
      </c>
      <c r="C62" s="787">
        <v>45</v>
      </c>
      <c r="D62" s="646" t="s">
        <v>270</v>
      </c>
    </row>
    <row r="63" spans="1:8" ht="16.5" customHeight="1">
      <c r="A63" s="646" t="s">
        <v>1940</v>
      </c>
      <c r="B63" s="751" t="s">
        <v>1904</v>
      </c>
      <c r="C63" s="787">
        <v>11</v>
      </c>
      <c r="D63" s="646" t="s">
        <v>3</v>
      </c>
    </row>
    <row r="64" spans="1:8" ht="16.5" customHeight="1">
      <c r="A64" s="646" t="s">
        <v>536</v>
      </c>
      <c r="B64" s="751" t="s">
        <v>2049</v>
      </c>
      <c r="C64" s="751">
        <v>19</v>
      </c>
      <c r="D64" s="646" t="s">
        <v>2</v>
      </c>
    </row>
    <row r="66" spans="1:8" ht="16.5" customHeight="1">
      <c r="A66" s="769" t="s">
        <v>1905</v>
      </c>
      <c r="E66" s="753"/>
      <c r="F66" s="753"/>
      <c r="G66" s="753"/>
      <c r="H66" s="753"/>
    </row>
    <row r="67" spans="1:8" ht="16.5" customHeight="1">
      <c r="A67" s="645" t="s">
        <v>2108</v>
      </c>
      <c r="B67" s="787">
        <v>40</v>
      </c>
      <c r="C67" s="787" t="s">
        <v>1892</v>
      </c>
      <c r="D67" s="650">
        <v>20</v>
      </c>
      <c r="E67" s="650" t="s">
        <v>2</v>
      </c>
      <c r="F67" s="646" t="s">
        <v>2075</v>
      </c>
      <c r="G67" s="753" t="s">
        <v>2107</v>
      </c>
      <c r="H67" s="1306"/>
    </row>
    <row r="68" spans="1:8" ht="16.5" customHeight="1">
      <c r="A68" s="645" t="s">
        <v>2109</v>
      </c>
      <c r="B68" s="787">
        <v>80</v>
      </c>
      <c r="C68" s="650" t="s">
        <v>2</v>
      </c>
      <c r="D68" s="1318"/>
      <c r="F68" s="1318"/>
      <c r="G68" s="753"/>
      <c r="H68" s="753"/>
    </row>
    <row r="70" spans="1:8" ht="16.5" customHeight="1">
      <c r="A70" s="769" t="s">
        <v>1895</v>
      </c>
      <c r="F70" s="753"/>
      <c r="G70" s="753"/>
      <c r="H70" s="753"/>
    </row>
    <row r="71" spans="1:8" ht="16.5" customHeight="1">
      <c r="A71" s="650" t="s">
        <v>1883</v>
      </c>
      <c r="B71" s="751" t="s">
        <v>1990</v>
      </c>
      <c r="C71" s="787">
        <v>101</v>
      </c>
      <c r="D71" s="646" t="s">
        <v>2</v>
      </c>
      <c r="E71" s="646" t="s">
        <v>2350</v>
      </c>
      <c r="F71" s="753"/>
      <c r="G71" s="753"/>
      <c r="H71" s="753"/>
    </row>
    <row r="72" spans="1:8" ht="16.5" customHeight="1">
      <c r="A72" s="646" t="s">
        <v>645</v>
      </c>
      <c r="B72" s="751" t="s">
        <v>1989</v>
      </c>
      <c r="C72" s="779">
        <v>1.8660659830736148</v>
      </c>
      <c r="D72" s="646" t="s">
        <v>1934</v>
      </c>
      <c r="E72" s="1520" t="s">
        <v>1908</v>
      </c>
      <c r="F72" s="1520"/>
      <c r="G72" s="1520"/>
      <c r="H72" s="1520"/>
    </row>
    <row r="73" spans="1:8" ht="16.5" customHeight="1">
      <c r="C73" s="778"/>
      <c r="E73" s="1520"/>
      <c r="F73" s="1520"/>
      <c r="G73" s="1520"/>
      <c r="H73" s="1520"/>
    </row>
    <row r="74" spans="1:8" ht="16.5" customHeight="1">
      <c r="B74" s="751" t="s">
        <v>506</v>
      </c>
      <c r="C74" s="778">
        <v>1</v>
      </c>
      <c r="D74" s="646" t="s">
        <v>370</v>
      </c>
      <c r="E74" s="646" t="s">
        <v>1896</v>
      </c>
      <c r="F74" s="677"/>
      <c r="G74" s="677"/>
      <c r="H74" s="677"/>
    </row>
    <row r="75" spans="1:8" ht="16.5" customHeight="1">
      <c r="A75" s="650" t="s">
        <v>1987</v>
      </c>
      <c r="B75" s="796" t="s">
        <v>1986</v>
      </c>
      <c r="C75" s="1314">
        <v>9592.1993090165433</v>
      </c>
      <c r="D75" s="650" t="s">
        <v>5</v>
      </c>
      <c r="E75" s="1520" t="s">
        <v>1907</v>
      </c>
      <c r="F75" s="1520"/>
      <c r="G75" s="1520"/>
      <c r="H75" s="1520"/>
    </row>
    <row r="76" spans="1:8" ht="16.5" customHeight="1">
      <c r="A76" s="769"/>
      <c r="B76" s="781"/>
      <c r="C76" s="1312"/>
      <c r="D76" s="769"/>
      <c r="E76" s="1520"/>
      <c r="F76" s="1520"/>
      <c r="G76" s="1520"/>
      <c r="H76" s="1520"/>
    </row>
    <row r="77" spans="1:8" ht="16.5" customHeight="1">
      <c r="A77" s="650" t="s">
        <v>1991</v>
      </c>
      <c r="B77" s="796" t="s">
        <v>1950</v>
      </c>
      <c r="C77" s="1314">
        <v>17899.676833418005</v>
      </c>
      <c r="D77" s="650" t="s">
        <v>5</v>
      </c>
      <c r="E77" s="646" t="s">
        <v>2110</v>
      </c>
      <c r="F77" s="677"/>
      <c r="G77" s="677"/>
      <c r="H77" s="677"/>
    </row>
    <row r="78" spans="1:8" ht="16.5" customHeight="1">
      <c r="A78" s="650" t="s">
        <v>1988</v>
      </c>
      <c r="B78" s="751" t="s">
        <v>1886</v>
      </c>
      <c r="C78" s="787">
        <v>20200</v>
      </c>
      <c r="D78" s="646" t="s">
        <v>4</v>
      </c>
      <c r="E78" s="1520" t="s">
        <v>1884</v>
      </c>
      <c r="F78" s="1520"/>
      <c r="G78" s="1520"/>
      <c r="H78" s="1520"/>
    </row>
    <row r="79" spans="1:8" ht="16.5" customHeight="1">
      <c r="E79" s="1520"/>
      <c r="F79" s="1520"/>
      <c r="G79" s="1520"/>
      <c r="H79" s="1520"/>
    </row>
    <row r="80" spans="1:8" ht="16.5" customHeight="1">
      <c r="A80" s="650" t="s">
        <v>1988</v>
      </c>
      <c r="B80" s="751" t="s">
        <v>1887</v>
      </c>
      <c r="C80" s="787">
        <v>13466.666666666666</v>
      </c>
      <c r="D80" s="646" t="s">
        <v>4</v>
      </c>
      <c r="E80" s="646" t="s">
        <v>2352</v>
      </c>
      <c r="F80" s="753"/>
      <c r="G80" s="650"/>
      <c r="H80" s="754"/>
    </row>
    <row r="81" spans="1:9" ht="16.5" customHeight="1">
      <c r="A81" s="1319" t="s">
        <v>1992</v>
      </c>
      <c r="B81" s="796" t="s">
        <v>1951</v>
      </c>
      <c r="C81" s="1314">
        <v>26933.333333333332</v>
      </c>
      <c r="D81" s="650" t="s">
        <v>4</v>
      </c>
      <c r="E81" s="1520" t="s">
        <v>2353</v>
      </c>
      <c r="F81" s="1520"/>
      <c r="G81" s="1520"/>
      <c r="H81" s="1520"/>
    </row>
    <row r="82" spans="1:9" ht="16.5" customHeight="1">
      <c r="C82" s="787"/>
      <c r="E82" s="1520"/>
      <c r="F82" s="1520"/>
      <c r="G82" s="1520"/>
      <c r="H82" s="1520"/>
    </row>
    <row r="84" spans="1:9" ht="16.5" customHeight="1">
      <c r="A84" s="769" t="s">
        <v>95</v>
      </c>
    </row>
    <row r="85" spans="1:9" ht="16.5" customHeight="1">
      <c r="A85" s="650" t="s">
        <v>1883</v>
      </c>
      <c r="B85" s="751" t="s">
        <v>1990</v>
      </c>
      <c r="C85" s="787">
        <v>101</v>
      </c>
      <c r="D85" s="646" t="s">
        <v>2</v>
      </c>
      <c r="E85" s="646" t="s">
        <v>2351</v>
      </c>
      <c r="F85" s="753"/>
      <c r="G85" s="753"/>
      <c r="H85" s="753"/>
    </row>
    <row r="86" spans="1:9" ht="16.5" customHeight="1">
      <c r="A86" s="646" t="s">
        <v>645</v>
      </c>
      <c r="B86" s="751" t="s">
        <v>1989</v>
      </c>
      <c r="C86" s="779">
        <v>5.4</v>
      </c>
      <c r="E86" s="1591" t="s">
        <v>2390</v>
      </c>
      <c r="F86" s="1591"/>
      <c r="G86" s="1591"/>
      <c r="H86" s="1591"/>
      <c r="I86" s="1591"/>
    </row>
    <row r="87" spans="1:9" ht="16.5" customHeight="1">
      <c r="B87" s="751" t="s">
        <v>506</v>
      </c>
      <c r="C87" s="778">
        <v>1</v>
      </c>
      <c r="E87" s="646" t="s">
        <v>2354</v>
      </c>
      <c r="F87" s="677"/>
      <c r="G87" s="677"/>
      <c r="H87" s="677"/>
    </row>
    <row r="88" spans="1:9" ht="16.5" customHeight="1">
      <c r="A88" s="650" t="s">
        <v>1987</v>
      </c>
      <c r="B88" s="751" t="s">
        <v>1889</v>
      </c>
      <c r="C88" s="787">
        <v>9592.1993090165433</v>
      </c>
      <c r="D88" s="646" t="s">
        <v>5</v>
      </c>
      <c r="E88" s="1520" t="s">
        <v>1907</v>
      </c>
      <c r="F88" s="1520"/>
      <c r="G88" s="1520"/>
      <c r="H88" s="1520"/>
    </row>
    <row r="89" spans="1:9" ht="16.5" customHeight="1">
      <c r="A89" s="769"/>
      <c r="B89" s="781"/>
      <c r="C89" s="1312"/>
      <c r="D89" s="769"/>
      <c r="E89" s="1520"/>
      <c r="F89" s="1520"/>
      <c r="G89" s="1520"/>
      <c r="H89" s="1520"/>
    </row>
    <row r="90" spans="1:9" ht="16.5" customHeight="1">
      <c r="A90" s="650" t="s">
        <v>2386</v>
      </c>
      <c r="B90" s="751" t="s">
        <v>2100</v>
      </c>
      <c r="C90" s="787">
        <v>36626.629560651971</v>
      </c>
      <c r="D90" s="646" t="s">
        <v>5</v>
      </c>
      <c r="E90" s="753" t="s">
        <v>1993</v>
      </c>
      <c r="F90" s="753"/>
      <c r="G90" s="753"/>
      <c r="H90" s="753"/>
    </row>
    <row r="91" spans="1:9" ht="16.5" customHeight="1">
      <c r="A91" s="650" t="s">
        <v>1988</v>
      </c>
      <c r="B91" s="751" t="s">
        <v>1890</v>
      </c>
      <c r="C91" s="787">
        <v>20200</v>
      </c>
      <c r="D91" s="646" t="s">
        <v>4</v>
      </c>
      <c r="E91" s="1520" t="s">
        <v>1884</v>
      </c>
      <c r="F91" s="1520"/>
      <c r="G91" s="1520"/>
      <c r="H91" s="1520"/>
    </row>
    <row r="92" spans="1:9" ht="16.5" customHeight="1">
      <c r="A92" s="650"/>
      <c r="C92" s="787"/>
      <c r="E92" s="1520"/>
      <c r="F92" s="1520"/>
      <c r="G92" s="1520"/>
      <c r="H92" s="1520"/>
    </row>
    <row r="93" spans="1:9" ht="16.5" customHeight="1">
      <c r="A93" s="650" t="s">
        <v>1988</v>
      </c>
      <c r="B93" s="751" t="s">
        <v>1891</v>
      </c>
      <c r="C93" s="787">
        <v>13466.666666666666</v>
      </c>
      <c r="D93" s="646" t="s">
        <v>4</v>
      </c>
      <c r="E93" s="645" t="s">
        <v>2333</v>
      </c>
      <c r="F93" s="753"/>
      <c r="G93" s="650"/>
      <c r="H93" s="753"/>
    </row>
    <row r="94" spans="1:9" ht="16.5" customHeight="1">
      <c r="A94" s="1319" t="s">
        <v>2385</v>
      </c>
      <c r="B94" s="796" t="s">
        <v>2101</v>
      </c>
      <c r="C94" s="1314">
        <v>40400.000000000007</v>
      </c>
      <c r="D94" s="650" t="s">
        <v>4</v>
      </c>
      <c r="E94" s="1520" t="s">
        <v>1984</v>
      </c>
      <c r="F94" s="1520"/>
      <c r="G94" s="1520"/>
      <c r="H94" s="1520"/>
    </row>
    <row r="95" spans="1:9" ht="16.5" customHeight="1">
      <c r="E95" s="1520"/>
      <c r="F95" s="1520"/>
      <c r="G95" s="1520"/>
      <c r="H95" s="1520"/>
    </row>
    <row r="97" spans="1:11" ht="16.5" customHeight="1">
      <c r="A97" s="769" t="s">
        <v>2348</v>
      </c>
    </row>
    <row r="98" spans="1:11" ht="16.5" customHeight="1">
      <c r="A98" s="646" t="s">
        <v>1932</v>
      </c>
      <c r="B98" s="1315" t="s">
        <v>1994</v>
      </c>
      <c r="C98" s="1315">
        <v>17899.676833418005</v>
      </c>
      <c r="D98" s="789" t="s">
        <v>5</v>
      </c>
      <c r="E98" s="650" t="s">
        <v>2003</v>
      </c>
      <c r="F98" s="650"/>
      <c r="G98" s="650"/>
      <c r="H98" s="650"/>
    </row>
    <row r="99" spans="1:11" ht="16.5" customHeight="1">
      <c r="B99" s="1316" t="s">
        <v>1985</v>
      </c>
      <c r="C99" s="1315">
        <v>26933.333333333332</v>
      </c>
      <c r="D99" s="789" t="s">
        <v>4</v>
      </c>
      <c r="E99" s="650" t="s">
        <v>2003</v>
      </c>
      <c r="F99" s="650"/>
      <c r="G99" s="650"/>
      <c r="H99" s="650"/>
      <c r="K99" s="748"/>
    </row>
    <row r="100" spans="1:11" ht="16.5" customHeight="1">
      <c r="B100" s="1316" t="s">
        <v>2094</v>
      </c>
      <c r="C100" s="1316">
        <v>80</v>
      </c>
      <c r="D100" s="789" t="s">
        <v>2</v>
      </c>
      <c r="E100" s="788"/>
      <c r="F100" s="788"/>
      <c r="G100" s="788"/>
      <c r="H100" s="650"/>
    </row>
    <row r="101" spans="1:11" ht="16.5" customHeight="1">
      <c r="B101" s="1316" t="s">
        <v>2095</v>
      </c>
      <c r="C101" s="1316">
        <v>40</v>
      </c>
      <c r="D101" s="789" t="s">
        <v>2</v>
      </c>
      <c r="E101" s="788"/>
      <c r="F101" s="788"/>
      <c r="G101" s="788"/>
      <c r="H101" s="650"/>
    </row>
    <row r="102" spans="1:11" ht="16.5" customHeight="1">
      <c r="B102" s="1316" t="s">
        <v>275</v>
      </c>
      <c r="C102" s="1316">
        <v>3</v>
      </c>
      <c r="D102" s="789" t="s">
        <v>1934</v>
      </c>
      <c r="E102" s="1528" t="s">
        <v>2168</v>
      </c>
      <c r="F102" s="1528"/>
      <c r="G102" s="1528"/>
      <c r="H102" s="1528"/>
    </row>
    <row r="103" spans="1:11" ht="16.5" customHeight="1">
      <c r="B103" s="1316"/>
      <c r="C103" s="1316"/>
      <c r="D103" s="789"/>
      <c r="E103" s="1528"/>
      <c r="F103" s="1528"/>
      <c r="G103" s="1528"/>
      <c r="H103" s="1528"/>
    </row>
    <row r="104" spans="1:11" ht="16.5" customHeight="1">
      <c r="B104" s="1316"/>
      <c r="C104" s="1316"/>
      <c r="D104" s="789"/>
      <c r="E104" s="1528"/>
      <c r="F104" s="1528"/>
      <c r="G104" s="1528"/>
      <c r="H104" s="1528"/>
    </row>
    <row r="105" spans="1:11" ht="16.5" customHeight="1">
      <c r="A105" s="646" t="s">
        <v>1933</v>
      </c>
      <c r="B105" s="1315" t="s">
        <v>1982</v>
      </c>
      <c r="C105" s="1315">
        <v>36626.629560651971</v>
      </c>
      <c r="D105" s="789" t="s">
        <v>5</v>
      </c>
      <c r="E105" s="650" t="s">
        <v>2387</v>
      </c>
      <c r="F105" s="650"/>
      <c r="G105" s="650"/>
      <c r="H105" s="650"/>
    </row>
    <row r="106" spans="1:11" ht="16.5" customHeight="1">
      <c r="B106" s="1316" t="s">
        <v>1983</v>
      </c>
      <c r="C106" s="1315">
        <v>40400.000000000007</v>
      </c>
      <c r="D106" s="789" t="s">
        <v>4</v>
      </c>
      <c r="E106" s="650" t="s">
        <v>2387</v>
      </c>
      <c r="F106" s="650"/>
      <c r="G106" s="650"/>
      <c r="H106" s="650"/>
      <c r="K106" s="748"/>
    </row>
    <row r="107" spans="1:11" ht="16.5" customHeight="1">
      <c r="B107" s="1316" t="s">
        <v>2111</v>
      </c>
      <c r="C107" s="751" t="s">
        <v>124</v>
      </c>
      <c r="D107" s="789" t="s">
        <v>2</v>
      </c>
      <c r="E107" s="1528" t="s">
        <v>2355</v>
      </c>
      <c r="F107" s="1528"/>
      <c r="G107" s="1528"/>
      <c r="H107" s="1528"/>
    </row>
    <row r="108" spans="1:11" ht="16.5" customHeight="1">
      <c r="B108" s="796"/>
      <c r="C108" s="755"/>
      <c r="D108" s="755"/>
      <c r="E108" s="1528"/>
      <c r="F108" s="1528"/>
      <c r="G108" s="1528"/>
      <c r="H108" s="1528"/>
    </row>
    <row r="109" spans="1:11" ht="16.5" customHeight="1">
      <c r="B109" s="1316" t="s">
        <v>2095</v>
      </c>
      <c r="C109" s="1316" t="s">
        <v>124</v>
      </c>
      <c r="D109" s="789" t="s">
        <v>2</v>
      </c>
      <c r="E109" s="1528" t="s">
        <v>2355</v>
      </c>
      <c r="F109" s="1528"/>
      <c r="G109" s="1528"/>
      <c r="H109" s="1528"/>
    </row>
    <row r="110" spans="1:11" ht="16.5" customHeight="1">
      <c r="B110" s="1316"/>
      <c r="C110" s="1316"/>
      <c r="D110" s="789"/>
      <c r="E110" s="1528"/>
      <c r="F110" s="1528"/>
      <c r="G110" s="1528"/>
      <c r="H110" s="1528"/>
    </row>
    <row r="111" spans="1:11" ht="16.5" customHeight="1">
      <c r="B111" s="1316" t="s">
        <v>275</v>
      </c>
      <c r="C111" s="1316">
        <v>1</v>
      </c>
      <c r="D111" s="789" t="s">
        <v>1934</v>
      </c>
      <c r="E111" s="1528" t="s">
        <v>2167</v>
      </c>
      <c r="F111" s="1528"/>
      <c r="G111" s="1528"/>
      <c r="H111" s="1528"/>
    </row>
    <row r="112" spans="1:11" ht="16.5" customHeight="1">
      <c r="E112" s="1528"/>
      <c r="F112" s="1528"/>
      <c r="G112" s="1528"/>
      <c r="H112" s="1528"/>
    </row>
    <row r="113" spans="1:8" ht="16.5" customHeight="1">
      <c r="E113" s="1528"/>
      <c r="F113" s="1528"/>
      <c r="G113" s="1528"/>
      <c r="H113" s="1528"/>
    </row>
    <row r="114" spans="1:8" ht="16.5" customHeight="1">
      <c r="A114" s="769" t="s">
        <v>462</v>
      </c>
    </row>
    <row r="115" spans="1:8" ht="16.5" customHeight="1">
      <c r="A115" s="646" t="s">
        <v>2388</v>
      </c>
    </row>
    <row r="116" spans="1:8" ht="16.5" customHeight="1">
      <c r="A116" s="646" t="s">
        <v>2347</v>
      </c>
    </row>
  </sheetData>
  <sheetProtection algorithmName="SHA-512" hashValue="6LzljHGXgw7XffELXdVnT+E2OHQvKx+47Jsa7VAhStRbJAhenEyfBFhf4IKqSh4kAMVHY35eNb5rAvLGmpsznQ==" saltValue="y6pnv2JxjaLpo6QAosjoOA==" spinCount="100000" sheet="1" objects="1" scenarios="1"/>
  <mergeCells count="18">
    <mergeCell ref="E88:H89"/>
    <mergeCell ref="E109:H110"/>
    <mergeCell ref="E111:H113"/>
    <mergeCell ref="E102:H104"/>
    <mergeCell ref="E94:H95"/>
    <mergeCell ref="E91:H92"/>
    <mergeCell ref="E107:H108"/>
    <mergeCell ref="E78:H79"/>
    <mergeCell ref="E86:I86"/>
    <mergeCell ref="A1:G1"/>
    <mergeCell ref="H1:I1"/>
    <mergeCell ref="A2:G2"/>
    <mergeCell ref="H2:I2"/>
    <mergeCell ref="A7:I27"/>
    <mergeCell ref="A4:I6"/>
    <mergeCell ref="E72:H73"/>
    <mergeCell ref="E75:H76"/>
    <mergeCell ref="E81:H82"/>
  </mergeCells>
  <dataValidations count="2">
    <dataValidation type="list" allowBlank="1" showInputMessage="1" showErrorMessage="1" sqref="C48:C49 C58:C59" xr:uid="{74978E95-12EC-4CBB-87C1-D3ED1D14881B}">
      <formula1>"1,2,3"</formula1>
    </dataValidation>
    <dataValidation type="list" allowBlank="1" showInputMessage="1" showErrorMessage="1" sqref="C50 C60" xr:uid="{98DBD8CC-BD28-4711-9F11-AAC676A9E5AB}">
      <formula1>"6,8,10"</formula1>
    </dataValidation>
  </dataValidations>
  <printOptions gridLines="1"/>
  <pageMargins left="0.7" right="0.7" top="0.78740157499999996" bottom="0.78740157499999996" header="0.3" footer="0.3"/>
  <pageSetup paperSize="9" scale="95" orientation="portrait" verticalDpi="300" r:id="rId1"/>
  <rowBreaks count="2" manualBreakCount="2">
    <brk id="45" max="8" man="1"/>
    <brk id="69" max="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42970-C81B-4F64-8410-03EA54E498CA}">
  <sheetPr codeName="Tabelle13"/>
  <dimension ref="A1:V126"/>
  <sheetViews>
    <sheetView showGridLines="0" showRowColHeaders="0" zoomScaleNormal="100" zoomScaleSheetLayoutView="100" workbookViewId="0">
      <selection activeCell="J17" sqref="J17"/>
    </sheetView>
  </sheetViews>
  <sheetFormatPr baseColWidth="10" defaultRowHeight="16.5" customHeight="1"/>
  <cols>
    <col min="1" max="1" width="27" style="646" customWidth="1"/>
    <col min="2" max="2" width="5.85546875" style="751" customWidth="1"/>
    <col min="3" max="3" width="8.140625" style="751" customWidth="1"/>
    <col min="4" max="4" width="8.140625" style="646" customWidth="1"/>
    <col min="5" max="5" width="6.5703125" style="646" customWidth="1"/>
    <col min="6" max="6" width="14.140625" style="646" customWidth="1"/>
    <col min="7" max="8" width="7.5703125" style="646" customWidth="1"/>
    <col min="9" max="9" width="6.140625" style="646" customWidth="1"/>
    <col min="10" max="16384" width="11.42578125" style="646"/>
  </cols>
  <sheetData>
    <row r="1" spans="1:22" ht="16.5" customHeight="1">
      <c r="A1" s="1548" t="s">
        <v>2052</v>
      </c>
      <c r="B1" s="1548"/>
      <c r="C1" s="1548"/>
      <c r="D1" s="1548"/>
      <c r="E1" s="1548"/>
      <c r="F1" s="1548"/>
      <c r="G1" s="1548"/>
      <c r="H1" s="1549" t="s">
        <v>401</v>
      </c>
      <c r="I1" s="1549"/>
      <c r="K1" s="1391"/>
      <c r="L1" s="1391"/>
      <c r="M1" s="1391"/>
      <c r="N1" s="1391"/>
      <c r="O1" s="1391"/>
      <c r="P1" s="1391"/>
      <c r="Q1" s="1391"/>
      <c r="R1" s="1391"/>
      <c r="S1" s="1391"/>
      <c r="T1" s="1391"/>
      <c r="U1" s="1391"/>
      <c r="V1" s="1391"/>
    </row>
    <row r="2" spans="1:22" ht="16.5" customHeight="1">
      <c r="A2" s="1589" t="s">
        <v>2349</v>
      </c>
      <c r="B2" s="1589"/>
      <c r="C2" s="1589"/>
      <c r="D2" s="1589"/>
      <c r="E2" s="1589"/>
      <c r="F2" s="1589"/>
      <c r="G2" s="1589"/>
      <c r="H2" s="1551" t="s">
        <v>402</v>
      </c>
      <c r="I2" s="1551"/>
      <c r="K2" s="1391"/>
      <c r="L2" s="1391"/>
      <c r="M2" s="1391"/>
      <c r="N2" s="1391"/>
      <c r="O2" s="1391"/>
      <c r="P2" s="1391"/>
      <c r="Q2" s="1391"/>
      <c r="R2" s="1391"/>
      <c r="S2" s="1391"/>
      <c r="T2" s="1391"/>
      <c r="U2" s="1391"/>
      <c r="V2" s="1391"/>
    </row>
    <row r="3" spans="1:22" s="769" customFormat="1" ht="16.5" customHeight="1">
      <c r="A3" s="769" t="s">
        <v>2056</v>
      </c>
      <c r="B3" s="781"/>
      <c r="C3" s="781"/>
      <c r="K3" s="1391"/>
      <c r="L3" s="1391"/>
      <c r="M3" s="1391"/>
      <c r="N3" s="1391"/>
      <c r="O3" s="1391"/>
      <c r="P3" s="1391"/>
      <c r="Q3" s="1391"/>
      <c r="R3" s="1391"/>
      <c r="S3" s="1391"/>
      <c r="T3" s="1391"/>
      <c r="U3" s="1391"/>
      <c r="V3" s="1391"/>
    </row>
    <row r="4" spans="1:22" ht="16.5" customHeight="1">
      <c r="A4" s="1520" t="s">
        <v>2124</v>
      </c>
      <c r="B4" s="1520"/>
      <c r="C4" s="1520"/>
      <c r="D4" s="1520"/>
      <c r="E4" s="1520"/>
      <c r="F4" s="1520"/>
      <c r="G4" s="1520"/>
      <c r="H4" s="1520"/>
      <c r="I4" s="1520"/>
      <c r="K4" s="1391"/>
      <c r="L4" s="1391"/>
      <c r="M4" s="1391"/>
      <c r="N4" s="1391"/>
      <c r="O4" s="1391"/>
      <c r="P4" s="1391"/>
      <c r="Q4" s="1391"/>
      <c r="R4" s="1391"/>
      <c r="S4" s="1391"/>
      <c r="T4" s="1391"/>
      <c r="U4" s="1391"/>
      <c r="V4" s="1391"/>
    </row>
    <row r="5" spans="1:22" ht="16.5" customHeight="1">
      <c r="A5" s="1520"/>
      <c r="B5" s="1520"/>
      <c r="C5" s="1520"/>
      <c r="D5" s="1520"/>
      <c r="E5" s="1520"/>
      <c r="F5" s="1520"/>
      <c r="G5" s="1520"/>
      <c r="H5" s="1520"/>
      <c r="I5" s="1520"/>
    </row>
    <row r="6" spans="1:22" ht="16.5" customHeight="1">
      <c r="A6" s="1520"/>
      <c r="B6" s="1520"/>
      <c r="C6" s="1520"/>
      <c r="D6" s="1520"/>
      <c r="E6" s="1520"/>
      <c r="F6" s="1520"/>
      <c r="G6" s="1520"/>
      <c r="H6" s="1520"/>
      <c r="I6" s="1520"/>
    </row>
    <row r="7" spans="1:22" ht="16.5" customHeight="1">
      <c r="A7" s="1540" t="e" vm="24">
        <v>#VALUE!</v>
      </c>
      <c r="B7" s="1540"/>
      <c r="C7" s="1540"/>
      <c r="D7" s="1540"/>
      <c r="E7" s="1540"/>
      <c r="F7" s="1540"/>
      <c r="G7" s="1540"/>
      <c r="H7" s="1540"/>
      <c r="I7" s="1540"/>
      <c r="J7" s="1306" t="s">
        <v>742</v>
      </c>
      <c r="K7" s="1306"/>
    </row>
    <row r="8" spans="1:22" ht="16.5" customHeight="1">
      <c r="A8" s="1540"/>
      <c r="B8" s="1540"/>
      <c r="C8" s="1540"/>
      <c r="D8" s="1540"/>
      <c r="E8" s="1540"/>
      <c r="F8" s="1540"/>
      <c r="G8" s="1540"/>
      <c r="H8" s="1540"/>
      <c r="I8" s="1540"/>
      <c r="J8" s="646" t="e" vm="24">
        <v>#VALUE!</v>
      </c>
    </row>
    <row r="9" spans="1:22" ht="16.5" customHeight="1">
      <c r="A9" s="1540"/>
      <c r="B9" s="1540"/>
      <c r="C9" s="1540"/>
      <c r="D9" s="1540"/>
      <c r="E9" s="1540"/>
      <c r="F9" s="1540"/>
      <c r="G9" s="1540"/>
      <c r="H9" s="1540"/>
      <c r="I9" s="1540"/>
    </row>
    <row r="10" spans="1:22" ht="16.5" customHeight="1">
      <c r="A10" s="1540"/>
      <c r="B10" s="1540"/>
      <c r="C10" s="1540"/>
      <c r="D10" s="1540"/>
      <c r="E10" s="1540"/>
      <c r="F10" s="1540"/>
      <c r="G10" s="1540"/>
      <c r="H10" s="1540"/>
      <c r="I10" s="1540"/>
    </row>
    <row r="11" spans="1:22" ht="16.5" customHeight="1">
      <c r="A11" s="1540"/>
      <c r="B11" s="1540"/>
      <c r="C11" s="1540"/>
      <c r="D11" s="1540"/>
      <c r="E11" s="1540"/>
      <c r="F11" s="1540"/>
      <c r="G11" s="1540"/>
      <c r="H11" s="1540"/>
      <c r="I11" s="1540"/>
    </row>
    <row r="12" spans="1:22" ht="16.5" customHeight="1">
      <c r="A12" s="1540"/>
      <c r="B12" s="1540"/>
      <c r="C12" s="1540"/>
      <c r="D12" s="1540"/>
      <c r="E12" s="1540"/>
      <c r="F12" s="1540"/>
      <c r="G12" s="1540"/>
      <c r="H12" s="1540"/>
      <c r="I12" s="1540"/>
    </row>
    <row r="13" spans="1:22" ht="16.5" customHeight="1">
      <c r="A13" s="1540"/>
      <c r="B13" s="1540"/>
      <c r="C13" s="1540"/>
      <c r="D13" s="1540"/>
      <c r="E13" s="1540"/>
      <c r="F13" s="1540"/>
      <c r="G13" s="1540"/>
      <c r="H13" s="1540"/>
      <c r="I13" s="1540"/>
    </row>
    <row r="14" spans="1:22" ht="16.5" customHeight="1">
      <c r="A14" s="1540"/>
      <c r="B14" s="1540"/>
      <c r="C14" s="1540"/>
      <c r="D14" s="1540"/>
      <c r="E14" s="1540"/>
      <c r="F14" s="1540"/>
      <c r="G14" s="1540"/>
      <c r="H14" s="1540"/>
      <c r="I14" s="1540"/>
    </row>
    <row r="15" spans="1:22" ht="16.5" customHeight="1">
      <c r="A15" s="1540"/>
      <c r="B15" s="1540"/>
      <c r="C15" s="1540"/>
      <c r="D15" s="1540"/>
      <c r="E15" s="1540"/>
      <c r="F15" s="1540"/>
      <c r="G15" s="1540"/>
      <c r="H15" s="1540"/>
      <c r="I15" s="1540"/>
    </row>
    <row r="16" spans="1:22" ht="16.5" customHeight="1">
      <c r="A16" s="1540"/>
      <c r="B16" s="1540"/>
      <c r="C16" s="1540"/>
      <c r="D16" s="1540"/>
      <c r="E16" s="1540"/>
      <c r="F16" s="1540"/>
      <c r="G16" s="1540"/>
      <c r="H16" s="1540"/>
      <c r="I16" s="1540"/>
    </row>
    <row r="17" spans="1:9" ht="16.5" customHeight="1">
      <c r="A17" s="1540"/>
      <c r="B17" s="1540"/>
      <c r="C17" s="1540"/>
      <c r="D17" s="1540"/>
      <c r="E17" s="1540"/>
      <c r="F17" s="1540"/>
      <c r="G17" s="1540"/>
      <c r="H17" s="1540"/>
      <c r="I17" s="1540"/>
    </row>
    <row r="18" spans="1:9" ht="16.5" customHeight="1">
      <c r="A18" s="1540"/>
      <c r="B18" s="1540"/>
      <c r="C18" s="1540"/>
      <c r="D18" s="1540"/>
      <c r="E18" s="1540"/>
      <c r="F18" s="1540"/>
      <c r="G18" s="1540"/>
      <c r="H18" s="1540"/>
      <c r="I18" s="1540"/>
    </row>
    <row r="19" spans="1:9" ht="16.5" customHeight="1">
      <c r="A19" s="1540"/>
      <c r="B19" s="1540"/>
      <c r="C19" s="1540"/>
      <c r="D19" s="1540"/>
      <c r="E19" s="1540"/>
      <c r="F19" s="1540"/>
      <c r="G19" s="1540"/>
      <c r="H19" s="1540"/>
      <c r="I19" s="1540"/>
    </row>
    <row r="20" spans="1:9" ht="16.5" customHeight="1">
      <c r="A20" s="1540"/>
      <c r="B20" s="1540"/>
      <c r="C20" s="1540"/>
      <c r="D20" s="1540"/>
      <c r="E20" s="1540"/>
      <c r="F20" s="1540"/>
      <c r="G20" s="1540"/>
      <c r="H20" s="1540"/>
      <c r="I20" s="1540"/>
    </row>
    <row r="21" spans="1:9" ht="16.5" customHeight="1">
      <c r="A21" s="1540"/>
      <c r="B21" s="1540"/>
      <c r="C21" s="1540"/>
      <c r="D21" s="1540"/>
      <c r="E21" s="1540"/>
      <c r="F21" s="1540"/>
      <c r="G21" s="1540"/>
      <c r="H21" s="1540"/>
      <c r="I21" s="1540"/>
    </row>
    <row r="22" spans="1:9" ht="16.5" customHeight="1">
      <c r="A22" s="1540"/>
      <c r="B22" s="1540"/>
      <c r="C22" s="1540"/>
      <c r="D22" s="1540"/>
      <c r="E22" s="1540"/>
      <c r="F22" s="1540"/>
      <c r="G22" s="1540"/>
      <c r="H22" s="1540"/>
      <c r="I22" s="1540"/>
    </row>
    <row r="23" spans="1:9" ht="16.5" customHeight="1">
      <c r="A23" s="1540"/>
      <c r="B23" s="1540"/>
      <c r="C23" s="1540"/>
      <c r="D23" s="1540"/>
      <c r="E23" s="1540"/>
      <c r="F23" s="1540"/>
      <c r="G23" s="1540"/>
      <c r="H23" s="1540"/>
      <c r="I23" s="1540"/>
    </row>
    <row r="24" spans="1:9" ht="16.5" customHeight="1">
      <c r="A24" s="1540"/>
      <c r="B24" s="1540"/>
      <c r="C24" s="1540"/>
      <c r="D24" s="1540"/>
      <c r="E24" s="1540"/>
      <c r="F24" s="1540"/>
      <c r="G24" s="1540"/>
      <c r="H24" s="1540"/>
      <c r="I24" s="1540"/>
    </row>
    <row r="25" spans="1:9" ht="16.5" customHeight="1">
      <c r="A25" s="1540"/>
      <c r="B25" s="1540"/>
      <c r="C25" s="1540"/>
      <c r="D25" s="1540"/>
      <c r="E25" s="1540"/>
      <c r="F25" s="1540"/>
      <c r="G25" s="1540"/>
      <c r="H25" s="1540"/>
      <c r="I25" s="1540"/>
    </row>
    <row r="26" spans="1:9" ht="16.5" customHeight="1">
      <c r="A26" s="1540"/>
      <c r="B26" s="1540"/>
      <c r="C26" s="1540"/>
      <c r="D26" s="1540"/>
      <c r="E26" s="1540"/>
      <c r="F26" s="1540"/>
      <c r="G26" s="1540"/>
      <c r="H26" s="1540"/>
      <c r="I26" s="1540"/>
    </row>
    <row r="27" spans="1:9" ht="16.5" customHeight="1">
      <c r="A27" s="1540"/>
      <c r="B27" s="1540"/>
      <c r="C27" s="1540"/>
      <c r="D27" s="1540"/>
      <c r="E27" s="1540"/>
      <c r="F27" s="1540"/>
      <c r="G27" s="1540"/>
      <c r="H27" s="1540"/>
      <c r="I27" s="1540"/>
    </row>
    <row r="28" spans="1:9" ht="16.5" customHeight="1">
      <c r="A28" s="769" t="s">
        <v>927</v>
      </c>
      <c r="B28" s="781"/>
      <c r="C28" s="781"/>
      <c r="E28" s="751"/>
      <c r="F28" s="751"/>
      <c r="G28" s="753" t="s">
        <v>2371</v>
      </c>
      <c r="H28" s="753"/>
    </row>
    <row r="29" spans="1:9" ht="16.5" customHeight="1">
      <c r="A29" s="1308" t="s">
        <v>26</v>
      </c>
      <c r="C29" s="787" t="s">
        <v>52</v>
      </c>
      <c r="E29" s="753"/>
      <c r="F29" s="753"/>
      <c r="G29" s="753"/>
      <c r="H29" s="753"/>
    </row>
    <row r="30" spans="1:9" ht="16.5" customHeight="1">
      <c r="A30" s="1308" t="s">
        <v>481</v>
      </c>
      <c r="B30" s="751" t="s">
        <v>1927</v>
      </c>
      <c r="C30" s="787">
        <v>385</v>
      </c>
      <c r="D30" s="646" t="s">
        <v>115</v>
      </c>
      <c r="E30" s="1308"/>
      <c r="F30" s="753"/>
      <c r="G30" s="753"/>
      <c r="H30" s="753"/>
    </row>
    <row r="31" spans="1:9" ht="16.5" customHeight="1">
      <c r="A31" s="1308" t="s">
        <v>456</v>
      </c>
      <c r="B31" s="751" t="s">
        <v>2102</v>
      </c>
      <c r="C31" s="787">
        <v>240</v>
      </c>
      <c r="D31" s="646" t="s">
        <v>2</v>
      </c>
      <c r="E31" s="753"/>
      <c r="F31" s="753"/>
      <c r="G31" s="753"/>
      <c r="H31" s="753"/>
    </row>
    <row r="32" spans="1:9" ht="16.5" customHeight="1">
      <c r="A32" s="1308" t="s">
        <v>458</v>
      </c>
      <c r="B32" s="751" t="s">
        <v>2103</v>
      </c>
      <c r="C32" s="787">
        <v>240</v>
      </c>
      <c r="D32" s="646" t="s">
        <v>2</v>
      </c>
      <c r="E32" s="753"/>
      <c r="F32" s="753"/>
      <c r="G32" s="753"/>
      <c r="H32" s="753"/>
    </row>
    <row r="33" spans="1:11" ht="16.5" customHeight="1">
      <c r="E33" s="753"/>
      <c r="F33" s="753"/>
      <c r="G33" s="753"/>
      <c r="H33" s="753"/>
    </row>
    <row r="34" spans="1:11" ht="16.5" customHeight="1">
      <c r="A34" s="769" t="s">
        <v>926</v>
      </c>
      <c r="E34" s="753"/>
      <c r="F34" s="753"/>
      <c r="G34" s="753"/>
      <c r="H34" s="753"/>
    </row>
    <row r="35" spans="1:11" ht="16.5" customHeight="1">
      <c r="A35" s="646" t="s">
        <v>26</v>
      </c>
      <c r="C35" s="787" t="s">
        <v>52</v>
      </c>
      <c r="E35" s="753"/>
      <c r="F35" s="753"/>
      <c r="G35" s="753"/>
      <c r="H35" s="753"/>
    </row>
    <row r="36" spans="1:11" ht="16.5" customHeight="1">
      <c r="A36" s="1308" t="s">
        <v>481</v>
      </c>
      <c r="B36" s="751" t="s">
        <v>1928</v>
      </c>
      <c r="C36" s="787">
        <v>385</v>
      </c>
      <c r="D36" s="646" t="s">
        <v>115</v>
      </c>
      <c r="E36" s="1308"/>
      <c r="F36" s="753"/>
      <c r="G36" s="754"/>
      <c r="H36" s="753"/>
    </row>
    <row r="37" spans="1:11" ht="16.5" customHeight="1">
      <c r="A37" s="646" t="s">
        <v>456</v>
      </c>
      <c r="B37" s="751" t="s">
        <v>2377</v>
      </c>
      <c r="C37" s="787">
        <v>200</v>
      </c>
      <c r="D37" s="646" t="s">
        <v>2</v>
      </c>
      <c r="E37" s="753"/>
      <c r="F37" s="753"/>
      <c r="G37" s="753"/>
      <c r="H37" s="753"/>
    </row>
    <row r="38" spans="1:11" ht="16.5" customHeight="1">
      <c r="A38" s="646" t="s">
        <v>458</v>
      </c>
      <c r="B38" s="751" t="s">
        <v>2378</v>
      </c>
      <c r="C38" s="787">
        <v>600</v>
      </c>
      <c r="D38" s="646" t="s">
        <v>2</v>
      </c>
      <c r="E38" s="753"/>
      <c r="F38" s="753"/>
      <c r="G38" s="753"/>
      <c r="H38" s="753"/>
    </row>
    <row r="39" spans="1:11" ht="16.5" customHeight="1">
      <c r="E39" s="753"/>
      <c r="F39" s="753"/>
      <c r="G39" s="753"/>
      <c r="H39" s="753"/>
    </row>
    <row r="40" spans="1:11" ht="16.5" customHeight="1">
      <c r="A40" s="646" t="s">
        <v>726</v>
      </c>
      <c r="B40" s="646" t="s">
        <v>2112</v>
      </c>
      <c r="E40" s="753"/>
      <c r="F40" s="753"/>
      <c r="G40" s="753"/>
      <c r="H40" s="753"/>
    </row>
    <row r="41" spans="1:11" ht="16.5" customHeight="1">
      <c r="B41" s="751" t="s">
        <v>1873</v>
      </c>
      <c r="C41" s="787">
        <v>50</v>
      </c>
      <c r="D41" s="646" t="s">
        <v>2</v>
      </c>
      <c r="E41" s="753"/>
      <c r="F41" s="650" t="s">
        <v>2057</v>
      </c>
      <c r="G41" s="754"/>
      <c r="H41" s="753"/>
    </row>
    <row r="42" spans="1:11" ht="16.5" customHeight="1">
      <c r="E42" s="751"/>
      <c r="F42" s="751"/>
      <c r="G42" s="753"/>
      <c r="H42" s="753"/>
    </row>
    <row r="43" spans="1:11" ht="16.5" customHeight="1">
      <c r="A43" s="789" t="s">
        <v>2121</v>
      </c>
      <c r="B43" s="796"/>
      <c r="C43" s="796"/>
      <c r="D43" s="650"/>
      <c r="E43" s="796"/>
      <c r="F43" s="796"/>
      <c r="G43" s="754"/>
      <c r="H43" s="754"/>
      <c r="I43" s="650"/>
    </row>
    <row r="44" spans="1:11" ht="16.5" customHeight="1">
      <c r="A44" s="650" t="s">
        <v>1919</v>
      </c>
      <c r="B44" s="796" t="s">
        <v>329</v>
      </c>
      <c r="C44" s="1314">
        <v>2</v>
      </c>
      <c r="D44" s="650" t="s">
        <v>2</v>
      </c>
      <c r="E44" s="650" t="s">
        <v>1936</v>
      </c>
      <c r="F44" s="796"/>
      <c r="G44" s="754"/>
      <c r="H44" s="754"/>
      <c r="I44" s="650"/>
    </row>
    <row r="45" spans="1:11" ht="16.5" customHeight="1">
      <c r="A45" s="650" t="s">
        <v>456</v>
      </c>
      <c r="B45" s="796" t="s">
        <v>1920</v>
      </c>
      <c r="C45" s="1314">
        <v>160</v>
      </c>
      <c r="D45" s="650" t="s">
        <v>2</v>
      </c>
      <c r="E45" s="650" t="s">
        <v>1917</v>
      </c>
      <c r="F45" s="650"/>
      <c r="G45" s="650"/>
      <c r="H45" s="650"/>
      <c r="I45" s="650"/>
      <c r="K45" s="647"/>
    </row>
    <row r="46" spans="1:11" ht="16.5" customHeight="1">
      <c r="A46" s="650" t="s">
        <v>1923</v>
      </c>
      <c r="B46" s="796" t="s">
        <v>2116</v>
      </c>
      <c r="C46" s="796">
        <v>800</v>
      </c>
      <c r="D46" s="650" t="s">
        <v>2</v>
      </c>
      <c r="E46" s="650" t="s">
        <v>2117</v>
      </c>
      <c r="F46" s="650"/>
      <c r="G46" s="650"/>
      <c r="H46" s="650"/>
      <c r="I46" s="650"/>
      <c r="K46" s="647"/>
    </row>
    <row r="47" spans="1:11" ht="16.5" customHeight="1">
      <c r="A47" s="650" t="s">
        <v>1921</v>
      </c>
      <c r="B47" s="796" t="s">
        <v>2118</v>
      </c>
      <c r="C47" s="796">
        <v>240</v>
      </c>
      <c r="D47" s="650" t="s">
        <v>254</v>
      </c>
      <c r="E47" s="650"/>
      <c r="F47" s="650"/>
      <c r="G47" s="650"/>
      <c r="H47" s="650"/>
      <c r="I47" s="650"/>
      <c r="K47" s="647"/>
    </row>
    <row r="48" spans="1:11" ht="16.5" customHeight="1">
      <c r="A48" s="650" t="s">
        <v>1922</v>
      </c>
      <c r="B48" s="796" t="s">
        <v>2383</v>
      </c>
      <c r="C48" s="780">
        <v>71.28</v>
      </c>
      <c r="D48" s="650" t="s">
        <v>1918</v>
      </c>
      <c r="E48" s="650" t="s">
        <v>2122</v>
      </c>
      <c r="F48" s="650"/>
      <c r="G48" s="650"/>
      <c r="H48" s="650"/>
      <c r="I48" s="650"/>
      <c r="K48" s="647"/>
    </row>
    <row r="49" spans="1:14" ht="16.5" customHeight="1">
      <c r="A49" s="650"/>
      <c r="B49" s="796"/>
      <c r="C49" s="780"/>
      <c r="D49" s="650"/>
      <c r="E49" s="650"/>
      <c r="F49" s="650"/>
      <c r="G49" s="650"/>
      <c r="H49" s="650"/>
      <c r="I49" s="650"/>
      <c r="K49" s="647"/>
    </row>
    <row r="50" spans="1:14" ht="16.5" customHeight="1">
      <c r="A50" s="769" t="s">
        <v>2135</v>
      </c>
      <c r="B50" s="796"/>
      <c r="C50" s="780"/>
      <c r="D50" s="650"/>
      <c r="E50" s="650"/>
      <c r="F50" s="650"/>
      <c r="G50" s="650"/>
      <c r="H50" s="650"/>
      <c r="I50" s="650"/>
      <c r="K50" s="647"/>
    </row>
    <row r="51" spans="1:14" ht="16.5" customHeight="1">
      <c r="B51" s="751" t="s">
        <v>2128</v>
      </c>
      <c r="C51" s="787">
        <v>40</v>
      </c>
      <c r="D51" s="787" t="s">
        <v>1892</v>
      </c>
      <c r="E51" s="787">
        <v>40</v>
      </c>
      <c r="F51" s="646" t="s">
        <v>2</v>
      </c>
      <c r="G51" s="646" t="s">
        <v>2130</v>
      </c>
      <c r="H51" s="753" t="s">
        <v>2131</v>
      </c>
      <c r="I51" s="1306"/>
      <c r="K51" s="647"/>
    </row>
    <row r="52" spans="1:14" ht="16.5" customHeight="1">
      <c r="A52" s="650"/>
      <c r="B52" s="751" t="s">
        <v>2132</v>
      </c>
      <c r="C52" s="787">
        <v>60</v>
      </c>
      <c r="D52" s="787" t="s">
        <v>1892</v>
      </c>
      <c r="E52" s="787">
        <v>60</v>
      </c>
      <c r="F52" s="646" t="s">
        <v>2</v>
      </c>
      <c r="G52" s="646" t="s">
        <v>2134</v>
      </c>
      <c r="H52" s="753" t="s">
        <v>2133</v>
      </c>
      <c r="I52" s="650"/>
      <c r="K52" s="647"/>
    </row>
    <row r="53" spans="1:14" ht="16.5" customHeight="1">
      <c r="K53" s="647"/>
    </row>
    <row r="54" spans="1:14" ht="16.5" customHeight="1">
      <c r="A54" s="769" t="s">
        <v>2357</v>
      </c>
      <c r="E54" s="753"/>
      <c r="F54" s="754"/>
      <c r="G54" s="754"/>
      <c r="H54" s="754"/>
    </row>
    <row r="55" spans="1:14" ht="16.5" customHeight="1">
      <c r="A55" s="646" t="s">
        <v>1910</v>
      </c>
      <c r="C55" s="751" t="s">
        <v>1914</v>
      </c>
      <c r="E55" s="753"/>
      <c r="F55" s="754"/>
      <c r="G55" s="754"/>
      <c r="H55" s="754"/>
    </row>
    <row r="56" spans="1:14" ht="16.5" customHeight="1">
      <c r="A56" s="646" t="s">
        <v>1912</v>
      </c>
      <c r="B56" s="751" t="s">
        <v>10</v>
      </c>
      <c r="C56" s="751">
        <v>5</v>
      </c>
      <c r="D56" s="646" t="s">
        <v>1913</v>
      </c>
      <c r="E56" s="753"/>
      <c r="F56" s="753"/>
      <c r="G56" s="753"/>
      <c r="H56" s="753"/>
      <c r="N56" s="1308"/>
    </row>
    <row r="57" spans="1:14" ht="16.5" customHeight="1">
      <c r="A57" s="646" t="s">
        <v>1915</v>
      </c>
      <c r="B57" s="751" t="s">
        <v>275</v>
      </c>
      <c r="C57" s="751">
        <v>4</v>
      </c>
      <c r="D57" s="646" t="s">
        <v>1913</v>
      </c>
      <c r="N57" s="1308"/>
    </row>
    <row r="58" spans="1:14" ht="16.5" customHeight="1">
      <c r="A58" s="646" t="s">
        <v>2129</v>
      </c>
      <c r="B58" s="751" t="s">
        <v>2128</v>
      </c>
      <c r="C58" s="751">
        <v>40</v>
      </c>
      <c r="D58" s="804" t="s">
        <v>2127</v>
      </c>
      <c r="N58" s="1308"/>
    </row>
    <row r="59" spans="1:14" ht="16.5" customHeight="1">
      <c r="A59" s="646" t="s">
        <v>2120</v>
      </c>
      <c r="B59" s="751" t="s">
        <v>111</v>
      </c>
      <c r="C59" s="751">
        <v>4</v>
      </c>
      <c r="D59" s="646" t="s">
        <v>2</v>
      </c>
      <c r="N59" s="1308"/>
    </row>
    <row r="60" spans="1:14" ht="16.5" customHeight="1">
      <c r="A60" s="650" t="s">
        <v>2119</v>
      </c>
      <c r="B60" s="751" t="s">
        <v>540</v>
      </c>
      <c r="C60" s="751">
        <v>40</v>
      </c>
      <c r="D60" s="646" t="s">
        <v>2</v>
      </c>
      <c r="N60" s="1308"/>
    </row>
    <row r="61" spans="1:14" ht="16.5" customHeight="1">
      <c r="B61" s="751" t="s">
        <v>1911</v>
      </c>
      <c r="C61" s="751">
        <v>1990</v>
      </c>
      <c r="D61" s="646" t="s">
        <v>469</v>
      </c>
      <c r="E61" s="646" t="s">
        <v>2123</v>
      </c>
      <c r="N61" s="1308"/>
    </row>
    <row r="62" spans="1:14" ht="16.5" customHeight="1">
      <c r="B62" s="751" t="s">
        <v>1916</v>
      </c>
      <c r="C62" s="778">
        <v>15.710300604635284</v>
      </c>
      <c r="E62" s="646" t="s">
        <v>1924</v>
      </c>
      <c r="N62" s="1308"/>
    </row>
    <row r="63" spans="1:14" ht="16.5" customHeight="1">
      <c r="B63" s="1314" t="s">
        <v>2100</v>
      </c>
      <c r="C63" s="1314">
        <v>31263.498203224215</v>
      </c>
      <c r="D63" s="650" t="s">
        <v>5</v>
      </c>
      <c r="E63" s="646" t="s">
        <v>1925</v>
      </c>
      <c r="N63" s="1308"/>
    </row>
    <row r="64" spans="1:14" ht="16.5" customHeight="1">
      <c r="A64" s="1528" t="s">
        <v>1988</v>
      </c>
      <c r="B64" s="751" t="s">
        <v>1926</v>
      </c>
      <c r="C64" s="787">
        <v>1526.6793392514248</v>
      </c>
      <c r="D64" s="646" t="s">
        <v>4</v>
      </c>
      <c r="E64" s="1520" t="s">
        <v>1929</v>
      </c>
      <c r="F64" s="1520"/>
      <c r="G64" s="1520"/>
      <c r="H64" s="1520"/>
      <c r="N64" s="1308"/>
    </row>
    <row r="65" spans="1:14" ht="16.5" customHeight="1">
      <c r="A65" s="1528"/>
      <c r="E65" s="1520"/>
      <c r="F65" s="1520"/>
      <c r="G65" s="1520"/>
      <c r="H65" s="1520"/>
      <c r="N65" s="1308"/>
    </row>
    <row r="66" spans="1:14" ht="16.5" customHeight="1">
      <c r="A66" s="1319" t="s">
        <v>2385</v>
      </c>
      <c r="B66" s="796" t="s">
        <v>2101</v>
      </c>
      <c r="C66" s="1314">
        <v>20355.724523352332</v>
      </c>
      <c r="D66" s="650" t="s">
        <v>4</v>
      </c>
      <c r="E66" s="646" t="s">
        <v>1930</v>
      </c>
    </row>
    <row r="68" spans="1:14" ht="16.5" customHeight="1">
      <c r="A68" s="769" t="s">
        <v>2356</v>
      </c>
    </row>
    <row r="69" spans="1:14" ht="16.5" customHeight="1">
      <c r="A69" s="646" t="s">
        <v>437</v>
      </c>
      <c r="B69" s="1309" t="s">
        <v>479</v>
      </c>
      <c r="C69" s="751">
        <v>90</v>
      </c>
      <c r="D69" s="646" t="s">
        <v>270</v>
      </c>
    </row>
    <row r="70" spans="1:14" ht="16.5" customHeight="1">
      <c r="A70" s="646" t="s">
        <v>387</v>
      </c>
      <c r="B70" s="751" t="s">
        <v>111</v>
      </c>
      <c r="C70" s="751">
        <v>12</v>
      </c>
      <c r="D70" s="646" t="s">
        <v>2</v>
      </c>
    </row>
    <row r="71" spans="1:14" ht="16.5" customHeight="1">
      <c r="A71" s="646" t="s">
        <v>1937</v>
      </c>
      <c r="B71" s="751" t="s">
        <v>2000</v>
      </c>
      <c r="C71" s="751">
        <v>7.2</v>
      </c>
      <c r="D71" s="646" t="s">
        <v>2</v>
      </c>
      <c r="E71" s="646" t="s">
        <v>2125</v>
      </c>
    </row>
    <row r="72" spans="1:14" ht="16.5" customHeight="1">
      <c r="A72" s="646" t="s">
        <v>376</v>
      </c>
      <c r="B72" s="751" t="s">
        <v>540</v>
      </c>
      <c r="C72" s="751">
        <v>120</v>
      </c>
      <c r="D72" s="646" t="s">
        <v>2</v>
      </c>
    </row>
    <row r="73" spans="1:14" ht="16.5" customHeight="1">
      <c r="A73" s="646" t="s">
        <v>536</v>
      </c>
      <c r="B73" s="751" t="s">
        <v>2049</v>
      </c>
      <c r="C73" s="751">
        <v>26</v>
      </c>
      <c r="D73" s="646" t="s">
        <v>2</v>
      </c>
    </row>
    <row r="74" spans="1:14" ht="16.5" customHeight="1">
      <c r="A74" s="646" t="s">
        <v>1938</v>
      </c>
      <c r="B74" s="751" t="s">
        <v>1999</v>
      </c>
      <c r="C74" s="751">
        <v>3</v>
      </c>
      <c r="D74" s="646" t="s">
        <v>124</v>
      </c>
    </row>
    <row r="75" spans="1:14" ht="16.5" customHeight="1">
      <c r="A75" s="646" t="s">
        <v>1939</v>
      </c>
      <c r="B75" s="751" t="s">
        <v>1998</v>
      </c>
      <c r="C75" s="751">
        <v>30</v>
      </c>
      <c r="D75" s="646" t="s">
        <v>2</v>
      </c>
      <c r="E75" s="646" t="s">
        <v>2392</v>
      </c>
    </row>
    <row r="76" spans="1:14" ht="16.5" customHeight="1">
      <c r="A76" s="646" t="s">
        <v>1940</v>
      </c>
      <c r="B76" s="751" t="s">
        <v>1997</v>
      </c>
      <c r="C76" s="778">
        <v>11</v>
      </c>
      <c r="D76" s="646" t="s">
        <v>3</v>
      </c>
    </row>
    <row r="77" spans="1:14" ht="16.5" customHeight="1">
      <c r="B77" s="751" t="s">
        <v>1990</v>
      </c>
      <c r="C77" s="778">
        <v>94</v>
      </c>
      <c r="D77" s="646" t="s">
        <v>2</v>
      </c>
      <c r="E77" s="646" t="s">
        <v>2358</v>
      </c>
    </row>
    <row r="78" spans="1:14" ht="16.5" customHeight="1">
      <c r="B78" s="751" t="s">
        <v>2241</v>
      </c>
      <c r="C78" s="787">
        <v>13391.090124468639</v>
      </c>
      <c r="D78" s="646" t="s">
        <v>5</v>
      </c>
      <c r="E78" s="1520" t="s">
        <v>2126</v>
      </c>
      <c r="F78" s="1520"/>
      <c r="G78" s="1520"/>
      <c r="H78" s="1520"/>
    </row>
    <row r="79" spans="1:14" ht="16.5" customHeight="1">
      <c r="C79" s="787"/>
      <c r="E79" s="1520"/>
      <c r="F79" s="1520"/>
      <c r="G79" s="1520"/>
      <c r="H79" s="1520"/>
    </row>
    <row r="80" spans="1:14" ht="16.5" customHeight="1">
      <c r="B80" s="751" t="s">
        <v>2242</v>
      </c>
      <c r="C80" s="787">
        <v>8240.6708458268549</v>
      </c>
      <c r="D80" s="646" t="s">
        <v>5</v>
      </c>
      <c r="E80" s="1520" t="s">
        <v>2245</v>
      </c>
      <c r="F80" s="1520"/>
      <c r="G80" s="1520"/>
      <c r="H80" s="1520"/>
    </row>
    <row r="81" spans="1:12" ht="16.5" customHeight="1">
      <c r="B81" s="751" t="s">
        <v>464</v>
      </c>
      <c r="C81" s="778">
        <v>0.8</v>
      </c>
      <c r="D81" s="646" t="s">
        <v>124</v>
      </c>
      <c r="E81" s="1520"/>
      <c r="F81" s="1520"/>
      <c r="G81" s="1520"/>
      <c r="H81" s="1520"/>
    </row>
    <row r="82" spans="1:12" ht="16.5" customHeight="1">
      <c r="B82" s="751" t="s">
        <v>519</v>
      </c>
      <c r="C82" s="778">
        <v>1.3</v>
      </c>
      <c r="D82" s="646" t="s">
        <v>124</v>
      </c>
      <c r="E82" s="677"/>
      <c r="F82" s="677"/>
      <c r="G82" s="677"/>
      <c r="H82" s="677"/>
    </row>
    <row r="83" spans="1:12" ht="16.5" customHeight="1">
      <c r="C83" s="778"/>
      <c r="E83" s="677"/>
      <c r="F83" s="677"/>
      <c r="G83" s="677"/>
      <c r="H83" s="677"/>
    </row>
    <row r="84" spans="1:12" ht="16.5" customHeight="1">
      <c r="B84" s="751" t="s">
        <v>2238</v>
      </c>
      <c r="C84" s="787">
        <v>0.64587858508233309</v>
      </c>
      <c r="D84" s="646" t="s">
        <v>124</v>
      </c>
      <c r="E84" s="1520" t="e" vm="25">
        <v>#VALUE!</v>
      </c>
      <c r="F84" s="1520"/>
      <c r="G84" s="1520"/>
      <c r="H84" s="1520"/>
    </row>
    <row r="85" spans="1:12" ht="16.5" customHeight="1">
      <c r="C85" s="787"/>
      <c r="E85" s="1520"/>
      <c r="F85" s="1520"/>
      <c r="G85" s="1520"/>
      <c r="H85" s="1520"/>
    </row>
    <row r="86" spans="1:12" ht="16.5" customHeight="1">
      <c r="C86" s="787"/>
      <c r="E86" s="1520"/>
      <c r="F86" s="1520"/>
      <c r="G86" s="1520"/>
      <c r="H86" s="1520"/>
    </row>
    <row r="87" spans="1:12" ht="16.5" customHeight="1">
      <c r="B87" s="751" t="s">
        <v>1133</v>
      </c>
      <c r="C87" s="787">
        <v>0.99443833208583765</v>
      </c>
      <c r="D87" s="646" t="s">
        <v>124</v>
      </c>
      <c r="E87" s="646" t="s">
        <v>2239</v>
      </c>
      <c r="F87" s="677"/>
      <c r="G87" s="677"/>
      <c r="H87" s="677"/>
    </row>
    <row r="88" spans="1:12" ht="16.5" customHeight="1">
      <c r="B88" s="751" t="s">
        <v>2224</v>
      </c>
      <c r="C88" s="779">
        <v>0.82593494861811068</v>
      </c>
      <c r="D88" s="646" t="s">
        <v>124</v>
      </c>
      <c r="E88" s="804" t="s">
        <v>2234</v>
      </c>
      <c r="F88" s="677"/>
      <c r="G88" s="677"/>
      <c r="H88" s="677"/>
    </row>
    <row r="89" spans="1:12" ht="16.5" customHeight="1">
      <c r="B89" s="751" t="s">
        <v>2225</v>
      </c>
      <c r="C89" s="787">
        <v>40715.040790523723</v>
      </c>
      <c r="D89" s="646" t="s">
        <v>5</v>
      </c>
      <c r="E89" s="804" t="s">
        <v>2232</v>
      </c>
      <c r="F89" s="677"/>
      <c r="G89" s="677"/>
      <c r="H89" s="677"/>
    </row>
    <row r="90" spans="1:12" ht="16.5" customHeight="1">
      <c r="B90" s="751" t="s">
        <v>2231</v>
      </c>
      <c r="C90" s="787">
        <v>1000</v>
      </c>
      <c r="D90" s="646" t="s">
        <v>3</v>
      </c>
      <c r="E90" s="804" t="s">
        <v>2233</v>
      </c>
      <c r="F90" s="677"/>
      <c r="G90" s="677"/>
      <c r="H90" s="677"/>
    </row>
    <row r="91" spans="1:12" ht="16.5" customHeight="1">
      <c r="B91" s="751" t="s">
        <v>2226</v>
      </c>
      <c r="C91" s="787">
        <v>59684.723703896329</v>
      </c>
      <c r="D91" s="646" t="s">
        <v>5</v>
      </c>
      <c r="E91" s="804" t="s">
        <v>2235</v>
      </c>
      <c r="F91" s="677"/>
      <c r="G91" s="677"/>
      <c r="H91" s="677"/>
    </row>
    <row r="92" spans="1:12" ht="16.5" customHeight="1">
      <c r="B92" s="751" t="s">
        <v>2227</v>
      </c>
      <c r="C92" s="787">
        <v>128.59</v>
      </c>
      <c r="D92" s="646" t="s">
        <v>3</v>
      </c>
      <c r="E92" s="804" t="s">
        <v>2236</v>
      </c>
      <c r="F92" s="677"/>
      <c r="G92" s="677"/>
      <c r="H92" s="677"/>
    </row>
    <row r="93" spans="1:12" ht="16.5" customHeight="1">
      <c r="B93" s="751" t="s">
        <v>2228</v>
      </c>
      <c r="C93" s="787">
        <v>131.91673216129686</v>
      </c>
      <c r="D93" s="646" t="s">
        <v>2230</v>
      </c>
      <c r="E93" s="804" t="s">
        <v>2237</v>
      </c>
      <c r="F93" s="677"/>
      <c r="G93" s="677"/>
      <c r="H93" s="677"/>
    </row>
    <row r="94" spans="1:12" ht="16.5" customHeight="1">
      <c r="B94" s="751" t="s">
        <v>2229</v>
      </c>
      <c r="C94" s="787">
        <v>210000</v>
      </c>
      <c r="D94" s="646" t="s">
        <v>3</v>
      </c>
      <c r="E94" s="804"/>
      <c r="F94" s="677"/>
      <c r="G94" s="677"/>
      <c r="H94" s="677"/>
    </row>
    <row r="95" spans="1:12" ht="16.5" customHeight="1">
      <c r="A95" s="646" t="s">
        <v>2393</v>
      </c>
      <c r="B95" s="751" t="s">
        <v>1996</v>
      </c>
      <c r="C95" s="787">
        <v>26296.972937352937</v>
      </c>
      <c r="D95" s="646" t="s">
        <v>5</v>
      </c>
      <c r="E95" s="1520" t="s">
        <v>2240</v>
      </c>
      <c r="F95" s="1520"/>
      <c r="G95" s="1520"/>
      <c r="H95" s="1520"/>
      <c r="K95" s="751"/>
      <c r="L95" s="787"/>
    </row>
    <row r="96" spans="1:12" ht="16.5" customHeight="1">
      <c r="C96" s="787"/>
      <c r="E96" s="1520"/>
      <c r="F96" s="1520"/>
      <c r="G96" s="1520"/>
      <c r="H96" s="1520"/>
    </row>
    <row r="97" spans="1:13" ht="16.5" customHeight="1">
      <c r="B97" s="751" t="s">
        <v>2243</v>
      </c>
      <c r="C97" s="787">
        <v>23906.339033957214</v>
      </c>
      <c r="D97" s="646" t="s">
        <v>5</v>
      </c>
      <c r="E97" s="677"/>
      <c r="F97" s="677"/>
      <c r="G97" s="677"/>
      <c r="H97" s="677"/>
    </row>
    <row r="98" spans="1:13" ht="16.5" customHeight="1">
      <c r="B98" s="751" t="s">
        <v>1077</v>
      </c>
      <c r="C98" s="778">
        <v>1.1000000000000001</v>
      </c>
      <c r="E98" s="677"/>
      <c r="F98" s="677"/>
      <c r="G98" s="677"/>
      <c r="H98" s="677"/>
    </row>
    <row r="99" spans="1:13" ht="16.5" customHeight="1">
      <c r="C99" s="778"/>
      <c r="E99" s="677"/>
      <c r="F99" s="677"/>
      <c r="G99" s="677"/>
      <c r="H99" s="677"/>
    </row>
    <row r="100" spans="1:13" ht="16.5" customHeight="1">
      <c r="B100" s="751" t="s">
        <v>2242</v>
      </c>
      <c r="C100" s="778" t="s">
        <v>2359</v>
      </c>
      <c r="D100" s="751" t="s">
        <v>2243</v>
      </c>
      <c r="E100" s="677"/>
      <c r="F100" s="677"/>
      <c r="G100" s="677"/>
      <c r="H100" s="677"/>
    </row>
    <row r="101" spans="1:13" ht="16.5" customHeight="1">
      <c r="A101" s="1528" t="s">
        <v>2394</v>
      </c>
      <c r="B101" s="1528"/>
      <c r="C101" s="1528"/>
      <c r="D101" s="1528"/>
      <c r="E101" s="1528"/>
      <c r="F101" s="1528"/>
      <c r="G101" s="1528"/>
      <c r="H101" s="1528"/>
      <c r="I101" s="1528"/>
    </row>
    <row r="102" spans="1:13" ht="16.5" customHeight="1">
      <c r="A102" s="742"/>
      <c r="B102" s="742"/>
      <c r="C102" s="742"/>
      <c r="D102" s="742"/>
      <c r="E102" s="742"/>
      <c r="F102" s="742"/>
      <c r="G102" s="742"/>
      <c r="H102" s="742"/>
      <c r="I102" s="742"/>
    </row>
    <row r="103" spans="1:13" ht="16.5" customHeight="1">
      <c r="A103" s="646" t="s">
        <v>2244</v>
      </c>
      <c r="B103" s="1314" t="s">
        <v>2115</v>
      </c>
      <c r="C103" s="1314">
        <v>13391.090124468639</v>
      </c>
      <c r="D103" s="650" t="s">
        <v>5</v>
      </c>
      <c r="E103" s="646" t="s">
        <v>2002</v>
      </c>
    </row>
    <row r="104" spans="1:13" ht="16.5" customHeight="1">
      <c r="A104" s="646" t="s">
        <v>1966</v>
      </c>
      <c r="B104" s="751" t="s">
        <v>1926</v>
      </c>
      <c r="C104" s="751">
        <v>28200</v>
      </c>
      <c r="D104" s="646" t="s">
        <v>4</v>
      </c>
      <c r="E104" s="646" t="s">
        <v>2395</v>
      </c>
    </row>
    <row r="105" spans="1:13" ht="16.5" customHeight="1">
      <c r="A105" s="646" t="s">
        <v>1966</v>
      </c>
      <c r="B105" s="796" t="s">
        <v>2146</v>
      </c>
      <c r="C105" s="1314">
        <v>18800</v>
      </c>
      <c r="D105" s="650" t="s">
        <v>4</v>
      </c>
      <c r="E105" s="645" t="s">
        <v>2333</v>
      </c>
    </row>
    <row r="107" spans="1:13" ht="16.5" customHeight="1">
      <c r="A107" s="769" t="s">
        <v>2348</v>
      </c>
      <c r="L107" s="1393"/>
      <c r="M107" s="1393"/>
    </row>
    <row r="108" spans="1:13" ht="16.5" customHeight="1">
      <c r="A108" s="646" t="s">
        <v>2001</v>
      </c>
      <c r="B108" s="1315" t="s">
        <v>1982</v>
      </c>
      <c r="C108" s="1315">
        <v>31263.498203224215</v>
      </c>
      <c r="D108" s="789" t="s">
        <v>5</v>
      </c>
      <c r="E108" s="650" t="s">
        <v>2391</v>
      </c>
      <c r="F108" s="650"/>
      <c r="G108" s="650"/>
      <c r="L108" s="1393"/>
      <c r="M108" s="1393"/>
    </row>
    <row r="109" spans="1:13" ht="16.5" customHeight="1">
      <c r="B109" s="1316" t="s">
        <v>1983</v>
      </c>
      <c r="C109" s="1315">
        <v>20355.724523352332</v>
      </c>
      <c r="D109" s="789" t="s">
        <v>4</v>
      </c>
      <c r="E109" s="650" t="s">
        <v>2391</v>
      </c>
      <c r="F109" s="650"/>
      <c r="G109" s="650"/>
      <c r="K109" s="748"/>
      <c r="M109" s="1393"/>
    </row>
    <row r="110" spans="1:13" ht="16.5" customHeight="1">
      <c r="B110" s="1316" t="s">
        <v>2111</v>
      </c>
      <c r="C110" s="751" t="s">
        <v>124</v>
      </c>
      <c r="D110" s="789" t="s">
        <v>2</v>
      </c>
      <c r="E110" s="1528" t="s">
        <v>2355</v>
      </c>
      <c r="F110" s="1528"/>
      <c r="G110" s="1528"/>
      <c r="H110" s="1528"/>
    </row>
    <row r="111" spans="1:13" ht="16.5" customHeight="1">
      <c r="B111" s="796"/>
      <c r="C111" s="755"/>
      <c r="D111" s="755"/>
      <c r="E111" s="1528"/>
      <c r="F111" s="1528"/>
      <c r="G111" s="1528"/>
      <c r="H111" s="1528"/>
    </row>
    <row r="112" spans="1:13" ht="16.5" customHeight="1">
      <c r="B112" s="1316" t="s">
        <v>2095</v>
      </c>
      <c r="C112" s="1316" t="s">
        <v>124</v>
      </c>
      <c r="D112" s="789" t="s">
        <v>2</v>
      </c>
      <c r="E112" s="1528" t="s">
        <v>2355</v>
      </c>
      <c r="F112" s="1528"/>
      <c r="G112" s="1528"/>
      <c r="H112" s="1528"/>
    </row>
    <row r="113" spans="1:11" ht="16.5" customHeight="1">
      <c r="B113" s="1316"/>
      <c r="C113" s="1316"/>
      <c r="D113" s="789"/>
      <c r="E113" s="1528"/>
      <c r="F113" s="1528"/>
      <c r="G113" s="1528"/>
      <c r="H113" s="1528"/>
    </row>
    <row r="114" spans="1:11" ht="16.5" customHeight="1">
      <c r="B114" s="1316" t="s">
        <v>275</v>
      </c>
      <c r="C114" s="1316">
        <v>1</v>
      </c>
      <c r="D114" s="789" t="s">
        <v>1935</v>
      </c>
      <c r="E114" s="1528" t="s">
        <v>2169</v>
      </c>
      <c r="F114" s="1528"/>
      <c r="G114" s="1528"/>
      <c r="H114" s="1528"/>
    </row>
    <row r="115" spans="1:11" ht="16.5" customHeight="1">
      <c r="B115" s="1316"/>
      <c r="C115" s="1316"/>
      <c r="D115" s="789"/>
      <c r="E115" s="1528"/>
      <c r="F115" s="1528"/>
      <c r="G115" s="1528"/>
      <c r="H115" s="1528"/>
    </row>
    <row r="116" spans="1:11" ht="16.5" customHeight="1">
      <c r="B116" s="1316"/>
      <c r="C116" s="1316"/>
      <c r="D116" s="789"/>
      <c r="E116" s="1528"/>
      <c r="F116" s="1528"/>
      <c r="G116" s="1528"/>
      <c r="H116" s="1528"/>
    </row>
    <row r="117" spans="1:11" ht="16.5" customHeight="1">
      <c r="B117" s="1316"/>
      <c r="C117" s="1316"/>
      <c r="D117" s="789"/>
      <c r="E117" s="742"/>
      <c r="F117" s="742"/>
      <c r="G117" s="742"/>
      <c r="H117" s="742"/>
    </row>
    <row r="118" spans="1:11" ht="16.5" customHeight="1">
      <c r="A118" s="646" t="s">
        <v>2360</v>
      </c>
      <c r="B118" s="1315" t="s">
        <v>2147</v>
      </c>
      <c r="C118" s="1315">
        <v>13391.090124468639</v>
      </c>
      <c r="D118" s="789" t="s">
        <v>5</v>
      </c>
      <c r="E118" s="650" t="s">
        <v>2002</v>
      </c>
      <c r="F118" s="1394"/>
      <c r="G118" s="650"/>
    </row>
    <row r="119" spans="1:11" ht="16.5" customHeight="1">
      <c r="B119" s="1316" t="s">
        <v>2148</v>
      </c>
      <c r="C119" s="1315">
        <v>18800</v>
      </c>
      <c r="D119" s="789" t="s">
        <v>4</v>
      </c>
      <c r="E119" s="650" t="s">
        <v>2002</v>
      </c>
      <c r="F119" s="1394"/>
      <c r="G119" s="650"/>
      <c r="K119" s="748"/>
    </row>
    <row r="120" spans="1:11" ht="16.5" customHeight="1">
      <c r="B120" s="1316" t="s">
        <v>2113</v>
      </c>
      <c r="C120" s="1316">
        <v>30</v>
      </c>
      <c r="D120" s="789" t="s">
        <v>2</v>
      </c>
      <c r="E120" s="650"/>
      <c r="F120" s="1394"/>
      <c r="G120" s="650"/>
    </row>
    <row r="121" spans="1:11" ht="16.5" customHeight="1">
      <c r="B121" s="1316" t="s">
        <v>2114</v>
      </c>
      <c r="C121" s="1316">
        <v>3</v>
      </c>
      <c r="D121" s="789" t="s">
        <v>1935</v>
      </c>
      <c r="E121" s="650"/>
      <c r="F121" s="1394"/>
      <c r="G121" s="650"/>
    </row>
    <row r="122" spans="1:11" ht="16.5" customHeight="1">
      <c r="B122" s="1316" t="s">
        <v>109</v>
      </c>
      <c r="C122" s="1316">
        <v>120</v>
      </c>
      <c r="D122" s="789" t="s">
        <v>2</v>
      </c>
      <c r="E122" s="650"/>
      <c r="F122" s="1394"/>
      <c r="G122" s="650"/>
    </row>
    <row r="123" spans="1:11" ht="16.5" customHeight="1">
      <c r="B123" s="1395"/>
      <c r="C123" s="1395"/>
      <c r="D123" s="1396"/>
      <c r="F123" s="1397"/>
    </row>
    <row r="124" spans="1:11" ht="16.5" customHeight="1">
      <c r="A124" s="769" t="s">
        <v>462</v>
      </c>
    </row>
    <row r="125" spans="1:11" ht="16.5" customHeight="1">
      <c r="A125" s="646" t="s">
        <v>1931</v>
      </c>
    </row>
    <row r="126" spans="1:11" ht="16.5" customHeight="1">
      <c r="A126" s="646" t="s">
        <v>2246</v>
      </c>
    </row>
  </sheetData>
  <sheetProtection algorithmName="SHA-512" hashValue="0eshqD8ZZ/ds9kiPbs8DAwGCCAwjJanG4Xg4CTrB2sh62+rJfr3AP1CRMo4/gsVeL1D9C5mc7ai3mdWDvzaF9A==" saltValue="JWfE4X7bGl5nVxUxPVMRyQ==" spinCount="100000" sheet="1" objects="1" scenarios="1"/>
  <mergeCells count="16">
    <mergeCell ref="E114:H116"/>
    <mergeCell ref="E112:H113"/>
    <mergeCell ref="E78:H79"/>
    <mergeCell ref="A101:I101"/>
    <mergeCell ref="E110:H111"/>
    <mergeCell ref="E84:H86"/>
    <mergeCell ref="E95:H96"/>
    <mergeCell ref="E80:H81"/>
    <mergeCell ref="A64:A65"/>
    <mergeCell ref="A1:G1"/>
    <mergeCell ref="H1:I1"/>
    <mergeCell ref="A2:G2"/>
    <mergeCell ref="H2:I2"/>
    <mergeCell ref="A7:I27"/>
    <mergeCell ref="A4:I6"/>
    <mergeCell ref="E64:H65"/>
  </mergeCells>
  <dataValidations count="3">
    <dataValidation type="list" allowBlank="1" showInputMessage="1" showErrorMessage="1" sqref="C55" xr:uid="{612EF328-33C2-4EE9-BFBD-75DA63235858}">
      <formula1>$K$56:$K$65</formula1>
    </dataValidation>
    <dataValidation type="list" allowBlank="1" showInputMessage="1" showErrorMessage="1" sqref="C70" xr:uid="{FC6AF828-8C48-476E-9BDE-F6EBECBC3F32}">
      <formula1>"6,8,10,12"</formula1>
    </dataValidation>
    <dataValidation type="list" allowBlank="1" showInputMessage="1" showErrorMessage="1" sqref="C74" xr:uid="{0CFC683B-86FC-44E3-8C54-0BA72A7B4896}">
      <formula1>"1,2,3"</formula1>
    </dataValidation>
  </dataValidations>
  <printOptions gridLines="1"/>
  <pageMargins left="0.7" right="0.7" top="0.78740157499999996" bottom="0.78740157499999996" header="0.3" footer="0.3"/>
  <pageSetup paperSize="9" scale="95" orientation="portrait" verticalDpi="300" r:id="rId1"/>
  <rowBreaks count="3" manualBreakCount="3">
    <brk id="42" max="8" man="1"/>
    <brk id="67" max="8" man="1"/>
    <brk id="106" max="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24830-CFE2-4E8A-B301-ACCC980DAA84}">
  <sheetPr codeName="Tabelle14"/>
  <dimension ref="A1:V97"/>
  <sheetViews>
    <sheetView showGridLines="0" showRowColHeaders="0" zoomScaleNormal="100" zoomScaleSheetLayoutView="100" workbookViewId="0">
      <selection activeCell="D38" sqref="D38"/>
    </sheetView>
  </sheetViews>
  <sheetFormatPr baseColWidth="10" defaultRowHeight="16.5" customHeight="1"/>
  <cols>
    <col min="1" max="1" width="27" style="646" customWidth="1"/>
    <col min="2" max="2" width="5.85546875" style="751" customWidth="1"/>
    <col min="3" max="3" width="8.140625" style="751" customWidth="1"/>
    <col min="4" max="4" width="8.140625" style="646" customWidth="1"/>
    <col min="5" max="5" width="6.5703125" style="646" customWidth="1"/>
    <col min="6" max="6" width="14.140625" style="646" customWidth="1"/>
    <col min="7" max="8" width="7.5703125" style="646" customWidth="1"/>
    <col min="9" max="9" width="6.140625" style="646" customWidth="1"/>
    <col min="10" max="16384" width="11.42578125" style="646"/>
  </cols>
  <sheetData>
    <row r="1" spans="1:22" ht="16.5" customHeight="1">
      <c r="A1" s="1548" t="s">
        <v>2052</v>
      </c>
      <c r="B1" s="1548"/>
      <c r="C1" s="1548"/>
      <c r="D1" s="1548"/>
      <c r="E1" s="1548"/>
      <c r="F1" s="1548"/>
      <c r="G1" s="1548"/>
      <c r="H1" s="1549" t="s">
        <v>401</v>
      </c>
      <c r="I1" s="1549"/>
      <c r="K1" s="1391"/>
      <c r="L1" s="1391"/>
      <c r="M1" s="1391"/>
      <c r="N1" s="1391"/>
      <c r="O1" s="1391"/>
      <c r="P1" s="1391"/>
      <c r="Q1" s="1391"/>
      <c r="R1" s="1391"/>
      <c r="S1" s="1391"/>
      <c r="T1" s="1391"/>
      <c r="U1" s="1391"/>
      <c r="V1" s="1391"/>
    </row>
    <row r="2" spans="1:22" ht="16.5" customHeight="1">
      <c r="A2" s="1589" t="s">
        <v>2058</v>
      </c>
      <c r="B2" s="1589"/>
      <c r="C2" s="1589"/>
      <c r="D2" s="1589"/>
      <c r="E2" s="1589"/>
      <c r="F2" s="1589"/>
      <c r="G2" s="1589"/>
      <c r="H2" s="1551" t="s">
        <v>402</v>
      </c>
      <c r="I2" s="1551"/>
      <c r="K2" s="1391"/>
      <c r="L2" s="1391"/>
      <c r="M2" s="1391"/>
      <c r="N2" s="1391"/>
      <c r="O2" s="1391"/>
      <c r="P2" s="1391"/>
      <c r="Q2" s="1391"/>
      <c r="R2" s="1391"/>
      <c r="S2" s="1391"/>
      <c r="T2" s="1391"/>
      <c r="U2" s="1391"/>
      <c r="V2" s="1391"/>
    </row>
    <row r="3" spans="1:22" s="769" customFormat="1" ht="16.5" customHeight="1">
      <c r="A3" s="769" t="s">
        <v>1909</v>
      </c>
      <c r="B3" s="781"/>
      <c r="C3" s="781"/>
      <c r="K3" s="1391"/>
      <c r="L3" s="1391"/>
      <c r="M3" s="1391"/>
      <c r="N3" s="1391"/>
      <c r="O3" s="1391"/>
      <c r="P3" s="1391"/>
      <c r="Q3" s="1391"/>
      <c r="R3" s="1391"/>
      <c r="S3" s="1391"/>
      <c r="T3" s="1391"/>
      <c r="U3" s="1391"/>
      <c r="V3" s="1391"/>
    </row>
    <row r="4" spans="1:22" ht="16.5" customHeight="1">
      <c r="A4" s="1520" t="s">
        <v>2340</v>
      </c>
      <c r="B4" s="1520"/>
      <c r="C4" s="1520"/>
      <c r="D4" s="1520"/>
      <c r="E4" s="1520"/>
      <c r="F4" s="1520"/>
      <c r="G4" s="1520"/>
      <c r="H4" s="1520"/>
      <c r="I4" s="1520"/>
      <c r="K4" s="1391"/>
      <c r="L4" s="1391"/>
      <c r="M4" s="1391"/>
      <c r="N4" s="1391"/>
      <c r="O4" s="1391"/>
      <c r="P4" s="1391"/>
      <c r="Q4" s="1391"/>
      <c r="R4" s="1391"/>
      <c r="S4" s="1391"/>
      <c r="T4" s="1391"/>
      <c r="U4" s="1391"/>
      <c r="V4" s="1391"/>
    </row>
    <row r="5" spans="1:22" ht="16.5" customHeight="1">
      <c r="A5" s="1520"/>
      <c r="B5" s="1520"/>
      <c r="C5" s="1520"/>
      <c r="D5" s="1520"/>
      <c r="E5" s="1520"/>
      <c r="F5" s="1520"/>
      <c r="G5" s="1520"/>
      <c r="H5" s="1520"/>
      <c r="I5" s="1520"/>
      <c r="J5" s="1590"/>
      <c r="K5" s="1590"/>
    </row>
    <row r="6" spans="1:22" ht="16.5" customHeight="1">
      <c r="A6" s="1520"/>
      <c r="B6" s="1520"/>
      <c r="C6" s="1520"/>
      <c r="D6" s="1520"/>
      <c r="E6" s="1520"/>
      <c r="F6" s="1520"/>
      <c r="G6" s="1520"/>
      <c r="H6" s="1520"/>
      <c r="I6" s="1520"/>
      <c r="J6" s="1307"/>
      <c r="K6" s="1307"/>
    </row>
    <row r="7" spans="1:22" ht="16.5" customHeight="1">
      <c r="A7" s="1540" t="e" vm="16">
        <v>#VALUE!</v>
      </c>
      <c r="B7" s="1540"/>
      <c r="C7" s="1540"/>
      <c r="D7" s="1540"/>
      <c r="E7" s="1540"/>
      <c r="F7" s="1540"/>
      <c r="G7" s="1540"/>
      <c r="H7" s="1540"/>
      <c r="I7" s="1540"/>
      <c r="J7" s="646" t="s">
        <v>742</v>
      </c>
    </row>
    <row r="8" spans="1:22" ht="16.5" customHeight="1">
      <c r="A8" s="1540"/>
      <c r="B8" s="1540"/>
      <c r="C8" s="1540"/>
      <c r="D8" s="1540"/>
      <c r="E8" s="1540"/>
      <c r="F8" s="1540"/>
      <c r="G8" s="1540"/>
      <c r="H8" s="1540"/>
      <c r="I8" s="1540"/>
      <c r="J8" s="753" t="e" vm="16">
        <v>#VALUE!</v>
      </c>
      <c r="K8" s="753"/>
      <c r="L8" s="753"/>
      <c r="M8" s="753"/>
      <c r="N8" s="753"/>
      <c r="O8" s="753"/>
      <c r="P8" s="753"/>
      <c r="Q8" s="753"/>
      <c r="R8" s="753"/>
    </row>
    <row r="9" spans="1:22" ht="16.5" customHeight="1">
      <c r="A9" s="1540"/>
      <c r="B9" s="1540"/>
      <c r="C9" s="1540"/>
      <c r="D9" s="1540"/>
      <c r="E9" s="1540"/>
      <c r="F9" s="1540"/>
      <c r="G9" s="1540"/>
      <c r="H9" s="1540"/>
      <c r="I9" s="1540"/>
      <c r="J9" s="753"/>
      <c r="K9" s="753"/>
      <c r="L9" s="753"/>
      <c r="M9" s="753"/>
      <c r="N9" s="753"/>
      <c r="O9" s="753"/>
      <c r="P9" s="753"/>
      <c r="Q9" s="753"/>
      <c r="R9" s="753"/>
    </row>
    <row r="10" spans="1:22" ht="16.5" customHeight="1">
      <c r="A10" s="1540"/>
      <c r="B10" s="1540"/>
      <c r="C10" s="1540"/>
      <c r="D10" s="1540"/>
      <c r="E10" s="1540"/>
      <c r="F10" s="1540"/>
      <c r="G10" s="1540"/>
      <c r="H10" s="1540"/>
      <c r="I10" s="1540"/>
      <c r="J10" s="753"/>
      <c r="K10" s="753"/>
      <c r="L10" s="753"/>
      <c r="M10" s="753"/>
      <c r="N10" s="753"/>
      <c r="O10" s="753"/>
      <c r="P10" s="753"/>
      <c r="Q10" s="753"/>
      <c r="R10" s="753"/>
    </row>
    <row r="11" spans="1:22" ht="16.5" customHeight="1">
      <c r="A11" s="1540"/>
      <c r="B11" s="1540"/>
      <c r="C11" s="1540"/>
      <c r="D11" s="1540"/>
      <c r="E11" s="1540"/>
      <c r="F11" s="1540"/>
      <c r="G11" s="1540"/>
      <c r="H11" s="1540"/>
      <c r="I11" s="1540"/>
      <c r="J11" s="753"/>
      <c r="K11" s="753"/>
      <c r="L11" s="753"/>
      <c r="M11" s="753"/>
      <c r="N11" s="753"/>
      <c r="O11" s="753"/>
      <c r="P11" s="753"/>
      <c r="Q11" s="753"/>
      <c r="R11" s="753"/>
    </row>
    <row r="12" spans="1:22" ht="16.5" customHeight="1">
      <c r="A12" s="1540"/>
      <c r="B12" s="1540"/>
      <c r="C12" s="1540"/>
      <c r="D12" s="1540"/>
      <c r="E12" s="1540"/>
      <c r="F12" s="1540"/>
      <c r="G12" s="1540"/>
      <c r="H12" s="1540"/>
      <c r="I12" s="1540"/>
      <c r="J12" s="753"/>
      <c r="K12" s="753"/>
      <c r="L12" s="753"/>
      <c r="M12" s="753"/>
      <c r="N12" s="753"/>
      <c r="O12" s="753"/>
      <c r="P12" s="753"/>
      <c r="Q12" s="753"/>
      <c r="R12" s="753"/>
    </row>
    <row r="13" spans="1:22" ht="16.5" customHeight="1">
      <c r="A13" s="1540"/>
      <c r="B13" s="1540"/>
      <c r="C13" s="1540"/>
      <c r="D13" s="1540"/>
      <c r="E13" s="1540"/>
      <c r="F13" s="1540"/>
      <c r="G13" s="1540"/>
      <c r="H13" s="1540"/>
      <c r="I13" s="1540"/>
      <c r="J13" s="753"/>
      <c r="K13" s="753"/>
      <c r="L13" s="753"/>
      <c r="M13" s="753"/>
      <c r="N13" s="753"/>
      <c r="O13" s="753"/>
      <c r="P13" s="753"/>
      <c r="Q13" s="753"/>
      <c r="R13" s="753"/>
    </row>
    <row r="14" spans="1:22" ht="16.5" customHeight="1">
      <c r="A14" s="1540"/>
      <c r="B14" s="1540"/>
      <c r="C14" s="1540"/>
      <c r="D14" s="1540"/>
      <c r="E14" s="1540"/>
      <c r="F14" s="1540"/>
      <c r="G14" s="1540"/>
      <c r="H14" s="1540"/>
      <c r="I14" s="1540"/>
      <c r="J14" s="753"/>
      <c r="K14" s="753"/>
      <c r="L14" s="753"/>
      <c r="M14" s="753"/>
      <c r="N14" s="753"/>
      <c r="O14" s="753"/>
      <c r="P14" s="753"/>
      <c r="Q14" s="753"/>
      <c r="R14" s="753"/>
    </row>
    <row r="15" spans="1:22" ht="16.5" customHeight="1">
      <c r="A15" s="1540"/>
      <c r="B15" s="1540"/>
      <c r="C15" s="1540"/>
      <c r="D15" s="1540"/>
      <c r="E15" s="1540"/>
      <c r="F15" s="1540"/>
      <c r="G15" s="1540"/>
      <c r="H15" s="1540"/>
      <c r="I15" s="1540"/>
      <c r="J15" s="753"/>
      <c r="K15" s="753"/>
      <c r="L15" s="753"/>
      <c r="M15" s="753"/>
      <c r="N15" s="753"/>
      <c r="O15" s="753"/>
      <c r="P15" s="753"/>
      <c r="Q15" s="753"/>
      <c r="R15" s="753"/>
    </row>
    <row r="16" spans="1:22" ht="16.5" customHeight="1">
      <c r="A16" s="1540"/>
      <c r="B16" s="1540"/>
      <c r="C16" s="1540"/>
      <c r="D16" s="1540"/>
      <c r="E16" s="1540"/>
      <c r="F16" s="1540"/>
      <c r="G16" s="1540"/>
      <c r="H16" s="1540"/>
      <c r="I16" s="1540"/>
      <c r="J16" s="753"/>
      <c r="K16" s="753"/>
      <c r="L16" s="753"/>
      <c r="M16" s="753"/>
      <c r="N16" s="753"/>
      <c r="O16" s="753"/>
      <c r="P16" s="753"/>
      <c r="Q16" s="753"/>
      <c r="R16" s="753"/>
    </row>
    <row r="17" spans="1:18" ht="16.5" customHeight="1">
      <c r="A17" s="1540"/>
      <c r="B17" s="1540"/>
      <c r="C17" s="1540"/>
      <c r="D17" s="1540"/>
      <c r="E17" s="1540"/>
      <c r="F17" s="1540"/>
      <c r="G17" s="1540"/>
      <c r="H17" s="1540"/>
      <c r="I17" s="1540"/>
      <c r="J17" s="753"/>
      <c r="K17" s="753"/>
      <c r="L17" s="753"/>
      <c r="M17" s="753"/>
      <c r="N17" s="753"/>
      <c r="O17" s="753"/>
      <c r="P17" s="753"/>
      <c r="Q17" s="753"/>
      <c r="R17" s="753"/>
    </row>
    <row r="18" spans="1:18" ht="16.5" customHeight="1">
      <c r="A18" s="1540"/>
      <c r="B18" s="1540"/>
      <c r="C18" s="1540"/>
      <c r="D18" s="1540"/>
      <c r="E18" s="1540"/>
      <c r="F18" s="1540"/>
      <c r="G18" s="1540"/>
      <c r="H18" s="1540"/>
      <c r="I18" s="1540"/>
      <c r="J18" s="753"/>
      <c r="K18" s="753"/>
      <c r="L18" s="753"/>
      <c r="M18" s="753"/>
      <c r="N18" s="753"/>
      <c r="O18" s="753"/>
      <c r="P18" s="753"/>
      <c r="Q18" s="753"/>
      <c r="R18" s="753"/>
    </row>
    <row r="19" spans="1:18" ht="16.5" customHeight="1">
      <c r="A19" s="1540"/>
      <c r="B19" s="1540"/>
      <c r="C19" s="1540"/>
      <c r="D19" s="1540"/>
      <c r="E19" s="1540"/>
      <c r="F19" s="1540"/>
      <c r="G19" s="1540"/>
      <c r="H19" s="1540"/>
      <c r="I19" s="1540"/>
      <c r="J19" s="753"/>
      <c r="K19" s="753"/>
      <c r="L19" s="753"/>
      <c r="M19" s="753"/>
      <c r="N19" s="753"/>
      <c r="O19" s="753"/>
      <c r="P19" s="753"/>
      <c r="Q19" s="753"/>
      <c r="R19" s="753"/>
    </row>
    <row r="20" spans="1:18" ht="16.5" customHeight="1">
      <c r="A20" s="1540"/>
      <c r="B20" s="1540"/>
      <c r="C20" s="1540"/>
      <c r="D20" s="1540"/>
      <c r="E20" s="1540"/>
      <c r="F20" s="1540"/>
      <c r="G20" s="1540"/>
      <c r="H20" s="1540"/>
      <c r="I20" s="1540"/>
      <c r="J20" s="753"/>
      <c r="K20" s="753"/>
      <c r="L20" s="753"/>
      <c r="M20" s="753"/>
      <c r="N20" s="753"/>
      <c r="O20" s="753"/>
      <c r="P20" s="753"/>
      <c r="Q20" s="753"/>
      <c r="R20" s="753"/>
    </row>
    <row r="21" spans="1:18" ht="16.5" customHeight="1">
      <c r="A21" s="1540"/>
      <c r="B21" s="1540"/>
      <c r="C21" s="1540"/>
      <c r="D21" s="1540"/>
      <c r="E21" s="1540"/>
      <c r="F21" s="1540"/>
      <c r="G21" s="1540"/>
      <c r="H21" s="1540"/>
      <c r="I21" s="1540"/>
      <c r="J21" s="753"/>
      <c r="K21" s="753"/>
      <c r="L21" s="753"/>
      <c r="M21" s="753"/>
      <c r="N21" s="753"/>
      <c r="O21" s="753"/>
      <c r="P21" s="753"/>
      <c r="Q21" s="753"/>
      <c r="R21" s="753"/>
    </row>
    <row r="22" spans="1:18" ht="16.5" customHeight="1">
      <c r="A22" s="1540"/>
      <c r="B22" s="1540"/>
      <c r="C22" s="1540"/>
      <c r="D22" s="1540"/>
      <c r="E22" s="1540"/>
      <c r="F22" s="1540"/>
      <c r="G22" s="1540"/>
      <c r="H22" s="1540"/>
      <c r="I22" s="1540"/>
      <c r="J22" s="753"/>
      <c r="K22" s="753"/>
      <c r="L22" s="753"/>
      <c r="M22" s="753"/>
      <c r="N22" s="753"/>
      <c r="O22" s="753"/>
      <c r="P22" s="753"/>
      <c r="Q22" s="753"/>
      <c r="R22" s="753"/>
    </row>
    <row r="23" spans="1:18" ht="16.5" customHeight="1">
      <c r="A23" s="1540"/>
      <c r="B23" s="1540"/>
      <c r="C23" s="1540"/>
      <c r="D23" s="1540"/>
      <c r="E23" s="1540"/>
      <c r="F23" s="1540"/>
      <c r="G23" s="1540"/>
      <c r="H23" s="1540"/>
      <c r="I23" s="1540"/>
      <c r="J23" s="753"/>
      <c r="K23" s="753"/>
      <c r="L23" s="753"/>
      <c r="M23" s="753"/>
      <c r="N23" s="753"/>
      <c r="O23" s="753"/>
      <c r="P23" s="753"/>
      <c r="Q23" s="753"/>
      <c r="R23" s="753"/>
    </row>
    <row r="24" spans="1:18" ht="16.5" customHeight="1">
      <c r="A24" s="1540"/>
      <c r="B24" s="1540"/>
      <c r="C24" s="1540"/>
      <c r="D24" s="1540"/>
      <c r="E24" s="1540"/>
      <c r="F24" s="1540"/>
      <c r="G24" s="1540"/>
      <c r="H24" s="1540"/>
      <c r="I24" s="1540"/>
      <c r="J24" s="753"/>
      <c r="K24" s="753"/>
      <c r="L24" s="753"/>
      <c r="M24" s="753"/>
      <c r="N24" s="753"/>
      <c r="O24" s="753"/>
      <c r="P24" s="753"/>
      <c r="Q24" s="753"/>
      <c r="R24" s="753"/>
    </row>
    <row r="25" spans="1:18" ht="16.5" customHeight="1">
      <c r="A25" s="1540"/>
      <c r="B25" s="1540"/>
      <c r="C25" s="1540"/>
      <c r="D25" s="1540"/>
      <c r="E25" s="1540"/>
      <c r="F25" s="1540"/>
      <c r="G25" s="1540"/>
      <c r="H25" s="1540"/>
      <c r="I25" s="1540"/>
      <c r="J25" s="753"/>
      <c r="K25" s="753"/>
      <c r="L25" s="753"/>
      <c r="M25" s="753"/>
      <c r="N25" s="753"/>
      <c r="O25" s="753"/>
      <c r="P25" s="753"/>
      <c r="Q25" s="753"/>
      <c r="R25" s="753"/>
    </row>
    <row r="26" spans="1:18" ht="16.5" customHeight="1">
      <c r="A26" s="1540"/>
      <c r="B26" s="1540"/>
      <c r="C26" s="1540"/>
      <c r="D26" s="1540"/>
      <c r="E26" s="1540"/>
      <c r="F26" s="1540"/>
      <c r="G26" s="1540"/>
      <c r="H26" s="1540"/>
      <c r="I26" s="1540"/>
      <c r="J26" s="753"/>
      <c r="K26" s="753"/>
      <c r="L26" s="753"/>
      <c r="M26" s="753"/>
      <c r="N26" s="753"/>
      <c r="O26" s="753"/>
      <c r="P26" s="753"/>
      <c r="Q26" s="753"/>
      <c r="R26" s="753"/>
    </row>
    <row r="27" spans="1:18" ht="16.5" customHeight="1">
      <c r="A27" s="1540"/>
      <c r="B27" s="1540"/>
      <c r="C27" s="1540"/>
      <c r="D27" s="1540"/>
      <c r="E27" s="1540"/>
      <c r="F27" s="1540"/>
      <c r="G27" s="1540"/>
      <c r="H27" s="1540"/>
      <c r="I27" s="1540"/>
      <c r="J27" s="753"/>
      <c r="K27" s="753"/>
      <c r="L27" s="753"/>
      <c r="M27" s="753"/>
      <c r="N27" s="753"/>
      <c r="O27" s="753"/>
      <c r="P27" s="753"/>
      <c r="Q27" s="753"/>
      <c r="R27" s="753"/>
    </row>
    <row r="28" spans="1:18" ht="16.5" customHeight="1">
      <c r="A28" s="795" t="s">
        <v>926</v>
      </c>
      <c r="C28" s="787"/>
      <c r="E28" s="753"/>
      <c r="F28" s="753"/>
      <c r="G28" s="753" t="s">
        <v>2371</v>
      </c>
      <c r="H28" s="753"/>
      <c r="J28" s="753"/>
      <c r="K28" s="753"/>
      <c r="L28" s="753"/>
      <c r="M28" s="753"/>
      <c r="N28" s="753"/>
      <c r="O28" s="753"/>
      <c r="P28" s="753"/>
      <c r="Q28" s="753"/>
      <c r="R28" s="753"/>
    </row>
    <row r="29" spans="1:18" ht="16.5" customHeight="1">
      <c r="A29" s="1308" t="s">
        <v>17</v>
      </c>
      <c r="C29" s="787" t="s">
        <v>0</v>
      </c>
      <c r="E29" s="1308"/>
      <c r="F29" s="753"/>
      <c r="G29" s="753"/>
      <c r="H29" s="753"/>
    </row>
    <row r="30" spans="1:18" ht="16.5" customHeight="1">
      <c r="A30" s="1308" t="s">
        <v>26</v>
      </c>
      <c r="C30" s="787" t="s">
        <v>52</v>
      </c>
      <c r="E30" s="753"/>
      <c r="F30" s="753"/>
      <c r="G30" s="753"/>
      <c r="H30" s="753"/>
    </row>
    <row r="31" spans="1:18" ht="16.5" customHeight="1">
      <c r="A31" s="1308" t="s">
        <v>481</v>
      </c>
      <c r="B31" s="751" t="s">
        <v>1928</v>
      </c>
      <c r="C31" s="787">
        <v>385</v>
      </c>
      <c r="D31" s="646" t="s">
        <v>115</v>
      </c>
      <c r="E31" s="753" t="s">
        <v>1880</v>
      </c>
      <c r="F31" s="753"/>
      <c r="G31" s="753"/>
      <c r="H31" s="753"/>
    </row>
    <row r="32" spans="1:18" ht="16.5" customHeight="1">
      <c r="A32" s="646" t="s">
        <v>456</v>
      </c>
      <c r="B32" s="751" t="s">
        <v>2379</v>
      </c>
      <c r="C32" s="751">
        <v>240</v>
      </c>
      <c r="D32" s="646" t="s">
        <v>2</v>
      </c>
      <c r="E32" s="753"/>
      <c r="F32" s="753"/>
      <c r="G32" s="753"/>
      <c r="H32" s="753"/>
    </row>
    <row r="33" spans="1:11" ht="16.5" customHeight="1">
      <c r="A33" s="646" t="s">
        <v>458</v>
      </c>
      <c r="B33" s="751" t="s">
        <v>2380</v>
      </c>
      <c r="C33" s="751">
        <v>640</v>
      </c>
      <c r="D33" s="646" t="s">
        <v>2</v>
      </c>
      <c r="E33" s="753"/>
      <c r="F33" s="753"/>
      <c r="G33" s="753"/>
      <c r="H33" s="753"/>
    </row>
    <row r="34" spans="1:11" ht="16.5" customHeight="1">
      <c r="C34" s="787"/>
      <c r="E34" s="753"/>
      <c r="F34" s="753"/>
      <c r="G34" s="753"/>
      <c r="H34" s="753"/>
    </row>
    <row r="35" spans="1:11" ht="16.5" customHeight="1">
      <c r="A35" s="1308" t="s">
        <v>2026</v>
      </c>
      <c r="B35" s="751" t="s">
        <v>2045</v>
      </c>
      <c r="C35" s="787">
        <v>574</v>
      </c>
      <c r="D35" s="646" t="s">
        <v>2</v>
      </c>
      <c r="E35" s="1392" t="s">
        <v>2143</v>
      </c>
      <c r="F35" s="753" t="s">
        <v>2144</v>
      </c>
      <c r="G35" s="754"/>
      <c r="H35" s="753"/>
    </row>
    <row r="36" spans="1:11" ht="16.5" customHeight="1">
      <c r="A36" s="646" t="s">
        <v>2027</v>
      </c>
      <c r="B36" s="751" t="s">
        <v>2046</v>
      </c>
      <c r="C36" s="787">
        <v>66</v>
      </c>
      <c r="D36" s="646" t="s">
        <v>2</v>
      </c>
      <c r="E36" s="1310" t="s">
        <v>2044</v>
      </c>
      <c r="F36" s="753" t="s">
        <v>2144</v>
      </c>
      <c r="G36" s="753"/>
      <c r="H36" s="753"/>
    </row>
    <row r="37" spans="1:11" ht="16.5" customHeight="1">
      <c r="C37" s="787"/>
      <c r="E37" s="753"/>
      <c r="F37" s="753"/>
      <c r="G37" s="753"/>
      <c r="H37" s="753"/>
    </row>
    <row r="38" spans="1:11" ht="16.5" customHeight="1">
      <c r="A38" s="769" t="s">
        <v>2038</v>
      </c>
      <c r="E38" s="753"/>
      <c r="F38" s="753"/>
      <c r="G38" s="753"/>
      <c r="H38" s="753"/>
    </row>
    <row r="39" spans="1:11" ht="16.5" customHeight="1">
      <c r="A39" s="646" t="s">
        <v>2047</v>
      </c>
      <c r="B39" s="646" t="s">
        <v>2343</v>
      </c>
      <c r="E39" s="753"/>
      <c r="F39" s="753"/>
      <c r="G39" s="753"/>
      <c r="H39" s="753"/>
    </row>
    <row r="40" spans="1:11" ht="16.5" customHeight="1">
      <c r="A40" s="646" t="s">
        <v>635</v>
      </c>
      <c r="B40" s="751" t="s">
        <v>10</v>
      </c>
      <c r="C40" s="787">
        <v>2</v>
      </c>
      <c r="D40" s="646" t="s">
        <v>1934</v>
      </c>
      <c r="E40" s="753"/>
      <c r="F40" s="650"/>
      <c r="G40" s="754"/>
      <c r="H40" s="753"/>
    </row>
    <row r="41" spans="1:11" ht="16.5" customHeight="1">
      <c r="A41" s="646" t="s">
        <v>387</v>
      </c>
      <c r="B41" s="751" t="s">
        <v>111</v>
      </c>
      <c r="C41" s="751">
        <v>8</v>
      </c>
      <c r="D41" s="646" t="s">
        <v>2</v>
      </c>
      <c r="E41" s="751"/>
      <c r="F41" s="751"/>
      <c r="G41" s="753"/>
      <c r="H41" s="753"/>
    </row>
    <row r="42" spans="1:11" ht="16.5" customHeight="1">
      <c r="A42" s="650" t="s">
        <v>376</v>
      </c>
      <c r="B42" s="796" t="s">
        <v>540</v>
      </c>
      <c r="C42" s="796">
        <v>220</v>
      </c>
      <c r="D42" s="650" t="s">
        <v>2</v>
      </c>
      <c r="E42" s="796"/>
      <c r="F42" s="796"/>
      <c r="G42" s="754"/>
      <c r="H42" s="754"/>
      <c r="I42" s="650"/>
    </row>
    <row r="43" spans="1:11" ht="16.5" customHeight="1">
      <c r="A43" s="650" t="s">
        <v>536</v>
      </c>
      <c r="B43" s="796" t="s">
        <v>2049</v>
      </c>
      <c r="C43" s="1314">
        <v>14</v>
      </c>
      <c r="D43" s="650" t="s">
        <v>2</v>
      </c>
      <c r="E43" s="650" t="s">
        <v>2050</v>
      </c>
      <c r="F43" s="796"/>
      <c r="G43" s="754"/>
      <c r="H43" s="754"/>
      <c r="I43" s="650"/>
    </row>
    <row r="44" spans="1:11" ht="16.5" customHeight="1">
      <c r="A44" s="650" t="s">
        <v>537</v>
      </c>
      <c r="B44" s="796" t="s">
        <v>2048</v>
      </c>
      <c r="C44" s="1314">
        <v>206</v>
      </c>
      <c r="D44" s="650" t="s">
        <v>2</v>
      </c>
      <c r="E44" s="650"/>
      <c r="F44" s="650"/>
      <c r="G44" s="650"/>
      <c r="H44" s="650"/>
      <c r="I44" s="650"/>
      <c r="K44" s="647"/>
    </row>
    <row r="45" spans="1:11" ht="16.5" customHeight="1">
      <c r="A45" s="650" t="s">
        <v>437</v>
      </c>
      <c r="B45" s="796" t="s">
        <v>479</v>
      </c>
      <c r="C45" s="796">
        <v>90</v>
      </c>
      <c r="D45" s="650" t="s">
        <v>270</v>
      </c>
      <c r="E45" s="650"/>
      <c r="F45" s="650"/>
      <c r="G45" s="650"/>
      <c r="H45" s="650"/>
      <c r="I45" s="650"/>
      <c r="K45" s="647"/>
    </row>
    <row r="46" spans="1:11" ht="16.5" customHeight="1">
      <c r="A46" s="650" t="s">
        <v>2039</v>
      </c>
      <c r="B46" s="796"/>
      <c r="C46" s="796" t="s">
        <v>119</v>
      </c>
      <c r="D46" s="650"/>
      <c r="E46" s="650"/>
      <c r="F46" s="650"/>
      <c r="G46" s="650"/>
      <c r="H46" s="650"/>
      <c r="I46" s="650"/>
      <c r="K46" s="647"/>
    </row>
    <row r="47" spans="1:11" ht="16.5" customHeight="1">
      <c r="A47" s="650" t="s">
        <v>1940</v>
      </c>
      <c r="B47" s="796" t="s">
        <v>1904</v>
      </c>
      <c r="C47" s="780">
        <v>11</v>
      </c>
      <c r="D47" s="650" t="s">
        <v>3</v>
      </c>
      <c r="E47" s="646" t="s">
        <v>2125</v>
      </c>
      <c r="F47" s="650"/>
      <c r="G47" s="650"/>
      <c r="H47" s="650"/>
      <c r="I47" s="650"/>
      <c r="K47" s="647"/>
    </row>
    <row r="48" spans="1:11" ht="16.5" customHeight="1">
      <c r="A48" s="650" t="s">
        <v>2042</v>
      </c>
      <c r="B48" s="796" t="s">
        <v>2041</v>
      </c>
      <c r="C48" s="780">
        <f>C42-C36</f>
        <v>154</v>
      </c>
      <c r="D48" s="650" t="s">
        <v>2</v>
      </c>
      <c r="E48" s="804" t="s">
        <v>2142</v>
      </c>
      <c r="F48" s="650"/>
      <c r="G48" s="650"/>
      <c r="H48" s="650"/>
      <c r="I48" s="650"/>
      <c r="K48" s="647"/>
    </row>
    <row r="49" spans="1:14" ht="16.5" customHeight="1">
      <c r="A49" s="646" t="s">
        <v>2043</v>
      </c>
      <c r="F49" s="650"/>
      <c r="G49" s="650"/>
      <c r="H49" s="650"/>
      <c r="I49" s="650"/>
      <c r="K49" s="647"/>
    </row>
    <row r="50" spans="1:14" ht="16.5" customHeight="1">
      <c r="A50" s="769"/>
      <c r="B50" s="796" t="s">
        <v>2040</v>
      </c>
      <c r="C50" s="780">
        <f>C36-C43</f>
        <v>52</v>
      </c>
      <c r="D50" s="650" t="s">
        <v>2</v>
      </c>
      <c r="E50" s="805" t="s">
        <v>2141</v>
      </c>
      <c r="F50" s="650"/>
      <c r="G50" s="650"/>
      <c r="H50" s="650"/>
      <c r="I50" s="650"/>
      <c r="K50" s="647"/>
    </row>
    <row r="51" spans="1:14" ht="16.5" customHeight="1">
      <c r="A51" s="646" t="s">
        <v>2063</v>
      </c>
      <c r="B51" s="751" t="s">
        <v>2028</v>
      </c>
      <c r="C51" s="787">
        <f>C47*C41*MIN(C48,C50)*(C31/350)^0.8</f>
        <v>4938.5580600877247</v>
      </c>
      <c r="D51" s="787" t="s">
        <v>5</v>
      </c>
      <c r="E51" s="1520" t="s">
        <v>2139</v>
      </c>
      <c r="F51" s="1520"/>
      <c r="G51" s="1520"/>
      <c r="H51" s="1520"/>
      <c r="I51" s="1306"/>
      <c r="K51" s="647"/>
    </row>
    <row r="52" spans="1:14" ht="16.5" customHeight="1">
      <c r="C52" s="787"/>
      <c r="D52" s="787"/>
      <c r="E52" s="1520"/>
      <c r="F52" s="1520"/>
      <c r="G52" s="1520"/>
      <c r="H52" s="1520"/>
      <c r="I52" s="1306"/>
      <c r="K52" s="647"/>
    </row>
    <row r="53" spans="1:14" ht="16.5" customHeight="1">
      <c r="A53" s="650" t="s">
        <v>2051</v>
      </c>
      <c r="B53" s="751" t="s">
        <v>2137</v>
      </c>
      <c r="C53" s="787">
        <v>22000</v>
      </c>
      <c r="D53" s="787" t="s">
        <v>5</v>
      </c>
      <c r="E53" s="646" t="s">
        <v>2125</v>
      </c>
      <c r="F53" s="642"/>
      <c r="G53" s="642"/>
      <c r="H53" s="642"/>
      <c r="I53" s="650"/>
      <c r="K53" s="647"/>
    </row>
    <row r="54" spans="1:14" ht="16.5" customHeight="1">
      <c r="A54" s="646" t="s">
        <v>2138</v>
      </c>
      <c r="K54" s="647"/>
    </row>
    <row r="55" spans="1:14" ht="16.5" customHeight="1">
      <c r="A55" s="769"/>
      <c r="E55" s="753"/>
      <c r="F55" s="754"/>
      <c r="G55" s="754"/>
      <c r="H55" s="754"/>
    </row>
    <row r="56" spans="1:14" ht="16.5" customHeight="1">
      <c r="A56" s="769" t="s">
        <v>2396</v>
      </c>
      <c r="E56" s="753"/>
      <c r="F56" s="754"/>
      <c r="G56" s="754"/>
      <c r="H56" s="754"/>
    </row>
    <row r="57" spans="1:14" ht="16.5" customHeight="1">
      <c r="A57" s="646" t="s">
        <v>1938</v>
      </c>
      <c r="B57" s="751" t="s">
        <v>10</v>
      </c>
      <c r="C57" s="751">
        <v>2</v>
      </c>
      <c r="D57" s="646" t="s">
        <v>2031</v>
      </c>
      <c r="E57" s="753"/>
      <c r="F57" s="753"/>
      <c r="G57" s="753"/>
      <c r="H57" s="753"/>
      <c r="N57" s="1308"/>
    </row>
    <row r="58" spans="1:14" ht="16.5" customHeight="1">
      <c r="A58" s="646" t="s">
        <v>2342</v>
      </c>
      <c r="B58" s="751" t="s">
        <v>2136</v>
      </c>
      <c r="C58" s="787">
        <f>C51</f>
        <v>4938.5580600877247</v>
      </c>
      <c r="D58" s="646" t="s">
        <v>5</v>
      </c>
      <c r="E58" s="646" t="s">
        <v>2029</v>
      </c>
      <c r="N58" s="1308"/>
    </row>
    <row r="59" spans="1:14" ht="16.5" customHeight="1">
      <c r="D59" s="804"/>
      <c r="N59" s="1308"/>
    </row>
    <row r="60" spans="1:14" ht="16.5" customHeight="1">
      <c r="A60" s="769" t="s">
        <v>462</v>
      </c>
      <c r="N60" s="1308"/>
    </row>
    <row r="61" spans="1:14" ht="16.5" customHeight="1">
      <c r="A61" s="646" t="s">
        <v>2140</v>
      </c>
      <c r="C61" s="778"/>
      <c r="N61" s="1308"/>
    </row>
    <row r="62" spans="1:14" ht="16.5" customHeight="1">
      <c r="B62" s="1314"/>
      <c r="C62" s="1314"/>
      <c r="D62" s="650"/>
      <c r="N62" s="1308"/>
    </row>
    <row r="63" spans="1:14" ht="16.5" customHeight="1">
      <c r="A63" s="755"/>
      <c r="C63" s="787"/>
      <c r="E63" s="642"/>
      <c r="F63" s="642"/>
      <c r="G63" s="642"/>
      <c r="H63" s="642"/>
      <c r="N63" s="1308"/>
    </row>
    <row r="64" spans="1:14" ht="16.5" customHeight="1">
      <c r="A64" s="755"/>
      <c r="E64" s="642"/>
      <c r="F64" s="642"/>
      <c r="G64" s="642"/>
      <c r="H64" s="642"/>
      <c r="N64" s="1308"/>
    </row>
    <row r="65" spans="1:8" ht="16.5" customHeight="1">
      <c r="A65" s="1319"/>
      <c r="B65" s="796"/>
      <c r="C65" s="1314"/>
      <c r="D65" s="650"/>
    </row>
    <row r="67" spans="1:8" ht="16.5" customHeight="1">
      <c r="A67" s="769"/>
    </row>
    <row r="68" spans="1:8" ht="16.5" customHeight="1">
      <c r="B68" s="1309"/>
    </row>
    <row r="74" spans="1:8" ht="16.5" customHeight="1">
      <c r="C74" s="778"/>
    </row>
    <row r="75" spans="1:8" ht="16.5" customHeight="1">
      <c r="C75" s="787"/>
      <c r="E75" s="642"/>
      <c r="F75" s="642"/>
      <c r="G75" s="642"/>
      <c r="H75" s="642"/>
    </row>
    <row r="76" spans="1:8" ht="16.5" customHeight="1">
      <c r="C76" s="787"/>
      <c r="E76" s="642"/>
      <c r="F76" s="642"/>
      <c r="G76" s="642"/>
      <c r="H76" s="642"/>
    </row>
    <row r="77" spans="1:8" ht="16.5" customHeight="1">
      <c r="C77" s="787"/>
      <c r="E77" s="642"/>
      <c r="F77" s="642"/>
      <c r="G77" s="642"/>
      <c r="H77" s="642"/>
    </row>
    <row r="78" spans="1:8" ht="16.5" customHeight="1">
      <c r="C78" s="787"/>
      <c r="E78" s="642"/>
      <c r="F78" s="642"/>
      <c r="G78" s="642"/>
      <c r="H78" s="642"/>
    </row>
    <row r="79" spans="1:8" ht="16.5" customHeight="1">
      <c r="B79" s="1314"/>
      <c r="C79" s="1314"/>
      <c r="D79" s="650"/>
    </row>
    <row r="81" spans="1:13" ht="16.5" customHeight="1">
      <c r="B81" s="796"/>
      <c r="C81" s="1314"/>
      <c r="D81" s="650"/>
    </row>
    <row r="83" spans="1:13" ht="16.5" customHeight="1">
      <c r="A83" s="769"/>
      <c r="L83" s="1393"/>
      <c r="M83" s="1393"/>
    </row>
    <row r="84" spans="1:13" ht="16.5" customHeight="1">
      <c r="B84" s="1315"/>
      <c r="C84" s="1315"/>
      <c r="D84" s="789"/>
      <c r="E84" s="650"/>
      <c r="F84" s="650"/>
      <c r="G84" s="650"/>
      <c r="L84" s="1393"/>
      <c r="M84" s="1393"/>
    </row>
    <row r="85" spans="1:13" ht="16.5" customHeight="1">
      <c r="B85" s="1316"/>
      <c r="C85" s="1315"/>
      <c r="D85" s="789"/>
      <c r="E85" s="650"/>
      <c r="F85" s="650"/>
      <c r="G85" s="650"/>
      <c r="K85" s="748"/>
      <c r="M85" s="1393"/>
    </row>
    <row r="86" spans="1:13" ht="16.5" customHeight="1">
      <c r="B86" s="1316"/>
      <c r="C86" s="755"/>
      <c r="D86" s="755"/>
      <c r="E86" s="755"/>
      <c r="F86" s="755"/>
      <c r="G86" s="755"/>
      <c r="H86" s="755"/>
    </row>
    <row r="87" spans="1:13" ht="16.5" customHeight="1">
      <c r="B87" s="796"/>
      <c r="C87" s="755"/>
      <c r="D87" s="755"/>
      <c r="E87" s="755"/>
      <c r="F87" s="755"/>
      <c r="G87" s="755"/>
      <c r="H87" s="755"/>
    </row>
    <row r="88" spans="1:13" ht="16.5" customHeight="1">
      <c r="B88" s="1316"/>
      <c r="C88" s="1316"/>
      <c r="D88" s="789"/>
      <c r="E88" s="1394"/>
      <c r="F88" s="1394"/>
      <c r="G88" s="1394"/>
    </row>
    <row r="89" spans="1:13" ht="16.5" customHeight="1">
      <c r="B89" s="1316"/>
      <c r="C89" s="1316"/>
      <c r="D89" s="789"/>
      <c r="E89" s="650"/>
      <c r="F89" s="1394"/>
      <c r="G89" s="1394"/>
    </row>
    <row r="90" spans="1:13" ht="16.5" customHeight="1">
      <c r="B90" s="1316"/>
      <c r="C90" s="1316"/>
      <c r="D90" s="789"/>
      <c r="E90" s="1394"/>
      <c r="F90" s="1394"/>
      <c r="G90" s="1394"/>
    </row>
    <row r="91" spans="1:13" ht="16.5" customHeight="1">
      <c r="B91" s="1315"/>
      <c r="C91" s="1315"/>
      <c r="D91" s="789"/>
      <c r="E91" s="650"/>
      <c r="F91" s="1394"/>
      <c r="G91" s="650"/>
    </row>
    <row r="92" spans="1:13" ht="16.5" customHeight="1">
      <c r="B92" s="1316"/>
      <c r="C92" s="1315"/>
      <c r="D92" s="789"/>
      <c r="E92" s="650"/>
      <c r="F92" s="1394"/>
      <c r="G92" s="650"/>
      <c r="K92" s="748"/>
    </row>
    <row r="93" spans="1:13" ht="16.5" customHeight="1">
      <c r="B93" s="1316"/>
      <c r="C93" s="1316"/>
      <c r="D93" s="789"/>
      <c r="E93" s="650"/>
      <c r="F93" s="1394"/>
      <c r="G93" s="650"/>
    </row>
    <row r="94" spans="1:13" ht="16.5" customHeight="1">
      <c r="B94" s="1316"/>
      <c r="C94" s="1316"/>
      <c r="D94" s="789"/>
      <c r="E94" s="650"/>
      <c r="F94" s="1394"/>
      <c r="G94" s="650"/>
    </row>
    <row r="95" spans="1:13" ht="16.5" customHeight="1">
      <c r="B95" s="1316"/>
      <c r="C95" s="1316"/>
      <c r="D95" s="789"/>
      <c r="E95" s="650"/>
      <c r="F95" s="1394"/>
      <c r="G95" s="650"/>
    </row>
    <row r="96" spans="1:13" ht="16.5" customHeight="1">
      <c r="B96" s="1395"/>
      <c r="C96" s="1395"/>
      <c r="D96" s="1396"/>
      <c r="F96" s="1397"/>
    </row>
    <row r="97" spans="2:6" ht="16.5" customHeight="1">
      <c r="B97" s="1395"/>
      <c r="C97" s="1395"/>
      <c r="D97" s="1396"/>
      <c r="F97" s="1397"/>
    </row>
  </sheetData>
  <sheetProtection algorithmName="SHA-512" hashValue="SnSba7Wrewet6EYICIhV9unNTT1WsYXjwAMEFgLB0culhwWcu3pJw+kg8D2HUwpwgACvukXwFTKIkBf2PMZKMQ==" saltValue="bF3aeRMS6NfK/f8j/zD53w==" spinCount="100000" sheet="1" objects="1" scenarios="1"/>
  <mergeCells count="8">
    <mergeCell ref="J5:K5"/>
    <mergeCell ref="A7:I27"/>
    <mergeCell ref="A4:I6"/>
    <mergeCell ref="E51:H52"/>
    <mergeCell ref="A1:G1"/>
    <mergeCell ref="H1:I1"/>
    <mergeCell ref="A2:G2"/>
    <mergeCell ref="H2:I2"/>
  </mergeCells>
  <conditionalFormatting sqref="B70">
    <cfRule type="cellIs" dxfId="1" priority="2" operator="lessThan">
      <formula>3*$D$139</formula>
    </cfRule>
  </conditionalFormatting>
  <conditionalFormatting sqref="B71:B72">
    <cfRule type="cellIs" dxfId="0" priority="1" operator="lessThan">
      <formula>2.5*$D$139</formula>
    </cfRule>
  </conditionalFormatting>
  <dataValidations count="2">
    <dataValidation type="list" allowBlank="1" showInputMessage="1" showErrorMessage="1" sqref="C41" xr:uid="{DF51B34B-AA95-47D4-A99B-660FCB1444AB}">
      <formula1>"6,8,10,12"</formula1>
    </dataValidation>
    <dataValidation type="list" allowBlank="1" showInputMessage="1" showErrorMessage="1" sqref="C46" xr:uid="{C7787E72-1351-47AD-B069-58BA61FE558B}">
      <formula1>"oben,unten"</formula1>
    </dataValidation>
  </dataValidations>
  <printOptions gridLines="1"/>
  <pageMargins left="0.7" right="0.7" top="0.78740157499999996" bottom="0.78740157499999996" header="0.3" footer="0.3"/>
  <pageSetup paperSize="9" scale="95" orientation="portrait" r:id="rId1"/>
  <rowBreaks count="1" manualBreakCount="1">
    <brk id="37" max="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7F489-5C7B-4AB0-88E9-785660D84818}">
  <sheetPr codeName="Tabelle9"/>
  <dimension ref="A1:G21"/>
  <sheetViews>
    <sheetView showGridLines="0" showRowColHeaders="0" zoomScaleNormal="100" zoomScaleSheetLayoutView="100" workbookViewId="0">
      <selection activeCell="C17" sqref="C17"/>
    </sheetView>
  </sheetViews>
  <sheetFormatPr baseColWidth="10" defaultRowHeight="15"/>
  <sheetData>
    <row r="1" spans="1:7">
      <c r="A1" s="738" t="s">
        <v>838</v>
      </c>
    </row>
    <row r="2" spans="1:7" ht="15" customHeight="1">
      <c r="A2" s="1592" t="s">
        <v>839</v>
      </c>
      <c r="B2" s="1592"/>
      <c r="C2" s="1592"/>
      <c r="D2" s="1592"/>
      <c r="E2" s="1592"/>
      <c r="F2" s="1592"/>
      <c r="G2" s="1592"/>
    </row>
    <row r="3" spans="1:7">
      <c r="A3" s="1592"/>
      <c r="B3" s="1592"/>
      <c r="C3" s="1592"/>
      <c r="D3" s="1592"/>
      <c r="E3" s="1592"/>
      <c r="F3" s="1592"/>
      <c r="G3" s="1592"/>
    </row>
    <row r="4" spans="1:7">
      <c r="A4" s="1592"/>
      <c r="B4" s="1592"/>
      <c r="C4" s="1592"/>
      <c r="D4" s="1592"/>
      <c r="E4" s="1592"/>
      <c r="F4" s="1592"/>
      <c r="G4" s="1592"/>
    </row>
    <row r="5" spans="1:7">
      <c r="A5" s="1592"/>
      <c r="B5" s="1592"/>
      <c r="C5" s="1592"/>
      <c r="D5" s="1592"/>
      <c r="E5" s="1592"/>
      <c r="F5" s="1592"/>
      <c r="G5" s="1592"/>
    </row>
    <row r="6" spans="1:7">
      <c r="A6" s="1592"/>
      <c r="B6" s="1592"/>
      <c r="C6" s="1592"/>
      <c r="D6" s="1592"/>
      <c r="E6" s="1592"/>
      <c r="F6" s="1592"/>
      <c r="G6" s="1592"/>
    </row>
    <row r="7" spans="1:7">
      <c r="A7" s="1592"/>
      <c r="B7" s="1592"/>
      <c r="C7" s="1592"/>
      <c r="D7" s="1592"/>
      <c r="E7" s="1592"/>
      <c r="F7" s="1592"/>
      <c r="G7" s="1592"/>
    </row>
    <row r="8" spans="1:7">
      <c r="A8" s="739"/>
      <c r="B8" s="739"/>
      <c r="C8" s="739"/>
      <c r="D8" s="739"/>
      <c r="E8" s="739"/>
      <c r="F8" s="739"/>
      <c r="G8" s="739"/>
    </row>
    <row r="9" spans="1:7">
      <c r="A9" s="739"/>
      <c r="B9" s="739"/>
      <c r="C9" s="739"/>
      <c r="D9" s="739"/>
      <c r="E9" s="739"/>
      <c r="F9" s="739"/>
      <c r="G9" s="739"/>
    </row>
    <row r="10" spans="1:7">
      <c r="A10" s="738" t="s">
        <v>840</v>
      </c>
      <c r="B10" s="739"/>
      <c r="C10" s="739"/>
      <c r="D10" s="739"/>
      <c r="E10" s="739"/>
      <c r="F10" s="739"/>
      <c r="G10" s="739"/>
    </row>
    <row r="11" spans="1:7">
      <c r="A11" s="740" t="s">
        <v>841</v>
      </c>
    </row>
    <row r="12" spans="1:7">
      <c r="A12" s="740" t="s">
        <v>842</v>
      </c>
    </row>
    <row r="13" spans="1:7">
      <c r="A13" s="740" t="s">
        <v>843</v>
      </c>
    </row>
    <row r="14" spans="1:7">
      <c r="A14" s="740" t="s">
        <v>844</v>
      </c>
    </row>
    <row r="15" spans="1:7">
      <c r="A15" s="740"/>
    </row>
    <row r="16" spans="1:7">
      <c r="A16" s="740" t="s">
        <v>845</v>
      </c>
    </row>
    <row r="17" spans="1:1">
      <c r="A17" s="741" t="s">
        <v>846</v>
      </c>
    </row>
    <row r="18" spans="1:1">
      <c r="A18" s="740"/>
    </row>
    <row r="19" spans="1:1">
      <c r="A19" s="740" t="s">
        <v>847</v>
      </c>
    </row>
    <row r="20" spans="1:1">
      <c r="A20" s="740" t="s">
        <v>848</v>
      </c>
    </row>
    <row r="21" spans="1:1">
      <c r="A21" s="740" t="s">
        <v>849</v>
      </c>
    </row>
  </sheetData>
  <sheetProtection algorithmName="SHA-512" hashValue="+Sw9ECkOjGOrET7ZqmX16tgx7uGwGg4nbCIKLcFcZoz9KE4szTFd454HvKK/In2oM5KCPNs/C6ow07QWzM6PIg==" saltValue="wrMqb4fH6SKgTTSze7q9ZA==" spinCount="100000" sheet="1" objects="1" scenarios="1"/>
  <mergeCells count="1">
    <mergeCell ref="A2:G7"/>
  </mergeCells>
  <hyperlinks>
    <hyperlink ref="A17" r:id="rId1" xr:uid="{946BD09C-D37D-4C50-A848-2AD4046F3B24}"/>
  </hyperlinks>
  <pageMargins left="0.7" right="0.7" top="0.78740157499999996" bottom="0.78740157499999996" header="0.3" footer="0.3"/>
  <pageSetup paperSize="9" orientation="portrait" verticalDpi="300"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57</vt:i4>
      </vt:variant>
    </vt:vector>
  </HeadingPairs>
  <TitlesOfParts>
    <vt:vector size="69" baseType="lpstr">
      <vt:lpstr>Eingabe</vt:lpstr>
      <vt:lpstr>Ausgabe</vt:lpstr>
      <vt:lpstr>Sprachtexte</vt:lpstr>
      <vt:lpstr>Geometrie</vt:lpstr>
      <vt:lpstr>Berechnung_BZoben</vt:lpstr>
      <vt:lpstr>Berechnung_BZunten</vt:lpstr>
      <vt:lpstr>MKW</vt:lpstr>
      <vt:lpstr>Beispiel 1</vt:lpstr>
      <vt:lpstr>Beispiel 2</vt:lpstr>
      <vt:lpstr>Beispiel 3</vt:lpstr>
      <vt:lpstr>Beispiel 4</vt:lpstr>
      <vt:lpstr>Hinweise</vt:lpstr>
      <vt:lpstr>Hinweise!_GoBack</vt:lpstr>
      <vt:lpstr>_oben</vt:lpstr>
      <vt:lpstr>_unten</vt:lpstr>
      <vt:lpstr>Berechnung_BZunten!amax</vt:lpstr>
      <vt:lpstr>amax</vt:lpstr>
      <vt:lpstr>Ausgabe!Druckbereich</vt:lpstr>
      <vt:lpstr>'Beispiel 1'!Druckbereich</vt:lpstr>
      <vt:lpstr>'Beispiel 2'!Druckbereich</vt:lpstr>
      <vt:lpstr>'Beispiel 3'!Druckbereich</vt:lpstr>
      <vt:lpstr>'Beispiel 4'!Druckbereich</vt:lpstr>
      <vt:lpstr>Eingabe!Druckbereich</vt:lpstr>
      <vt:lpstr>Hinweise!Druckbereich</vt:lpstr>
      <vt:lpstr>Sprachtexte!Druckbereich</vt:lpstr>
      <vt:lpstr>Berechnung_BZunten!Faxmax</vt:lpstr>
      <vt:lpstr>Faxmax</vt:lpstr>
      <vt:lpstr>HT45Schraube_Mat0_alpha</vt:lpstr>
      <vt:lpstr>HT45Schraube_Mat1_alpha</vt:lpstr>
      <vt:lpstr>HT45Schraube_Mat23_alpha</vt:lpstr>
      <vt:lpstr>HT45Schraube_Mat23_alphaF3</vt:lpstr>
      <vt:lpstr>HT45Schraube_Mat23_alphaF45</vt:lpstr>
      <vt:lpstr>HT45Schraube_Mat23_beta</vt:lpstr>
      <vt:lpstr>HT45Schraube_Mat23_epsilon</vt:lpstr>
      <vt:lpstr>HT90Schraube_Mat0_alpha</vt:lpstr>
      <vt:lpstr>HT90Schraube_Mat1_alpha</vt:lpstr>
      <vt:lpstr>HT90Schraube_Mat23_alpha</vt:lpstr>
      <vt:lpstr>HT90Schraube_Mat23_alphaF3</vt:lpstr>
      <vt:lpstr>HT90Schraube_Mat23_alphaF45</vt:lpstr>
      <vt:lpstr>HT90Schraube_Mat23_beta</vt:lpstr>
      <vt:lpstr>HT90Schraube_Mat23_epsilon</vt:lpstr>
      <vt:lpstr>Berechnung_BZunten!kL</vt:lpstr>
      <vt:lpstr>kL</vt:lpstr>
      <vt:lpstr>Berechnung_BZunten!n</vt:lpstr>
      <vt:lpstr>n</vt:lpstr>
      <vt:lpstr>NT0Schraube_Mat0_alpha</vt:lpstr>
      <vt:lpstr>NT0Schraube_Mat1_alpha</vt:lpstr>
      <vt:lpstr>NT0Schraube_Mat23_alpha</vt:lpstr>
      <vt:lpstr>NT0Schraube_Mat23_alphaF3</vt:lpstr>
      <vt:lpstr>NT0Schraube_Mat23_alphaF45</vt:lpstr>
      <vt:lpstr>NT0Schraube_Mat23_beta</vt:lpstr>
      <vt:lpstr>NT0Schraube_Mat23_epsilon</vt:lpstr>
      <vt:lpstr>NT45Schraube_Mat0_alpha</vt:lpstr>
      <vt:lpstr>NT45Schraube_Mat1_alpha</vt:lpstr>
      <vt:lpstr>NT45Schraube_Mat23_alpha</vt:lpstr>
      <vt:lpstr>NT45Schraube_Mat23_alphaF3</vt:lpstr>
      <vt:lpstr>NT45Schraube_Mat23_alphaF45</vt:lpstr>
      <vt:lpstr>NT45Schraube_Mat23_beta</vt:lpstr>
      <vt:lpstr>NT45Schraube_Mat23_epsilon</vt:lpstr>
      <vt:lpstr>Berechnung_BZunten!Sai</vt:lpstr>
      <vt:lpstr>Sai</vt:lpstr>
      <vt:lpstr>Berechnung_BZunten!sc</vt:lpstr>
      <vt:lpstr>sc</vt:lpstr>
      <vt:lpstr>Berechnung_BZunten!waxmax</vt:lpstr>
      <vt:lpstr>waxmax</vt:lpstr>
      <vt:lpstr>Berechnung_BZunten!wc</vt:lpstr>
      <vt:lpstr>wc</vt:lpstr>
      <vt:lpstr>Berechnung_BZunten!x</vt:lpstr>
      <vt:lpstr>x</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Torsten Langejürgen, Knapp GmbH</dc:creator>
  <cp:lastModifiedBy>Torsten Langejürgen, Knapp GmbH</cp:lastModifiedBy>
  <cp:lastPrinted>2025-06-17T13:40:48Z</cp:lastPrinted>
  <dcterms:created xsi:type="dcterms:W3CDTF">2018-06-20T09:15:42Z</dcterms:created>
  <dcterms:modified xsi:type="dcterms:W3CDTF">2025-08-13T13:04:28Z</dcterms:modified>
</cp:coreProperties>
</file>